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tests\output\"/>
    </mc:Choice>
  </mc:AlternateContent>
  <xr:revisionPtr revIDLastSave="0" documentId="13_ncr:1_{BF20F017-D58E-4CE8-9EE2-0B03420AABD5}" xr6:coauthVersionLast="47" xr6:coauthVersionMax="47" xr10:uidLastSave="{00000000-0000-0000-0000-000000000000}"/>
  <bookViews>
    <workbookView xWindow="-110" yWindow="-110" windowWidth="19420" windowHeight="10300" xr2:uid="{00000000-000D-0000-FFFF-FFFF00000000}"/>
  </bookViews>
  <sheets>
    <sheet name="START HERE" sheetId="1" r:id="rId1"/>
    <sheet name="RAM" sheetId="2" r:id="rId2"/>
    <sheet name="SHYAM" sheetId="3" r:id="rId3"/>
    <sheet name="LOG" sheetId="4" r:id="rId4"/>
    <sheet name="DASHBOARD" sheetId="5" r:id="rId5"/>
    <sheet name="MESSAGES" sheetId="6" r:id="rId6"/>
    <sheet name="PARTNERS" sheetId="7" r:id="rId7"/>
    <sheet name="INPUT" sheetId="8" r:id="rId8"/>
    <sheet name="SETTINGS" sheetId="9" r:id="rId9"/>
    <sheet name="DESK" sheetId="10" state="hidden" r:id="rId10"/>
    <sheet name="LISTS" sheetId="11" state="hidden" r:id="rId11"/>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01" i="10" l="1"/>
  <c r="B600" i="10"/>
  <c r="B599" i="10"/>
  <c r="B598" i="10"/>
  <c r="B597" i="10"/>
  <c r="B596" i="10"/>
  <c r="B595" i="10"/>
  <c r="B594" i="10"/>
  <c r="B593" i="10"/>
  <c r="B592" i="10"/>
  <c r="B591" i="10"/>
  <c r="B590" i="10"/>
  <c r="B589" i="10"/>
  <c r="B588" i="10"/>
  <c r="B587" i="10"/>
  <c r="B586" i="10"/>
  <c r="B585" i="10"/>
  <c r="B584" i="10"/>
  <c r="B583" i="10"/>
  <c r="B582" i="10"/>
  <c r="B581" i="10"/>
  <c r="B580" i="10"/>
  <c r="B579" i="10"/>
  <c r="B578" i="10"/>
  <c r="B577" i="10"/>
  <c r="B576" i="10"/>
  <c r="B575" i="10"/>
  <c r="B574" i="10"/>
  <c r="B573" i="10"/>
  <c r="B572" i="10"/>
  <c r="B571" i="10"/>
  <c r="B570" i="10"/>
  <c r="B569" i="10"/>
  <c r="B568" i="10"/>
  <c r="B567" i="10"/>
  <c r="B566" i="10"/>
  <c r="B565" i="10"/>
  <c r="B564" i="10"/>
  <c r="B563" i="10"/>
  <c r="B562" i="10"/>
  <c r="B561" i="10"/>
  <c r="B560" i="10"/>
  <c r="B559" i="10"/>
  <c r="B558" i="10"/>
  <c r="B557" i="10"/>
  <c r="B556" i="10"/>
  <c r="B555" i="10"/>
  <c r="B554" i="10"/>
  <c r="B553" i="10"/>
  <c r="B552" i="10"/>
  <c r="B551" i="10"/>
  <c r="B550" i="10"/>
  <c r="B549" i="10"/>
  <c r="B548" i="10"/>
  <c r="B547" i="10"/>
  <c r="B546" i="10"/>
  <c r="B545" i="10"/>
  <c r="B544" i="10"/>
  <c r="B543" i="10"/>
  <c r="B542" i="10"/>
  <c r="B541" i="10"/>
  <c r="B540" i="10"/>
  <c r="B539" i="10"/>
  <c r="B538" i="10"/>
  <c r="B537" i="10"/>
  <c r="B536" i="10"/>
  <c r="B535" i="10"/>
  <c r="B534" i="10"/>
  <c r="B533" i="10"/>
  <c r="B532" i="10"/>
  <c r="B531" i="10"/>
  <c r="B530" i="10"/>
  <c r="B529" i="10"/>
  <c r="B528" i="10"/>
  <c r="B527" i="10"/>
  <c r="B526" i="10"/>
  <c r="B525" i="10"/>
  <c r="B524" i="10"/>
  <c r="B523" i="10"/>
  <c r="B522" i="10"/>
  <c r="B521" i="10"/>
  <c r="B520" i="10"/>
  <c r="B519" i="10"/>
  <c r="B518" i="10"/>
  <c r="B517"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B201" i="10"/>
  <c r="B200" i="10"/>
  <c r="B199" i="10"/>
  <c r="B198" i="10"/>
  <c r="B197" i="10"/>
  <c r="B196" i="10"/>
  <c r="B195" i="10"/>
  <c r="B194" i="10"/>
  <c r="B193" i="10"/>
  <c r="B192" i="10"/>
  <c r="B191" i="10"/>
  <c r="B190" i="10"/>
  <c r="B189" i="10"/>
  <c r="B188" i="10"/>
  <c r="B187" i="10"/>
  <c r="B186" i="10"/>
  <c r="B185" i="10"/>
  <c r="B184" i="10"/>
  <c r="B183" i="10"/>
  <c r="B182" i="10"/>
  <c r="B181" i="10"/>
  <c r="B180" i="10"/>
  <c r="B179" i="10"/>
  <c r="B178" i="10"/>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4" i="9"/>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I10" i="7"/>
  <c r="I9" i="7"/>
  <c r="I8" i="7"/>
  <c r="I7" i="7"/>
  <c r="I6" i="7"/>
  <c r="I5" i="7"/>
  <c r="I4" i="7"/>
  <c r="I3" i="7"/>
  <c r="I2" i="7"/>
  <c r="M1008" i="6"/>
  <c r="M1007" i="6"/>
  <c r="M1006" i="6"/>
  <c r="M1005"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771" i="6"/>
  <c r="M770" i="6"/>
  <c r="M769" i="6"/>
  <c r="M768" i="6"/>
  <c r="M767" i="6"/>
  <c r="M766" i="6"/>
  <c r="M765" i="6"/>
  <c r="M764" i="6"/>
  <c r="M763" i="6"/>
  <c r="M762" i="6"/>
  <c r="M761" i="6"/>
  <c r="M760" i="6"/>
  <c r="M759" i="6"/>
  <c r="M758" i="6"/>
  <c r="M757" i="6"/>
  <c r="M756" i="6"/>
  <c r="M755" i="6"/>
  <c r="M754" i="6"/>
  <c r="M753" i="6"/>
  <c r="M752" i="6"/>
  <c r="M751" i="6"/>
  <c r="M750" i="6"/>
  <c r="M749" i="6"/>
  <c r="M748" i="6"/>
  <c r="M747" i="6"/>
  <c r="M746" i="6"/>
  <c r="M745" i="6"/>
  <c r="M744" i="6"/>
  <c r="M743" i="6"/>
  <c r="M742" i="6"/>
  <c r="M741" i="6"/>
  <c r="M740" i="6"/>
  <c r="M739" i="6"/>
  <c r="M738" i="6"/>
  <c r="M737" i="6"/>
  <c r="M736" i="6"/>
  <c r="M735" i="6"/>
  <c r="M734" i="6"/>
  <c r="M733" i="6"/>
  <c r="M732" i="6"/>
  <c r="M731" i="6"/>
  <c r="M730" i="6"/>
  <c r="M729" i="6"/>
  <c r="M728" i="6"/>
  <c r="M727" i="6"/>
  <c r="M726" i="6"/>
  <c r="M725" i="6"/>
  <c r="M724" i="6"/>
  <c r="M723" i="6"/>
  <c r="M722" i="6"/>
  <c r="M721" i="6"/>
  <c r="M720" i="6"/>
  <c r="M719" i="6"/>
  <c r="M718" i="6"/>
  <c r="M717" i="6"/>
  <c r="M716" i="6"/>
  <c r="M715" i="6"/>
  <c r="M714" i="6"/>
  <c r="M713" i="6"/>
  <c r="M712" i="6"/>
  <c r="M711" i="6"/>
  <c r="M710" i="6"/>
  <c r="M709" i="6"/>
  <c r="M708" i="6"/>
  <c r="M707" i="6"/>
  <c r="M706" i="6"/>
  <c r="M705" i="6"/>
  <c r="M704" i="6"/>
  <c r="M703" i="6"/>
  <c r="M702" i="6"/>
  <c r="M701" i="6"/>
  <c r="M700" i="6"/>
  <c r="M699" i="6"/>
  <c r="M698" i="6"/>
  <c r="M697" i="6"/>
  <c r="M696" i="6"/>
  <c r="M695" i="6"/>
  <c r="M694" i="6"/>
  <c r="M693" i="6"/>
  <c r="M692" i="6"/>
  <c r="M691" i="6"/>
  <c r="M690" i="6"/>
  <c r="M689" i="6"/>
  <c r="M688" i="6"/>
  <c r="M687" i="6"/>
  <c r="M686" i="6"/>
  <c r="M685" i="6"/>
  <c r="M684" i="6"/>
  <c r="M683" i="6"/>
  <c r="M682" i="6"/>
  <c r="M681" i="6"/>
  <c r="M680" i="6"/>
  <c r="M679" i="6"/>
  <c r="M678" i="6"/>
  <c r="M677" i="6"/>
  <c r="M676" i="6"/>
  <c r="M675" i="6"/>
  <c r="M674" i="6"/>
  <c r="M673" i="6"/>
  <c r="M672" i="6"/>
  <c r="M671" i="6"/>
  <c r="M670" i="6"/>
  <c r="M669" i="6"/>
  <c r="M668" i="6"/>
  <c r="M667" i="6"/>
  <c r="M666" i="6"/>
  <c r="M665" i="6"/>
  <c r="M664" i="6"/>
  <c r="M663" i="6"/>
  <c r="M662" i="6"/>
  <c r="M661" i="6"/>
  <c r="M660" i="6"/>
  <c r="M659" i="6"/>
  <c r="M658" i="6"/>
  <c r="M657" i="6"/>
  <c r="M656" i="6"/>
  <c r="M655" i="6"/>
  <c r="M654" i="6"/>
  <c r="M653" i="6"/>
  <c r="M652" i="6"/>
  <c r="M651" i="6"/>
  <c r="M650" i="6"/>
  <c r="M649" i="6"/>
  <c r="M648" i="6"/>
  <c r="M647" i="6"/>
  <c r="M646" i="6"/>
  <c r="M645" i="6"/>
  <c r="M644" i="6"/>
  <c r="M643" i="6"/>
  <c r="M642" i="6"/>
  <c r="M641" i="6"/>
  <c r="M640" i="6"/>
  <c r="M639" i="6"/>
  <c r="M638" i="6"/>
  <c r="M637" i="6"/>
  <c r="M636" i="6"/>
  <c r="M635" i="6"/>
  <c r="M634" i="6"/>
  <c r="M633" i="6"/>
  <c r="M632" i="6"/>
  <c r="M631" i="6"/>
  <c r="M630" i="6"/>
  <c r="M629" i="6"/>
  <c r="M628" i="6"/>
  <c r="M627" i="6"/>
  <c r="M626" i="6"/>
  <c r="M625" i="6"/>
  <c r="M624" i="6"/>
  <c r="M623" i="6"/>
  <c r="M622" i="6"/>
  <c r="M621" i="6"/>
  <c r="M620" i="6"/>
  <c r="M619" i="6"/>
  <c r="M618" i="6"/>
  <c r="M617" i="6"/>
  <c r="M616" i="6"/>
  <c r="M615" i="6"/>
  <c r="M614" i="6"/>
  <c r="M613" i="6"/>
  <c r="M612" i="6"/>
  <c r="M611" i="6"/>
  <c r="M610" i="6"/>
  <c r="M609" i="6"/>
  <c r="M608" i="6"/>
  <c r="B608" i="6"/>
  <c r="M607" i="6"/>
  <c r="B607" i="6"/>
  <c r="M606" i="6"/>
  <c r="B606" i="6"/>
  <c r="M605" i="6"/>
  <c r="B605" i="6"/>
  <c r="M604" i="6"/>
  <c r="B604" i="6"/>
  <c r="M603" i="6"/>
  <c r="B603" i="6"/>
  <c r="M602" i="6"/>
  <c r="B602" i="6"/>
  <c r="M601" i="6"/>
  <c r="B601" i="6"/>
  <c r="M600" i="6"/>
  <c r="B600" i="6"/>
  <c r="M599" i="6"/>
  <c r="B599" i="6"/>
  <c r="M598" i="6"/>
  <c r="B598" i="6"/>
  <c r="M597" i="6"/>
  <c r="B597" i="6"/>
  <c r="M596" i="6"/>
  <c r="B596" i="6"/>
  <c r="M595" i="6"/>
  <c r="B595" i="6"/>
  <c r="M594" i="6"/>
  <c r="B594" i="6"/>
  <c r="M593" i="6"/>
  <c r="B593" i="6"/>
  <c r="M592" i="6"/>
  <c r="B592" i="6"/>
  <c r="M591" i="6"/>
  <c r="B591" i="6"/>
  <c r="M590" i="6"/>
  <c r="B590" i="6"/>
  <c r="M589" i="6"/>
  <c r="B589" i="6"/>
  <c r="M588" i="6"/>
  <c r="B588" i="6"/>
  <c r="M587" i="6"/>
  <c r="B587" i="6"/>
  <c r="M586" i="6"/>
  <c r="B586" i="6"/>
  <c r="M585" i="6"/>
  <c r="B585" i="6"/>
  <c r="M584" i="6"/>
  <c r="B584" i="6"/>
  <c r="M583" i="6"/>
  <c r="B583" i="6"/>
  <c r="M582" i="6"/>
  <c r="B582" i="6"/>
  <c r="M581" i="6"/>
  <c r="B581" i="6"/>
  <c r="M580" i="6"/>
  <c r="B580" i="6"/>
  <c r="M579" i="6"/>
  <c r="B579" i="6"/>
  <c r="M578" i="6"/>
  <c r="B578" i="6"/>
  <c r="M577" i="6"/>
  <c r="B577" i="6"/>
  <c r="M576" i="6"/>
  <c r="B576" i="6"/>
  <c r="M575" i="6"/>
  <c r="B575" i="6"/>
  <c r="M574" i="6"/>
  <c r="B574" i="6"/>
  <c r="M573" i="6"/>
  <c r="B573" i="6"/>
  <c r="M572" i="6"/>
  <c r="B572" i="6"/>
  <c r="M571" i="6"/>
  <c r="B571" i="6"/>
  <c r="M570" i="6"/>
  <c r="B570" i="6"/>
  <c r="M569" i="6"/>
  <c r="B569" i="6"/>
  <c r="M568" i="6"/>
  <c r="B568" i="6"/>
  <c r="M567" i="6"/>
  <c r="B567" i="6"/>
  <c r="M566" i="6"/>
  <c r="B566" i="6"/>
  <c r="M565" i="6"/>
  <c r="B565" i="6"/>
  <c r="M564" i="6"/>
  <c r="B564" i="6"/>
  <c r="M563" i="6"/>
  <c r="B563" i="6"/>
  <c r="M562" i="6"/>
  <c r="B562" i="6"/>
  <c r="M561" i="6"/>
  <c r="B561" i="6"/>
  <c r="M560" i="6"/>
  <c r="B560" i="6"/>
  <c r="M559" i="6"/>
  <c r="B559" i="6"/>
  <c r="M558" i="6"/>
  <c r="B558" i="6"/>
  <c r="M557" i="6"/>
  <c r="B557" i="6"/>
  <c r="C557" i="6" s="1"/>
  <c r="M556" i="6"/>
  <c r="B556" i="6"/>
  <c r="M555" i="6"/>
  <c r="B555" i="6"/>
  <c r="M554" i="6"/>
  <c r="B554" i="6"/>
  <c r="M553" i="6"/>
  <c r="B553" i="6"/>
  <c r="M552" i="6"/>
  <c r="B552" i="6"/>
  <c r="M551" i="6"/>
  <c r="B551" i="6"/>
  <c r="M550" i="6"/>
  <c r="B550" i="6"/>
  <c r="M549" i="6"/>
  <c r="B549" i="6"/>
  <c r="M548" i="6"/>
  <c r="B548" i="6"/>
  <c r="M547" i="6"/>
  <c r="B547" i="6"/>
  <c r="M546" i="6"/>
  <c r="B546" i="6"/>
  <c r="M545" i="6"/>
  <c r="B545" i="6"/>
  <c r="M544" i="6"/>
  <c r="B544" i="6"/>
  <c r="M543" i="6"/>
  <c r="B543" i="6"/>
  <c r="M542" i="6"/>
  <c r="B542" i="6"/>
  <c r="M541" i="6"/>
  <c r="B541" i="6"/>
  <c r="M540" i="6"/>
  <c r="B540" i="6"/>
  <c r="M539" i="6"/>
  <c r="B539" i="6"/>
  <c r="M538" i="6"/>
  <c r="B538" i="6"/>
  <c r="M537" i="6"/>
  <c r="B537" i="6"/>
  <c r="M536" i="6"/>
  <c r="B536" i="6"/>
  <c r="M535" i="6"/>
  <c r="B535" i="6"/>
  <c r="M534" i="6"/>
  <c r="B534" i="6"/>
  <c r="M533" i="6"/>
  <c r="B533" i="6"/>
  <c r="M532" i="6"/>
  <c r="B532" i="6"/>
  <c r="M531" i="6"/>
  <c r="B531" i="6"/>
  <c r="M530" i="6"/>
  <c r="B530" i="6"/>
  <c r="M529" i="6"/>
  <c r="B529" i="6"/>
  <c r="M528" i="6"/>
  <c r="B528" i="6"/>
  <c r="M527" i="6"/>
  <c r="B527" i="6"/>
  <c r="M526" i="6"/>
  <c r="B526" i="6"/>
  <c r="M525" i="6"/>
  <c r="B525" i="6"/>
  <c r="M524" i="6"/>
  <c r="B524" i="6"/>
  <c r="M523" i="6"/>
  <c r="B523" i="6"/>
  <c r="M522" i="6"/>
  <c r="B522" i="6"/>
  <c r="M521" i="6"/>
  <c r="B521" i="6"/>
  <c r="M520" i="6"/>
  <c r="B520" i="6"/>
  <c r="M519" i="6"/>
  <c r="B519" i="6"/>
  <c r="M518" i="6"/>
  <c r="B518" i="6"/>
  <c r="M517" i="6"/>
  <c r="B517" i="6"/>
  <c r="M516" i="6"/>
  <c r="B516" i="6"/>
  <c r="M515" i="6"/>
  <c r="B515" i="6"/>
  <c r="M514" i="6"/>
  <c r="B514" i="6"/>
  <c r="M513" i="6"/>
  <c r="B513" i="6"/>
  <c r="M512" i="6"/>
  <c r="B512" i="6"/>
  <c r="M511" i="6"/>
  <c r="B511" i="6"/>
  <c r="M510" i="6"/>
  <c r="B510" i="6"/>
  <c r="M509" i="6"/>
  <c r="B509" i="6"/>
  <c r="M508" i="6"/>
  <c r="B508" i="6"/>
  <c r="M507" i="6"/>
  <c r="B507" i="6"/>
  <c r="M506" i="6"/>
  <c r="B506" i="6"/>
  <c r="M505" i="6"/>
  <c r="B505" i="6"/>
  <c r="M504" i="6"/>
  <c r="B504" i="6"/>
  <c r="M503" i="6"/>
  <c r="B503" i="6"/>
  <c r="M502" i="6"/>
  <c r="B502" i="6"/>
  <c r="M501" i="6"/>
  <c r="B501" i="6"/>
  <c r="M500" i="6"/>
  <c r="B500" i="6"/>
  <c r="M499" i="6"/>
  <c r="B499" i="6"/>
  <c r="M498" i="6"/>
  <c r="B498" i="6"/>
  <c r="M497" i="6"/>
  <c r="B497" i="6"/>
  <c r="M496" i="6"/>
  <c r="B496" i="6"/>
  <c r="M495" i="6"/>
  <c r="B495" i="6"/>
  <c r="M494" i="6"/>
  <c r="B494" i="6"/>
  <c r="M493" i="6"/>
  <c r="B493" i="6"/>
  <c r="M492" i="6"/>
  <c r="B492" i="6"/>
  <c r="M491" i="6"/>
  <c r="B491" i="6"/>
  <c r="M490" i="6"/>
  <c r="B490" i="6"/>
  <c r="M489" i="6"/>
  <c r="B489" i="6"/>
  <c r="M488" i="6"/>
  <c r="B488" i="6"/>
  <c r="M487" i="6"/>
  <c r="B487" i="6"/>
  <c r="M486" i="6"/>
  <c r="B486" i="6"/>
  <c r="M485" i="6"/>
  <c r="B485" i="6"/>
  <c r="M484" i="6"/>
  <c r="B484" i="6"/>
  <c r="M483" i="6"/>
  <c r="B483" i="6"/>
  <c r="M482" i="6"/>
  <c r="B482" i="6"/>
  <c r="M481" i="6"/>
  <c r="B481" i="6"/>
  <c r="M480" i="6"/>
  <c r="B480" i="6"/>
  <c r="M479" i="6"/>
  <c r="B479" i="6"/>
  <c r="M478" i="6"/>
  <c r="B478" i="6"/>
  <c r="M477" i="6"/>
  <c r="B477" i="6"/>
  <c r="M476" i="6"/>
  <c r="B476" i="6"/>
  <c r="M475" i="6"/>
  <c r="B475" i="6"/>
  <c r="M474" i="6"/>
  <c r="B474" i="6"/>
  <c r="M473" i="6"/>
  <c r="B473" i="6"/>
  <c r="M472" i="6"/>
  <c r="B472" i="6"/>
  <c r="M471" i="6"/>
  <c r="B471" i="6"/>
  <c r="M470" i="6"/>
  <c r="B470" i="6"/>
  <c r="M469" i="6"/>
  <c r="B469" i="6"/>
  <c r="M468" i="6"/>
  <c r="B468" i="6"/>
  <c r="M467" i="6"/>
  <c r="B467" i="6"/>
  <c r="M466" i="6"/>
  <c r="B466" i="6"/>
  <c r="M465" i="6"/>
  <c r="B465" i="6"/>
  <c r="M464" i="6"/>
  <c r="B464" i="6"/>
  <c r="M463" i="6"/>
  <c r="B463" i="6"/>
  <c r="M462" i="6"/>
  <c r="B462" i="6"/>
  <c r="M461" i="6"/>
  <c r="B461" i="6"/>
  <c r="M460" i="6"/>
  <c r="B460" i="6"/>
  <c r="M459" i="6"/>
  <c r="B459" i="6"/>
  <c r="M458" i="6"/>
  <c r="B458" i="6"/>
  <c r="M457" i="6"/>
  <c r="B457" i="6"/>
  <c r="M456" i="6"/>
  <c r="B456" i="6"/>
  <c r="M455" i="6"/>
  <c r="B455" i="6"/>
  <c r="M454" i="6"/>
  <c r="B454" i="6"/>
  <c r="M453" i="6"/>
  <c r="B453" i="6"/>
  <c r="M452" i="6"/>
  <c r="B452" i="6"/>
  <c r="M451" i="6"/>
  <c r="B451" i="6"/>
  <c r="C451" i="6" s="1"/>
  <c r="M450" i="6"/>
  <c r="B450" i="6"/>
  <c r="M449" i="6"/>
  <c r="B449" i="6"/>
  <c r="M448" i="6"/>
  <c r="B448" i="6"/>
  <c r="M447" i="6"/>
  <c r="B447" i="6"/>
  <c r="M446" i="6"/>
  <c r="B446" i="6"/>
  <c r="M445" i="6"/>
  <c r="B445" i="6"/>
  <c r="M444" i="6"/>
  <c r="B444" i="6"/>
  <c r="M443" i="6"/>
  <c r="B443" i="6"/>
  <c r="M442" i="6"/>
  <c r="B442" i="6"/>
  <c r="M441" i="6"/>
  <c r="B441" i="6"/>
  <c r="M440" i="6"/>
  <c r="B440" i="6"/>
  <c r="M439" i="6"/>
  <c r="B439" i="6"/>
  <c r="M438" i="6"/>
  <c r="B438" i="6"/>
  <c r="M437" i="6"/>
  <c r="B437" i="6"/>
  <c r="M436" i="6"/>
  <c r="B436" i="6"/>
  <c r="M435" i="6"/>
  <c r="B435" i="6"/>
  <c r="M434" i="6"/>
  <c r="B434" i="6"/>
  <c r="M433" i="6"/>
  <c r="B433" i="6"/>
  <c r="M432" i="6"/>
  <c r="B432" i="6"/>
  <c r="M431" i="6"/>
  <c r="B431" i="6"/>
  <c r="M430" i="6"/>
  <c r="B430" i="6"/>
  <c r="M429" i="6"/>
  <c r="B429" i="6"/>
  <c r="M428" i="6"/>
  <c r="B428" i="6"/>
  <c r="M427" i="6"/>
  <c r="B427" i="6"/>
  <c r="M426" i="6"/>
  <c r="B426" i="6"/>
  <c r="M425" i="6"/>
  <c r="B425" i="6"/>
  <c r="M424" i="6"/>
  <c r="B424" i="6"/>
  <c r="M423" i="6"/>
  <c r="B423" i="6"/>
  <c r="M422" i="6"/>
  <c r="B422" i="6"/>
  <c r="M421" i="6"/>
  <c r="B421" i="6"/>
  <c r="M420" i="6"/>
  <c r="B420" i="6"/>
  <c r="M419" i="6"/>
  <c r="B419" i="6"/>
  <c r="M418" i="6"/>
  <c r="B418" i="6"/>
  <c r="M417" i="6"/>
  <c r="B417" i="6"/>
  <c r="M416" i="6"/>
  <c r="B416" i="6"/>
  <c r="M415" i="6"/>
  <c r="B415" i="6"/>
  <c r="M414" i="6"/>
  <c r="B414" i="6"/>
  <c r="M413" i="6"/>
  <c r="B413" i="6"/>
  <c r="M412" i="6"/>
  <c r="B412" i="6"/>
  <c r="M411" i="6"/>
  <c r="B411" i="6"/>
  <c r="M410" i="6"/>
  <c r="B410" i="6"/>
  <c r="M409" i="6"/>
  <c r="B409" i="6"/>
  <c r="M408" i="6"/>
  <c r="B408" i="6"/>
  <c r="M407" i="6"/>
  <c r="B407" i="6"/>
  <c r="M406" i="6"/>
  <c r="B406" i="6"/>
  <c r="M405" i="6"/>
  <c r="B405" i="6"/>
  <c r="M404" i="6"/>
  <c r="B404" i="6"/>
  <c r="M403" i="6"/>
  <c r="B403" i="6"/>
  <c r="M402" i="6"/>
  <c r="B402" i="6"/>
  <c r="M401" i="6"/>
  <c r="B401" i="6"/>
  <c r="M400" i="6"/>
  <c r="B400" i="6"/>
  <c r="M399" i="6"/>
  <c r="B399" i="6"/>
  <c r="M398" i="6"/>
  <c r="B398" i="6"/>
  <c r="M397" i="6"/>
  <c r="B397" i="6"/>
  <c r="M396" i="6"/>
  <c r="B396" i="6"/>
  <c r="M395" i="6"/>
  <c r="B395" i="6"/>
  <c r="M394" i="6"/>
  <c r="B394" i="6"/>
  <c r="M393" i="6"/>
  <c r="B393" i="6"/>
  <c r="M392" i="6"/>
  <c r="B392" i="6"/>
  <c r="M391" i="6"/>
  <c r="B391" i="6"/>
  <c r="M390" i="6"/>
  <c r="B390" i="6"/>
  <c r="M389" i="6"/>
  <c r="B389" i="6"/>
  <c r="M388" i="6"/>
  <c r="B388" i="6"/>
  <c r="M387" i="6"/>
  <c r="B387" i="6"/>
  <c r="M386" i="6"/>
  <c r="B386" i="6"/>
  <c r="M385" i="6"/>
  <c r="B385" i="6"/>
  <c r="M384" i="6"/>
  <c r="B384" i="6"/>
  <c r="M383" i="6"/>
  <c r="B383" i="6"/>
  <c r="M382" i="6"/>
  <c r="B382" i="6"/>
  <c r="M381" i="6"/>
  <c r="B381" i="6"/>
  <c r="M380" i="6"/>
  <c r="B380" i="6"/>
  <c r="M379" i="6"/>
  <c r="B379" i="6"/>
  <c r="M378" i="6"/>
  <c r="B378" i="6"/>
  <c r="M377" i="6"/>
  <c r="B377" i="6"/>
  <c r="M376" i="6"/>
  <c r="B376" i="6"/>
  <c r="M375" i="6"/>
  <c r="B375" i="6"/>
  <c r="M374" i="6"/>
  <c r="B374" i="6"/>
  <c r="M373" i="6"/>
  <c r="B373" i="6"/>
  <c r="M372" i="6"/>
  <c r="B372" i="6"/>
  <c r="M371" i="6"/>
  <c r="B371" i="6"/>
  <c r="M370" i="6"/>
  <c r="B370" i="6"/>
  <c r="M369" i="6"/>
  <c r="B369" i="6"/>
  <c r="M368" i="6"/>
  <c r="B368" i="6"/>
  <c r="M367" i="6"/>
  <c r="B367" i="6"/>
  <c r="M366" i="6"/>
  <c r="B366" i="6"/>
  <c r="M365" i="6"/>
  <c r="B365" i="6"/>
  <c r="M364" i="6"/>
  <c r="B364" i="6"/>
  <c r="M363" i="6"/>
  <c r="B363" i="6"/>
  <c r="M362" i="6"/>
  <c r="B362" i="6"/>
  <c r="M361" i="6"/>
  <c r="B361" i="6"/>
  <c r="M360" i="6"/>
  <c r="B360" i="6"/>
  <c r="M359" i="6"/>
  <c r="B359" i="6"/>
  <c r="M358" i="6"/>
  <c r="B358" i="6"/>
  <c r="M357" i="6"/>
  <c r="B357" i="6"/>
  <c r="M356" i="6"/>
  <c r="B356" i="6"/>
  <c r="M355" i="6"/>
  <c r="B355" i="6"/>
  <c r="M354" i="6"/>
  <c r="B354" i="6"/>
  <c r="M353" i="6"/>
  <c r="B353" i="6"/>
  <c r="M352" i="6"/>
  <c r="B352" i="6"/>
  <c r="M351" i="6"/>
  <c r="B351" i="6"/>
  <c r="M350" i="6"/>
  <c r="B350" i="6"/>
  <c r="M349" i="6"/>
  <c r="B349" i="6"/>
  <c r="M348" i="6"/>
  <c r="B348" i="6"/>
  <c r="M347" i="6"/>
  <c r="B347" i="6"/>
  <c r="M346" i="6"/>
  <c r="B346" i="6"/>
  <c r="M345" i="6"/>
  <c r="B345" i="6"/>
  <c r="M344" i="6"/>
  <c r="B344" i="6"/>
  <c r="M343" i="6"/>
  <c r="B343" i="6"/>
  <c r="M342" i="6"/>
  <c r="B342" i="6"/>
  <c r="M341" i="6"/>
  <c r="B341" i="6"/>
  <c r="M340" i="6"/>
  <c r="B340" i="6"/>
  <c r="M339" i="6"/>
  <c r="B339" i="6"/>
  <c r="M338" i="6"/>
  <c r="B338" i="6"/>
  <c r="M337" i="6"/>
  <c r="B337" i="6"/>
  <c r="M336" i="6"/>
  <c r="B336" i="6"/>
  <c r="M335" i="6"/>
  <c r="B335" i="6"/>
  <c r="M334" i="6"/>
  <c r="B334" i="6"/>
  <c r="M333" i="6"/>
  <c r="B333" i="6"/>
  <c r="M332" i="6"/>
  <c r="B332" i="6"/>
  <c r="M331" i="6"/>
  <c r="B331" i="6"/>
  <c r="M330" i="6"/>
  <c r="B330" i="6"/>
  <c r="C330" i="6" s="1"/>
  <c r="M329" i="6"/>
  <c r="B329" i="6"/>
  <c r="M328" i="6"/>
  <c r="B328" i="6"/>
  <c r="M327" i="6"/>
  <c r="B327" i="6"/>
  <c r="M326" i="6"/>
  <c r="B326" i="6"/>
  <c r="M325" i="6"/>
  <c r="B325" i="6"/>
  <c r="M324" i="6"/>
  <c r="B324" i="6"/>
  <c r="M323" i="6"/>
  <c r="B323" i="6"/>
  <c r="M322" i="6"/>
  <c r="B322" i="6"/>
  <c r="M321" i="6"/>
  <c r="B321" i="6"/>
  <c r="M320" i="6"/>
  <c r="B320" i="6"/>
  <c r="M319" i="6"/>
  <c r="B319" i="6"/>
  <c r="M318" i="6"/>
  <c r="B318" i="6"/>
  <c r="M317" i="6"/>
  <c r="B317" i="6"/>
  <c r="M316" i="6"/>
  <c r="B316" i="6"/>
  <c r="M315" i="6"/>
  <c r="B315" i="6"/>
  <c r="M314" i="6"/>
  <c r="B314" i="6"/>
  <c r="M313" i="6"/>
  <c r="B313" i="6"/>
  <c r="M312" i="6"/>
  <c r="B312" i="6"/>
  <c r="M311" i="6"/>
  <c r="B311" i="6"/>
  <c r="M310" i="6"/>
  <c r="B310" i="6"/>
  <c r="M309" i="6"/>
  <c r="B309" i="6"/>
  <c r="M308" i="6"/>
  <c r="B308" i="6"/>
  <c r="M307" i="6"/>
  <c r="B307" i="6"/>
  <c r="M306" i="6"/>
  <c r="B306" i="6"/>
  <c r="M305" i="6"/>
  <c r="B305" i="6"/>
  <c r="M304" i="6"/>
  <c r="B304" i="6"/>
  <c r="M303" i="6"/>
  <c r="B303" i="6"/>
  <c r="M302" i="6"/>
  <c r="B302" i="6"/>
  <c r="M301" i="6"/>
  <c r="B301" i="6"/>
  <c r="M300" i="6"/>
  <c r="B300" i="6"/>
  <c r="M299" i="6"/>
  <c r="B299" i="6"/>
  <c r="M298" i="6"/>
  <c r="B298" i="6"/>
  <c r="M297" i="6"/>
  <c r="B297" i="6"/>
  <c r="M296" i="6"/>
  <c r="B296" i="6"/>
  <c r="M295" i="6"/>
  <c r="B295" i="6"/>
  <c r="M294" i="6"/>
  <c r="B294" i="6"/>
  <c r="M293" i="6"/>
  <c r="B293" i="6"/>
  <c r="M292" i="6"/>
  <c r="B292" i="6"/>
  <c r="M291" i="6"/>
  <c r="B291" i="6"/>
  <c r="M290" i="6"/>
  <c r="B290" i="6"/>
  <c r="M289" i="6"/>
  <c r="B289" i="6"/>
  <c r="M288" i="6"/>
  <c r="B288" i="6"/>
  <c r="M287" i="6"/>
  <c r="B287" i="6"/>
  <c r="M286" i="6"/>
  <c r="B286" i="6"/>
  <c r="M285" i="6"/>
  <c r="B285" i="6"/>
  <c r="M284" i="6"/>
  <c r="B284" i="6"/>
  <c r="C284" i="6" s="1"/>
  <c r="M283" i="6"/>
  <c r="B283" i="6"/>
  <c r="M282" i="6"/>
  <c r="B282" i="6"/>
  <c r="M281" i="6"/>
  <c r="B281" i="6"/>
  <c r="M280" i="6"/>
  <c r="B280" i="6"/>
  <c r="M279" i="6"/>
  <c r="B279" i="6"/>
  <c r="M278" i="6"/>
  <c r="B278" i="6"/>
  <c r="M277" i="6"/>
  <c r="B277" i="6"/>
  <c r="M276" i="6"/>
  <c r="B276" i="6"/>
  <c r="M275" i="6"/>
  <c r="B275" i="6"/>
  <c r="M274" i="6"/>
  <c r="B274" i="6"/>
  <c r="M273" i="6"/>
  <c r="B273" i="6"/>
  <c r="M272" i="6"/>
  <c r="B272" i="6"/>
  <c r="M271" i="6"/>
  <c r="B271" i="6"/>
  <c r="M270" i="6"/>
  <c r="B270" i="6"/>
  <c r="M269" i="6"/>
  <c r="B269" i="6"/>
  <c r="M268" i="6"/>
  <c r="B268" i="6"/>
  <c r="M267" i="6"/>
  <c r="B267" i="6"/>
  <c r="M266" i="6"/>
  <c r="B266" i="6"/>
  <c r="C266" i="6" s="1"/>
  <c r="M265" i="6"/>
  <c r="B265" i="6"/>
  <c r="M264" i="6"/>
  <c r="B264" i="6"/>
  <c r="M263" i="6"/>
  <c r="B263" i="6"/>
  <c r="M262" i="6"/>
  <c r="B262" i="6"/>
  <c r="M261" i="6"/>
  <c r="B261" i="6"/>
  <c r="M260" i="6"/>
  <c r="B260" i="6"/>
  <c r="M259" i="6"/>
  <c r="B259" i="6"/>
  <c r="M258" i="6"/>
  <c r="B258" i="6"/>
  <c r="M257" i="6"/>
  <c r="B257" i="6"/>
  <c r="M256" i="6"/>
  <c r="B256" i="6"/>
  <c r="M255" i="6"/>
  <c r="B255" i="6"/>
  <c r="M254" i="6"/>
  <c r="B254" i="6"/>
  <c r="M253" i="6"/>
  <c r="B253" i="6"/>
  <c r="M252" i="6"/>
  <c r="B252" i="6"/>
  <c r="M251" i="6"/>
  <c r="B251" i="6"/>
  <c r="M250" i="6"/>
  <c r="B250" i="6"/>
  <c r="M249" i="6"/>
  <c r="B249" i="6"/>
  <c r="M248" i="6"/>
  <c r="B248" i="6"/>
  <c r="C248" i="6" s="1"/>
  <c r="M247" i="6"/>
  <c r="B247" i="6"/>
  <c r="M246" i="6"/>
  <c r="B246" i="6"/>
  <c r="M245" i="6"/>
  <c r="B245" i="6"/>
  <c r="M244" i="6"/>
  <c r="B244" i="6"/>
  <c r="M243" i="6"/>
  <c r="B243" i="6"/>
  <c r="M242" i="6"/>
  <c r="B242" i="6"/>
  <c r="M241" i="6"/>
  <c r="B241" i="6"/>
  <c r="M240" i="6"/>
  <c r="B240" i="6"/>
  <c r="M239" i="6"/>
  <c r="B239" i="6"/>
  <c r="M238" i="6"/>
  <c r="B238" i="6"/>
  <c r="M237" i="6"/>
  <c r="B237" i="6"/>
  <c r="M236" i="6"/>
  <c r="B236" i="6"/>
  <c r="M235" i="6"/>
  <c r="B235" i="6"/>
  <c r="M234" i="6"/>
  <c r="B234" i="6"/>
  <c r="M233" i="6"/>
  <c r="B233" i="6"/>
  <c r="M232" i="6"/>
  <c r="B232" i="6"/>
  <c r="M231" i="6"/>
  <c r="B231" i="6"/>
  <c r="M230" i="6"/>
  <c r="B230" i="6"/>
  <c r="M229" i="6"/>
  <c r="B229" i="6"/>
  <c r="M228" i="6"/>
  <c r="B228" i="6"/>
  <c r="M227" i="6"/>
  <c r="B227" i="6"/>
  <c r="M226" i="6"/>
  <c r="B226" i="6"/>
  <c r="M225" i="6"/>
  <c r="B225" i="6"/>
  <c r="M224" i="6"/>
  <c r="B224" i="6"/>
  <c r="M223" i="6"/>
  <c r="B223" i="6"/>
  <c r="M222" i="6"/>
  <c r="B222" i="6"/>
  <c r="M221" i="6"/>
  <c r="B221" i="6"/>
  <c r="M220" i="6"/>
  <c r="B220" i="6"/>
  <c r="M219" i="6"/>
  <c r="B219" i="6"/>
  <c r="M218" i="6"/>
  <c r="B218" i="6"/>
  <c r="M217" i="6"/>
  <c r="B217" i="6"/>
  <c r="M216" i="6"/>
  <c r="B216" i="6"/>
  <c r="M215" i="6"/>
  <c r="B215" i="6"/>
  <c r="M214" i="6"/>
  <c r="B214" i="6"/>
  <c r="M213" i="6"/>
  <c r="B213" i="6"/>
  <c r="M212" i="6"/>
  <c r="B212" i="6"/>
  <c r="M211" i="6"/>
  <c r="B211" i="6"/>
  <c r="M210" i="6"/>
  <c r="B210" i="6"/>
  <c r="M209" i="6"/>
  <c r="B209" i="6"/>
  <c r="M208" i="6"/>
  <c r="B208" i="6"/>
  <c r="M207" i="6"/>
  <c r="B207" i="6"/>
  <c r="M206" i="6"/>
  <c r="B206" i="6"/>
  <c r="M205" i="6"/>
  <c r="B205" i="6"/>
  <c r="M204" i="6"/>
  <c r="B204" i="6"/>
  <c r="M203" i="6"/>
  <c r="B203" i="6"/>
  <c r="M202" i="6"/>
  <c r="B202" i="6"/>
  <c r="M201" i="6"/>
  <c r="B201" i="6"/>
  <c r="M200" i="6"/>
  <c r="B200" i="6"/>
  <c r="M199" i="6"/>
  <c r="B199" i="6"/>
  <c r="M198" i="6"/>
  <c r="B198" i="6"/>
  <c r="M197" i="6"/>
  <c r="B197" i="6"/>
  <c r="M196" i="6"/>
  <c r="B196" i="6"/>
  <c r="M195" i="6"/>
  <c r="B195" i="6"/>
  <c r="M194" i="6"/>
  <c r="B194" i="6"/>
  <c r="M193" i="6"/>
  <c r="B193" i="6"/>
  <c r="M192" i="6"/>
  <c r="B192" i="6"/>
  <c r="M191" i="6"/>
  <c r="B191" i="6"/>
  <c r="M190" i="6"/>
  <c r="B190" i="6"/>
  <c r="M189" i="6"/>
  <c r="B189" i="6"/>
  <c r="M188" i="6"/>
  <c r="B188" i="6"/>
  <c r="M187" i="6"/>
  <c r="B187" i="6"/>
  <c r="M186" i="6"/>
  <c r="B186" i="6"/>
  <c r="M185" i="6"/>
  <c r="B185" i="6"/>
  <c r="M184" i="6"/>
  <c r="B184" i="6"/>
  <c r="M183" i="6"/>
  <c r="B183" i="6"/>
  <c r="M182" i="6"/>
  <c r="B182" i="6"/>
  <c r="M181" i="6"/>
  <c r="B181" i="6"/>
  <c r="M180" i="6"/>
  <c r="B180" i="6"/>
  <c r="M179" i="6"/>
  <c r="B179" i="6"/>
  <c r="M178" i="6"/>
  <c r="B178" i="6"/>
  <c r="M177" i="6"/>
  <c r="B177" i="6"/>
  <c r="M176" i="6"/>
  <c r="B176" i="6"/>
  <c r="M175" i="6"/>
  <c r="B175" i="6"/>
  <c r="M174" i="6"/>
  <c r="B174" i="6"/>
  <c r="M173" i="6"/>
  <c r="B173" i="6"/>
  <c r="M172" i="6"/>
  <c r="B172" i="6"/>
  <c r="M171" i="6"/>
  <c r="B171" i="6"/>
  <c r="M170" i="6"/>
  <c r="B170" i="6"/>
  <c r="M169" i="6"/>
  <c r="B169" i="6"/>
  <c r="M168" i="6"/>
  <c r="B168" i="6"/>
  <c r="M167" i="6"/>
  <c r="B167" i="6"/>
  <c r="M166" i="6"/>
  <c r="B166" i="6"/>
  <c r="M165" i="6"/>
  <c r="B165" i="6"/>
  <c r="M164" i="6"/>
  <c r="B164" i="6"/>
  <c r="M163" i="6"/>
  <c r="B163" i="6"/>
  <c r="M162" i="6"/>
  <c r="B162" i="6"/>
  <c r="M161" i="6"/>
  <c r="B161" i="6"/>
  <c r="M160" i="6"/>
  <c r="B160" i="6"/>
  <c r="M159" i="6"/>
  <c r="B159" i="6"/>
  <c r="M158" i="6"/>
  <c r="B158" i="6"/>
  <c r="M157" i="6"/>
  <c r="B157" i="6"/>
  <c r="M156" i="6"/>
  <c r="B156" i="6"/>
  <c r="M155" i="6"/>
  <c r="B155" i="6"/>
  <c r="M154" i="6"/>
  <c r="B154" i="6"/>
  <c r="M153" i="6"/>
  <c r="B153" i="6"/>
  <c r="M152" i="6"/>
  <c r="B152" i="6"/>
  <c r="M151" i="6"/>
  <c r="B151" i="6"/>
  <c r="M150" i="6"/>
  <c r="B150" i="6"/>
  <c r="M149" i="6"/>
  <c r="B149" i="6"/>
  <c r="M148" i="6"/>
  <c r="B148" i="6"/>
  <c r="M147" i="6"/>
  <c r="B147" i="6"/>
  <c r="M146" i="6"/>
  <c r="B146" i="6"/>
  <c r="M145" i="6"/>
  <c r="B145" i="6"/>
  <c r="M144" i="6"/>
  <c r="B144" i="6"/>
  <c r="M143" i="6"/>
  <c r="B143" i="6"/>
  <c r="M142" i="6"/>
  <c r="B142" i="6"/>
  <c r="M141" i="6"/>
  <c r="B141" i="6"/>
  <c r="M140" i="6"/>
  <c r="B140" i="6"/>
  <c r="M139" i="6"/>
  <c r="B139" i="6"/>
  <c r="M138" i="6"/>
  <c r="B138" i="6"/>
  <c r="M137" i="6"/>
  <c r="B137" i="6"/>
  <c r="M136" i="6"/>
  <c r="B136" i="6"/>
  <c r="M135" i="6"/>
  <c r="B135" i="6"/>
  <c r="M134" i="6"/>
  <c r="B134" i="6"/>
  <c r="M133" i="6"/>
  <c r="B133" i="6"/>
  <c r="M132" i="6"/>
  <c r="B132" i="6"/>
  <c r="M131" i="6"/>
  <c r="B131" i="6"/>
  <c r="M130" i="6"/>
  <c r="B130" i="6"/>
  <c r="M129" i="6"/>
  <c r="B129" i="6"/>
  <c r="M128" i="6"/>
  <c r="B128" i="6"/>
  <c r="M127" i="6"/>
  <c r="B127" i="6"/>
  <c r="M126" i="6"/>
  <c r="B126" i="6"/>
  <c r="M125" i="6"/>
  <c r="B125" i="6"/>
  <c r="M124" i="6"/>
  <c r="B124" i="6"/>
  <c r="M123" i="6"/>
  <c r="B123" i="6"/>
  <c r="M122" i="6"/>
  <c r="B122" i="6"/>
  <c r="M121" i="6"/>
  <c r="B121" i="6"/>
  <c r="M120" i="6"/>
  <c r="B120" i="6"/>
  <c r="M119" i="6"/>
  <c r="B119" i="6"/>
  <c r="M118" i="6"/>
  <c r="B118" i="6"/>
  <c r="M117" i="6"/>
  <c r="B117" i="6"/>
  <c r="M116" i="6"/>
  <c r="B116" i="6"/>
  <c r="M115" i="6"/>
  <c r="B115" i="6"/>
  <c r="M114" i="6"/>
  <c r="B114" i="6"/>
  <c r="M113" i="6"/>
  <c r="B113" i="6"/>
  <c r="M112" i="6"/>
  <c r="B112" i="6"/>
  <c r="M111" i="6"/>
  <c r="B111" i="6"/>
  <c r="M110" i="6"/>
  <c r="B110" i="6"/>
  <c r="M109" i="6"/>
  <c r="B109" i="6"/>
  <c r="M108" i="6"/>
  <c r="B108" i="6"/>
  <c r="M107" i="6"/>
  <c r="B107" i="6"/>
  <c r="M106" i="6"/>
  <c r="B106" i="6"/>
  <c r="M105" i="6"/>
  <c r="B105" i="6"/>
  <c r="M104" i="6"/>
  <c r="B104" i="6"/>
  <c r="M103" i="6"/>
  <c r="B103" i="6"/>
  <c r="M102" i="6"/>
  <c r="B102" i="6"/>
  <c r="M101" i="6"/>
  <c r="B101" i="6"/>
  <c r="M100" i="6"/>
  <c r="B100" i="6"/>
  <c r="M99" i="6"/>
  <c r="B99" i="6"/>
  <c r="M98" i="6"/>
  <c r="B98" i="6"/>
  <c r="M97" i="6"/>
  <c r="B97" i="6"/>
  <c r="M96" i="6"/>
  <c r="B96" i="6"/>
  <c r="M95" i="6"/>
  <c r="B95" i="6"/>
  <c r="M94" i="6"/>
  <c r="B94" i="6"/>
  <c r="M93" i="6"/>
  <c r="B93" i="6"/>
  <c r="M92" i="6"/>
  <c r="B92" i="6"/>
  <c r="M91" i="6"/>
  <c r="B91" i="6"/>
  <c r="M90" i="6"/>
  <c r="B90" i="6"/>
  <c r="M89" i="6"/>
  <c r="B89" i="6"/>
  <c r="M88" i="6"/>
  <c r="B88" i="6"/>
  <c r="M87" i="6"/>
  <c r="B87" i="6"/>
  <c r="M86" i="6"/>
  <c r="B86" i="6"/>
  <c r="M85" i="6"/>
  <c r="B85" i="6"/>
  <c r="M84" i="6"/>
  <c r="B84" i="6"/>
  <c r="M83" i="6"/>
  <c r="B83" i="6"/>
  <c r="M82" i="6"/>
  <c r="B82" i="6"/>
  <c r="M81" i="6"/>
  <c r="B81" i="6"/>
  <c r="M80" i="6"/>
  <c r="B80" i="6"/>
  <c r="M79" i="6"/>
  <c r="B79" i="6"/>
  <c r="M78" i="6"/>
  <c r="B78" i="6"/>
  <c r="M77" i="6"/>
  <c r="B77" i="6"/>
  <c r="M76" i="6"/>
  <c r="B76" i="6"/>
  <c r="M75" i="6"/>
  <c r="B75" i="6"/>
  <c r="M74" i="6"/>
  <c r="B74" i="6"/>
  <c r="M73" i="6"/>
  <c r="B73" i="6"/>
  <c r="M72" i="6"/>
  <c r="B72" i="6"/>
  <c r="M71" i="6"/>
  <c r="B71" i="6"/>
  <c r="M70" i="6"/>
  <c r="B70" i="6"/>
  <c r="M69" i="6"/>
  <c r="B69" i="6"/>
  <c r="M68" i="6"/>
  <c r="B68" i="6"/>
  <c r="M67" i="6"/>
  <c r="B67" i="6"/>
  <c r="M66" i="6"/>
  <c r="B66" i="6"/>
  <c r="M65" i="6"/>
  <c r="B65" i="6"/>
  <c r="M64" i="6"/>
  <c r="B64" i="6"/>
  <c r="M63" i="6"/>
  <c r="B63" i="6"/>
  <c r="M62" i="6"/>
  <c r="B62" i="6"/>
  <c r="M61" i="6"/>
  <c r="B61" i="6"/>
  <c r="M60" i="6"/>
  <c r="B60" i="6"/>
  <c r="M59" i="6"/>
  <c r="B59" i="6"/>
  <c r="M58" i="6"/>
  <c r="B58" i="6"/>
  <c r="M57" i="6"/>
  <c r="B57" i="6"/>
  <c r="M56" i="6"/>
  <c r="B56" i="6"/>
  <c r="M55" i="6"/>
  <c r="B55" i="6"/>
  <c r="M54" i="6"/>
  <c r="B54" i="6"/>
  <c r="M53" i="6"/>
  <c r="B53" i="6"/>
  <c r="M52" i="6"/>
  <c r="B52" i="6"/>
  <c r="M51" i="6"/>
  <c r="B51" i="6"/>
  <c r="M50" i="6"/>
  <c r="B50" i="6"/>
  <c r="M49" i="6"/>
  <c r="B49" i="6"/>
  <c r="M48" i="6"/>
  <c r="B48" i="6"/>
  <c r="M47" i="6"/>
  <c r="B47" i="6"/>
  <c r="M46" i="6"/>
  <c r="B46" i="6"/>
  <c r="M45" i="6"/>
  <c r="B45" i="6"/>
  <c r="M44" i="6"/>
  <c r="B44" i="6"/>
  <c r="M43" i="6"/>
  <c r="B43" i="6"/>
  <c r="M42" i="6"/>
  <c r="B42" i="6"/>
  <c r="M41" i="6"/>
  <c r="B41" i="6"/>
  <c r="M40" i="6"/>
  <c r="B40" i="6"/>
  <c r="M39" i="6"/>
  <c r="B39" i="6"/>
  <c r="M38" i="6"/>
  <c r="B38" i="6"/>
  <c r="M37" i="6"/>
  <c r="B37" i="6"/>
  <c r="M36" i="6"/>
  <c r="B36" i="6"/>
  <c r="M35" i="6"/>
  <c r="B35" i="6"/>
  <c r="M34" i="6"/>
  <c r="B34" i="6"/>
  <c r="M33" i="6"/>
  <c r="B33" i="6"/>
  <c r="M32" i="6"/>
  <c r="B32" i="6"/>
  <c r="M31" i="6"/>
  <c r="B31" i="6"/>
  <c r="M30" i="6"/>
  <c r="B30" i="6"/>
  <c r="M29" i="6"/>
  <c r="B29" i="6"/>
  <c r="M28" i="6"/>
  <c r="B28" i="6"/>
  <c r="M27" i="6"/>
  <c r="B27" i="6"/>
  <c r="M26" i="6"/>
  <c r="B26" i="6"/>
  <c r="M25" i="6"/>
  <c r="B25" i="6"/>
  <c r="M24" i="6"/>
  <c r="B24" i="6"/>
  <c r="M23" i="6"/>
  <c r="B23" i="6"/>
  <c r="M22" i="6"/>
  <c r="B22" i="6"/>
  <c r="M21" i="6"/>
  <c r="B21" i="6"/>
  <c r="M20" i="6"/>
  <c r="B20" i="6"/>
  <c r="M19" i="6"/>
  <c r="B19" i="6"/>
  <c r="M18" i="6"/>
  <c r="B18" i="6"/>
  <c r="M17" i="6"/>
  <c r="B17" i="6"/>
  <c r="M16" i="6"/>
  <c r="B16" i="6"/>
  <c r="M15" i="6"/>
  <c r="B15" i="6"/>
  <c r="M14" i="6"/>
  <c r="B14" i="6"/>
  <c r="M13" i="6"/>
  <c r="B13" i="6"/>
  <c r="M12" i="6"/>
  <c r="B12" i="6"/>
  <c r="M11" i="6"/>
  <c r="B11" i="6"/>
  <c r="M10" i="6"/>
  <c r="B10" i="6"/>
  <c r="M9" i="6"/>
  <c r="B9" i="6"/>
  <c r="A2" i="6"/>
  <c r="B55" i="5"/>
  <c r="B53" i="5"/>
  <c r="C35" i="5"/>
  <c r="C34" i="5"/>
  <c r="C33" i="5"/>
  <c r="C32" i="5"/>
  <c r="C31" i="5"/>
  <c r="J2001" i="4"/>
  <c r="H2001" i="4"/>
  <c r="I2001" i="4" s="1"/>
  <c r="G2001" i="4"/>
  <c r="J2000" i="4"/>
  <c r="H2000" i="4"/>
  <c r="I2000" i="4" s="1"/>
  <c r="G2000" i="4"/>
  <c r="J1999" i="4"/>
  <c r="H1999" i="4"/>
  <c r="I1999" i="4" s="1"/>
  <c r="G1999" i="4"/>
  <c r="J1998" i="4"/>
  <c r="H1998" i="4"/>
  <c r="I1998" i="4" s="1"/>
  <c r="G1998" i="4"/>
  <c r="J1997" i="4"/>
  <c r="H1997" i="4"/>
  <c r="I1997" i="4" s="1"/>
  <c r="G1997" i="4"/>
  <c r="J1996" i="4"/>
  <c r="H1996" i="4"/>
  <c r="I1996" i="4" s="1"/>
  <c r="G1996" i="4"/>
  <c r="J1995" i="4"/>
  <c r="H1995" i="4"/>
  <c r="I1995" i="4" s="1"/>
  <c r="G1995" i="4"/>
  <c r="J1994" i="4"/>
  <c r="H1994" i="4"/>
  <c r="I1994" i="4" s="1"/>
  <c r="G1994" i="4"/>
  <c r="J1993" i="4"/>
  <c r="H1993" i="4"/>
  <c r="I1993" i="4" s="1"/>
  <c r="G1993" i="4"/>
  <c r="J1992" i="4"/>
  <c r="H1992" i="4"/>
  <c r="I1992" i="4" s="1"/>
  <c r="G1992" i="4"/>
  <c r="J1991" i="4"/>
  <c r="H1991" i="4"/>
  <c r="I1991" i="4" s="1"/>
  <c r="G1991" i="4"/>
  <c r="J1990" i="4"/>
  <c r="H1990" i="4"/>
  <c r="I1990" i="4" s="1"/>
  <c r="G1990" i="4"/>
  <c r="J1989" i="4"/>
  <c r="H1989" i="4"/>
  <c r="I1989" i="4" s="1"/>
  <c r="G1989" i="4"/>
  <c r="J1988" i="4"/>
  <c r="H1988" i="4"/>
  <c r="I1988" i="4" s="1"/>
  <c r="G1988" i="4"/>
  <c r="J1987" i="4"/>
  <c r="H1987" i="4"/>
  <c r="I1987" i="4" s="1"/>
  <c r="G1987" i="4"/>
  <c r="J1986" i="4"/>
  <c r="H1986" i="4"/>
  <c r="I1986" i="4" s="1"/>
  <c r="G1986" i="4"/>
  <c r="J1985" i="4"/>
  <c r="H1985" i="4"/>
  <c r="I1985" i="4" s="1"/>
  <c r="G1985" i="4"/>
  <c r="J1984" i="4"/>
  <c r="H1984" i="4"/>
  <c r="I1984" i="4" s="1"/>
  <c r="G1984" i="4"/>
  <c r="J1983" i="4"/>
  <c r="H1983" i="4"/>
  <c r="I1983" i="4" s="1"/>
  <c r="G1983" i="4"/>
  <c r="J1982" i="4"/>
  <c r="H1982" i="4"/>
  <c r="I1982" i="4" s="1"/>
  <c r="G1982" i="4"/>
  <c r="J1981" i="4"/>
  <c r="H1981" i="4"/>
  <c r="I1981" i="4" s="1"/>
  <c r="G1981" i="4"/>
  <c r="J1980" i="4"/>
  <c r="H1980" i="4"/>
  <c r="I1980" i="4" s="1"/>
  <c r="G1980" i="4"/>
  <c r="J1979" i="4"/>
  <c r="H1979" i="4"/>
  <c r="I1979" i="4" s="1"/>
  <c r="G1979" i="4"/>
  <c r="J1978" i="4"/>
  <c r="H1978" i="4"/>
  <c r="I1978" i="4" s="1"/>
  <c r="G1978" i="4"/>
  <c r="J1977" i="4"/>
  <c r="H1977" i="4"/>
  <c r="I1977" i="4" s="1"/>
  <c r="G1977" i="4"/>
  <c r="J1976" i="4"/>
  <c r="H1976" i="4"/>
  <c r="I1976" i="4" s="1"/>
  <c r="G1976" i="4"/>
  <c r="J1975" i="4"/>
  <c r="H1975" i="4"/>
  <c r="I1975" i="4" s="1"/>
  <c r="G1975" i="4"/>
  <c r="J1974" i="4"/>
  <c r="H1974" i="4"/>
  <c r="I1974" i="4" s="1"/>
  <c r="G1974" i="4"/>
  <c r="J1973" i="4"/>
  <c r="H1973" i="4"/>
  <c r="I1973" i="4" s="1"/>
  <c r="G1973" i="4"/>
  <c r="J1972" i="4"/>
  <c r="H1972" i="4"/>
  <c r="I1972" i="4" s="1"/>
  <c r="G1972" i="4"/>
  <c r="J1971" i="4"/>
  <c r="H1971" i="4"/>
  <c r="I1971" i="4" s="1"/>
  <c r="G1971" i="4"/>
  <c r="J1970" i="4"/>
  <c r="H1970" i="4"/>
  <c r="I1970" i="4" s="1"/>
  <c r="G1970" i="4"/>
  <c r="J1969" i="4"/>
  <c r="H1969" i="4"/>
  <c r="I1969" i="4" s="1"/>
  <c r="G1969" i="4"/>
  <c r="J1968" i="4"/>
  <c r="H1968" i="4"/>
  <c r="I1968" i="4" s="1"/>
  <c r="G1968" i="4"/>
  <c r="J1967" i="4"/>
  <c r="H1967" i="4"/>
  <c r="I1967" i="4" s="1"/>
  <c r="G1967" i="4"/>
  <c r="J1966" i="4"/>
  <c r="H1966" i="4"/>
  <c r="I1966" i="4" s="1"/>
  <c r="G1966" i="4"/>
  <c r="J1965" i="4"/>
  <c r="H1965" i="4"/>
  <c r="I1965" i="4" s="1"/>
  <c r="G1965" i="4"/>
  <c r="J1964" i="4"/>
  <c r="H1964" i="4"/>
  <c r="I1964" i="4" s="1"/>
  <c r="G1964" i="4"/>
  <c r="J1963" i="4"/>
  <c r="H1963" i="4"/>
  <c r="I1963" i="4" s="1"/>
  <c r="G1963" i="4"/>
  <c r="J1962" i="4"/>
  <c r="H1962" i="4"/>
  <c r="I1962" i="4" s="1"/>
  <c r="G1962" i="4"/>
  <c r="J1961" i="4"/>
  <c r="H1961" i="4"/>
  <c r="I1961" i="4" s="1"/>
  <c r="G1961" i="4"/>
  <c r="J1960" i="4"/>
  <c r="H1960" i="4"/>
  <c r="I1960" i="4" s="1"/>
  <c r="G1960" i="4"/>
  <c r="J1959" i="4"/>
  <c r="H1959" i="4"/>
  <c r="I1959" i="4" s="1"/>
  <c r="G1959" i="4"/>
  <c r="J1958" i="4"/>
  <c r="H1958" i="4"/>
  <c r="I1958" i="4" s="1"/>
  <c r="G1958" i="4"/>
  <c r="J1957" i="4"/>
  <c r="H1957" i="4"/>
  <c r="I1957" i="4" s="1"/>
  <c r="G1957" i="4"/>
  <c r="J1956" i="4"/>
  <c r="H1956" i="4"/>
  <c r="I1956" i="4" s="1"/>
  <c r="G1956" i="4"/>
  <c r="J1955" i="4"/>
  <c r="H1955" i="4"/>
  <c r="I1955" i="4" s="1"/>
  <c r="G1955" i="4"/>
  <c r="J1954" i="4"/>
  <c r="H1954" i="4"/>
  <c r="I1954" i="4" s="1"/>
  <c r="G1954" i="4"/>
  <c r="J1953" i="4"/>
  <c r="H1953" i="4"/>
  <c r="I1953" i="4" s="1"/>
  <c r="G1953" i="4"/>
  <c r="J1952" i="4"/>
  <c r="H1952" i="4"/>
  <c r="I1952" i="4" s="1"/>
  <c r="G1952" i="4"/>
  <c r="J1951" i="4"/>
  <c r="H1951" i="4"/>
  <c r="I1951" i="4" s="1"/>
  <c r="G1951" i="4"/>
  <c r="J1950" i="4"/>
  <c r="H1950" i="4"/>
  <c r="I1950" i="4" s="1"/>
  <c r="G1950" i="4"/>
  <c r="J1949" i="4"/>
  <c r="H1949" i="4"/>
  <c r="I1949" i="4" s="1"/>
  <c r="G1949" i="4"/>
  <c r="J1948" i="4"/>
  <c r="H1948" i="4"/>
  <c r="I1948" i="4" s="1"/>
  <c r="G1948" i="4"/>
  <c r="J1947" i="4"/>
  <c r="H1947" i="4"/>
  <c r="I1947" i="4" s="1"/>
  <c r="G1947" i="4"/>
  <c r="J1946" i="4"/>
  <c r="H1946" i="4"/>
  <c r="I1946" i="4" s="1"/>
  <c r="G1946" i="4"/>
  <c r="J1945" i="4"/>
  <c r="H1945" i="4"/>
  <c r="I1945" i="4" s="1"/>
  <c r="G1945" i="4"/>
  <c r="J1944" i="4"/>
  <c r="H1944" i="4"/>
  <c r="I1944" i="4" s="1"/>
  <c r="G1944" i="4"/>
  <c r="J1943" i="4"/>
  <c r="H1943" i="4"/>
  <c r="I1943" i="4" s="1"/>
  <c r="G1943" i="4"/>
  <c r="J1942" i="4"/>
  <c r="H1942" i="4"/>
  <c r="I1942" i="4" s="1"/>
  <c r="G1942" i="4"/>
  <c r="J1941" i="4"/>
  <c r="H1941" i="4"/>
  <c r="I1941" i="4" s="1"/>
  <c r="G1941" i="4"/>
  <c r="J1940" i="4"/>
  <c r="H1940" i="4"/>
  <c r="I1940" i="4" s="1"/>
  <c r="G1940" i="4"/>
  <c r="J1939" i="4"/>
  <c r="H1939" i="4"/>
  <c r="I1939" i="4" s="1"/>
  <c r="G1939" i="4"/>
  <c r="J1938" i="4"/>
  <c r="H1938" i="4"/>
  <c r="I1938" i="4" s="1"/>
  <c r="G1938" i="4"/>
  <c r="J1937" i="4"/>
  <c r="H1937" i="4"/>
  <c r="I1937" i="4" s="1"/>
  <c r="G1937" i="4"/>
  <c r="J1936" i="4"/>
  <c r="H1936" i="4"/>
  <c r="I1936" i="4" s="1"/>
  <c r="G1936" i="4"/>
  <c r="J1935" i="4"/>
  <c r="H1935" i="4"/>
  <c r="I1935" i="4" s="1"/>
  <c r="G1935" i="4"/>
  <c r="J1934" i="4"/>
  <c r="H1934" i="4"/>
  <c r="I1934" i="4" s="1"/>
  <c r="G1934" i="4"/>
  <c r="J1933" i="4"/>
  <c r="H1933" i="4"/>
  <c r="I1933" i="4" s="1"/>
  <c r="G1933" i="4"/>
  <c r="J1932" i="4"/>
  <c r="H1932" i="4"/>
  <c r="I1932" i="4" s="1"/>
  <c r="G1932" i="4"/>
  <c r="J1931" i="4"/>
  <c r="H1931" i="4"/>
  <c r="I1931" i="4" s="1"/>
  <c r="G1931" i="4"/>
  <c r="J1930" i="4"/>
  <c r="H1930" i="4"/>
  <c r="I1930" i="4" s="1"/>
  <c r="G1930" i="4"/>
  <c r="J1929" i="4"/>
  <c r="H1929" i="4"/>
  <c r="I1929" i="4" s="1"/>
  <c r="G1929" i="4"/>
  <c r="J1928" i="4"/>
  <c r="H1928" i="4"/>
  <c r="I1928" i="4" s="1"/>
  <c r="G1928" i="4"/>
  <c r="J1927" i="4"/>
  <c r="H1927" i="4"/>
  <c r="I1927" i="4" s="1"/>
  <c r="G1927" i="4"/>
  <c r="J1926" i="4"/>
  <c r="H1926" i="4"/>
  <c r="I1926" i="4" s="1"/>
  <c r="G1926" i="4"/>
  <c r="J1925" i="4"/>
  <c r="H1925" i="4"/>
  <c r="I1925" i="4" s="1"/>
  <c r="G1925" i="4"/>
  <c r="J1924" i="4"/>
  <c r="H1924" i="4"/>
  <c r="I1924" i="4" s="1"/>
  <c r="G1924" i="4"/>
  <c r="J1923" i="4"/>
  <c r="H1923" i="4"/>
  <c r="I1923" i="4" s="1"/>
  <c r="G1923" i="4"/>
  <c r="J1922" i="4"/>
  <c r="H1922" i="4"/>
  <c r="I1922" i="4" s="1"/>
  <c r="G1922" i="4"/>
  <c r="J1921" i="4"/>
  <c r="H1921" i="4"/>
  <c r="I1921" i="4" s="1"/>
  <c r="G1921" i="4"/>
  <c r="J1920" i="4"/>
  <c r="H1920" i="4"/>
  <c r="I1920" i="4" s="1"/>
  <c r="G1920" i="4"/>
  <c r="J1919" i="4"/>
  <c r="H1919" i="4"/>
  <c r="I1919" i="4" s="1"/>
  <c r="G1919" i="4"/>
  <c r="J1918" i="4"/>
  <c r="H1918" i="4"/>
  <c r="I1918" i="4" s="1"/>
  <c r="G1918" i="4"/>
  <c r="J1917" i="4"/>
  <c r="H1917" i="4"/>
  <c r="I1917" i="4" s="1"/>
  <c r="G1917" i="4"/>
  <c r="J1916" i="4"/>
  <c r="H1916" i="4"/>
  <c r="I1916" i="4" s="1"/>
  <c r="G1916" i="4"/>
  <c r="J1915" i="4"/>
  <c r="H1915" i="4"/>
  <c r="I1915" i="4" s="1"/>
  <c r="G1915" i="4"/>
  <c r="J1914" i="4"/>
  <c r="H1914" i="4"/>
  <c r="I1914" i="4" s="1"/>
  <c r="G1914" i="4"/>
  <c r="J1913" i="4"/>
  <c r="H1913" i="4"/>
  <c r="I1913" i="4" s="1"/>
  <c r="G1913" i="4"/>
  <c r="J1912" i="4"/>
  <c r="H1912" i="4"/>
  <c r="I1912" i="4" s="1"/>
  <c r="G1912" i="4"/>
  <c r="J1911" i="4"/>
  <c r="H1911" i="4"/>
  <c r="I1911" i="4" s="1"/>
  <c r="G1911" i="4"/>
  <c r="J1910" i="4"/>
  <c r="H1910" i="4"/>
  <c r="I1910" i="4" s="1"/>
  <c r="G1910" i="4"/>
  <c r="J1909" i="4"/>
  <c r="H1909" i="4"/>
  <c r="I1909" i="4" s="1"/>
  <c r="G1909" i="4"/>
  <c r="J1908" i="4"/>
  <c r="H1908" i="4"/>
  <c r="I1908" i="4" s="1"/>
  <c r="G1908" i="4"/>
  <c r="J1907" i="4"/>
  <c r="H1907" i="4"/>
  <c r="I1907" i="4" s="1"/>
  <c r="G1907" i="4"/>
  <c r="J1906" i="4"/>
  <c r="H1906" i="4"/>
  <c r="I1906" i="4" s="1"/>
  <c r="G1906" i="4"/>
  <c r="J1905" i="4"/>
  <c r="H1905" i="4"/>
  <c r="I1905" i="4" s="1"/>
  <c r="G1905" i="4"/>
  <c r="J1904" i="4"/>
  <c r="H1904" i="4"/>
  <c r="I1904" i="4" s="1"/>
  <c r="G1904" i="4"/>
  <c r="J1903" i="4"/>
  <c r="H1903" i="4"/>
  <c r="I1903" i="4" s="1"/>
  <c r="G1903" i="4"/>
  <c r="J1902" i="4"/>
  <c r="H1902" i="4"/>
  <c r="I1902" i="4" s="1"/>
  <c r="G1902" i="4"/>
  <c r="J1901" i="4"/>
  <c r="H1901" i="4"/>
  <c r="I1901" i="4" s="1"/>
  <c r="G1901" i="4"/>
  <c r="J1900" i="4"/>
  <c r="H1900" i="4"/>
  <c r="I1900" i="4" s="1"/>
  <c r="G1900" i="4"/>
  <c r="J1899" i="4"/>
  <c r="H1899" i="4"/>
  <c r="I1899" i="4" s="1"/>
  <c r="G1899" i="4"/>
  <c r="J1898" i="4"/>
  <c r="H1898" i="4"/>
  <c r="I1898" i="4" s="1"/>
  <c r="G1898" i="4"/>
  <c r="J1897" i="4"/>
  <c r="H1897" i="4"/>
  <c r="I1897" i="4" s="1"/>
  <c r="G1897" i="4"/>
  <c r="J1896" i="4"/>
  <c r="H1896" i="4"/>
  <c r="I1896" i="4" s="1"/>
  <c r="G1896" i="4"/>
  <c r="J1895" i="4"/>
  <c r="H1895" i="4"/>
  <c r="I1895" i="4" s="1"/>
  <c r="G1895" i="4"/>
  <c r="J1894" i="4"/>
  <c r="H1894" i="4"/>
  <c r="I1894" i="4" s="1"/>
  <c r="G1894" i="4"/>
  <c r="J1893" i="4"/>
  <c r="H1893" i="4"/>
  <c r="I1893" i="4" s="1"/>
  <c r="G1893" i="4"/>
  <c r="J1892" i="4"/>
  <c r="H1892" i="4"/>
  <c r="I1892" i="4" s="1"/>
  <c r="G1892" i="4"/>
  <c r="J1891" i="4"/>
  <c r="H1891" i="4"/>
  <c r="I1891" i="4" s="1"/>
  <c r="G1891" i="4"/>
  <c r="J1890" i="4"/>
  <c r="H1890" i="4"/>
  <c r="I1890" i="4" s="1"/>
  <c r="G1890" i="4"/>
  <c r="J1889" i="4"/>
  <c r="H1889" i="4"/>
  <c r="I1889" i="4" s="1"/>
  <c r="G1889" i="4"/>
  <c r="J1888" i="4"/>
  <c r="H1888" i="4"/>
  <c r="I1888" i="4" s="1"/>
  <c r="G1888" i="4"/>
  <c r="J1887" i="4"/>
  <c r="H1887" i="4"/>
  <c r="I1887" i="4" s="1"/>
  <c r="G1887" i="4"/>
  <c r="J1886" i="4"/>
  <c r="H1886" i="4"/>
  <c r="I1886" i="4" s="1"/>
  <c r="G1886" i="4"/>
  <c r="J1885" i="4"/>
  <c r="H1885" i="4"/>
  <c r="I1885" i="4" s="1"/>
  <c r="G1885" i="4"/>
  <c r="J1884" i="4"/>
  <c r="H1884" i="4"/>
  <c r="I1884" i="4" s="1"/>
  <c r="G1884" i="4"/>
  <c r="J1883" i="4"/>
  <c r="H1883" i="4"/>
  <c r="I1883" i="4" s="1"/>
  <c r="G1883" i="4"/>
  <c r="J1882" i="4"/>
  <c r="H1882" i="4"/>
  <c r="I1882" i="4" s="1"/>
  <c r="G1882" i="4"/>
  <c r="J1881" i="4"/>
  <c r="H1881" i="4"/>
  <c r="I1881" i="4" s="1"/>
  <c r="G1881" i="4"/>
  <c r="J1880" i="4"/>
  <c r="H1880" i="4"/>
  <c r="I1880" i="4" s="1"/>
  <c r="G1880" i="4"/>
  <c r="J1879" i="4"/>
  <c r="H1879" i="4"/>
  <c r="I1879" i="4" s="1"/>
  <c r="G1879" i="4"/>
  <c r="J1878" i="4"/>
  <c r="H1878" i="4"/>
  <c r="I1878" i="4" s="1"/>
  <c r="G1878" i="4"/>
  <c r="J1877" i="4"/>
  <c r="H1877" i="4"/>
  <c r="I1877" i="4" s="1"/>
  <c r="G1877" i="4"/>
  <c r="J1876" i="4"/>
  <c r="H1876" i="4"/>
  <c r="I1876" i="4" s="1"/>
  <c r="G1876" i="4"/>
  <c r="J1875" i="4"/>
  <c r="H1875" i="4"/>
  <c r="I1875" i="4" s="1"/>
  <c r="G1875" i="4"/>
  <c r="J1874" i="4"/>
  <c r="H1874" i="4"/>
  <c r="I1874" i="4" s="1"/>
  <c r="G1874" i="4"/>
  <c r="J1873" i="4"/>
  <c r="H1873" i="4"/>
  <c r="I1873" i="4" s="1"/>
  <c r="G1873" i="4"/>
  <c r="J1872" i="4"/>
  <c r="H1872" i="4"/>
  <c r="I1872" i="4" s="1"/>
  <c r="G1872" i="4"/>
  <c r="J1871" i="4"/>
  <c r="H1871" i="4"/>
  <c r="I1871" i="4" s="1"/>
  <c r="G1871" i="4"/>
  <c r="J1870" i="4"/>
  <c r="H1870" i="4"/>
  <c r="I1870" i="4" s="1"/>
  <c r="G1870" i="4"/>
  <c r="J1869" i="4"/>
  <c r="H1869" i="4"/>
  <c r="I1869" i="4" s="1"/>
  <c r="G1869" i="4"/>
  <c r="J1868" i="4"/>
  <c r="H1868" i="4"/>
  <c r="I1868" i="4" s="1"/>
  <c r="G1868" i="4"/>
  <c r="J1867" i="4"/>
  <c r="H1867" i="4"/>
  <c r="I1867" i="4" s="1"/>
  <c r="G1867" i="4"/>
  <c r="J1866" i="4"/>
  <c r="H1866" i="4"/>
  <c r="I1866" i="4" s="1"/>
  <c r="G1866" i="4"/>
  <c r="J1865" i="4"/>
  <c r="H1865" i="4"/>
  <c r="I1865" i="4" s="1"/>
  <c r="G1865" i="4"/>
  <c r="J1864" i="4"/>
  <c r="H1864" i="4"/>
  <c r="I1864" i="4" s="1"/>
  <c r="G1864" i="4"/>
  <c r="J1863" i="4"/>
  <c r="H1863" i="4"/>
  <c r="I1863" i="4" s="1"/>
  <c r="G1863" i="4"/>
  <c r="J1862" i="4"/>
  <c r="H1862" i="4"/>
  <c r="I1862" i="4" s="1"/>
  <c r="G1862" i="4"/>
  <c r="J1861" i="4"/>
  <c r="H1861" i="4"/>
  <c r="I1861" i="4" s="1"/>
  <c r="G1861" i="4"/>
  <c r="J1860" i="4"/>
  <c r="H1860" i="4"/>
  <c r="I1860" i="4" s="1"/>
  <c r="G1860" i="4"/>
  <c r="J1859" i="4"/>
  <c r="H1859" i="4"/>
  <c r="I1859" i="4" s="1"/>
  <c r="G1859" i="4"/>
  <c r="J1858" i="4"/>
  <c r="H1858" i="4"/>
  <c r="I1858" i="4" s="1"/>
  <c r="G1858" i="4"/>
  <c r="J1857" i="4"/>
  <c r="H1857" i="4"/>
  <c r="I1857" i="4" s="1"/>
  <c r="G1857" i="4"/>
  <c r="J1856" i="4"/>
  <c r="H1856" i="4"/>
  <c r="I1856" i="4" s="1"/>
  <c r="G1856" i="4"/>
  <c r="J1855" i="4"/>
  <c r="H1855" i="4"/>
  <c r="I1855" i="4" s="1"/>
  <c r="G1855" i="4"/>
  <c r="J1854" i="4"/>
  <c r="H1854" i="4"/>
  <c r="I1854" i="4" s="1"/>
  <c r="G1854" i="4"/>
  <c r="J1853" i="4"/>
  <c r="H1853" i="4"/>
  <c r="I1853" i="4" s="1"/>
  <c r="G1853" i="4"/>
  <c r="J1852" i="4"/>
  <c r="H1852" i="4"/>
  <c r="I1852" i="4" s="1"/>
  <c r="G1852" i="4"/>
  <c r="J1851" i="4"/>
  <c r="H1851" i="4"/>
  <c r="I1851" i="4" s="1"/>
  <c r="G1851" i="4"/>
  <c r="J1850" i="4"/>
  <c r="H1850" i="4"/>
  <c r="I1850" i="4" s="1"/>
  <c r="G1850" i="4"/>
  <c r="J1849" i="4"/>
  <c r="H1849" i="4"/>
  <c r="I1849" i="4" s="1"/>
  <c r="G1849" i="4"/>
  <c r="J1848" i="4"/>
  <c r="H1848" i="4"/>
  <c r="I1848" i="4" s="1"/>
  <c r="G1848" i="4"/>
  <c r="J1847" i="4"/>
  <c r="H1847" i="4"/>
  <c r="I1847" i="4" s="1"/>
  <c r="G1847" i="4"/>
  <c r="J1846" i="4"/>
  <c r="H1846" i="4"/>
  <c r="I1846" i="4" s="1"/>
  <c r="G1846" i="4"/>
  <c r="J1845" i="4"/>
  <c r="H1845" i="4"/>
  <c r="I1845" i="4" s="1"/>
  <c r="G1845" i="4"/>
  <c r="J1844" i="4"/>
  <c r="H1844" i="4"/>
  <c r="I1844" i="4" s="1"/>
  <c r="G1844" i="4"/>
  <c r="J1843" i="4"/>
  <c r="H1843" i="4"/>
  <c r="I1843" i="4" s="1"/>
  <c r="G1843" i="4"/>
  <c r="J1842" i="4"/>
  <c r="H1842" i="4"/>
  <c r="I1842" i="4" s="1"/>
  <c r="G1842" i="4"/>
  <c r="J1841" i="4"/>
  <c r="H1841" i="4"/>
  <c r="I1841" i="4" s="1"/>
  <c r="G1841" i="4"/>
  <c r="J1840" i="4"/>
  <c r="H1840" i="4"/>
  <c r="I1840" i="4" s="1"/>
  <c r="G1840" i="4"/>
  <c r="J1839" i="4"/>
  <c r="H1839" i="4"/>
  <c r="I1839" i="4" s="1"/>
  <c r="G1839" i="4"/>
  <c r="J1838" i="4"/>
  <c r="H1838" i="4"/>
  <c r="I1838" i="4" s="1"/>
  <c r="G1838" i="4"/>
  <c r="J1837" i="4"/>
  <c r="H1837" i="4"/>
  <c r="I1837" i="4" s="1"/>
  <c r="G1837" i="4"/>
  <c r="J1836" i="4"/>
  <c r="H1836" i="4"/>
  <c r="I1836" i="4" s="1"/>
  <c r="G1836" i="4"/>
  <c r="J1835" i="4"/>
  <c r="H1835" i="4"/>
  <c r="I1835" i="4" s="1"/>
  <c r="G1835" i="4"/>
  <c r="J1834" i="4"/>
  <c r="H1834" i="4"/>
  <c r="I1834" i="4" s="1"/>
  <c r="G1834" i="4"/>
  <c r="J1833" i="4"/>
  <c r="H1833" i="4"/>
  <c r="I1833" i="4" s="1"/>
  <c r="G1833" i="4"/>
  <c r="J1832" i="4"/>
  <c r="H1832" i="4"/>
  <c r="I1832" i="4" s="1"/>
  <c r="G1832" i="4"/>
  <c r="J1831" i="4"/>
  <c r="H1831" i="4"/>
  <c r="I1831" i="4" s="1"/>
  <c r="G1831" i="4"/>
  <c r="J1830" i="4"/>
  <c r="H1830" i="4"/>
  <c r="I1830" i="4" s="1"/>
  <c r="G1830" i="4"/>
  <c r="J1829" i="4"/>
  <c r="H1829" i="4"/>
  <c r="I1829" i="4" s="1"/>
  <c r="G1829" i="4"/>
  <c r="J1828" i="4"/>
  <c r="H1828" i="4"/>
  <c r="I1828" i="4" s="1"/>
  <c r="G1828" i="4"/>
  <c r="J1827" i="4"/>
  <c r="H1827" i="4"/>
  <c r="I1827" i="4" s="1"/>
  <c r="G1827" i="4"/>
  <c r="J1826" i="4"/>
  <c r="H1826" i="4"/>
  <c r="I1826" i="4" s="1"/>
  <c r="G1826" i="4"/>
  <c r="J1825" i="4"/>
  <c r="H1825" i="4"/>
  <c r="I1825" i="4" s="1"/>
  <c r="G1825" i="4"/>
  <c r="J1824" i="4"/>
  <c r="H1824" i="4"/>
  <c r="I1824" i="4" s="1"/>
  <c r="G1824" i="4"/>
  <c r="J1823" i="4"/>
  <c r="H1823" i="4"/>
  <c r="I1823" i="4" s="1"/>
  <c r="G1823" i="4"/>
  <c r="J1822" i="4"/>
  <c r="H1822" i="4"/>
  <c r="I1822" i="4" s="1"/>
  <c r="G1822" i="4"/>
  <c r="J1821" i="4"/>
  <c r="H1821" i="4"/>
  <c r="I1821" i="4" s="1"/>
  <c r="G1821" i="4"/>
  <c r="J1820" i="4"/>
  <c r="H1820" i="4"/>
  <c r="I1820" i="4" s="1"/>
  <c r="G1820" i="4"/>
  <c r="J1819" i="4"/>
  <c r="H1819" i="4"/>
  <c r="I1819" i="4" s="1"/>
  <c r="G1819" i="4"/>
  <c r="J1818" i="4"/>
  <c r="H1818" i="4"/>
  <c r="I1818" i="4" s="1"/>
  <c r="G1818" i="4"/>
  <c r="J1817" i="4"/>
  <c r="H1817" i="4"/>
  <c r="I1817" i="4" s="1"/>
  <c r="G1817" i="4"/>
  <c r="J1816" i="4"/>
  <c r="H1816" i="4"/>
  <c r="I1816" i="4" s="1"/>
  <c r="G1816" i="4"/>
  <c r="J1815" i="4"/>
  <c r="H1815" i="4"/>
  <c r="I1815" i="4" s="1"/>
  <c r="G1815" i="4"/>
  <c r="J1814" i="4"/>
  <c r="H1814" i="4"/>
  <c r="I1814" i="4" s="1"/>
  <c r="G1814" i="4"/>
  <c r="J1813" i="4"/>
  <c r="H1813" i="4"/>
  <c r="I1813" i="4" s="1"/>
  <c r="G1813" i="4"/>
  <c r="J1812" i="4"/>
  <c r="H1812" i="4"/>
  <c r="I1812" i="4" s="1"/>
  <c r="G1812" i="4"/>
  <c r="J1811" i="4"/>
  <c r="H1811" i="4"/>
  <c r="I1811" i="4" s="1"/>
  <c r="G1811" i="4"/>
  <c r="J1810" i="4"/>
  <c r="H1810" i="4"/>
  <c r="I1810" i="4" s="1"/>
  <c r="G1810" i="4"/>
  <c r="J1809" i="4"/>
  <c r="H1809" i="4"/>
  <c r="I1809" i="4" s="1"/>
  <c r="G1809" i="4"/>
  <c r="J1808" i="4"/>
  <c r="H1808" i="4"/>
  <c r="I1808" i="4" s="1"/>
  <c r="G1808" i="4"/>
  <c r="J1807" i="4"/>
  <c r="H1807" i="4"/>
  <c r="I1807" i="4" s="1"/>
  <c r="G1807" i="4"/>
  <c r="J1806" i="4"/>
  <c r="H1806" i="4"/>
  <c r="I1806" i="4" s="1"/>
  <c r="G1806" i="4"/>
  <c r="J1805" i="4"/>
  <c r="H1805" i="4"/>
  <c r="I1805" i="4" s="1"/>
  <c r="G1805" i="4"/>
  <c r="J1804" i="4"/>
  <c r="H1804" i="4"/>
  <c r="I1804" i="4" s="1"/>
  <c r="G1804" i="4"/>
  <c r="J1803" i="4"/>
  <c r="H1803" i="4"/>
  <c r="I1803" i="4" s="1"/>
  <c r="G1803" i="4"/>
  <c r="J1802" i="4"/>
  <c r="H1802" i="4"/>
  <c r="I1802" i="4" s="1"/>
  <c r="G1802" i="4"/>
  <c r="J1801" i="4"/>
  <c r="H1801" i="4"/>
  <c r="I1801" i="4" s="1"/>
  <c r="G1801" i="4"/>
  <c r="J1800" i="4"/>
  <c r="H1800" i="4"/>
  <c r="I1800" i="4" s="1"/>
  <c r="G1800" i="4"/>
  <c r="J1799" i="4"/>
  <c r="H1799" i="4"/>
  <c r="I1799" i="4" s="1"/>
  <c r="G1799" i="4"/>
  <c r="J1798" i="4"/>
  <c r="H1798" i="4"/>
  <c r="I1798" i="4" s="1"/>
  <c r="G1798" i="4"/>
  <c r="J1797" i="4"/>
  <c r="H1797" i="4"/>
  <c r="I1797" i="4" s="1"/>
  <c r="G1797" i="4"/>
  <c r="J1796" i="4"/>
  <c r="H1796" i="4"/>
  <c r="I1796" i="4" s="1"/>
  <c r="G1796" i="4"/>
  <c r="J1795" i="4"/>
  <c r="H1795" i="4"/>
  <c r="I1795" i="4" s="1"/>
  <c r="G1795" i="4"/>
  <c r="J1794" i="4"/>
  <c r="H1794" i="4"/>
  <c r="I1794" i="4" s="1"/>
  <c r="G1794" i="4"/>
  <c r="J1793" i="4"/>
  <c r="H1793" i="4"/>
  <c r="I1793" i="4" s="1"/>
  <c r="G1793" i="4"/>
  <c r="J1792" i="4"/>
  <c r="H1792" i="4"/>
  <c r="I1792" i="4" s="1"/>
  <c r="G1792" i="4"/>
  <c r="J1791" i="4"/>
  <c r="H1791" i="4"/>
  <c r="I1791" i="4" s="1"/>
  <c r="G1791" i="4"/>
  <c r="J1790" i="4"/>
  <c r="H1790" i="4"/>
  <c r="I1790" i="4" s="1"/>
  <c r="G1790" i="4"/>
  <c r="J1789" i="4"/>
  <c r="H1789" i="4"/>
  <c r="I1789" i="4" s="1"/>
  <c r="G1789" i="4"/>
  <c r="J1788" i="4"/>
  <c r="H1788" i="4"/>
  <c r="I1788" i="4" s="1"/>
  <c r="G1788" i="4"/>
  <c r="J1787" i="4"/>
  <c r="H1787" i="4"/>
  <c r="I1787" i="4" s="1"/>
  <c r="G1787" i="4"/>
  <c r="J1786" i="4"/>
  <c r="H1786" i="4"/>
  <c r="I1786" i="4" s="1"/>
  <c r="G1786" i="4"/>
  <c r="J1785" i="4"/>
  <c r="H1785" i="4"/>
  <c r="I1785" i="4" s="1"/>
  <c r="G1785" i="4"/>
  <c r="J1784" i="4"/>
  <c r="H1784" i="4"/>
  <c r="I1784" i="4" s="1"/>
  <c r="G1784" i="4"/>
  <c r="J1783" i="4"/>
  <c r="H1783" i="4"/>
  <c r="I1783" i="4" s="1"/>
  <c r="G1783" i="4"/>
  <c r="J1782" i="4"/>
  <c r="H1782" i="4"/>
  <c r="I1782" i="4" s="1"/>
  <c r="G1782" i="4"/>
  <c r="J1781" i="4"/>
  <c r="H1781" i="4"/>
  <c r="I1781" i="4" s="1"/>
  <c r="G1781" i="4"/>
  <c r="J1780" i="4"/>
  <c r="H1780" i="4"/>
  <c r="I1780" i="4" s="1"/>
  <c r="G1780" i="4"/>
  <c r="J1779" i="4"/>
  <c r="H1779" i="4"/>
  <c r="I1779" i="4" s="1"/>
  <c r="G1779" i="4"/>
  <c r="J1778" i="4"/>
  <c r="H1778" i="4"/>
  <c r="I1778" i="4" s="1"/>
  <c r="G1778" i="4"/>
  <c r="J1777" i="4"/>
  <c r="H1777" i="4"/>
  <c r="I1777" i="4" s="1"/>
  <c r="G1777" i="4"/>
  <c r="J1776" i="4"/>
  <c r="H1776" i="4"/>
  <c r="I1776" i="4" s="1"/>
  <c r="G1776" i="4"/>
  <c r="J1775" i="4"/>
  <c r="H1775" i="4"/>
  <c r="I1775" i="4" s="1"/>
  <c r="G1775" i="4"/>
  <c r="J1774" i="4"/>
  <c r="H1774" i="4"/>
  <c r="I1774" i="4" s="1"/>
  <c r="G1774" i="4"/>
  <c r="J1773" i="4"/>
  <c r="H1773" i="4"/>
  <c r="I1773" i="4" s="1"/>
  <c r="G1773" i="4"/>
  <c r="J1772" i="4"/>
  <c r="H1772" i="4"/>
  <c r="I1772" i="4" s="1"/>
  <c r="G1772" i="4"/>
  <c r="J1771" i="4"/>
  <c r="H1771" i="4"/>
  <c r="I1771" i="4" s="1"/>
  <c r="G1771" i="4"/>
  <c r="J1770" i="4"/>
  <c r="H1770" i="4"/>
  <c r="I1770" i="4" s="1"/>
  <c r="G1770" i="4"/>
  <c r="J1769" i="4"/>
  <c r="H1769" i="4"/>
  <c r="I1769" i="4" s="1"/>
  <c r="G1769" i="4"/>
  <c r="J1768" i="4"/>
  <c r="H1768" i="4"/>
  <c r="I1768" i="4" s="1"/>
  <c r="G1768" i="4"/>
  <c r="J1767" i="4"/>
  <c r="H1767" i="4"/>
  <c r="I1767" i="4" s="1"/>
  <c r="G1767" i="4"/>
  <c r="J1766" i="4"/>
  <c r="H1766" i="4"/>
  <c r="I1766" i="4" s="1"/>
  <c r="G1766" i="4"/>
  <c r="J1765" i="4"/>
  <c r="H1765" i="4"/>
  <c r="I1765" i="4" s="1"/>
  <c r="G1765" i="4"/>
  <c r="J1764" i="4"/>
  <c r="H1764" i="4"/>
  <c r="I1764" i="4" s="1"/>
  <c r="G1764" i="4"/>
  <c r="J1763" i="4"/>
  <c r="H1763" i="4"/>
  <c r="I1763" i="4" s="1"/>
  <c r="G1763" i="4"/>
  <c r="J1762" i="4"/>
  <c r="H1762" i="4"/>
  <c r="I1762" i="4" s="1"/>
  <c r="G1762" i="4"/>
  <c r="J1761" i="4"/>
  <c r="H1761" i="4"/>
  <c r="I1761" i="4" s="1"/>
  <c r="G1761" i="4"/>
  <c r="J1760" i="4"/>
  <c r="H1760" i="4"/>
  <c r="I1760" i="4" s="1"/>
  <c r="G1760" i="4"/>
  <c r="J1759" i="4"/>
  <c r="H1759" i="4"/>
  <c r="I1759" i="4" s="1"/>
  <c r="G1759" i="4"/>
  <c r="J1758" i="4"/>
  <c r="H1758" i="4"/>
  <c r="I1758" i="4" s="1"/>
  <c r="G1758" i="4"/>
  <c r="J1757" i="4"/>
  <c r="H1757" i="4"/>
  <c r="I1757" i="4" s="1"/>
  <c r="G1757" i="4"/>
  <c r="J1756" i="4"/>
  <c r="H1756" i="4"/>
  <c r="I1756" i="4" s="1"/>
  <c r="G1756" i="4"/>
  <c r="J1755" i="4"/>
  <c r="H1755" i="4"/>
  <c r="I1755" i="4" s="1"/>
  <c r="G1755" i="4"/>
  <c r="J1754" i="4"/>
  <c r="H1754" i="4"/>
  <c r="I1754" i="4" s="1"/>
  <c r="G1754" i="4"/>
  <c r="J1753" i="4"/>
  <c r="H1753" i="4"/>
  <c r="I1753" i="4" s="1"/>
  <c r="G1753" i="4"/>
  <c r="J1752" i="4"/>
  <c r="H1752" i="4"/>
  <c r="I1752" i="4" s="1"/>
  <c r="G1752" i="4"/>
  <c r="J1751" i="4"/>
  <c r="H1751" i="4"/>
  <c r="I1751" i="4" s="1"/>
  <c r="G1751" i="4"/>
  <c r="J1750" i="4"/>
  <c r="H1750" i="4"/>
  <c r="I1750" i="4" s="1"/>
  <c r="G1750" i="4"/>
  <c r="J1749" i="4"/>
  <c r="H1749" i="4"/>
  <c r="I1749" i="4" s="1"/>
  <c r="G1749" i="4"/>
  <c r="J1748" i="4"/>
  <c r="H1748" i="4"/>
  <c r="I1748" i="4" s="1"/>
  <c r="G1748" i="4"/>
  <c r="J1747" i="4"/>
  <c r="H1747" i="4"/>
  <c r="I1747" i="4" s="1"/>
  <c r="G1747" i="4"/>
  <c r="J1746" i="4"/>
  <c r="H1746" i="4"/>
  <c r="I1746" i="4" s="1"/>
  <c r="G1746" i="4"/>
  <c r="J1745" i="4"/>
  <c r="H1745" i="4"/>
  <c r="I1745" i="4" s="1"/>
  <c r="G1745" i="4"/>
  <c r="J1744" i="4"/>
  <c r="H1744" i="4"/>
  <c r="I1744" i="4" s="1"/>
  <c r="G1744" i="4"/>
  <c r="J1743" i="4"/>
  <c r="H1743" i="4"/>
  <c r="I1743" i="4" s="1"/>
  <c r="G1743" i="4"/>
  <c r="J1742" i="4"/>
  <c r="H1742" i="4"/>
  <c r="I1742" i="4" s="1"/>
  <c r="G1742" i="4"/>
  <c r="J1741" i="4"/>
  <c r="H1741" i="4"/>
  <c r="I1741" i="4" s="1"/>
  <c r="G1741" i="4"/>
  <c r="J1740" i="4"/>
  <c r="H1740" i="4"/>
  <c r="I1740" i="4" s="1"/>
  <c r="G1740" i="4"/>
  <c r="J1739" i="4"/>
  <c r="H1739" i="4"/>
  <c r="I1739" i="4" s="1"/>
  <c r="G1739" i="4"/>
  <c r="J1738" i="4"/>
  <c r="H1738" i="4"/>
  <c r="I1738" i="4" s="1"/>
  <c r="G1738" i="4"/>
  <c r="J1737" i="4"/>
  <c r="H1737" i="4"/>
  <c r="I1737" i="4" s="1"/>
  <c r="G1737" i="4"/>
  <c r="J1736" i="4"/>
  <c r="H1736" i="4"/>
  <c r="I1736" i="4" s="1"/>
  <c r="G1736" i="4"/>
  <c r="J1735" i="4"/>
  <c r="H1735" i="4"/>
  <c r="I1735" i="4" s="1"/>
  <c r="G1735" i="4"/>
  <c r="J1734" i="4"/>
  <c r="H1734" i="4"/>
  <c r="I1734" i="4" s="1"/>
  <c r="G1734" i="4"/>
  <c r="J1733" i="4"/>
  <c r="H1733" i="4"/>
  <c r="I1733" i="4" s="1"/>
  <c r="G1733" i="4"/>
  <c r="J1732" i="4"/>
  <c r="H1732" i="4"/>
  <c r="I1732" i="4" s="1"/>
  <c r="G1732" i="4"/>
  <c r="J1731" i="4"/>
  <c r="H1731" i="4"/>
  <c r="I1731" i="4" s="1"/>
  <c r="G1731" i="4"/>
  <c r="J1730" i="4"/>
  <c r="H1730" i="4"/>
  <c r="I1730" i="4" s="1"/>
  <c r="G1730" i="4"/>
  <c r="J1729" i="4"/>
  <c r="H1729" i="4"/>
  <c r="I1729" i="4" s="1"/>
  <c r="G1729" i="4"/>
  <c r="J1728" i="4"/>
  <c r="H1728" i="4"/>
  <c r="I1728" i="4" s="1"/>
  <c r="G1728" i="4"/>
  <c r="J1727" i="4"/>
  <c r="H1727" i="4"/>
  <c r="I1727" i="4" s="1"/>
  <c r="G1727" i="4"/>
  <c r="J1726" i="4"/>
  <c r="H1726" i="4"/>
  <c r="I1726" i="4" s="1"/>
  <c r="G1726" i="4"/>
  <c r="J1725" i="4"/>
  <c r="H1725" i="4"/>
  <c r="I1725" i="4" s="1"/>
  <c r="G1725" i="4"/>
  <c r="J1724" i="4"/>
  <c r="H1724" i="4"/>
  <c r="I1724" i="4" s="1"/>
  <c r="G1724" i="4"/>
  <c r="J1723" i="4"/>
  <c r="H1723" i="4"/>
  <c r="I1723" i="4" s="1"/>
  <c r="G1723" i="4"/>
  <c r="J1722" i="4"/>
  <c r="H1722" i="4"/>
  <c r="I1722" i="4" s="1"/>
  <c r="G1722" i="4"/>
  <c r="J1721" i="4"/>
  <c r="H1721" i="4"/>
  <c r="I1721" i="4" s="1"/>
  <c r="G1721" i="4"/>
  <c r="J1720" i="4"/>
  <c r="H1720" i="4"/>
  <c r="I1720" i="4" s="1"/>
  <c r="G1720" i="4"/>
  <c r="J1719" i="4"/>
  <c r="H1719" i="4"/>
  <c r="I1719" i="4" s="1"/>
  <c r="G1719" i="4"/>
  <c r="J1718" i="4"/>
  <c r="H1718" i="4"/>
  <c r="I1718" i="4" s="1"/>
  <c r="G1718" i="4"/>
  <c r="J1717" i="4"/>
  <c r="H1717" i="4"/>
  <c r="I1717" i="4" s="1"/>
  <c r="G1717" i="4"/>
  <c r="J1716" i="4"/>
  <c r="H1716" i="4"/>
  <c r="I1716" i="4" s="1"/>
  <c r="G1716" i="4"/>
  <c r="J1715" i="4"/>
  <c r="H1715" i="4"/>
  <c r="I1715" i="4" s="1"/>
  <c r="G1715" i="4"/>
  <c r="J1714" i="4"/>
  <c r="H1714" i="4"/>
  <c r="I1714" i="4" s="1"/>
  <c r="G1714" i="4"/>
  <c r="J1713" i="4"/>
  <c r="H1713" i="4"/>
  <c r="I1713" i="4" s="1"/>
  <c r="G1713" i="4"/>
  <c r="J1712" i="4"/>
  <c r="H1712" i="4"/>
  <c r="I1712" i="4" s="1"/>
  <c r="G1712" i="4"/>
  <c r="J1711" i="4"/>
  <c r="H1711" i="4"/>
  <c r="I1711" i="4" s="1"/>
  <c r="G1711" i="4"/>
  <c r="J1710" i="4"/>
  <c r="H1710" i="4"/>
  <c r="I1710" i="4" s="1"/>
  <c r="G1710" i="4"/>
  <c r="J1709" i="4"/>
  <c r="H1709" i="4"/>
  <c r="I1709" i="4" s="1"/>
  <c r="G1709" i="4"/>
  <c r="J1708" i="4"/>
  <c r="H1708" i="4"/>
  <c r="I1708" i="4" s="1"/>
  <c r="G1708" i="4"/>
  <c r="J1707" i="4"/>
  <c r="H1707" i="4"/>
  <c r="I1707" i="4" s="1"/>
  <c r="G1707" i="4"/>
  <c r="J1706" i="4"/>
  <c r="H1706" i="4"/>
  <c r="I1706" i="4" s="1"/>
  <c r="G1706" i="4"/>
  <c r="J1705" i="4"/>
  <c r="H1705" i="4"/>
  <c r="I1705" i="4" s="1"/>
  <c r="G1705" i="4"/>
  <c r="J1704" i="4"/>
  <c r="H1704" i="4"/>
  <c r="I1704" i="4" s="1"/>
  <c r="G1704" i="4"/>
  <c r="J1703" i="4"/>
  <c r="H1703" i="4"/>
  <c r="I1703" i="4" s="1"/>
  <c r="G1703" i="4"/>
  <c r="J1702" i="4"/>
  <c r="H1702" i="4"/>
  <c r="I1702" i="4" s="1"/>
  <c r="G1702" i="4"/>
  <c r="J1701" i="4"/>
  <c r="H1701" i="4"/>
  <c r="I1701" i="4" s="1"/>
  <c r="G1701" i="4"/>
  <c r="J1700" i="4"/>
  <c r="H1700" i="4"/>
  <c r="I1700" i="4" s="1"/>
  <c r="G1700" i="4"/>
  <c r="J1699" i="4"/>
  <c r="H1699" i="4"/>
  <c r="I1699" i="4" s="1"/>
  <c r="G1699" i="4"/>
  <c r="J1698" i="4"/>
  <c r="H1698" i="4"/>
  <c r="I1698" i="4" s="1"/>
  <c r="G1698" i="4"/>
  <c r="J1697" i="4"/>
  <c r="H1697" i="4"/>
  <c r="I1697" i="4" s="1"/>
  <c r="G1697" i="4"/>
  <c r="J1696" i="4"/>
  <c r="H1696" i="4"/>
  <c r="I1696" i="4" s="1"/>
  <c r="G1696" i="4"/>
  <c r="J1695" i="4"/>
  <c r="H1695" i="4"/>
  <c r="I1695" i="4" s="1"/>
  <c r="G1695" i="4"/>
  <c r="J1694" i="4"/>
  <c r="H1694" i="4"/>
  <c r="I1694" i="4" s="1"/>
  <c r="G1694" i="4"/>
  <c r="J1693" i="4"/>
  <c r="H1693" i="4"/>
  <c r="I1693" i="4" s="1"/>
  <c r="G1693" i="4"/>
  <c r="J1692" i="4"/>
  <c r="H1692" i="4"/>
  <c r="I1692" i="4" s="1"/>
  <c r="G1692" i="4"/>
  <c r="J1691" i="4"/>
  <c r="H1691" i="4"/>
  <c r="I1691" i="4" s="1"/>
  <c r="G1691" i="4"/>
  <c r="J1690" i="4"/>
  <c r="H1690" i="4"/>
  <c r="I1690" i="4" s="1"/>
  <c r="G1690" i="4"/>
  <c r="J1689" i="4"/>
  <c r="H1689" i="4"/>
  <c r="I1689" i="4" s="1"/>
  <c r="G1689" i="4"/>
  <c r="J1688" i="4"/>
  <c r="H1688" i="4"/>
  <c r="I1688" i="4" s="1"/>
  <c r="G1688" i="4"/>
  <c r="J1687" i="4"/>
  <c r="H1687" i="4"/>
  <c r="I1687" i="4" s="1"/>
  <c r="G1687" i="4"/>
  <c r="J1686" i="4"/>
  <c r="H1686" i="4"/>
  <c r="I1686" i="4" s="1"/>
  <c r="G1686" i="4"/>
  <c r="J1685" i="4"/>
  <c r="H1685" i="4"/>
  <c r="I1685" i="4" s="1"/>
  <c r="G1685" i="4"/>
  <c r="J1684" i="4"/>
  <c r="H1684" i="4"/>
  <c r="I1684" i="4" s="1"/>
  <c r="G1684" i="4"/>
  <c r="J1683" i="4"/>
  <c r="H1683" i="4"/>
  <c r="I1683" i="4" s="1"/>
  <c r="G1683" i="4"/>
  <c r="J1682" i="4"/>
  <c r="H1682" i="4"/>
  <c r="I1682" i="4" s="1"/>
  <c r="G1682" i="4"/>
  <c r="J1681" i="4"/>
  <c r="H1681" i="4"/>
  <c r="I1681" i="4" s="1"/>
  <c r="G1681" i="4"/>
  <c r="J1680" i="4"/>
  <c r="H1680" i="4"/>
  <c r="I1680" i="4" s="1"/>
  <c r="G1680" i="4"/>
  <c r="J1679" i="4"/>
  <c r="H1679" i="4"/>
  <c r="I1679" i="4" s="1"/>
  <c r="G1679" i="4"/>
  <c r="J1678" i="4"/>
  <c r="H1678" i="4"/>
  <c r="I1678" i="4" s="1"/>
  <c r="G1678" i="4"/>
  <c r="J1677" i="4"/>
  <c r="H1677" i="4"/>
  <c r="I1677" i="4" s="1"/>
  <c r="G1677" i="4"/>
  <c r="J1676" i="4"/>
  <c r="H1676" i="4"/>
  <c r="I1676" i="4" s="1"/>
  <c r="G1676" i="4"/>
  <c r="J1675" i="4"/>
  <c r="H1675" i="4"/>
  <c r="I1675" i="4" s="1"/>
  <c r="G1675" i="4"/>
  <c r="J1674" i="4"/>
  <c r="H1674" i="4"/>
  <c r="I1674" i="4" s="1"/>
  <c r="G1674" i="4"/>
  <c r="J1673" i="4"/>
  <c r="H1673" i="4"/>
  <c r="I1673" i="4" s="1"/>
  <c r="G1673" i="4"/>
  <c r="J1672" i="4"/>
  <c r="H1672" i="4"/>
  <c r="I1672" i="4" s="1"/>
  <c r="G1672" i="4"/>
  <c r="J1671" i="4"/>
  <c r="H1671" i="4"/>
  <c r="I1671" i="4" s="1"/>
  <c r="G1671" i="4"/>
  <c r="J1670" i="4"/>
  <c r="H1670" i="4"/>
  <c r="I1670" i="4" s="1"/>
  <c r="G1670" i="4"/>
  <c r="J1669" i="4"/>
  <c r="H1669" i="4"/>
  <c r="I1669" i="4" s="1"/>
  <c r="G1669" i="4"/>
  <c r="J1668" i="4"/>
  <c r="H1668" i="4"/>
  <c r="I1668" i="4" s="1"/>
  <c r="G1668" i="4"/>
  <c r="J1667" i="4"/>
  <c r="H1667" i="4"/>
  <c r="I1667" i="4" s="1"/>
  <c r="G1667" i="4"/>
  <c r="J1666" i="4"/>
  <c r="H1666" i="4"/>
  <c r="I1666" i="4" s="1"/>
  <c r="G1666" i="4"/>
  <c r="J1665" i="4"/>
  <c r="H1665" i="4"/>
  <c r="I1665" i="4" s="1"/>
  <c r="G1665" i="4"/>
  <c r="J1664" i="4"/>
  <c r="H1664" i="4"/>
  <c r="I1664" i="4" s="1"/>
  <c r="G1664" i="4"/>
  <c r="J1663" i="4"/>
  <c r="H1663" i="4"/>
  <c r="I1663" i="4" s="1"/>
  <c r="G1663" i="4"/>
  <c r="J1662" i="4"/>
  <c r="H1662" i="4"/>
  <c r="I1662" i="4" s="1"/>
  <c r="G1662" i="4"/>
  <c r="J1661" i="4"/>
  <c r="H1661" i="4"/>
  <c r="I1661" i="4" s="1"/>
  <c r="G1661" i="4"/>
  <c r="J1660" i="4"/>
  <c r="H1660" i="4"/>
  <c r="I1660" i="4" s="1"/>
  <c r="G1660" i="4"/>
  <c r="J1659" i="4"/>
  <c r="H1659" i="4"/>
  <c r="I1659" i="4" s="1"/>
  <c r="G1659" i="4"/>
  <c r="J1658" i="4"/>
  <c r="H1658" i="4"/>
  <c r="I1658" i="4" s="1"/>
  <c r="G1658" i="4"/>
  <c r="J1657" i="4"/>
  <c r="H1657" i="4"/>
  <c r="I1657" i="4" s="1"/>
  <c r="G1657" i="4"/>
  <c r="J1656" i="4"/>
  <c r="H1656" i="4"/>
  <c r="I1656" i="4" s="1"/>
  <c r="G1656" i="4"/>
  <c r="J1655" i="4"/>
  <c r="H1655" i="4"/>
  <c r="I1655" i="4" s="1"/>
  <c r="G1655" i="4"/>
  <c r="J1654" i="4"/>
  <c r="H1654" i="4"/>
  <c r="I1654" i="4" s="1"/>
  <c r="G1654" i="4"/>
  <c r="J1653" i="4"/>
  <c r="H1653" i="4"/>
  <c r="I1653" i="4" s="1"/>
  <c r="G1653" i="4"/>
  <c r="J1652" i="4"/>
  <c r="H1652" i="4"/>
  <c r="I1652" i="4" s="1"/>
  <c r="G1652" i="4"/>
  <c r="J1651" i="4"/>
  <c r="H1651" i="4"/>
  <c r="I1651" i="4" s="1"/>
  <c r="G1651" i="4"/>
  <c r="J1650" i="4"/>
  <c r="H1650" i="4"/>
  <c r="I1650" i="4" s="1"/>
  <c r="G1650" i="4"/>
  <c r="J1649" i="4"/>
  <c r="H1649" i="4"/>
  <c r="I1649" i="4" s="1"/>
  <c r="G1649" i="4"/>
  <c r="J1648" i="4"/>
  <c r="H1648" i="4"/>
  <c r="I1648" i="4" s="1"/>
  <c r="G1648" i="4"/>
  <c r="J1647" i="4"/>
  <c r="H1647" i="4"/>
  <c r="I1647" i="4" s="1"/>
  <c r="G1647" i="4"/>
  <c r="J1646" i="4"/>
  <c r="H1646" i="4"/>
  <c r="I1646" i="4" s="1"/>
  <c r="G1646" i="4"/>
  <c r="J1645" i="4"/>
  <c r="H1645" i="4"/>
  <c r="I1645" i="4" s="1"/>
  <c r="G1645" i="4"/>
  <c r="J1644" i="4"/>
  <c r="H1644" i="4"/>
  <c r="I1644" i="4" s="1"/>
  <c r="G1644" i="4"/>
  <c r="J1643" i="4"/>
  <c r="H1643" i="4"/>
  <c r="I1643" i="4" s="1"/>
  <c r="G1643" i="4"/>
  <c r="J1642" i="4"/>
  <c r="H1642" i="4"/>
  <c r="I1642" i="4" s="1"/>
  <c r="G1642" i="4"/>
  <c r="J1641" i="4"/>
  <c r="H1641" i="4"/>
  <c r="I1641" i="4" s="1"/>
  <c r="G1641" i="4"/>
  <c r="J1640" i="4"/>
  <c r="H1640" i="4"/>
  <c r="I1640" i="4" s="1"/>
  <c r="G1640" i="4"/>
  <c r="J1639" i="4"/>
  <c r="H1639" i="4"/>
  <c r="I1639" i="4" s="1"/>
  <c r="G1639" i="4"/>
  <c r="J1638" i="4"/>
  <c r="H1638" i="4"/>
  <c r="I1638" i="4" s="1"/>
  <c r="G1638" i="4"/>
  <c r="J1637" i="4"/>
  <c r="H1637" i="4"/>
  <c r="I1637" i="4" s="1"/>
  <c r="G1637" i="4"/>
  <c r="J1636" i="4"/>
  <c r="H1636" i="4"/>
  <c r="I1636" i="4" s="1"/>
  <c r="G1636" i="4"/>
  <c r="J1635" i="4"/>
  <c r="H1635" i="4"/>
  <c r="I1635" i="4" s="1"/>
  <c r="G1635" i="4"/>
  <c r="J1634" i="4"/>
  <c r="H1634" i="4"/>
  <c r="I1634" i="4" s="1"/>
  <c r="G1634" i="4"/>
  <c r="J1633" i="4"/>
  <c r="H1633" i="4"/>
  <c r="I1633" i="4" s="1"/>
  <c r="G1633" i="4"/>
  <c r="J1632" i="4"/>
  <c r="H1632" i="4"/>
  <c r="I1632" i="4" s="1"/>
  <c r="G1632" i="4"/>
  <c r="J1631" i="4"/>
  <c r="H1631" i="4"/>
  <c r="I1631" i="4" s="1"/>
  <c r="G1631" i="4"/>
  <c r="J1630" i="4"/>
  <c r="H1630" i="4"/>
  <c r="I1630" i="4" s="1"/>
  <c r="G1630" i="4"/>
  <c r="J1629" i="4"/>
  <c r="H1629" i="4"/>
  <c r="I1629" i="4" s="1"/>
  <c r="G1629" i="4"/>
  <c r="J1628" i="4"/>
  <c r="H1628" i="4"/>
  <c r="I1628" i="4" s="1"/>
  <c r="G1628" i="4"/>
  <c r="J1627" i="4"/>
  <c r="H1627" i="4"/>
  <c r="I1627" i="4" s="1"/>
  <c r="G1627" i="4"/>
  <c r="J1626" i="4"/>
  <c r="H1626" i="4"/>
  <c r="I1626" i="4" s="1"/>
  <c r="G1626" i="4"/>
  <c r="J1625" i="4"/>
  <c r="H1625" i="4"/>
  <c r="I1625" i="4" s="1"/>
  <c r="G1625" i="4"/>
  <c r="J1624" i="4"/>
  <c r="H1624" i="4"/>
  <c r="I1624" i="4" s="1"/>
  <c r="G1624" i="4"/>
  <c r="J1623" i="4"/>
  <c r="H1623" i="4"/>
  <c r="I1623" i="4" s="1"/>
  <c r="G1623" i="4"/>
  <c r="J1622" i="4"/>
  <c r="H1622" i="4"/>
  <c r="I1622" i="4" s="1"/>
  <c r="G1622" i="4"/>
  <c r="J1621" i="4"/>
  <c r="H1621" i="4"/>
  <c r="I1621" i="4" s="1"/>
  <c r="G1621" i="4"/>
  <c r="J1620" i="4"/>
  <c r="H1620" i="4"/>
  <c r="I1620" i="4" s="1"/>
  <c r="G1620" i="4"/>
  <c r="J1619" i="4"/>
  <c r="H1619" i="4"/>
  <c r="I1619" i="4" s="1"/>
  <c r="G1619" i="4"/>
  <c r="J1618" i="4"/>
  <c r="H1618" i="4"/>
  <c r="I1618" i="4" s="1"/>
  <c r="G1618" i="4"/>
  <c r="J1617" i="4"/>
  <c r="H1617" i="4"/>
  <c r="I1617" i="4" s="1"/>
  <c r="G1617" i="4"/>
  <c r="J1616" i="4"/>
  <c r="H1616" i="4"/>
  <c r="I1616" i="4" s="1"/>
  <c r="G1616" i="4"/>
  <c r="J1615" i="4"/>
  <c r="H1615" i="4"/>
  <c r="I1615" i="4" s="1"/>
  <c r="G1615" i="4"/>
  <c r="J1614" i="4"/>
  <c r="H1614" i="4"/>
  <c r="I1614" i="4" s="1"/>
  <c r="G1614" i="4"/>
  <c r="J1613" i="4"/>
  <c r="H1613" i="4"/>
  <c r="I1613" i="4" s="1"/>
  <c r="G1613" i="4"/>
  <c r="J1612" i="4"/>
  <c r="H1612" i="4"/>
  <c r="I1612" i="4" s="1"/>
  <c r="G1612" i="4"/>
  <c r="J1611" i="4"/>
  <c r="H1611" i="4"/>
  <c r="I1611" i="4" s="1"/>
  <c r="G1611" i="4"/>
  <c r="J1610" i="4"/>
  <c r="H1610" i="4"/>
  <c r="I1610" i="4" s="1"/>
  <c r="G1610" i="4"/>
  <c r="J1609" i="4"/>
  <c r="H1609" i="4"/>
  <c r="I1609" i="4" s="1"/>
  <c r="G1609" i="4"/>
  <c r="J1608" i="4"/>
  <c r="H1608" i="4"/>
  <c r="I1608" i="4" s="1"/>
  <c r="G1608" i="4"/>
  <c r="J1607" i="4"/>
  <c r="H1607" i="4"/>
  <c r="I1607" i="4" s="1"/>
  <c r="G1607" i="4"/>
  <c r="J1606" i="4"/>
  <c r="H1606" i="4"/>
  <c r="I1606" i="4" s="1"/>
  <c r="G1606" i="4"/>
  <c r="J1605" i="4"/>
  <c r="H1605" i="4"/>
  <c r="I1605" i="4" s="1"/>
  <c r="G1605" i="4"/>
  <c r="J1604" i="4"/>
  <c r="H1604" i="4"/>
  <c r="I1604" i="4" s="1"/>
  <c r="G1604" i="4"/>
  <c r="J1603" i="4"/>
  <c r="H1603" i="4"/>
  <c r="I1603" i="4" s="1"/>
  <c r="G1603" i="4"/>
  <c r="J1602" i="4"/>
  <c r="H1602" i="4"/>
  <c r="I1602" i="4" s="1"/>
  <c r="G1602" i="4"/>
  <c r="J1601" i="4"/>
  <c r="H1601" i="4"/>
  <c r="I1601" i="4" s="1"/>
  <c r="G1601" i="4"/>
  <c r="J1600" i="4"/>
  <c r="H1600" i="4"/>
  <c r="I1600" i="4" s="1"/>
  <c r="G1600" i="4"/>
  <c r="J1599" i="4"/>
  <c r="H1599" i="4"/>
  <c r="I1599" i="4" s="1"/>
  <c r="G1599" i="4"/>
  <c r="J1598" i="4"/>
  <c r="H1598" i="4"/>
  <c r="I1598" i="4" s="1"/>
  <c r="G1598" i="4"/>
  <c r="J1597" i="4"/>
  <c r="H1597" i="4"/>
  <c r="I1597" i="4" s="1"/>
  <c r="G1597" i="4"/>
  <c r="J1596" i="4"/>
  <c r="H1596" i="4"/>
  <c r="I1596" i="4" s="1"/>
  <c r="G1596" i="4"/>
  <c r="J1595" i="4"/>
  <c r="H1595" i="4"/>
  <c r="I1595" i="4" s="1"/>
  <c r="G1595" i="4"/>
  <c r="J1594" i="4"/>
  <c r="H1594" i="4"/>
  <c r="I1594" i="4" s="1"/>
  <c r="G1594" i="4"/>
  <c r="J1593" i="4"/>
  <c r="H1593" i="4"/>
  <c r="I1593" i="4" s="1"/>
  <c r="G1593" i="4"/>
  <c r="J1592" i="4"/>
  <c r="H1592" i="4"/>
  <c r="I1592" i="4" s="1"/>
  <c r="G1592" i="4"/>
  <c r="J1591" i="4"/>
  <c r="H1591" i="4"/>
  <c r="I1591" i="4" s="1"/>
  <c r="G1591" i="4"/>
  <c r="J1590" i="4"/>
  <c r="H1590" i="4"/>
  <c r="I1590" i="4" s="1"/>
  <c r="G1590" i="4"/>
  <c r="J1589" i="4"/>
  <c r="H1589" i="4"/>
  <c r="I1589" i="4" s="1"/>
  <c r="G1589" i="4"/>
  <c r="J1588" i="4"/>
  <c r="H1588" i="4"/>
  <c r="I1588" i="4" s="1"/>
  <c r="G1588" i="4"/>
  <c r="J1587" i="4"/>
  <c r="H1587" i="4"/>
  <c r="I1587" i="4" s="1"/>
  <c r="G1587" i="4"/>
  <c r="J1586" i="4"/>
  <c r="H1586" i="4"/>
  <c r="I1586" i="4" s="1"/>
  <c r="G1586" i="4"/>
  <c r="J1585" i="4"/>
  <c r="H1585" i="4"/>
  <c r="I1585" i="4" s="1"/>
  <c r="G1585" i="4"/>
  <c r="J1584" i="4"/>
  <c r="H1584" i="4"/>
  <c r="I1584" i="4" s="1"/>
  <c r="G1584" i="4"/>
  <c r="J1583" i="4"/>
  <c r="H1583" i="4"/>
  <c r="I1583" i="4" s="1"/>
  <c r="G1583" i="4"/>
  <c r="J1582" i="4"/>
  <c r="H1582" i="4"/>
  <c r="I1582" i="4" s="1"/>
  <c r="G1582" i="4"/>
  <c r="J1581" i="4"/>
  <c r="H1581" i="4"/>
  <c r="I1581" i="4" s="1"/>
  <c r="G1581" i="4"/>
  <c r="J1580" i="4"/>
  <c r="H1580" i="4"/>
  <c r="I1580" i="4" s="1"/>
  <c r="G1580" i="4"/>
  <c r="J1579" i="4"/>
  <c r="H1579" i="4"/>
  <c r="I1579" i="4" s="1"/>
  <c r="G1579" i="4"/>
  <c r="J1578" i="4"/>
  <c r="H1578" i="4"/>
  <c r="I1578" i="4" s="1"/>
  <c r="G1578" i="4"/>
  <c r="J1577" i="4"/>
  <c r="H1577" i="4"/>
  <c r="I1577" i="4" s="1"/>
  <c r="G1577" i="4"/>
  <c r="J1576" i="4"/>
  <c r="H1576" i="4"/>
  <c r="I1576" i="4" s="1"/>
  <c r="G1576" i="4"/>
  <c r="J1575" i="4"/>
  <c r="H1575" i="4"/>
  <c r="I1575" i="4" s="1"/>
  <c r="G1575" i="4"/>
  <c r="J1574" i="4"/>
  <c r="H1574" i="4"/>
  <c r="I1574" i="4" s="1"/>
  <c r="G1574" i="4"/>
  <c r="J1573" i="4"/>
  <c r="H1573" i="4"/>
  <c r="I1573" i="4" s="1"/>
  <c r="G1573" i="4"/>
  <c r="J1572" i="4"/>
  <c r="H1572" i="4"/>
  <c r="I1572" i="4" s="1"/>
  <c r="G1572" i="4"/>
  <c r="J1571" i="4"/>
  <c r="H1571" i="4"/>
  <c r="I1571" i="4" s="1"/>
  <c r="G1571" i="4"/>
  <c r="J1570" i="4"/>
  <c r="H1570" i="4"/>
  <c r="I1570" i="4" s="1"/>
  <c r="G1570" i="4"/>
  <c r="J1569" i="4"/>
  <c r="H1569" i="4"/>
  <c r="I1569" i="4" s="1"/>
  <c r="G1569" i="4"/>
  <c r="J1568" i="4"/>
  <c r="H1568" i="4"/>
  <c r="I1568" i="4" s="1"/>
  <c r="G1568" i="4"/>
  <c r="J1567" i="4"/>
  <c r="H1567" i="4"/>
  <c r="I1567" i="4" s="1"/>
  <c r="G1567" i="4"/>
  <c r="J1566" i="4"/>
  <c r="H1566" i="4"/>
  <c r="I1566" i="4" s="1"/>
  <c r="G1566" i="4"/>
  <c r="J1565" i="4"/>
  <c r="H1565" i="4"/>
  <c r="I1565" i="4" s="1"/>
  <c r="G1565" i="4"/>
  <c r="J1564" i="4"/>
  <c r="H1564" i="4"/>
  <c r="I1564" i="4" s="1"/>
  <c r="G1564" i="4"/>
  <c r="J1563" i="4"/>
  <c r="H1563" i="4"/>
  <c r="I1563" i="4" s="1"/>
  <c r="G1563" i="4"/>
  <c r="J1562" i="4"/>
  <c r="H1562" i="4"/>
  <c r="I1562" i="4" s="1"/>
  <c r="G1562" i="4"/>
  <c r="J1561" i="4"/>
  <c r="H1561" i="4"/>
  <c r="I1561" i="4" s="1"/>
  <c r="G1561" i="4"/>
  <c r="J1560" i="4"/>
  <c r="H1560" i="4"/>
  <c r="I1560" i="4" s="1"/>
  <c r="G1560" i="4"/>
  <c r="J1559" i="4"/>
  <c r="H1559" i="4"/>
  <c r="I1559" i="4" s="1"/>
  <c r="G1559" i="4"/>
  <c r="J1558" i="4"/>
  <c r="H1558" i="4"/>
  <c r="I1558" i="4" s="1"/>
  <c r="G1558" i="4"/>
  <c r="J1557" i="4"/>
  <c r="H1557" i="4"/>
  <c r="I1557" i="4" s="1"/>
  <c r="G1557" i="4"/>
  <c r="J1556" i="4"/>
  <c r="H1556" i="4"/>
  <c r="I1556" i="4" s="1"/>
  <c r="G1556" i="4"/>
  <c r="J1555" i="4"/>
  <c r="H1555" i="4"/>
  <c r="I1555" i="4" s="1"/>
  <c r="G1555" i="4"/>
  <c r="J1554" i="4"/>
  <c r="H1554" i="4"/>
  <c r="I1554" i="4" s="1"/>
  <c r="G1554" i="4"/>
  <c r="J1553" i="4"/>
  <c r="H1553" i="4"/>
  <c r="I1553" i="4" s="1"/>
  <c r="G1553" i="4"/>
  <c r="J1552" i="4"/>
  <c r="H1552" i="4"/>
  <c r="I1552" i="4" s="1"/>
  <c r="G1552" i="4"/>
  <c r="J1551" i="4"/>
  <c r="H1551" i="4"/>
  <c r="I1551" i="4" s="1"/>
  <c r="G1551" i="4"/>
  <c r="J1550" i="4"/>
  <c r="H1550" i="4"/>
  <c r="I1550" i="4" s="1"/>
  <c r="G1550" i="4"/>
  <c r="J1549" i="4"/>
  <c r="H1549" i="4"/>
  <c r="I1549" i="4" s="1"/>
  <c r="G1549" i="4"/>
  <c r="J1548" i="4"/>
  <c r="H1548" i="4"/>
  <c r="I1548" i="4" s="1"/>
  <c r="G1548" i="4"/>
  <c r="J1547" i="4"/>
  <c r="H1547" i="4"/>
  <c r="I1547" i="4" s="1"/>
  <c r="G1547" i="4"/>
  <c r="J1546" i="4"/>
  <c r="H1546" i="4"/>
  <c r="I1546" i="4" s="1"/>
  <c r="G1546" i="4"/>
  <c r="J1545" i="4"/>
  <c r="H1545" i="4"/>
  <c r="I1545" i="4" s="1"/>
  <c r="G1545" i="4"/>
  <c r="J1544" i="4"/>
  <c r="H1544" i="4"/>
  <c r="I1544" i="4" s="1"/>
  <c r="G1544" i="4"/>
  <c r="J1543" i="4"/>
  <c r="H1543" i="4"/>
  <c r="I1543" i="4" s="1"/>
  <c r="G1543" i="4"/>
  <c r="J1542" i="4"/>
  <c r="H1542" i="4"/>
  <c r="I1542" i="4" s="1"/>
  <c r="G1542" i="4"/>
  <c r="J1541" i="4"/>
  <c r="H1541" i="4"/>
  <c r="I1541" i="4" s="1"/>
  <c r="G1541" i="4"/>
  <c r="J1540" i="4"/>
  <c r="H1540" i="4"/>
  <c r="I1540" i="4" s="1"/>
  <c r="G1540" i="4"/>
  <c r="J1539" i="4"/>
  <c r="H1539" i="4"/>
  <c r="I1539" i="4" s="1"/>
  <c r="G1539" i="4"/>
  <c r="J1538" i="4"/>
  <c r="H1538" i="4"/>
  <c r="I1538" i="4" s="1"/>
  <c r="G1538" i="4"/>
  <c r="J1537" i="4"/>
  <c r="H1537" i="4"/>
  <c r="I1537" i="4" s="1"/>
  <c r="G1537" i="4"/>
  <c r="J1536" i="4"/>
  <c r="H1536" i="4"/>
  <c r="I1536" i="4" s="1"/>
  <c r="G1536" i="4"/>
  <c r="J1535" i="4"/>
  <c r="H1535" i="4"/>
  <c r="I1535" i="4" s="1"/>
  <c r="G1535" i="4"/>
  <c r="J1534" i="4"/>
  <c r="H1534" i="4"/>
  <c r="I1534" i="4" s="1"/>
  <c r="G1534" i="4"/>
  <c r="J1533" i="4"/>
  <c r="H1533" i="4"/>
  <c r="I1533" i="4" s="1"/>
  <c r="G1533" i="4"/>
  <c r="J1532" i="4"/>
  <c r="H1532" i="4"/>
  <c r="I1532" i="4" s="1"/>
  <c r="G1532" i="4"/>
  <c r="J1531" i="4"/>
  <c r="H1531" i="4"/>
  <c r="I1531" i="4" s="1"/>
  <c r="G1531" i="4"/>
  <c r="J1530" i="4"/>
  <c r="H1530" i="4"/>
  <c r="I1530" i="4" s="1"/>
  <c r="G1530" i="4"/>
  <c r="J1529" i="4"/>
  <c r="H1529" i="4"/>
  <c r="I1529" i="4" s="1"/>
  <c r="G1529" i="4"/>
  <c r="J1528" i="4"/>
  <c r="H1528" i="4"/>
  <c r="I1528" i="4" s="1"/>
  <c r="G1528" i="4"/>
  <c r="J1527" i="4"/>
  <c r="H1527" i="4"/>
  <c r="I1527" i="4" s="1"/>
  <c r="G1527" i="4"/>
  <c r="J1526" i="4"/>
  <c r="H1526" i="4"/>
  <c r="I1526" i="4" s="1"/>
  <c r="G1526" i="4"/>
  <c r="J1525" i="4"/>
  <c r="H1525" i="4"/>
  <c r="I1525" i="4" s="1"/>
  <c r="G1525" i="4"/>
  <c r="J1524" i="4"/>
  <c r="H1524" i="4"/>
  <c r="I1524" i="4" s="1"/>
  <c r="G1524" i="4"/>
  <c r="J1523" i="4"/>
  <c r="H1523" i="4"/>
  <c r="I1523" i="4" s="1"/>
  <c r="G1523" i="4"/>
  <c r="J1522" i="4"/>
  <c r="H1522" i="4"/>
  <c r="I1522" i="4" s="1"/>
  <c r="G1522" i="4"/>
  <c r="J1521" i="4"/>
  <c r="H1521" i="4"/>
  <c r="I1521" i="4" s="1"/>
  <c r="G1521" i="4"/>
  <c r="J1520" i="4"/>
  <c r="H1520" i="4"/>
  <c r="I1520" i="4" s="1"/>
  <c r="G1520" i="4"/>
  <c r="J1519" i="4"/>
  <c r="H1519" i="4"/>
  <c r="I1519" i="4" s="1"/>
  <c r="G1519" i="4"/>
  <c r="J1518" i="4"/>
  <c r="H1518" i="4"/>
  <c r="I1518" i="4" s="1"/>
  <c r="G1518" i="4"/>
  <c r="J1517" i="4"/>
  <c r="H1517" i="4"/>
  <c r="I1517" i="4" s="1"/>
  <c r="G1517" i="4"/>
  <c r="J1516" i="4"/>
  <c r="H1516" i="4"/>
  <c r="I1516" i="4" s="1"/>
  <c r="G1516" i="4"/>
  <c r="J1515" i="4"/>
  <c r="H1515" i="4"/>
  <c r="I1515" i="4" s="1"/>
  <c r="G1515" i="4"/>
  <c r="J1514" i="4"/>
  <c r="H1514" i="4"/>
  <c r="I1514" i="4" s="1"/>
  <c r="G1514" i="4"/>
  <c r="J1513" i="4"/>
  <c r="H1513" i="4"/>
  <c r="I1513" i="4" s="1"/>
  <c r="G1513" i="4"/>
  <c r="J1512" i="4"/>
  <c r="H1512" i="4"/>
  <c r="I1512" i="4" s="1"/>
  <c r="G1512" i="4"/>
  <c r="J1511" i="4"/>
  <c r="H1511" i="4"/>
  <c r="I1511" i="4" s="1"/>
  <c r="G1511" i="4"/>
  <c r="J1510" i="4"/>
  <c r="H1510" i="4"/>
  <c r="I1510" i="4" s="1"/>
  <c r="G1510" i="4"/>
  <c r="J1509" i="4"/>
  <c r="H1509" i="4"/>
  <c r="I1509" i="4" s="1"/>
  <c r="G1509" i="4"/>
  <c r="J1508" i="4"/>
  <c r="H1508" i="4"/>
  <c r="I1508" i="4" s="1"/>
  <c r="G1508" i="4"/>
  <c r="J1507" i="4"/>
  <c r="H1507" i="4"/>
  <c r="I1507" i="4" s="1"/>
  <c r="G1507" i="4"/>
  <c r="J1506" i="4"/>
  <c r="H1506" i="4"/>
  <c r="I1506" i="4" s="1"/>
  <c r="G1506" i="4"/>
  <c r="J1505" i="4"/>
  <c r="H1505" i="4"/>
  <c r="I1505" i="4" s="1"/>
  <c r="G1505" i="4"/>
  <c r="J1504" i="4"/>
  <c r="H1504" i="4"/>
  <c r="I1504" i="4" s="1"/>
  <c r="G1504" i="4"/>
  <c r="J1503" i="4"/>
  <c r="H1503" i="4"/>
  <c r="I1503" i="4" s="1"/>
  <c r="G1503" i="4"/>
  <c r="J1502" i="4"/>
  <c r="H1502" i="4"/>
  <c r="I1502" i="4" s="1"/>
  <c r="G1502" i="4"/>
  <c r="J1501" i="4"/>
  <c r="H1501" i="4"/>
  <c r="I1501" i="4" s="1"/>
  <c r="G1501" i="4"/>
  <c r="J1500" i="4"/>
  <c r="H1500" i="4"/>
  <c r="I1500" i="4" s="1"/>
  <c r="G1500" i="4"/>
  <c r="J1499" i="4"/>
  <c r="H1499" i="4"/>
  <c r="I1499" i="4" s="1"/>
  <c r="G1499" i="4"/>
  <c r="J1498" i="4"/>
  <c r="H1498" i="4"/>
  <c r="I1498" i="4" s="1"/>
  <c r="G1498" i="4"/>
  <c r="J1497" i="4"/>
  <c r="H1497" i="4"/>
  <c r="I1497" i="4" s="1"/>
  <c r="G1497" i="4"/>
  <c r="J1496" i="4"/>
  <c r="H1496" i="4"/>
  <c r="I1496" i="4" s="1"/>
  <c r="G1496" i="4"/>
  <c r="J1495" i="4"/>
  <c r="H1495" i="4"/>
  <c r="I1495" i="4" s="1"/>
  <c r="G1495" i="4"/>
  <c r="J1494" i="4"/>
  <c r="H1494" i="4"/>
  <c r="I1494" i="4" s="1"/>
  <c r="G1494" i="4"/>
  <c r="J1493" i="4"/>
  <c r="H1493" i="4"/>
  <c r="I1493" i="4" s="1"/>
  <c r="G1493" i="4"/>
  <c r="J1492" i="4"/>
  <c r="H1492" i="4"/>
  <c r="I1492" i="4" s="1"/>
  <c r="G1492" i="4"/>
  <c r="J1491" i="4"/>
  <c r="H1491" i="4"/>
  <c r="I1491" i="4" s="1"/>
  <c r="G1491" i="4"/>
  <c r="J1490" i="4"/>
  <c r="H1490" i="4"/>
  <c r="I1490" i="4" s="1"/>
  <c r="G1490" i="4"/>
  <c r="J1489" i="4"/>
  <c r="H1489" i="4"/>
  <c r="I1489" i="4" s="1"/>
  <c r="G1489" i="4"/>
  <c r="J1488" i="4"/>
  <c r="H1488" i="4"/>
  <c r="I1488" i="4" s="1"/>
  <c r="G1488" i="4"/>
  <c r="J1487" i="4"/>
  <c r="H1487" i="4"/>
  <c r="I1487" i="4" s="1"/>
  <c r="G1487" i="4"/>
  <c r="J1486" i="4"/>
  <c r="H1486" i="4"/>
  <c r="I1486" i="4" s="1"/>
  <c r="G1486" i="4"/>
  <c r="J1485" i="4"/>
  <c r="H1485" i="4"/>
  <c r="I1485" i="4" s="1"/>
  <c r="G1485" i="4"/>
  <c r="J1484" i="4"/>
  <c r="H1484" i="4"/>
  <c r="I1484" i="4" s="1"/>
  <c r="G1484" i="4"/>
  <c r="J1483" i="4"/>
  <c r="H1483" i="4"/>
  <c r="I1483" i="4" s="1"/>
  <c r="G1483" i="4"/>
  <c r="J1482" i="4"/>
  <c r="H1482" i="4"/>
  <c r="I1482" i="4" s="1"/>
  <c r="G1482" i="4"/>
  <c r="J1481" i="4"/>
  <c r="H1481" i="4"/>
  <c r="I1481" i="4" s="1"/>
  <c r="G1481" i="4"/>
  <c r="J1480" i="4"/>
  <c r="H1480" i="4"/>
  <c r="I1480" i="4" s="1"/>
  <c r="G1480" i="4"/>
  <c r="J1479" i="4"/>
  <c r="H1479" i="4"/>
  <c r="I1479" i="4" s="1"/>
  <c r="G1479" i="4"/>
  <c r="J1478" i="4"/>
  <c r="H1478" i="4"/>
  <c r="I1478" i="4" s="1"/>
  <c r="G1478" i="4"/>
  <c r="J1477" i="4"/>
  <c r="H1477" i="4"/>
  <c r="I1477" i="4" s="1"/>
  <c r="G1477" i="4"/>
  <c r="J1476" i="4"/>
  <c r="H1476" i="4"/>
  <c r="I1476" i="4" s="1"/>
  <c r="G1476" i="4"/>
  <c r="J1475" i="4"/>
  <c r="H1475" i="4"/>
  <c r="I1475" i="4" s="1"/>
  <c r="G1475" i="4"/>
  <c r="J1474" i="4"/>
  <c r="H1474" i="4"/>
  <c r="I1474" i="4" s="1"/>
  <c r="G1474" i="4"/>
  <c r="J1473" i="4"/>
  <c r="H1473" i="4"/>
  <c r="I1473" i="4" s="1"/>
  <c r="G1473" i="4"/>
  <c r="J1472" i="4"/>
  <c r="H1472" i="4"/>
  <c r="I1472" i="4" s="1"/>
  <c r="G1472" i="4"/>
  <c r="J1471" i="4"/>
  <c r="H1471" i="4"/>
  <c r="I1471" i="4" s="1"/>
  <c r="G1471" i="4"/>
  <c r="J1470" i="4"/>
  <c r="H1470" i="4"/>
  <c r="I1470" i="4" s="1"/>
  <c r="G1470" i="4"/>
  <c r="J1469" i="4"/>
  <c r="H1469" i="4"/>
  <c r="I1469" i="4" s="1"/>
  <c r="G1469" i="4"/>
  <c r="J1468" i="4"/>
  <c r="H1468" i="4"/>
  <c r="I1468" i="4" s="1"/>
  <c r="G1468" i="4"/>
  <c r="J1467" i="4"/>
  <c r="H1467" i="4"/>
  <c r="I1467" i="4" s="1"/>
  <c r="G1467" i="4"/>
  <c r="J1466" i="4"/>
  <c r="H1466" i="4"/>
  <c r="I1466" i="4" s="1"/>
  <c r="G1466" i="4"/>
  <c r="J1465" i="4"/>
  <c r="H1465" i="4"/>
  <c r="I1465" i="4" s="1"/>
  <c r="G1465" i="4"/>
  <c r="J1464" i="4"/>
  <c r="H1464" i="4"/>
  <c r="I1464" i="4" s="1"/>
  <c r="G1464" i="4"/>
  <c r="J1463" i="4"/>
  <c r="H1463" i="4"/>
  <c r="I1463" i="4" s="1"/>
  <c r="G1463" i="4"/>
  <c r="J1462" i="4"/>
  <c r="H1462" i="4"/>
  <c r="I1462" i="4" s="1"/>
  <c r="G1462" i="4"/>
  <c r="J1461" i="4"/>
  <c r="H1461" i="4"/>
  <c r="I1461" i="4" s="1"/>
  <c r="G1461" i="4"/>
  <c r="J1460" i="4"/>
  <c r="H1460" i="4"/>
  <c r="I1460" i="4" s="1"/>
  <c r="G1460" i="4"/>
  <c r="J1459" i="4"/>
  <c r="H1459" i="4"/>
  <c r="I1459" i="4" s="1"/>
  <c r="G1459" i="4"/>
  <c r="J1458" i="4"/>
  <c r="H1458" i="4"/>
  <c r="I1458" i="4" s="1"/>
  <c r="G1458" i="4"/>
  <c r="J1457" i="4"/>
  <c r="H1457" i="4"/>
  <c r="I1457" i="4" s="1"/>
  <c r="G1457" i="4"/>
  <c r="J1456" i="4"/>
  <c r="H1456" i="4"/>
  <c r="I1456" i="4" s="1"/>
  <c r="G1456" i="4"/>
  <c r="J1455" i="4"/>
  <c r="H1455" i="4"/>
  <c r="I1455" i="4" s="1"/>
  <c r="G1455" i="4"/>
  <c r="J1454" i="4"/>
  <c r="H1454" i="4"/>
  <c r="I1454" i="4" s="1"/>
  <c r="G1454" i="4"/>
  <c r="J1453" i="4"/>
  <c r="H1453" i="4"/>
  <c r="I1453" i="4" s="1"/>
  <c r="G1453" i="4"/>
  <c r="J1452" i="4"/>
  <c r="H1452" i="4"/>
  <c r="I1452" i="4" s="1"/>
  <c r="G1452" i="4"/>
  <c r="J1451" i="4"/>
  <c r="H1451" i="4"/>
  <c r="I1451" i="4" s="1"/>
  <c r="G1451" i="4"/>
  <c r="J1450" i="4"/>
  <c r="H1450" i="4"/>
  <c r="I1450" i="4" s="1"/>
  <c r="G1450" i="4"/>
  <c r="J1449" i="4"/>
  <c r="H1449" i="4"/>
  <c r="I1449" i="4" s="1"/>
  <c r="G1449" i="4"/>
  <c r="J1448" i="4"/>
  <c r="H1448" i="4"/>
  <c r="I1448" i="4" s="1"/>
  <c r="G1448" i="4"/>
  <c r="J1447" i="4"/>
  <c r="H1447" i="4"/>
  <c r="I1447" i="4" s="1"/>
  <c r="G1447" i="4"/>
  <c r="J1446" i="4"/>
  <c r="H1446" i="4"/>
  <c r="I1446" i="4" s="1"/>
  <c r="G1446" i="4"/>
  <c r="J1445" i="4"/>
  <c r="H1445" i="4"/>
  <c r="I1445" i="4" s="1"/>
  <c r="G1445" i="4"/>
  <c r="J1444" i="4"/>
  <c r="H1444" i="4"/>
  <c r="I1444" i="4" s="1"/>
  <c r="G1444" i="4"/>
  <c r="J1443" i="4"/>
  <c r="H1443" i="4"/>
  <c r="I1443" i="4" s="1"/>
  <c r="G1443" i="4"/>
  <c r="J1442" i="4"/>
  <c r="H1442" i="4"/>
  <c r="I1442" i="4" s="1"/>
  <c r="G1442" i="4"/>
  <c r="J1441" i="4"/>
  <c r="H1441" i="4"/>
  <c r="I1441" i="4" s="1"/>
  <c r="G1441" i="4"/>
  <c r="J1440" i="4"/>
  <c r="H1440" i="4"/>
  <c r="I1440" i="4" s="1"/>
  <c r="G1440" i="4"/>
  <c r="J1439" i="4"/>
  <c r="H1439" i="4"/>
  <c r="I1439" i="4" s="1"/>
  <c r="G1439" i="4"/>
  <c r="J1438" i="4"/>
  <c r="H1438" i="4"/>
  <c r="I1438" i="4" s="1"/>
  <c r="G1438" i="4"/>
  <c r="J1437" i="4"/>
  <c r="H1437" i="4"/>
  <c r="I1437" i="4" s="1"/>
  <c r="G1437" i="4"/>
  <c r="J1436" i="4"/>
  <c r="H1436" i="4"/>
  <c r="I1436" i="4" s="1"/>
  <c r="G1436" i="4"/>
  <c r="J1435" i="4"/>
  <c r="H1435" i="4"/>
  <c r="I1435" i="4" s="1"/>
  <c r="G1435" i="4"/>
  <c r="J1434" i="4"/>
  <c r="H1434" i="4"/>
  <c r="I1434" i="4" s="1"/>
  <c r="G1434" i="4"/>
  <c r="J1433" i="4"/>
  <c r="H1433" i="4"/>
  <c r="I1433" i="4" s="1"/>
  <c r="G1433" i="4"/>
  <c r="J1432" i="4"/>
  <c r="H1432" i="4"/>
  <c r="I1432" i="4" s="1"/>
  <c r="G1432" i="4"/>
  <c r="J1431" i="4"/>
  <c r="H1431" i="4"/>
  <c r="I1431" i="4" s="1"/>
  <c r="G1431" i="4"/>
  <c r="J1430" i="4"/>
  <c r="H1430" i="4"/>
  <c r="I1430" i="4" s="1"/>
  <c r="G1430" i="4"/>
  <c r="J1429" i="4"/>
  <c r="H1429" i="4"/>
  <c r="I1429" i="4" s="1"/>
  <c r="G1429" i="4"/>
  <c r="J1428" i="4"/>
  <c r="H1428" i="4"/>
  <c r="I1428" i="4" s="1"/>
  <c r="G1428" i="4"/>
  <c r="J1427" i="4"/>
  <c r="H1427" i="4"/>
  <c r="I1427" i="4" s="1"/>
  <c r="G1427" i="4"/>
  <c r="J1426" i="4"/>
  <c r="H1426" i="4"/>
  <c r="I1426" i="4" s="1"/>
  <c r="G1426" i="4"/>
  <c r="J1425" i="4"/>
  <c r="H1425" i="4"/>
  <c r="I1425" i="4" s="1"/>
  <c r="G1425" i="4"/>
  <c r="J1424" i="4"/>
  <c r="H1424" i="4"/>
  <c r="I1424" i="4" s="1"/>
  <c r="G1424" i="4"/>
  <c r="J1423" i="4"/>
  <c r="H1423" i="4"/>
  <c r="I1423" i="4" s="1"/>
  <c r="G1423" i="4"/>
  <c r="J1422" i="4"/>
  <c r="H1422" i="4"/>
  <c r="I1422" i="4" s="1"/>
  <c r="G1422" i="4"/>
  <c r="J1421" i="4"/>
  <c r="H1421" i="4"/>
  <c r="I1421" i="4" s="1"/>
  <c r="G1421" i="4"/>
  <c r="J1420" i="4"/>
  <c r="H1420" i="4"/>
  <c r="I1420" i="4" s="1"/>
  <c r="G1420" i="4"/>
  <c r="J1419" i="4"/>
  <c r="H1419" i="4"/>
  <c r="I1419" i="4" s="1"/>
  <c r="G1419" i="4"/>
  <c r="J1418" i="4"/>
  <c r="H1418" i="4"/>
  <c r="I1418" i="4" s="1"/>
  <c r="G1418" i="4"/>
  <c r="J1417" i="4"/>
  <c r="H1417" i="4"/>
  <c r="I1417" i="4" s="1"/>
  <c r="G1417" i="4"/>
  <c r="J1416" i="4"/>
  <c r="H1416" i="4"/>
  <c r="I1416" i="4" s="1"/>
  <c r="G1416" i="4"/>
  <c r="J1415" i="4"/>
  <c r="H1415" i="4"/>
  <c r="I1415" i="4" s="1"/>
  <c r="G1415" i="4"/>
  <c r="J1414" i="4"/>
  <c r="H1414" i="4"/>
  <c r="I1414" i="4" s="1"/>
  <c r="G1414" i="4"/>
  <c r="J1413" i="4"/>
  <c r="H1413" i="4"/>
  <c r="I1413" i="4" s="1"/>
  <c r="G1413" i="4"/>
  <c r="J1412" i="4"/>
  <c r="H1412" i="4"/>
  <c r="I1412" i="4" s="1"/>
  <c r="G1412" i="4"/>
  <c r="J1411" i="4"/>
  <c r="H1411" i="4"/>
  <c r="I1411" i="4" s="1"/>
  <c r="G1411" i="4"/>
  <c r="J1410" i="4"/>
  <c r="H1410" i="4"/>
  <c r="I1410" i="4" s="1"/>
  <c r="G1410" i="4"/>
  <c r="J1409" i="4"/>
  <c r="H1409" i="4"/>
  <c r="I1409" i="4" s="1"/>
  <c r="G1409" i="4"/>
  <c r="J1408" i="4"/>
  <c r="H1408" i="4"/>
  <c r="I1408" i="4" s="1"/>
  <c r="G1408" i="4"/>
  <c r="J1407" i="4"/>
  <c r="H1407" i="4"/>
  <c r="I1407" i="4" s="1"/>
  <c r="G1407" i="4"/>
  <c r="J1406" i="4"/>
  <c r="H1406" i="4"/>
  <c r="I1406" i="4" s="1"/>
  <c r="G1406" i="4"/>
  <c r="J1405" i="4"/>
  <c r="H1405" i="4"/>
  <c r="I1405" i="4" s="1"/>
  <c r="G1405" i="4"/>
  <c r="J1404" i="4"/>
  <c r="H1404" i="4"/>
  <c r="I1404" i="4" s="1"/>
  <c r="G1404" i="4"/>
  <c r="J1403" i="4"/>
  <c r="H1403" i="4"/>
  <c r="I1403" i="4" s="1"/>
  <c r="G1403" i="4"/>
  <c r="J1402" i="4"/>
  <c r="H1402" i="4"/>
  <c r="I1402" i="4" s="1"/>
  <c r="G1402" i="4"/>
  <c r="J1401" i="4"/>
  <c r="H1401" i="4"/>
  <c r="I1401" i="4" s="1"/>
  <c r="G1401" i="4"/>
  <c r="J1400" i="4"/>
  <c r="H1400" i="4"/>
  <c r="I1400" i="4" s="1"/>
  <c r="G1400" i="4"/>
  <c r="J1399" i="4"/>
  <c r="H1399" i="4"/>
  <c r="I1399" i="4" s="1"/>
  <c r="G1399" i="4"/>
  <c r="J1398" i="4"/>
  <c r="H1398" i="4"/>
  <c r="I1398" i="4" s="1"/>
  <c r="G1398" i="4"/>
  <c r="J1397" i="4"/>
  <c r="H1397" i="4"/>
  <c r="I1397" i="4" s="1"/>
  <c r="G1397" i="4"/>
  <c r="J1396" i="4"/>
  <c r="H1396" i="4"/>
  <c r="I1396" i="4" s="1"/>
  <c r="G1396" i="4"/>
  <c r="J1395" i="4"/>
  <c r="H1395" i="4"/>
  <c r="I1395" i="4" s="1"/>
  <c r="G1395" i="4"/>
  <c r="J1394" i="4"/>
  <c r="H1394" i="4"/>
  <c r="I1394" i="4" s="1"/>
  <c r="G1394" i="4"/>
  <c r="J1393" i="4"/>
  <c r="H1393" i="4"/>
  <c r="I1393" i="4" s="1"/>
  <c r="G1393" i="4"/>
  <c r="J1392" i="4"/>
  <c r="H1392" i="4"/>
  <c r="I1392" i="4" s="1"/>
  <c r="G1392" i="4"/>
  <c r="J1391" i="4"/>
  <c r="H1391" i="4"/>
  <c r="I1391" i="4" s="1"/>
  <c r="G1391" i="4"/>
  <c r="J1390" i="4"/>
  <c r="H1390" i="4"/>
  <c r="I1390" i="4" s="1"/>
  <c r="G1390" i="4"/>
  <c r="J1389" i="4"/>
  <c r="H1389" i="4"/>
  <c r="I1389" i="4" s="1"/>
  <c r="G1389" i="4"/>
  <c r="J1388" i="4"/>
  <c r="H1388" i="4"/>
  <c r="I1388" i="4" s="1"/>
  <c r="G1388" i="4"/>
  <c r="J1387" i="4"/>
  <c r="H1387" i="4"/>
  <c r="I1387" i="4" s="1"/>
  <c r="G1387" i="4"/>
  <c r="J1386" i="4"/>
  <c r="H1386" i="4"/>
  <c r="I1386" i="4" s="1"/>
  <c r="G1386" i="4"/>
  <c r="J1385" i="4"/>
  <c r="H1385" i="4"/>
  <c r="I1385" i="4" s="1"/>
  <c r="G1385" i="4"/>
  <c r="J1384" i="4"/>
  <c r="H1384" i="4"/>
  <c r="I1384" i="4" s="1"/>
  <c r="G1384" i="4"/>
  <c r="J1383" i="4"/>
  <c r="H1383" i="4"/>
  <c r="I1383" i="4" s="1"/>
  <c r="G1383" i="4"/>
  <c r="J1382" i="4"/>
  <c r="H1382" i="4"/>
  <c r="I1382" i="4" s="1"/>
  <c r="G1382" i="4"/>
  <c r="J1381" i="4"/>
  <c r="H1381" i="4"/>
  <c r="I1381" i="4" s="1"/>
  <c r="G1381" i="4"/>
  <c r="J1380" i="4"/>
  <c r="H1380" i="4"/>
  <c r="I1380" i="4" s="1"/>
  <c r="G1380" i="4"/>
  <c r="J1379" i="4"/>
  <c r="H1379" i="4"/>
  <c r="I1379" i="4" s="1"/>
  <c r="G1379" i="4"/>
  <c r="J1378" i="4"/>
  <c r="H1378" i="4"/>
  <c r="I1378" i="4" s="1"/>
  <c r="G1378" i="4"/>
  <c r="J1377" i="4"/>
  <c r="H1377" i="4"/>
  <c r="I1377" i="4" s="1"/>
  <c r="G1377" i="4"/>
  <c r="J1376" i="4"/>
  <c r="H1376" i="4"/>
  <c r="I1376" i="4" s="1"/>
  <c r="G1376" i="4"/>
  <c r="J1375" i="4"/>
  <c r="H1375" i="4"/>
  <c r="I1375" i="4" s="1"/>
  <c r="G1375" i="4"/>
  <c r="J1374" i="4"/>
  <c r="H1374" i="4"/>
  <c r="I1374" i="4" s="1"/>
  <c r="G1374" i="4"/>
  <c r="J1373" i="4"/>
  <c r="H1373" i="4"/>
  <c r="I1373" i="4" s="1"/>
  <c r="G1373" i="4"/>
  <c r="J1372" i="4"/>
  <c r="H1372" i="4"/>
  <c r="I1372" i="4" s="1"/>
  <c r="G1372" i="4"/>
  <c r="J1371" i="4"/>
  <c r="H1371" i="4"/>
  <c r="I1371" i="4" s="1"/>
  <c r="G1371" i="4"/>
  <c r="J1370" i="4"/>
  <c r="H1370" i="4"/>
  <c r="I1370" i="4" s="1"/>
  <c r="G1370" i="4"/>
  <c r="J1369" i="4"/>
  <c r="H1369" i="4"/>
  <c r="I1369" i="4" s="1"/>
  <c r="G1369" i="4"/>
  <c r="J1368" i="4"/>
  <c r="H1368" i="4"/>
  <c r="I1368" i="4" s="1"/>
  <c r="G1368" i="4"/>
  <c r="J1367" i="4"/>
  <c r="H1367" i="4"/>
  <c r="I1367" i="4" s="1"/>
  <c r="G1367" i="4"/>
  <c r="J1366" i="4"/>
  <c r="H1366" i="4"/>
  <c r="I1366" i="4" s="1"/>
  <c r="G1366" i="4"/>
  <c r="J1365" i="4"/>
  <c r="H1365" i="4"/>
  <c r="I1365" i="4" s="1"/>
  <c r="G1365" i="4"/>
  <c r="J1364" i="4"/>
  <c r="H1364" i="4"/>
  <c r="I1364" i="4" s="1"/>
  <c r="G1364" i="4"/>
  <c r="J1363" i="4"/>
  <c r="H1363" i="4"/>
  <c r="I1363" i="4" s="1"/>
  <c r="G1363" i="4"/>
  <c r="J1362" i="4"/>
  <c r="H1362" i="4"/>
  <c r="I1362" i="4" s="1"/>
  <c r="G1362" i="4"/>
  <c r="J1361" i="4"/>
  <c r="H1361" i="4"/>
  <c r="I1361" i="4" s="1"/>
  <c r="G1361" i="4"/>
  <c r="J1360" i="4"/>
  <c r="H1360" i="4"/>
  <c r="I1360" i="4" s="1"/>
  <c r="G1360" i="4"/>
  <c r="J1359" i="4"/>
  <c r="H1359" i="4"/>
  <c r="I1359" i="4" s="1"/>
  <c r="G1359" i="4"/>
  <c r="J1358" i="4"/>
  <c r="H1358" i="4"/>
  <c r="I1358" i="4" s="1"/>
  <c r="G1358" i="4"/>
  <c r="J1357" i="4"/>
  <c r="H1357" i="4"/>
  <c r="I1357" i="4" s="1"/>
  <c r="G1357" i="4"/>
  <c r="J1356" i="4"/>
  <c r="H1356" i="4"/>
  <c r="I1356" i="4" s="1"/>
  <c r="G1356" i="4"/>
  <c r="J1355" i="4"/>
  <c r="H1355" i="4"/>
  <c r="I1355" i="4" s="1"/>
  <c r="G1355" i="4"/>
  <c r="J1354" i="4"/>
  <c r="H1354" i="4"/>
  <c r="I1354" i="4" s="1"/>
  <c r="G1354" i="4"/>
  <c r="J1353" i="4"/>
  <c r="H1353" i="4"/>
  <c r="I1353" i="4" s="1"/>
  <c r="G1353" i="4"/>
  <c r="J1352" i="4"/>
  <c r="H1352" i="4"/>
  <c r="I1352" i="4" s="1"/>
  <c r="G1352" i="4"/>
  <c r="J1351" i="4"/>
  <c r="H1351" i="4"/>
  <c r="I1351" i="4" s="1"/>
  <c r="G1351" i="4"/>
  <c r="J1350" i="4"/>
  <c r="H1350" i="4"/>
  <c r="I1350" i="4" s="1"/>
  <c r="G1350" i="4"/>
  <c r="J1349" i="4"/>
  <c r="H1349" i="4"/>
  <c r="I1349" i="4" s="1"/>
  <c r="G1349" i="4"/>
  <c r="J1348" i="4"/>
  <c r="H1348" i="4"/>
  <c r="I1348" i="4" s="1"/>
  <c r="G1348" i="4"/>
  <c r="J1347" i="4"/>
  <c r="H1347" i="4"/>
  <c r="I1347" i="4" s="1"/>
  <c r="G1347" i="4"/>
  <c r="J1346" i="4"/>
  <c r="H1346" i="4"/>
  <c r="I1346" i="4" s="1"/>
  <c r="G1346" i="4"/>
  <c r="J1345" i="4"/>
  <c r="H1345" i="4"/>
  <c r="I1345" i="4" s="1"/>
  <c r="G1345" i="4"/>
  <c r="J1344" i="4"/>
  <c r="H1344" i="4"/>
  <c r="I1344" i="4" s="1"/>
  <c r="G1344" i="4"/>
  <c r="J1343" i="4"/>
  <c r="H1343" i="4"/>
  <c r="I1343" i="4" s="1"/>
  <c r="G1343" i="4"/>
  <c r="J1342" i="4"/>
  <c r="H1342" i="4"/>
  <c r="I1342" i="4" s="1"/>
  <c r="G1342" i="4"/>
  <c r="J1341" i="4"/>
  <c r="H1341" i="4"/>
  <c r="I1341" i="4" s="1"/>
  <c r="G1341" i="4"/>
  <c r="J1340" i="4"/>
  <c r="H1340" i="4"/>
  <c r="I1340" i="4" s="1"/>
  <c r="G1340" i="4"/>
  <c r="J1339" i="4"/>
  <c r="H1339" i="4"/>
  <c r="I1339" i="4" s="1"/>
  <c r="G1339" i="4"/>
  <c r="J1338" i="4"/>
  <c r="H1338" i="4"/>
  <c r="I1338" i="4" s="1"/>
  <c r="G1338" i="4"/>
  <c r="J1337" i="4"/>
  <c r="H1337" i="4"/>
  <c r="I1337" i="4" s="1"/>
  <c r="G1337" i="4"/>
  <c r="J1336" i="4"/>
  <c r="H1336" i="4"/>
  <c r="I1336" i="4" s="1"/>
  <c r="G1336" i="4"/>
  <c r="J1335" i="4"/>
  <c r="H1335" i="4"/>
  <c r="I1335" i="4" s="1"/>
  <c r="G1335" i="4"/>
  <c r="J1334" i="4"/>
  <c r="H1334" i="4"/>
  <c r="I1334" i="4" s="1"/>
  <c r="G1334" i="4"/>
  <c r="J1333" i="4"/>
  <c r="H1333" i="4"/>
  <c r="I1333" i="4" s="1"/>
  <c r="G1333" i="4"/>
  <c r="J1332" i="4"/>
  <c r="H1332" i="4"/>
  <c r="I1332" i="4" s="1"/>
  <c r="G1332" i="4"/>
  <c r="J1331" i="4"/>
  <c r="H1331" i="4"/>
  <c r="I1331" i="4" s="1"/>
  <c r="G1331" i="4"/>
  <c r="J1330" i="4"/>
  <c r="H1330" i="4"/>
  <c r="I1330" i="4" s="1"/>
  <c r="G1330" i="4"/>
  <c r="J1329" i="4"/>
  <c r="H1329" i="4"/>
  <c r="I1329" i="4" s="1"/>
  <c r="G1329" i="4"/>
  <c r="J1328" i="4"/>
  <c r="H1328" i="4"/>
  <c r="I1328" i="4" s="1"/>
  <c r="G1328" i="4"/>
  <c r="J1327" i="4"/>
  <c r="H1327" i="4"/>
  <c r="I1327" i="4" s="1"/>
  <c r="G1327" i="4"/>
  <c r="J1326" i="4"/>
  <c r="H1326" i="4"/>
  <c r="I1326" i="4" s="1"/>
  <c r="G1326" i="4"/>
  <c r="J1325" i="4"/>
  <c r="H1325" i="4"/>
  <c r="I1325" i="4" s="1"/>
  <c r="G1325" i="4"/>
  <c r="J1324" i="4"/>
  <c r="H1324" i="4"/>
  <c r="I1324" i="4" s="1"/>
  <c r="G1324" i="4"/>
  <c r="J1323" i="4"/>
  <c r="H1323" i="4"/>
  <c r="I1323" i="4" s="1"/>
  <c r="G1323" i="4"/>
  <c r="J1322" i="4"/>
  <c r="H1322" i="4"/>
  <c r="I1322" i="4" s="1"/>
  <c r="G1322" i="4"/>
  <c r="J1321" i="4"/>
  <c r="H1321" i="4"/>
  <c r="I1321" i="4" s="1"/>
  <c r="G1321" i="4"/>
  <c r="J1320" i="4"/>
  <c r="H1320" i="4"/>
  <c r="I1320" i="4" s="1"/>
  <c r="G1320" i="4"/>
  <c r="J1319" i="4"/>
  <c r="H1319" i="4"/>
  <c r="I1319" i="4" s="1"/>
  <c r="G1319" i="4"/>
  <c r="J1318" i="4"/>
  <c r="H1318" i="4"/>
  <c r="I1318" i="4" s="1"/>
  <c r="G1318" i="4"/>
  <c r="J1317" i="4"/>
  <c r="H1317" i="4"/>
  <c r="I1317" i="4" s="1"/>
  <c r="G1317" i="4"/>
  <c r="J1316" i="4"/>
  <c r="H1316" i="4"/>
  <c r="I1316" i="4" s="1"/>
  <c r="G1316" i="4"/>
  <c r="J1315" i="4"/>
  <c r="H1315" i="4"/>
  <c r="I1315" i="4" s="1"/>
  <c r="G1315" i="4"/>
  <c r="J1314" i="4"/>
  <c r="H1314" i="4"/>
  <c r="I1314" i="4" s="1"/>
  <c r="G1314" i="4"/>
  <c r="J1313" i="4"/>
  <c r="H1313" i="4"/>
  <c r="I1313" i="4" s="1"/>
  <c r="G1313" i="4"/>
  <c r="J1312" i="4"/>
  <c r="H1312" i="4"/>
  <c r="I1312" i="4" s="1"/>
  <c r="G1312" i="4"/>
  <c r="J1311" i="4"/>
  <c r="H1311" i="4"/>
  <c r="I1311" i="4" s="1"/>
  <c r="G1311" i="4"/>
  <c r="J1310" i="4"/>
  <c r="H1310" i="4"/>
  <c r="I1310" i="4" s="1"/>
  <c r="G1310" i="4"/>
  <c r="J1309" i="4"/>
  <c r="H1309" i="4"/>
  <c r="I1309" i="4" s="1"/>
  <c r="G1309" i="4"/>
  <c r="J1308" i="4"/>
  <c r="H1308" i="4"/>
  <c r="I1308" i="4" s="1"/>
  <c r="G1308" i="4"/>
  <c r="J1307" i="4"/>
  <c r="H1307" i="4"/>
  <c r="I1307" i="4" s="1"/>
  <c r="G1307" i="4"/>
  <c r="J1306" i="4"/>
  <c r="H1306" i="4"/>
  <c r="I1306" i="4" s="1"/>
  <c r="G1306" i="4"/>
  <c r="J1305" i="4"/>
  <c r="H1305" i="4"/>
  <c r="I1305" i="4" s="1"/>
  <c r="G1305" i="4"/>
  <c r="J1304" i="4"/>
  <c r="H1304" i="4"/>
  <c r="I1304" i="4" s="1"/>
  <c r="G1304" i="4"/>
  <c r="J1303" i="4"/>
  <c r="H1303" i="4"/>
  <c r="I1303" i="4" s="1"/>
  <c r="G1303" i="4"/>
  <c r="J1302" i="4"/>
  <c r="H1302" i="4"/>
  <c r="I1302" i="4" s="1"/>
  <c r="G1302" i="4"/>
  <c r="J1301" i="4"/>
  <c r="H1301" i="4"/>
  <c r="I1301" i="4" s="1"/>
  <c r="G1301" i="4"/>
  <c r="J1300" i="4"/>
  <c r="H1300" i="4"/>
  <c r="I1300" i="4" s="1"/>
  <c r="G1300" i="4"/>
  <c r="J1299" i="4"/>
  <c r="H1299" i="4"/>
  <c r="I1299" i="4" s="1"/>
  <c r="G1299" i="4"/>
  <c r="J1298" i="4"/>
  <c r="H1298" i="4"/>
  <c r="I1298" i="4" s="1"/>
  <c r="G1298" i="4"/>
  <c r="J1297" i="4"/>
  <c r="H1297" i="4"/>
  <c r="I1297" i="4" s="1"/>
  <c r="G1297" i="4"/>
  <c r="J1296" i="4"/>
  <c r="H1296" i="4"/>
  <c r="I1296" i="4" s="1"/>
  <c r="G1296" i="4"/>
  <c r="J1295" i="4"/>
  <c r="H1295" i="4"/>
  <c r="I1295" i="4" s="1"/>
  <c r="G1295" i="4"/>
  <c r="J1294" i="4"/>
  <c r="H1294" i="4"/>
  <c r="I1294" i="4" s="1"/>
  <c r="G1294" i="4"/>
  <c r="J1293" i="4"/>
  <c r="H1293" i="4"/>
  <c r="I1293" i="4" s="1"/>
  <c r="G1293" i="4"/>
  <c r="J1292" i="4"/>
  <c r="H1292" i="4"/>
  <c r="I1292" i="4" s="1"/>
  <c r="G1292" i="4"/>
  <c r="J1291" i="4"/>
  <c r="H1291" i="4"/>
  <c r="I1291" i="4" s="1"/>
  <c r="G1291" i="4"/>
  <c r="J1290" i="4"/>
  <c r="H1290" i="4"/>
  <c r="I1290" i="4" s="1"/>
  <c r="G1290" i="4"/>
  <c r="J1289" i="4"/>
  <c r="H1289" i="4"/>
  <c r="I1289" i="4" s="1"/>
  <c r="G1289" i="4"/>
  <c r="J1288" i="4"/>
  <c r="H1288" i="4"/>
  <c r="I1288" i="4" s="1"/>
  <c r="G1288" i="4"/>
  <c r="J1287" i="4"/>
  <c r="H1287" i="4"/>
  <c r="I1287" i="4" s="1"/>
  <c r="G1287" i="4"/>
  <c r="J1286" i="4"/>
  <c r="H1286" i="4"/>
  <c r="I1286" i="4" s="1"/>
  <c r="G1286" i="4"/>
  <c r="J1285" i="4"/>
  <c r="H1285" i="4"/>
  <c r="I1285" i="4" s="1"/>
  <c r="G1285" i="4"/>
  <c r="J1284" i="4"/>
  <c r="H1284" i="4"/>
  <c r="I1284" i="4" s="1"/>
  <c r="G1284" i="4"/>
  <c r="J1283" i="4"/>
  <c r="H1283" i="4"/>
  <c r="I1283" i="4" s="1"/>
  <c r="G1283" i="4"/>
  <c r="J1282" i="4"/>
  <c r="H1282" i="4"/>
  <c r="I1282" i="4" s="1"/>
  <c r="G1282" i="4"/>
  <c r="J1281" i="4"/>
  <c r="H1281" i="4"/>
  <c r="I1281" i="4" s="1"/>
  <c r="G1281" i="4"/>
  <c r="J1280" i="4"/>
  <c r="H1280" i="4"/>
  <c r="I1280" i="4" s="1"/>
  <c r="G1280" i="4"/>
  <c r="J1279" i="4"/>
  <c r="H1279" i="4"/>
  <c r="I1279" i="4" s="1"/>
  <c r="G1279" i="4"/>
  <c r="J1278" i="4"/>
  <c r="H1278" i="4"/>
  <c r="I1278" i="4" s="1"/>
  <c r="G1278" i="4"/>
  <c r="J1277" i="4"/>
  <c r="H1277" i="4"/>
  <c r="I1277" i="4" s="1"/>
  <c r="G1277" i="4"/>
  <c r="J1276" i="4"/>
  <c r="H1276" i="4"/>
  <c r="I1276" i="4" s="1"/>
  <c r="G1276" i="4"/>
  <c r="J1275" i="4"/>
  <c r="H1275" i="4"/>
  <c r="I1275" i="4" s="1"/>
  <c r="G1275" i="4"/>
  <c r="J1274" i="4"/>
  <c r="H1274" i="4"/>
  <c r="I1274" i="4" s="1"/>
  <c r="G1274" i="4"/>
  <c r="J1273" i="4"/>
  <c r="H1273" i="4"/>
  <c r="I1273" i="4" s="1"/>
  <c r="G1273" i="4"/>
  <c r="J1272" i="4"/>
  <c r="H1272" i="4"/>
  <c r="I1272" i="4" s="1"/>
  <c r="G1272" i="4"/>
  <c r="J1271" i="4"/>
  <c r="H1271" i="4"/>
  <c r="I1271" i="4" s="1"/>
  <c r="G1271" i="4"/>
  <c r="J1270" i="4"/>
  <c r="H1270" i="4"/>
  <c r="I1270" i="4" s="1"/>
  <c r="G1270" i="4"/>
  <c r="J1269" i="4"/>
  <c r="H1269" i="4"/>
  <c r="I1269" i="4" s="1"/>
  <c r="G1269" i="4"/>
  <c r="J1268" i="4"/>
  <c r="H1268" i="4"/>
  <c r="I1268" i="4" s="1"/>
  <c r="G1268" i="4"/>
  <c r="J1267" i="4"/>
  <c r="H1267" i="4"/>
  <c r="I1267" i="4" s="1"/>
  <c r="G1267" i="4"/>
  <c r="J1266" i="4"/>
  <c r="H1266" i="4"/>
  <c r="I1266" i="4" s="1"/>
  <c r="G1266" i="4"/>
  <c r="J1265" i="4"/>
  <c r="H1265" i="4"/>
  <c r="I1265" i="4" s="1"/>
  <c r="G1265" i="4"/>
  <c r="J1264" i="4"/>
  <c r="H1264" i="4"/>
  <c r="I1264" i="4" s="1"/>
  <c r="G1264" i="4"/>
  <c r="J1263" i="4"/>
  <c r="H1263" i="4"/>
  <c r="I1263" i="4" s="1"/>
  <c r="G1263" i="4"/>
  <c r="J1262" i="4"/>
  <c r="H1262" i="4"/>
  <c r="I1262" i="4" s="1"/>
  <c r="G1262" i="4"/>
  <c r="J1261" i="4"/>
  <c r="H1261" i="4"/>
  <c r="I1261" i="4" s="1"/>
  <c r="G1261" i="4"/>
  <c r="J1260" i="4"/>
  <c r="H1260" i="4"/>
  <c r="I1260" i="4" s="1"/>
  <c r="G1260" i="4"/>
  <c r="J1259" i="4"/>
  <c r="H1259" i="4"/>
  <c r="I1259" i="4" s="1"/>
  <c r="G1259" i="4"/>
  <c r="J1258" i="4"/>
  <c r="H1258" i="4"/>
  <c r="I1258" i="4" s="1"/>
  <c r="G1258" i="4"/>
  <c r="J1257" i="4"/>
  <c r="H1257" i="4"/>
  <c r="I1257" i="4" s="1"/>
  <c r="G1257" i="4"/>
  <c r="J1256" i="4"/>
  <c r="H1256" i="4"/>
  <c r="I1256" i="4" s="1"/>
  <c r="G1256" i="4"/>
  <c r="J1255" i="4"/>
  <c r="H1255" i="4"/>
  <c r="I1255" i="4" s="1"/>
  <c r="G1255" i="4"/>
  <c r="J1254" i="4"/>
  <c r="H1254" i="4"/>
  <c r="I1254" i="4" s="1"/>
  <c r="G1254" i="4"/>
  <c r="J1253" i="4"/>
  <c r="H1253" i="4"/>
  <c r="I1253" i="4" s="1"/>
  <c r="G1253" i="4"/>
  <c r="J1252" i="4"/>
  <c r="H1252" i="4"/>
  <c r="I1252" i="4" s="1"/>
  <c r="G1252" i="4"/>
  <c r="J1251" i="4"/>
  <c r="H1251" i="4"/>
  <c r="I1251" i="4" s="1"/>
  <c r="G1251" i="4"/>
  <c r="J1250" i="4"/>
  <c r="H1250" i="4"/>
  <c r="I1250" i="4" s="1"/>
  <c r="G1250" i="4"/>
  <c r="J1249" i="4"/>
  <c r="H1249" i="4"/>
  <c r="I1249" i="4" s="1"/>
  <c r="G1249" i="4"/>
  <c r="J1248" i="4"/>
  <c r="H1248" i="4"/>
  <c r="I1248" i="4" s="1"/>
  <c r="G1248" i="4"/>
  <c r="J1247" i="4"/>
  <c r="H1247" i="4"/>
  <c r="I1247" i="4" s="1"/>
  <c r="G1247" i="4"/>
  <c r="J1246" i="4"/>
  <c r="H1246" i="4"/>
  <c r="I1246" i="4" s="1"/>
  <c r="G1246" i="4"/>
  <c r="J1245" i="4"/>
  <c r="H1245" i="4"/>
  <c r="I1245" i="4" s="1"/>
  <c r="G1245" i="4"/>
  <c r="J1244" i="4"/>
  <c r="H1244" i="4"/>
  <c r="I1244" i="4" s="1"/>
  <c r="G1244" i="4"/>
  <c r="J1243" i="4"/>
  <c r="H1243" i="4"/>
  <c r="I1243" i="4" s="1"/>
  <c r="G1243" i="4"/>
  <c r="J1242" i="4"/>
  <c r="H1242" i="4"/>
  <c r="I1242" i="4" s="1"/>
  <c r="G1242" i="4"/>
  <c r="J1241" i="4"/>
  <c r="H1241" i="4"/>
  <c r="I1241" i="4" s="1"/>
  <c r="G1241" i="4"/>
  <c r="J1240" i="4"/>
  <c r="H1240" i="4"/>
  <c r="I1240" i="4" s="1"/>
  <c r="G1240" i="4"/>
  <c r="J1239" i="4"/>
  <c r="H1239" i="4"/>
  <c r="I1239" i="4" s="1"/>
  <c r="G1239" i="4"/>
  <c r="J1238" i="4"/>
  <c r="H1238" i="4"/>
  <c r="I1238" i="4" s="1"/>
  <c r="G1238" i="4"/>
  <c r="J1237" i="4"/>
  <c r="H1237" i="4"/>
  <c r="I1237" i="4" s="1"/>
  <c r="G1237" i="4"/>
  <c r="J1236" i="4"/>
  <c r="H1236" i="4"/>
  <c r="I1236" i="4" s="1"/>
  <c r="G1236" i="4"/>
  <c r="J1235" i="4"/>
  <c r="H1235" i="4"/>
  <c r="I1235" i="4" s="1"/>
  <c r="G1235" i="4"/>
  <c r="J1234" i="4"/>
  <c r="H1234" i="4"/>
  <c r="I1234" i="4" s="1"/>
  <c r="G1234" i="4"/>
  <c r="J1233" i="4"/>
  <c r="H1233" i="4"/>
  <c r="I1233" i="4" s="1"/>
  <c r="G1233" i="4"/>
  <c r="J1232" i="4"/>
  <c r="H1232" i="4"/>
  <c r="I1232" i="4" s="1"/>
  <c r="G1232" i="4"/>
  <c r="J1231" i="4"/>
  <c r="H1231" i="4"/>
  <c r="I1231" i="4" s="1"/>
  <c r="G1231" i="4"/>
  <c r="J1230" i="4"/>
  <c r="H1230" i="4"/>
  <c r="I1230" i="4" s="1"/>
  <c r="G1230" i="4"/>
  <c r="J1229" i="4"/>
  <c r="H1229" i="4"/>
  <c r="I1229" i="4" s="1"/>
  <c r="G1229" i="4"/>
  <c r="J1228" i="4"/>
  <c r="H1228" i="4"/>
  <c r="I1228" i="4" s="1"/>
  <c r="G1228" i="4"/>
  <c r="J1227" i="4"/>
  <c r="H1227" i="4"/>
  <c r="I1227" i="4" s="1"/>
  <c r="G1227" i="4"/>
  <c r="J1226" i="4"/>
  <c r="H1226" i="4"/>
  <c r="I1226" i="4" s="1"/>
  <c r="G1226" i="4"/>
  <c r="J1225" i="4"/>
  <c r="H1225" i="4"/>
  <c r="I1225" i="4" s="1"/>
  <c r="G1225" i="4"/>
  <c r="J1224" i="4"/>
  <c r="H1224" i="4"/>
  <c r="I1224" i="4" s="1"/>
  <c r="G1224" i="4"/>
  <c r="J1223" i="4"/>
  <c r="H1223" i="4"/>
  <c r="I1223" i="4" s="1"/>
  <c r="G1223" i="4"/>
  <c r="J1222" i="4"/>
  <c r="H1222" i="4"/>
  <c r="I1222" i="4" s="1"/>
  <c r="G1222" i="4"/>
  <c r="J1221" i="4"/>
  <c r="H1221" i="4"/>
  <c r="I1221" i="4" s="1"/>
  <c r="G1221" i="4"/>
  <c r="J1220" i="4"/>
  <c r="H1220" i="4"/>
  <c r="I1220" i="4" s="1"/>
  <c r="G1220" i="4"/>
  <c r="J1219" i="4"/>
  <c r="H1219" i="4"/>
  <c r="I1219" i="4" s="1"/>
  <c r="G1219" i="4"/>
  <c r="J1218" i="4"/>
  <c r="H1218" i="4"/>
  <c r="I1218" i="4" s="1"/>
  <c r="G1218" i="4"/>
  <c r="J1217" i="4"/>
  <c r="H1217" i="4"/>
  <c r="I1217" i="4" s="1"/>
  <c r="G1217" i="4"/>
  <c r="J1216" i="4"/>
  <c r="H1216" i="4"/>
  <c r="I1216" i="4" s="1"/>
  <c r="G1216" i="4"/>
  <c r="J1215" i="4"/>
  <c r="H1215" i="4"/>
  <c r="I1215" i="4" s="1"/>
  <c r="G1215" i="4"/>
  <c r="J1214" i="4"/>
  <c r="H1214" i="4"/>
  <c r="I1214" i="4" s="1"/>
  <c r="G1214" i="4"/>
  <c r="J1213" i="4"/>
  <c r="H1213" i="4"/>
  <c r="I1213" i="4" s="1"/>
  <c r="G1213" i="4"/>
  <c r="J1212" i="4"/>
  <c r="H1212" i="4"/>
  <c r="I1212" i="4" s="1"/>
  <c r="G1212" i="4"/>
  <c r="J1211" i="4"/>
  <c r="H1211" i="4"/>
  <c r="I1211" i="4" s="1"/>
  <c r="G1211" i="4"/>
  <c r="J1210" i="4"/>
  <c r="H1210" i="4"/>
  <c r="I1210" i="4" s="1"/>
  <c r="G1210" i="4"/>
  <c r="J1209" i="4"/>
  <c r="H1209" i="4"/>
  <c r="I1209" i="4" s="1"/>
  <c r="G1209" i="4"/>
  <c r="J1208" i="4"/>
  <c r="H1208" i="4"/>
  <c r="I1208" i="4" s="1"/>
  <c r="G1208" i="4"/>
  <c r="J1207" i="4"/>
  <c r="H1207" i="4"/>
  <c r="I1207" i="4" s="1"/>
  <c r="G1207" i="4"/>
  <c r="J1206" i="4"/>
  <c r="H1206" i="4"/>
  <c r="I1206" i="4" s="1"/>
  <c r="G1206" i="4"/>
  <c r="J1205" i="4"/>
  <c r="H1205" i="4"/>
  <c r="I1205" i="4" s="1"/>
  <c r="G1205" i="4"/>
  <c r="J1204" i="4"/>
  <c r="H1204" i="4"/>
  <c r="I1204" i="4" s="1"/>
  <c r="G1204" i="4"/>
  <c r="J1203" i="4"/>
  <c r="H1203" i="4"/>
  <c r="I1203" i="4" s="1"/>
  <c r="G1203" i="4"/>
  <c r="J1202" i="4"/>
  <c r="H1202" i="4"/>
  <c r="I1202" i="4" s="1"/>
  <c r="G1202" i="4"/>
  <c r="J1201" i="4"/>
  <c r="H1201" i="4"/>
  <c r="I1201" i="4" s="1"/>
  <c r="G1201" i="4"/>
  <c r="J1200" i="4"/>
  <c r="H1200" i="4"/>
  <c r="I1200" i="4" s="1"/>
  <c r="G1200" i="4"/>
  <c r="J1199" i="4"/>
  <c r="H1199" i="4"/>
  <c r="I1199" i="4" s="1"/>
  <c r="G1199" i="4"/>
  <c r="J1198" i="4"/>
  <c r="H1198" i="4"/>
  <c r="I1198" i="4" s="1"/>
  <c r="G1198" i="4"/>
  <c r="J1197" i="4"/>
  <c r="H1197" i="4"/>
  <c r="I1197" i="4" s="1"/>
  <c r="G1197" i="4"/>
  <c r="J1196" i="4"/>
  <c r="H1196" i="4"/>
  <c r="I1196" i="4" s="1"/>
  <c r="G1196" i="4"/>
  <c r="J1195" i="4"/>
  <c r="H1195" i="4"/>
  <c r="I1195" i="4" s="1"/>
  <c r="G1195" i="4"/>
  <c r="J1194" i="4"/>
  <c r="H1194" i="4"/>
  <c r="I1194" i="4" s="1"/>
  <c r="G1194" i="4"/>
  <c r="J1193" i="4"/>
  <c r="H1193" i="4"/>
  <c r="I1193" i="4" s="1"/>
  <c r="G1193" i="4"/>
  <c r="J1192" i="4"/>
  <c r="H1192" i="4"/>
  <c r="I1192" i="4" s="1"/>
  <c r="G1192" i="4"/>
  <c r="J1191" i="4"/>
  <c r="H1191" i="4"/>
  <c r="I1191" i="4" s="1"/>
  <c r="G1191" i="4"/>
  <c r="J1190" i="4"/>
  <c r="H1190" i="4"/>
  <c r="I1190" i="4" s="1"/>
  <c r="G1190" i="4"/>
  <c r="J1189" i="4"/>
  <c r="H1189" i="4"/>
  <c r="I1189" i="4" s="1"/>
  <c r="G1189" i="4"/>
  <c r="J1188" i="4"/>
  <c r="H1188" i="4"/>
  <c r="I1188" i="4" s="1"/>
  <c r="G1188" i="4"/>
  <c r="J1187" i="4"/>
  <c r="H1187" i="4"/>
  <c r="I1187" i="4" s="1"/>
  <c r="G1187" i="4"/>
  <c r="J1186" i="4"/>
  <c r="H1186" i="4"/>
  <c r="I1186" i="4" s="1"/>
  <c r="G1186" i="4"/>
  <c r="J1185" i="4"/>
  <c r="H1185" i="4"/>
  <c r="I1185" i="4" s="1"/>
  <c r="G1185" i="4"/>
  <c r="J1184" i="4"/>
  <c r="H1184" i="4"/>
  <c r="I1184" i="4" s="1"/>
  <c r="G1184" i="4"/>
  <c r="J1183" i="4"/>
  <c r="H1183" i="4"/>
  <c r="I1183" i="4" s="1"/>
  <c r="G1183" i="4"/>
  <c r="J1182" i="4"/>
  <c r="H1182" i="4"/>
  <c r="I1182" i="4" s="1"/>
  <c r="G1182" i="4"/>
  <c r="J1181" i="4"/>
  <c r="H1181" i="4"/>
  <c r="I1181" i="4" s="1"/>
  <c r="G1181" i="4"/>
  <c r="J1180" i="4"/>
  <c r="H1180" i="4"/>
  <c r="I1180" i="4" s="1"/>
  <c r="G1180" i="4"/>
  <c r="J1179" i="4"/>
  <c r="H1179" i="4"/>
  <c r="I1179" i="4" s="1"/>
  <c r="G1179" i="4"/>
  <c r="J1178" i="4"/>
  <c r="H1178" i="4"/>
  <c r="I1178" i="4" s="1"/>
  <c r="G1178" i="4"/>
  <c r="J1177" i="4"/>
  <c r="H1177" i="4"/>
  <c r="I1177" i="4" s="1"/>
  <c r="G1177" i="4"/>
  <c r="J1176" i="4"/>
  <c r="H1176" i="4"/>
  <c r="I1176" i="4" s="1"/>
  <c r="G1176" i="4"/>
  <c r="J1175" i="4"/>
  <c r="H1175" i="4"/>
  <c r="I1175" i="4" s="1"/>
  <c r="G1175" i="4"/>
  <c r="J1174" i="4"/>
  <c r="H1174" i="4"/>
  <c r="I1174" i="4" s="1"/>
  <c r="G1174" i="4"/>
  <c r="J1173" i="4"/>
  <c r="H1173" i="4"/>
  <c r="I1173" i="4" s="1"/>
  <c r="G1173" i="4"/>
  <c r="J1172" i="4"/>
  <c r="H1172" i="4"/>
  <c r="I1172" i="4" s="1"/>
  <c r="G1172" i="4"/>
  <c r="J1171" i="4"/>
  <c r="H1171" i="4"/>
  <c r="I1171" i="4" s="1"/>
  <c r="G1171" i="4"/>
  <c r="J1170" i="4"/>
  <c r="H1170" i="4"/>
  <c r="I1170" i="4" s="1"/>
  <c r="G1170" i="4"/>
  <c r="J1169" i="4"/>
  <c r="H1169" i="4"/>
  <c r="I1169" i="4" s="1"/>
  <c r="G1169" i="4"/>
  <c r="J1168" i="4"/>
  <c r="H1168" i="4"/>
  <c r="I1168" i="4" s="1"/>
  <c r="G1168" i="4"/>
  <c r="J1167" i="4"/>
  <c r="H1167" i="4"/>
  <c r="I1167" i="4" s="1"/>
  <c r="G1167" i="4"/>
  <c r="J1166" i="4"/>
  <c r="H1166" i="4"/>
  <c r="I1166" i="4" s="1"/>
  <c r="G1166" i="4"/>
  <c r="J1165" i="4"/>
  <c r="H1165" i="4"/>
  <c r="I1165" i="4" s="1"/>
  <c r="G1165" i="4"/>
  <c r="J1164" i="4"/>
  <c r="H1164" i="4"/>
  <c r="I1164" i="4" s="1"/>
  <c r="G1164" i="4"/>
  <c r="J1163" i="4"/>
  <c r="H1163" i="4"/>
  <c r="I1163" i="4" s="1"/>
  <c r="G1163" i="4"/>
  <c r="J1162" i="4"/>
  <c r="H1162" i="4"/>
  <c r="I1162" i="4" s="1"/>
  <c r="G1162" i="4"/>
  <c r="J1161" i="4"/>
  <c r="H1161" i="4"/>
  <c r="I1161" i="4" s="1"/>
  <c r="G1161" i="4"/>
  <c r="J1160" i="4"/>
  <c r="H1160" i="4"/>
  <c r="I1160" i="4" s="1"/>
  <c r="G1160" i="4"/>
  <c r="J1159" i="4"/>
  <c r="H1159" i="4"/>
  <c r="I1159" i="4" s="1"/>
  <c r="G1159" i="4"/>
  <c r="J1158" i="4"/>
  <c r="H1158" i="4"/>
  <c r="I1158" i="4" s="1"/>
  <c r="G1158" i="4"/>
  <c r="J1157" i="4"/>
  <c r="H1157" i="4"/>
  <c r="I1157" i="4" s="1"/>
  <c r="G1157" i="4"/>
  <c r="J1156" i="4"/>
  <c r="H1156" i="4"/>
  <c r="I1156" i="4" s="1"/>
  <c r="G1156" i="4"/>
  <c r="J1155" i="4"/>
  <c r="H1155" i="4"/>
  <c r="I1155" i="4" s="1"/>
  <c r="G1155" i="4"/>
  <c r="J1154" i="4"/>
  <c r="H1154" i="4"/>
  <c r="I1154" i="4" s="1"/>
  <c r="G1154" i="4"/>
  <c r="J1153" i="4"/>
  <c r="H1153" i="4"/>
  <c r="I1153" i="4" s="1"/>
  <c r="G1153" i="4"/>
  <c r="J1152" i="4"/>
  <c r="H1152" i="4"/>
  <c r="I1152" i="4" s="1"/>
  <c r="G1152" i="4"/>
  <c r="J1151" i="4"/>
  <c r="H1151" i="4"/>
  <c r="I1151" i="4" s="1"/>
  <c r="G1151" i="4"/>
  <c r="J1150" i="4"/>
  <c r="H1150" i="4"/>
  <c r="I1150" i="4" s="1"/>
  <c r="G1150" i="4"/>
  <c r="J1149" i="4"/>
  <c r="H1149" i="4"/>
  <c r="I1149" i="4" s="1"/>
  <c r="G1149" i="4"/>
  <c r="J1148" i="4"/>
  <c r="H1148" i="4"/>
  <c r="I1148" i="4" s="1"/>
  <c r="G1148" i="4"/>
  <c r="J1147" i="4"/>
  <c r="H1147" i="4"/>
  <c r="I1147" i="4" s="1"/>
  <c r="G1147" i="4"/>
  <c r="J1146" i="4"/>
  <c r="H1146" i="4"/>
  <c r="I1146" i="4" s="1"/>
  <c r="G1146" i="4"/>
  <c r="J1145" i="4"/>
  <c r="H1145" i="4"/>
  <c r="I1145" i="4" s="1"/>
  <c r="G1145" i="4"/>
  <c r="J1144" i="4"/>
  <c r="H1144" i="4"/>
  <c r="I1144" i="4" s="1"/>
  <c r="G1144" i="4"/>
  <c r="J1143" i="4"/>
  <c r="H1143" i="4"/>
  <c r="I1143" i="4" s="1"/>
  <c r="G1143" i="4"/>
  <c r="J1142" i="4"/>
  <c r="H1142" i="4"/>
  <c r="I1142" i="4" s="1"/>
  <c r="G1142" i="4"/>
  <c r="J1141" i="4"/>
  <c r="H1141" i="4"/>
  <c r="I1141" i="4" s="1"/>
  <c r="G1141" i="4"/>
  <c r="J1140" i="4"/>
  <c r="H1140" i="4"/>
  <c r="I1140" i="4" s="1"/>
  <c r="G1140" i="4"/>
  <c r="J1139" i="4"/>
  <c r="H1139" i="4"/>
  <c r="I1139" i="4" s="1"/>
  <c r="G1139" i="4"/>
  <c r="J1138" i="4"/>
  <c r="H1138" i="4"/>
  <c r="I1138" i="4" s="1"/>
  <c r="G1138" i="4"/>
  <c r="J1137" i="4"/>
  <c r="H1137" i="4"/>
  <c r="I1137" i="4" s="1"/>
  <c r="G1137" i="4"/>
  <c r="J1136" i="4"/>
  <c r="H1136" i="4"/>
  <c r="I1136" i="4" s="1"/>
  <c r="G1136" i="4"/>
  <c r="J1135" i="4"/>
  <c r="H1135" i="4"/>
  <c r="I1135" i="4" s="1"/>
  <c r="G1135" i="4"/>
  <c r="J1134" i="4"/>
  <c r="H1134" i="4"/>
  <c r="I1134" i="4" s="1"/>
  <c r="G1134" i="4"/>
  <c r="J1133" i="4"/>
  <c r="H1133" i="4"/>
  <c r="I1133" i="4" s="1"/>
  <c r="G1133" i="4"/>
  <c r="J1132" i="4"/>
  <c r="H1132" i="4"/>
  <c r="I1132" i="4" s="1"/>
  <c r="G1132" i="4"/>
  <c r="J1131" i="4"/>
  <c r="H1131" i="4"/>
  <c r="I1131" i="4" s="1"/>
  <c r="G1131" i="4"/>
  <c r="J1130" i="4"/>
  <c r="H1130" i="4"/>
  <c r="I1130" i="4" s="1"/>
  <c r="G1130" i="4"/>
  <c r="J1129" i="4"/>
  <c r="H1129" i="4"/>
  <c r="I1129" i="4" s="1"/>
  <c r="G1129" i="4"/>
  <c r="J1128" i="4"/>
  <c r="H1128" i="4"/>
  <c r="I1128" i="4" s="1"/>
  <c r="G1128" i="4"/>
  <c r="J1127" i="4"/>
  <c r="H1127" i="4"/>
  <c r="I1127" i="4" s="1"/>
  <c r="G1127" i="4"/>
  <c r="J1126" i="4"/>
  <c r="H1126" i="4"/>
  <c r="I1126" i="4" s="1"/>
  <c r="G1126" i="4"/>
  <c r="J1125" i="4"/>
  <c r="H1125" i="4"/>
  <c r="I1125" i="4" s="1"/>
  <c r="G1125" i="4"/>
  <c r="J1124" i="4"/>
  <c r="H1124" i="4"/>
  <c r="I1124" i="4" s="1"/>
  <c r="G1124" i="4"/>
  <c r="J1123" i="4"/>
  <c r="H1123" i="4"/>
  <c r="I1123" i="4" s="1"/>
  <c r="G1123" i="4"/>
  <c r="J1122" i="4"/>
  <c r="H1122" i="4"/>
  <c r="I1122" i="4" s="1"/>
  <c r="G1122" i="4"/>
  <c r="J1121" i="4"/>
  <c r="H1121" i="4"/>
  <c r="I1121" i="4" s="1"/>
  <c r="G1121" i="4"/>
  <c r="J1120" i="4"/>
  <c r="H1120" i="4"/>
  <c r="I1120" i="4" s="1"/>
  <c r="G1120" i="4"/>
  <c r="J1119" i="4"/>
  <c r="H1119" i="4"/>
  <c r="I1119" i="4" s="1"/>
  <c r="G1119" i="4"/>
  <c r="J1118" i="4"/>
  <c r="H1118" i="4"/>
  <c r="I1118" i="4" s="1"/>
  <c r="G1118" i="4"/>
  <c r="J1117" i="4"/>
  <c r="H1117" i="4"/>
  <c r="I1117" i="4" s="1"/>
  <c r="G1117" i="4"/>
  <c r="J1116" i="4"/>
  <c r="H1116" i="4"/>
  <c r="I1116" i="4" s="1"/>
  <c r="G1116" i="4"/>
  <c r="J1115" i="4"/>
  <c r="H1115" i="4"/>
  <c r="I1115" i="4" s="1"/>
  <c r="G1115" i="4"/>
  <c r="J1114" i="4"/>
  <c r="H1114" i="4"/>
  <c r="I1114" i="4" s="1"/>
  <c r="G1114" i="4"/>
  <c r="J1113" i="4"/>
  <c r="H1113" i="4"/>
  <c r="I1113" i="4" s="1"/>
  <c r="G1113" i="4"/>
  <c r="J1112" i="4"/>
  <c r="H1112" i="4"/>
  <c r="I1112" i="4" s="1"/>
  <c r="G1112" i="4"/>
  <c r="J1111" i="4"/>
  <c r="H1111" i="4"/>
  <c r="I1111" i="4" s="1"/>
  <c r="G1111" i="4"/>
  <c r="J1110" i="4"/>
  <c r="H1110" i="4"/>
  <c r="I1110" i="4" s="1"/>
  <c r="G1110" i="4"/>
  <c r="J1109" i="4"/>
  <c r="H1109" i="4"/>
  <c r="I1109" i="4" s="1"/>
  <c r="G1109" i="4"/>
  <c r="J1108" i="4"/>
  <c r="H1108" i="4"/>
  <c r="I1108" i="4" s="1"/>
  <c r="G1108" i="4"/>
  <c r="J1107" i="4"/>
  <c r="H1107" i="4"/>
  <c r="I1107" i="4" s="1"/>
  <c r="G1107" i="4"/>
  <c r="J1106" i="4"/>
  <c r="H1106" i="4"/>
  <c r="I1106" i="4" s="1"/>
  <c r="G1106" i="4"/>
  <c r="J1105" i="4"/>
  <c r="H1105" i="4"/>
  <c r="I1105" i="4" s="1"/>
  <c r="G1105" i="4"/>
  <c r="J1104" i="4"/>
  <c r="H1104" i="4"/>
  <c r="I1104" i="4" s="1"/>
  <c r="G1104" i="4"/>
  <c r="J1103" i="4"/>
  <c r="H1103" i="4"/>
  <c r="I1103" i="4" s="1"/>
  <c r="G1103" i="4"/>
  <c r="J1102" i="4"/>
  <c r="H1102" i="4"/>
  <c r="I1102" i="4" s="1"/>
  <c r="G1102" i="4"/>
  <c r="J1101" i="4"/>
  <c r="H1101" i="4"/>
  <c r="I1101" i="4" s="1"/>
  <c r="G1101" i="4"/>
  <c r="J1100" i="4"/>
  <c r="H1100" i="4"/>
  <c r="I1100" i="4" s="1"/>
  <c r="G1100" i="4"/>
  <c r="J1099" i="4"/>
  <c r="H1099" i="4"/>
  <c r="I1099" i="4" s="1"/>
  <c r="G1099" i="4"/>
  <c r="J1098" i="4"/>
  <c r="H1098" i="4"/>
  <c r="I1098" i="4" s="1"/>
  <c r="G1098" i="4"/>
  <c r="J1097" i="4"/>
  <c r="H1097" i="4"/>
  <c r="I1097" i="4" s="1"/>
  <c r="G1097" i="4"/>
  <c r="J1096" i="4"/>
  <c r="H1096" i="4"/>
  <c r="I1096" i="4" s="1"/>
  <c r="G1096" i="4"/>
  <c r="J1095" i="4"/>
  <c r="H1095" i="4"/>
  <c r="I1095" i="4" s="1"/>
  <c r="G1095" i="4"/>
  <c r="J1094" i="4"/>
  <c r="H1094" i="4"/>
  <c r="I1094" i="4" s="1"/>
  <c r="G1094" i="4"/>
  <c r="J1093" i="4"/>
  <c r="H1093" i="4"/>
  <c r="I1093" i="4" s="1"/>
  <c r="G1093" i="4"/>
  <c r="J1092" i="4"/>
  <c r="H1092" i="4"/>
  <c r="I1092" i="4" s="1"/>
  <c r="G1092" i="4"/>
  <c r="J1091" i="4"/>
  <c r="H1091" i="4"/>
  <c r="I1091" i="4" s="1"/>
  <c r="G1091" i="4"/>
  <c r="J1090" i="4"/>
  <c r="H1090" i="4"/>
  <c r="I1090" i="4" s="1"/>
  <c r="G1090" i="4"/>
  <c r="J1089" i="4"/>
  <c r="H1089" i="4"/>
  <c r="I1089" i="4" s="1"/>
  <c r="G1089" i="4"/>
  <c r="J1088" i="4"/>
  <c r="H1088" i="4"/>
  <c r="I1088" i="4" s="1"/>
  <c r="G1088" i="4"/>
  <c r="J1087" i="4"/>
  <c r="H1087" i="4"/>
  <c r="I1087" i="4" s="1"/>
  <c r="G1087" i="4"/>
  <c r="J1086" i="4"/>
  <c r="H1086" i="4"/>
  <c r="I1086" i="4" s="1"/>
  <c r="G1086" i="4"/>
  <c r="J1085" i="4"/>
  <c r="H1085" i="4"/>
  <c r="I1085" i="4" s="1"/>
  <c r="G1085" i="4"/>
  <c r="J1084" i="4"/>
  <c r="H1084" i="4"/>
  <c r="I1084" i="4" s="1"/>
  <c r="G1084" i="4"/>
  <c r="J1083" i="4"/>
  <c r="H1083" i="4"/>
  <c r="I1083" i="4" s="1"/>
  <c r="G1083" i="4"/>
  <c r="J1082" i="4"/>
  <c r="H1082" i="4"/>
  <c r="I1082" i="4" s="1"/>
  <c r="G1082" i="4"/>
  <c r="J1081" i="4"/>
  <c r="H1081" i="4"/>
  <c r="I1081" i="4" s="1"/>
  <c r="G1081" i="4"/>
  <c r="J1080" i="4"/>
  <c r="H1080" i="4"/>
  <c r="I1080" i="4" s="1"/>
  <c r="G1080" i="4"/>
  <c r="J1079" i="4"/>
  <c r="H1079" i="4"/>
  <c r="I1079" i="4" s="1"/>
  <c r="G1079" i="4"/>
  <c r="J1078" i="4"/>
  <c r="H1078" i="4"/>
  <c r="I1078" i="4" s="1"/>
  <c r="G1078" i="4"/>
  <c r="J1077" i="4"/>
  <c r="H1077" i="4"/>
  <c r="I1077" i="4" s="1"/>
  <c r="G1077" i="4"/>
  <c r="J1076" i="4"/>
  <c r="H1076" i="4"/>
  <c r="I1076" i="4" s="1"/>
  <c r="G1076" i="4"/>
  <c r="J1075" i="4"/>
  <c r="H1075" i="4"/>
  <c r="I1075" i="4" s="1"/>
  <c r="G1075" i="4"/>
  <c r="J1074" i="4"/>
  <c r="H1074" i="4"/>
  <c r="I1074" i="4" s="1"/>
  <c r="G1074" i="4"/>
  <c r="J1073" i="4"/>
  <c r="H1073" i="4"/>
  <c r="I1073" i="4" s="1"/>
  <c r="G1073" i="4"/>
  <c r="J1072" i="4"/>
  <c r="H1072" i="4"/>
  <c r="I1072" i="4" s="1"/>
  <c r="G1072" i="4"/>
  <c r="J1071" i="4"/>
  <c r="H1071" i="4"/>
  <c r="I1071" i="4" s="1"/>
  <c r="G1071" i="4"/>
  <c r="J1070" i="4"/>
  <c r="H1070" i="4"/>
  <c r="I1070" i="4" s="1"/>
  <c r="G1070" i="4"/>
  <c r="J1069" i="4"/>
  <c r="H1069" i="4"/>
  <c r="I1069" i="4" s="1"/>
  <c r="G1069" i="4"/>
  <c r="J1068" i="4"/>
  <c r="H1068" i="4"/>
  <c r="I1068" i="4" s="1"/>
  <c r="G1068" i="4"/>
  <c r="J1067" i="4"/>
  <c r="H1067" i="4"/>
  <c r="I1067" i="4" s="1"/>
  <c r="G1067" i="4"/>
  <c r="J1066" i="4"/>
  <c r="H1066" i="4"/>
  <c r="I1066" i="4" s="1"/>
  <c r="G1066" i="4"/>
  <c r="J1065" i="4"/>
  <c r="H1065" i="4"/>
  <c r="I1065" i="4" s="1"/>
  <c r="G1065" i="4"/>
  <c r="J1064" i="4"/>
  <c r="H1064" i="4"/>
  <c r="I1064" i="4" s="1"/>
  <c r="G1064" i="4"/>
  <c r="J1063" i="4"/>
  <c r="H1063" i="4"/>
  <c r="I1063" i="4" s="1"/>
  <c r="G1063" i="4"/>
  <c r="J1062" i="4"/>
  <c r="H1062" i="4"/>
  <c r="I1062" i="4" s="1"/>
  <c r="G1062" i="4"/>
  <c r="J1061" i="4"/>
  <c r="H1061" i="4"/>
  <c r="I1061" i="4" s="1"/>
  <c r="G1061" i="4"/>
  <c r="J1060" i="4"/>
  <c r="H1060" i="4"/>
  <c r="I1060" i="4" s="1"/>
  <c r="G1060" i="4"/>
  <c r="J1059" i="4"/>
  <c r="H1059" i="4"/>
  <c r="I1059" i="4" s="1"/>
  <c r="G1059" i="4"/>
  <c r="J1058" i="4"/>
  <c r="H1058" i="4"/>
  <c r="I1058" i="4" s="1"/>
  <c r="G1058" i="4"/>
  <c r="J1057" i="4"/>
  <c r="H1057" i="4"/>
  <c r="I1057" i="4" s="1"/>
  <c r="G1057" i="4"/>
  <c r="J1056" i="4"/>
  <c r="H1056" i="4"/>
  <c r="I1056" i="4" s="1"/>
  <c r="G1056" i="4"/>
  <c r="J1055" i="4"/>
  <c r="H1055" i="4"/>
  <c r="I1055" i="4" s="1"/>
  <c r="G1055" i="4"/>
  <c r="J1054" i="4"/>
  <c r="H1054" i="4"/>
  <c r="I1054" i="4" s="1"/>
  <c r="G1054" i="4"/>
  <c r="J1053" i="4"/>
  <c r="H1053" i="4"/>
  <c r="I1053" i="4" s="1"/>
  <c r="G1053" i="4"/>
  <c r="J1052" i="4"/>
  <c r="H1052" i="4"/>
  <c r="I1052" i="4" s="1"/>
  <c r="G1052" i="4"/>
  <c r="J1051" i="4"/>
  <c r="H1051" i="4"/>
  <c r="I1051" i="4" s="1"/>
  <c r="G1051" i="4"/>
  <c r="J1050" i="4"/>
  <c r="H1050" i="4"/>
  <c r="I1050" i="4" s="1"/>
  <c r="G1050" i="4"/>
  <c r="J1049" i="4"/>
  <c r="H1049" i="4"/>
  <c r="I1049" i="4" s="1"/>
  <c r="G1049" i="4"/>
  <c r="J1048" i="4"/>
  <c r="H1048" i="4"/>
  <c r="I1048" i="4" s="1"/>
  <c r="G1048" i="4"/>
  <c r="J1047" i="4"/>
  <c r="H1047" i="4"/>
  <c r="I1047" i="4" s="1"/>
  <c r="G1047" i="4"/>
  <c r="J1046" i="4"/>
  <c r="H1046" i="4"/>
  <c r="I1046" i="4" s="1"/>
  <c r="G1046" i="4"/>
  <c r="J1045" i="4"/>
  <c r="H1045" i="4"/>
  <c r="I1045" i="4" s="1"/>
  <c r="G1045" i="4"/>
  <c r="J1044" i="4"/>
  <c r="H1044" i="4"/>
  <c r="I1044" i="4" s="1"/>
  <c r="G1044" i="4"/>
  <c r="J1043" i="4"/>
  <c r="H1043" i="4"/>
  <c r="I1043" i="4" s="1"/>
  <c r="G1043" i="4"/>
  <c r="J1042" i="4"/>
  <c r="H1042" i="4"/>
  <c r="I1042" i="4" s="1"/>
  <c r="G1042" i="4"/>
  <c r="J1041" i="4"/>
  <c r="H1041" i="4"/>
  <c r="I1041" i="4" s="1"/>
  <c r="G1041" i="4"/>
  <c r="J1040" i="4"/>
  <c r="H1040" i="4"/>
  <c r="I1040" i="4" s="1"/>
  <c r="G1040" i="4"/>
  <c r="J1039" i="4"/>
  <c r="H1039" i="4"/>
  <c r="I1039" i="4" s="1"/>
  <c r="G1039" i="4"/>
  <c r="J1038" i="4"/>
  <c r="H1038" i="4"/>
  <c r="I1038" i="4" s="1"/>
  <c r="G1038" i="4"/>
  <c r="J1037" i="4"/>
  <c r="H1037" i="4"/>
  <c r="I1037" i="4" s="1"/>
  <c r="G1037" i="4"/>
  <c r="J1036" i="4"/>
  <c r="H1036" i="4"/>
  <c r="I1036" i="4" s="1"/>
  <c r="G1036" i="4"/>
  <c r="J1035" i="4"/>
  <c r="H1035" i="4"/>
  <c r="I1035" i="4" s="1"/>
  <c r="G1035" i="4"/>
  <c r="J1034" i="4"/>
  <c r="H1034" i="4"/>
  <c r="I1034" i="4" s="1"/>
  <c r="G1034" i="4"/>
  <c r="J1033" i="4"/>
  <c r="H1033" i="4"/>
  <c r="I1033" i="4" s="1"/>
  <c r="G1033" i="4"/>
  <c r="J1032" i="4"/>
  <c r="H1032" i="4"/>
  <c r="I1032" i="4" s="1"/>
  <c r="G1032" i="4"/>
  <c r="J1031" i="4"/>
  <c r="H1031" i="4"/>
  <c r="I1031" i="4" s="1"/>
  <c r="G1031" i="4"/>
  <c r="J1030" i="4"/>
  <c r="H1030" i="4"/>
  <c r="I1030" i="4" s="1"/>
  <c r="G1030" i="4"/>
  <c r="J1029" i="4"/>
  <c r="H1029" i="4"/>
  <c r="I1029" i="4" s="1"/>
  <c r="G1029" i="4"/>
  <c r="J1028" i="4"/>
  <c r="H1028" i="4"/>
  <c r="I1028" i="4" s="1"/>
  <c r="G1028" i="4"/>
  <c r="J1027" i="4"/>
  <c r="H1027" i="4"/>
  <c r="I1027" i="4" s="1"/>
  <c r="G1027" i="4"/>
  <c r="J1026" i="4"/>
  <c r="H1026" i="4"/>
  <c r="I1026" i="4" s="1"/>
  <c r="G1026" i="4"/>
  <c r="J1025" i="4"/>
  <c r="H1025" i="4"/>
  <c r="I1025" i="4" s="1"/>
  <c r="G1025" i="4"/>
  <c r="J1024" i="4"/>
  <c r="H1024" i="4"/>
  <c r="I1024" i="4" s="1"/>
  <c r="G1024" i="4"/>
  <c r="J1023" i="4"/>
  <c r="H1023" i="4"/>
  <c r="I1023" i="4" s="1"/>
  <c r="G1023" i="4"/>
  <c r="J1022" i="4"/>
  <c r="H1022" i="4"/>
  <c r="I1022" i="4" s="1"/>
  <c r="G1022" i="4"/>
  <c r="J1021" i="4"/>
  <c r="H1021" i="4"/>
  <c r="I1021" i="4" s="1"/>
  <c r="G1021" i="4"/>
  <c r="J1020" i="4"/>
  <c r="H1020" i="4"/>
  <c r="I1020" i="4" s="1"/>
  <c r="G1020" i="4"/>
  <c r="J1019" i="4"/>
  <c r="H1019" i="4"/>
  <c r="I1019" i="4" s="1"/>
  <c r="G1019" i="4"/>
  <c r="J1018" i="4"/>
  <c r="H1018" i="4"/>
  <c r="I1018" i="4" s="1"/>
  <c r="G1018" i="4"/>
  <c r="J1017" i="4"/>
  <c r="H1017" i="4"/>
  <c r="I1017" i="4" s="1"/>
  <c r="G1017" i="4"/>
  <c r="J1016" i="4"/>
  <c r="H1016" i="4"/>
  <c r="I1016" i="4" s="1"/>
  <c r="G1016" i="4"/>
  <c r="J1015" i="4"/>
  <c r="H1015" i="4"/>
  <c r="I1015" i="4" s="1"/>
  <c r="G1015" i="4"/>
  <c r="J1014" i="4"/>
  <c r="H1014" i="4"/>
  <c r="I1014" i="4" s="1"/>
  <c r="G1014" i="4"/>
  <c r="J1013" i="4"/>
  <c r="H1013" i="4"/>
  <c r="I1013" i="4" s="1"/>
  <c r="G1013" i="4"/>
  <c r="J1012" i="4"/>
  <c r="H1012" i="4"/>
  <c r="I1012" i="4" s="1"/>
  <c r="G1012" i="4"/>
  <c r="J1011" i="4"/>
  <c r="H1011" i="4"/>
  <c r="I1011" i="4" s="1"/>
  <c r="G1011" i="4"/>
  <c r="J1010" i="4"/>
  <c r="H1010" i="4"/>
  <c r="I1010" i="4" s="1"/>
  <c r="G1010" i="4"/>
  <c r="J1009" i="4"/>
  <c r="H1009" i="4"/>
  <c r="I1009" i="4" s="1"/>
  <c r="G1009" i="4"/>
  <c r="J1008" i="4"/>
  <c r="H1008" i="4"/>
  <c r="I1008" i="4" s="1"/>
  <c r="G1008" i="4"/>
  <c r="J1007" i="4"/>
  <c r="H1007" i="4"/>
  <c r="I1007" i="4" s="1"/>
  <c r="G1007" i="4"/>
  <c r="J1006" i="4"/>
  <c r="H1006" i="4"/>
  <c r="I1006" i="4" s="1"/>
  <c r="G1006" i="4"/>
  <c r="J1005" i="4"/>
  <c r="H1005" i="4"/>
  <c r="I1005" i="4" s="1"/>
  <c r="G1005" i="4"/>
  <c r="J1004" i="4"/>
  <c r="H1004" i="4"/>
  <c r="I1004" i="4" s="1"/>
  <c r="G1004" i="4"/>
  <c r="J1003" i="4"/>
  <c r="H1003" i="4"/>
  <c r="I1003" i="4" s="1"/>
  <c r="G1003" i="4"/>
  <c r="J1002" i="4"/>
  <c r="H1002" i="4"/>
  <c r="I1002" i="4" s="1"/>
  <c r="G1002" i="4"/>
  <c r="J1001" i="4"/>
  <c r="H1001" i="4"/>
  <c r="I1001" i="4" s="1"/>
  <c r="G1001" i="4"/>
  <c r="J1000" i="4"/>
  <c r="H1000" i="4"/>
  <c r="I1000" i="4" s="1"/>
  <c r="G1000" i="4"/>
  <c r="J999" i="4"/>
  <c r="H999" i="4"/>
  <c r="I999" i="4" s="1"/>
  <c r="G999" i="4"/>
  <c r="J998" i="4"/>
  <c r="H998" i="4"/>
  <c r="I998" i="4" s="1"/>
  <c r="G998" i="4"/>
  <c r="J997" i="4"/>
  <c r="H997" i="4"/>
  <c r="I997" i="4" s="1"/>
  <c r="G997" i="4"/>
  <c r="J996" i="4"/>
  <c r="H996" i="4"/>
  <c r="I996" i="4" s="1"/>
  <c r="G996" i="4"/>
  <c r="J995" i="4"/>
  <c r="H995" i="4"/>
  <c r="I995" i="4" s="1"/>
  <c r="G995" i="4"/>
  <c r="J994" i="4"/>
  <c r="H994" i="4"/>
  <c r="I994" i="4" s="1"/>
  <c r="G994" i="4"/>
  <c r="J993" i="4"/>
  <c r="H993" i="4"/>
  <c r="I993" i="4" s="1"/>
  <c r="G993" i="4"/>
  <c r="J992" i="4"/>
  <c r="H992" i="4"/>
  <c r="I992" i="4" s="1"/>
  <c r="G992" i="4"/>
  <c r="J991" i="4"/>
  <c r="H991" i="4"/>
  <c r="I991" i="4" s="1"/>
  <c r="G991" i="4"/>
  <c r="J990" i="4"/>
  <c r="H990" i="4"/>
  <c r="I990" i="4" s="1"/>
  <c r="G990" i="4"/>
  <c r="J989" i="4"/>
  <c r="H989" i="4"/>
  <c r="I989" i="4" s="1"/>
  <c r="G989" i="4"/>
  <c r="J988" i="4"/>
  <c r="H988" i="4"/>
  <c r="I988" i="4" s="1"/>
  <c r="G988" i="4"/>
  <c r="J987" i="4"/>
  <c r="H987" i="4"/>
  <c r="I987" i="4" s="1"/>
  <c r="G987" i="4"/>
  <c r="J986" i="4"/>
  <c r="H986" i="4"/>
  <c r="I986" i="4" s="1"/>
  <c r="G986" i="4"/>
  <c r="J985" i="4"/>
  <c r="H985" i="4"/>
  <c r="I985" i="4" s="1"/>
  <c r="G985" i="4"/>
  <c r="J984" i="4"/>
  <c r="H984" i="4"/>
  <c r="I984" i="4" s="1"/>
  <c r="G984" i="4"/>
  <c r="J983" i="4"/>
  <c r="H983" i="4"/>
  <c r="I983" i="4" s="1"/>
  <c r="G983" i="4"/>
  <c r="J982" i="4"/>
  <c r="H982" i="4"/>
  <c r="I982" i="4" s="1"/>
  <c r="G982" i="4"/>
  <c r="J981" i="4"/>
  <c r="H981" i="4"/>
  <c r="I981" i="4" s="1"/>
  <c r="G981" i="4"/>
  <c r="J980" i="4"/>
  <c r="H980" i="4"/>
  <c r="I980" i="4" s="1"/>
  <c r="G980" i="4"/>
  <c r="J979" i="4"/>
  <c r="H979" i="4"/>
  <c r="I979" i="4" s="1"/>
  <c r="G979" i="4"/>
  <c r="J978" i="4"/>
  <c r="H978" i="4"/>
  <c r="I978" i="4" s="1"/>
  <c r="G978" i="4"/>
  <c r="J977" i="4"/>
  <c r="H977" i="4"/>
  <c r="I977" i="4" s="1"/>
  <c r="G977" i="4"/>
  <c r="J976" i="4"/>
  <c r="H976" i="4"/>
  <c r="I976" i="4" s="1"/>
  <c r="G976" i="4"/>
  <c r="J975" i="4"/>
  <c r="H975" i="4"/>
  <c r="I975" i="4" s="1"/>
  <c r="G975" i="4"/>
  <c r="J974" i="4"/>
  <c r="H974" i="4"/>
  <c r="I974" i="4" s="1"/>
  <c r="G974" i="4"/>
  <c r="J973" i="4"/>
  <c r="H973" i="4"/>
  <c r="I973" i="4" s="1"/>
  <c r="G973" i="4"/>
  <c r="J972" i="4"/>
  <c r="H972" i="4"/>
  <c r="I972" i="4" s="1"/>
  <c r="G972" i="4"/>
  <c r="J971" i="4"/>
  <c r="H971" i="4"/>
  <c r="I971" i="4" s="1"/>
  <c r="G971" i="4"/>
  <c r="J970" i="4"/>
  <c r="H970" i="4"/>
  <c r="I970" i="4" s="1"/>
  <c r="G970" i="4"/>
  <c r="J969" i="4"/>
  <c r="H969" i="4"/>
  <c r="I969" i="4" s="1"/>
  <c r="G969" i="4"/>
  <c r="J968" i="4"/>
  <c r="H968" i="4"/>
  <c r="I968" i="4" s="1"/>
  <c r="G968" i="4"/>
  <c r="J967" i="4"/>
  <c r="H967" i="4"/>
  <c r="I967" i="4" s="1"/>
  <c r="G967" i="4"/>
  <c r="J966" i="4"/>
  <c r="H966" i="4"/>
  <c r="I966" i="4" s="1"/>
  <c r="G966" i="4"/>
  <c r="J965" i="4"/>
  <c r="H965" i="4"/>
  <c r="I965" i="4" s="1"/>
  <c r="G965" i="4"/>
  <c r="J964" i="4"/>
  <c r="H964" i="4"/>
  <c r="I964" i="4" s="1"/>
  <c r="G964" i="4"/>
  <c r="J963" i="4"/>
  <c r="H963" i="4"/>
  <c r="I963" i="4" s="1"/>
  <c r="G963" i="4"/>
  <c r="J962" i="4"/>
  <c r="H962" i="4"/>
  <c r="I962" i="4" s="1"/>
  <c r="G962" i="4"/>
  <c r="J961" i="4"/>
  <c r="H961" i="4"/>
  <c r="I961" i="4" s="1"/>
  <c r="G961" i="4"/>
  <c r="J960" i="4"/>
  <c r="H960" i="4"/>
  <c r="I960" i="4" s="1"/>
  <c r="G960" i="4"/>
  <c r="J959" i="4"/>
  <c r="H959" i="4"/>
  <c r="I959" i="4" s="1"/>
  <c r="G959" i="4"/>
  <c r="J958" i="4"/>
  <c r="H958" i="4"/>
  <c r="I958" i="4" s="1"/>
  <c r="G958" i="4"/>
  <c r="J957" i="4"/>
  <c r="H957" i="4"/>
  <c r="I957" i="4" s="1"/>
  <c r="G957" i="4"/>
  <c r="J956" i="4"/>
  <c r="H956" i="4"/>
  <c r="I956" i="4" s="1"/>
  <c r="G956" i="4"/>
  <c r="J955" i="4"/>
  <c r="H955" i="4"/>
  <c r="I955" i="4" s="1"/>
  <c r="G955" i="4"/>
  <c r="J954" i="4"/>
  <c r="H954" i="4"/>
  <c r="I954" i="4" s="1"/>
  <c r="G954" i="4"/>
  <c r="J953" i="4"/>
  <c r="H953" i="4"/>
  <c r="I953" i="4" s="1"/>
  <c r="G953" i="4"/>
  <c r="J952" i="4"/>
  <c r="H952" i="4"/>
  <c r="I952" i="4" s="1"/>
  <c r="G952" i="4"/>
  <c r="J951" i="4"/>
  <c r="H951" i="4"/>
  <c r="I951" i="4" s="1"/>
  <c r="G951" i="4"/>
  <c r="J950" i="4"/>
  <c r="H950" i="4"/>
  <c r="I950" i="4" s="1"/>
  <c r="G950" i="4"/>
  <c r="J949" i="4"/>
  <c r="H949" i="4"/>
  <c r="I949" i="4" s="1"/>
  <c r="G949" i="4"/>
  <c r="J948" i="4"/>
  <c r="H948" i="4"/>
  <c r="I948" i="4" s="1"/>
  <c r="G948" i="4"/>
  <c r="J947" i="4"/>
  <c r="H947" i="4"/>
  <c r="I947" i="4" s="1"/>
  <c r="G947" i="4"/>
  <c r="J946" i="4"/>
  <c r="H946" i="4"/>
  <c r="I946" i="4" s="1"/>
  <c r="G946" i="4"/>
  <c r="J945" i="4"/>
  <c r="H945" i="4"/>
  <c r="I945" i="4" s="1"/>
  <c r="G945" i="4"/>
  <c r="J944" i="4"/>
  <c r="H944" i="4"/>
  <c r="I944" i="4" s="1"/>
  <c r="G944" i="4"/>
  <c r="J943" i="4"/>
  <c r="H943" i="4"/>
  <c r="I943" i="4" s="1"/>
  <c r="G943" i="4"/>
  <c r="J942" i="4"/>
  <c r="H942" i="4"/>
  <c r="I942" i="4" s="1"/>
  <c r="G942" i="4"/>
  <c r="J941" i="4"/>
  <c r="H941" i="4"/>
  <c r="I941" i="4" s="1"/>
  <c r="G941" i="4"/>
  <c r="J940" i="4"/>
  <c r="H940" i="4"/>
  <c r="I940" i="4" s="1"/>
  <c r="G940" i="4"/>
  <c r="J939" i="4"/>
  <c r="H939" i="4"/>
  <c r="I939" i="4" s="1"/>
  <c r="G939" i="4"/>
  <c r="J938" i="4"/>
  <c r="H938" i="4"/>
  <c r="I938" i="4" s="1"/>
  <c r="G938" i="4"/>
  <c r="J937" i="4"/>
  <c r="H937" i="4"/>
  <c r="I937" i="4" s="1"/>
  <c r="G937" i="4"/>
  <c r="J936" i="4"/>
  <c r="H936" i="4"/>
  <c r="I936" i="4" s="1"/>
  <c r="G936" i="4"/>
  <c r="J935" i="4"/>
  <c r="H935" i="4"/>
  <c r="I935" i="4" s="1"/>
  <c r="G935" i="4"/>
  <c r="J934" i="4"/>
  <c r="H934" i="4"/>
  <c r="I934" i="4" s="1"/>
  <c r="G934" i="4"/>
  <c r="J933" i="4"/>
  <c r="H933" i="4"/>
  <c r="I933" i="4" s="1"/>
  <c r="G933" i="4"/>
  <c r="J932" i="4"/>
  <c r="H932" i="4"/>
  <c r="I932" i="4" s="1"/>
  <c r="G932" i="4"/>
  <c r="J931" i="4"/>
  <c r="H931" i="4"/>
  <c r="I931" i="4" s="1"/>
  <c r="G931" i="4"/>
  <c r="J930" i="4"/>
  <c r="H930" i="4"/>
  <c r="I930" i="4" s="1"/>
  <c r="G930" i="4"/>
  <c r="J929" i="4"/>
  <c r="H929" i="4"/>
  <c r="I929" i="4" s="1"/>
  <c r="G929" i="4"/>
  <c r="J928" i="4"/>
  <c r="H928" i="4"/>
  <c r="I928" i="4" s="1"/>
  <c r="G928" i="4"/>
  <c r="J927" i="4"/>
  <c r="H927" i="4"/>
  <c r="I927" i="4" s="1"/>
  <c r="G927" i="4"/>
  <c r="J926" i="4"/>
  <c r="H926" i="4"/>
  <c r="I926" i="4" s="1"/>
  <c r="G926" i="4"/>
  <c r="J925" i="4"/>
  <c r="H925" i="4"/>
  <c r="I925" i="4" s="1"/>
  <c r="G925" i="4"/>
  <c r="J924" i="4"/>
  <c r="H924" i="4"/>
  <c r="I924" i="4" s="1"/>
  <c r="G924" i="4"/>
  <c r="J923" i="4"/>
  <c r="H923" i="4"/>
  <c r="I923" i="4" s="1"/>
  <c r="G923" i="4"/>
  <c r="J922" i="4"/>
  <c r="H922" i="4"/>
  <c r="I922" i="4" s="1"/>
  <c r="G922" i="4"/>
  <c r="J921" i="4"/>
  <c r="H921" i="4"/>
  <c r="I921" i="4" s="1"/>
  <c r="G921" i="4"/>
  <c r="J920" i="4"/>
  <c r="H920" i="4"/>
  <c r="I920" i="4" s="1"/>
  <c r="G920" i="4"/>
  <c r="J919" i="4"/>
  <c r="H919" i="4"/>
  <c r="I919" i="4" s="1"/>
  <c r="G919" i="4"/>
  <c r="J918" i="4"/>
  <c r="H918" i="4"/>
  <c r="I918" i="4" s="1"/>
  <c r="G918" i="4"/>
  <c r="J917" i="4"/>
  <c r="H917" i="4"/>
  <c r="I917" i="4" s="1"/>
  <c r="G917" i="4"/>
  <c r="J916" i="4"/>
  <c r="H916" i="4"/>
  <c r="I916" i="4" s="1"/>
  <c r="G916" i="4"/>
  <c r="J915" i="4"/>
  <c r="H915" i="4"/>
  <c r="I915" i="4" s="1"/>
  <c r="G915" i="4"/>
  <c r="J914" i="4"/>
  <c r="H914" i="4"/>
  <c r="I914" i="4" s="1"/>
  <c r="G914" i="4"/>
  <c r="J913" i="4"/>
  <c r="H913" i="4"/>
  <c r="I913" i="4" s="1"/>
  <c r="G913" i="4"/>
  <c r="J912" i="4"/>
  <c r="H912" i="4"/>
  <c r="I912" i="4" s="1"/>
  <c r="G912" i="4"/>
  <c r="J911" i="4"/>
  <c r="H911" i="4"/>
  <c r="I911" i="4" s="1"/>
  <c r="G911" i="4"/>
  <c r="J910" i="4"/>
  <c r="H910" i="4"/>
  <c r="I910" i="4" s="1"/>
  <c r="G910" i="4"/>
  <c r="J909" i="4"/>
  <c r="H909" i="4"/>
  <c r="I909" i="4" s="1"/>
  <c r="G909" i="4"/>
  <c r="J908" i="4"/>
  <c r="H908" i="4"/>
  <c r="I908" i="4" s="1"/>
  <c r="G908" i="4"/>
  <c r="J907" i="4"/>
  <c r="H907" i="4"/>
  <c r="I907" i="4" s="1"/>
  <c r="G907" i="4"/>
  <c r="J906" i="4"/>
  <c r="H906" i="4"/>
  <c r="I906" i="4" s="1"/>
  <c r="G906" i="4"/>
  <c r="J905" i="4"/>
  <c r="H905" i="4"/>
  <c r="I905" i="4" s="1"/>
  <c r="G905" i="4"/>
  <c r="J904" i="4"/>
  <c r="H904" i="4"/>
  <c r="I904" i="4" s="1"/>
  <c r="G904" i="4"/>
  <c r="J903" i="4"/>
  <c r="H903" i="4"/>
  <c r="I903" i="4" s="1"/>
  <c r="G903" i="4"/>
  <c r="J902" i="4"/>
  <c r="H902" i="4"/>
  <c r="I902" i="4" s="1"/>
  <c r="G902" i="4"/>
  <c r="J901" i="4"/>
  <c r="H901" i="4"/>
  <c r="I901" i="4" s="1"/>
  <c r="G901" i="4"/>
  <c r="J900" i="4"/>
  <c r="H900" i="4"/>
  <c r="I900" i="4" s="1"/>
  <c r="G900" i="4"/>
  <c r="J899" i="4"/>
  <c r="H899" i="4"/>
  <c r="I899" i="4" s="1"/>
  <c r="G899" i="4"/>
  <c r="J898" i="4"/>
  <c r="H898" i="4"/>
  <c r="I898" i="4" s="1"/>
  <c r="G898" i="4"/>
  <c r="J897" i="4"/>
  <c r="H897" i="4"/>
  <c r="I897" i="4" s="1"/>
  <c r="G897" i="4"/>
  <c r="J896" i="4"/>
  <c r="H896" i="4"/>
  <c r="I896" i="4" s="1"/>
  <c r="G896" i="4"/>
  <c r="J895" i="4"/>
  <c r="H895" i="4"/>
  <c r="I895" i="4" s="1"/>
  <c r="G895" i="4"/>
  <c r="J894" i="4"/>
  <c r="H894" i="4"/>
  <c r="I894" i="4" s="1"/>
  <c r="G894" i="4"/>
  <c r="J893" i="4"/>
  <c r="H893" i="4"/>
  <c r="I893" i="4" s="1"/>
  <c r="G893" i="4"/>
  <c r="J892" i="4"/>
  <c r="H892" i="4"/>
  <c r="I892" i="4" s="1"/>
  <c r="G892" i="4"/>
  <c r="J891" i="4"/>
  <c r="H891" i="4"/>
  <c r="I891" i="4" s="1"/>
  <c r="G891" i="4"/>
  <c r="J890" i="4"/>
  <c r="H890" i="4"/>
  <c r="I890" i="4" s="1"/>
  <c r="G890" i="4"/>
  <c r="J889" i="4"/>
  <c r="H889" i="4"/>
  <c r="I889" i="4" s="1"/>
  <c r="G889" i="4"/>
  <c r="J888" i="4"/>
  <c r="H888" i="4"/>
  <c r="I888" i="4" s="1"/>
  <c r="G888" i="4"/>
  <c r="J887" i="4"/>
  <c r="H887" i="4"/>
  <c r="I887" i="4" s="1"/>
  <c r="G887" i="4"/>
  <c r="J886" i="4"/>
  <c r="H886" i="4"/>
  <c r="I886" i="4" s="1"/>
  <c r="G886" i="4"/>
  <c r="J885" i="4"/>
  <c r="H885" i="4"/>
  <c r="I885" i="4" s="1"/>
  <c r="G885" i="4"/>
  <c r="J884" i="4"/>
  <c r="H884" i="4"/>
  <c r="I884" i="4" s="1"/>
  <c r="G884" i="4"/>
  <c r="J883" i="4"/>
  <c r="H883" i="4"/>
  <c r="I883" i="4" s="1"/>
  <c r="G883" i="4"/>
  <c r="J882" i="4"/>
  <c r="H882" i="4"/>
  <c r="I882" i="4" s="1"/>
  <c r="G882" i="4"/>
  <c r="J881" i="4"/>
  <c r="H881" i="4"/>
  <c r="I881" i="4" s="1"/>
  <c r="G881" i="4"/>
  <c r="J880" i="4"/>
  <c r="H880" i="4"/>
  <c r="I880" i="4" s="1"/>
  <c r="G880" i="4"/>
  <c r="J879" i="4"/>
  <c r="H879" i="4"/>
  <c r="I879" i="4" s="1"/>
  <c r="G879" i="4"/>
  <c r="J878" i="4"/>
  <c r="H878" i="4"/>
  <c r="I878" i="4" s="1"/>
  <c r="G878" i="4"/>
  <c r="J877" i="4"/>
  <c r="H877" i="4"/>
  <c r="I877" i="4" s="1"/>
  <c r="G877" i="4"/>
  <c r="J876" i="4"/>
  <c r="H876" i="4"/>
  <c r="I876" i="4" s="1"/>
  <c r="G876" i="4"/>
  <c r="J875" i="4"/>
  <c r="H875" i="4"/>
  <c r="I875" i="4" s="1"/>
  <c r="G875" i="4"/>
  <c r="J874" i="4"/>
  <c r="H874" i="4"/>
  <c r="I874" i="4" s="1"/>
  <c r="G874" i="4"/>
  <c r="J873" i="4"/>
  <c r="H873" i="4"/>
  <c r="I873" i="4" s="1"/>
  <c r="G873" i="4"/>
  <c r="J872" i="4"/>
  <c r="H872" i="4"/>
  <c r="I872" i="4" s="1"/>
  <c r="G872" i="4"/>
  <c r="J871" i="4"/>
  <c r="H871" i="4"/>
  <c r="I871" i="4" s="1"/>
  <c r="G871" i="4"/>
  <c r="J870" i="4"/>
  <c r="H870" i="4"/>
  <c r="I870" i="4" s="1"/>
  <c r="G870" i="4"/>
  <c r="J869" i="4"/>
  <c r="H869" i="4"/>
  <c r="I869" i="4" s="1"/>
  <c r="G869" i="4"/>
  <c r="J868" i="4"/>
  <c r="H868" i="4"/>
  <c r="I868" i="4" s="1"/>
  <c r="G868" i="4"/>
  <c r="J867" i="4"/>
  <c r="H867" i="4"/>
  <c r="I867" i="4" s="1"/>
  <c r="G867" i="4"/>
  <c r="J866" i="4"/>
  <c r="H866" i="4"/>
  <c r="I866" i="4" s="1"/>
  <c r="G866" i="4"/>
  <c r="J865" i="4"/>
  <c r="H865" i="4"/>
  <c r="I865" i="4" s="1"/>
  <c r="G865" i="4"/>
  <c r="J864" i="4"/>
  <c r="H864" i="4"/>
  <c r="I864" i="4" s="1"/>
  <c r="G864" i="4"/>
  <c r="J863" i="4"/>
  <c r="H863" i="4"/>
  <c r="I863" i="4" s="1"/>
  <c r="G863" i="4"/>
  <c r="J862" i="4"/>
  <c r="H862" i="4"/>
  <c r="I862" i="4" s="1"/>
  <c r="G862" i="4"/>
  <c r="J861" i="4"/>
  <c r="H861" i="4"/>
  <c r="I861" i="4" s="1"/>
  <c r="G861" i="4"/>
  <c r="J860" i="4"/>
  <c r="H860" i="4"/>
  <c r="I860" i="4" s="1"/>
  <c r="G860" i="4"/>
  <c r="J859" i="4"/>
  <c r="H859" i="4"/>
  <c r="I859" i="4" s="1"/>
  <c r="G859" i="4"/>
  <c r="J858" i="4"/>
  <c r="H858" i="4"/>
  <c r="I858" i="4" s="1"/>
  <c r="G858" i="4"/>
  <c r="J857" i="4"/>
  <c r="H857" i="4"/>
  <c r="I857" i="4" s="1"/>
  <c r="G857" i="4"/>
  <c r="J856" i="4"/>
  <c r="H856" i="4"/>
  <c r="I856" i="4" s="1"/>
  <c r="G856" i="4"/>
  <c r="J855" i="4"/>
  <c r="H855" i="4"/>
  <c r="I855" i="4" s="1"/>
  <c r="G855" i="4"/>
  <c r="J854" i="4"/>
  <c r="H854" i="4"/>
  <c r="I854" i="4" s="1"/>
  <c r="G854" i="4"/>
  <c r="J853" i="4"/>
  <c r="H853" i="4"/>
  <c r="I853" i="4" s="1"/>
  <c r="G853" i="4"/>
  <c r="J852" i="4"/>
  <c r="H852" i="4"/>
  <c r="I852" i="4" s="1"/>
  <c r="G852" i="4"/>
  <c r="J851" i="4"/>
  <c r="H851" i="4"/>
  <c r="I851" i="4" s="1"/>
  <c r="G851" i="4"/>
  <c r="J850" i="4"/>
  <c r="H850" i="4"/>
  <c r="I850" i="4" s="1"/>
  <c r="G850" i="4"/>
  <c r="J849" i="4"/>
  <c r="H849" i="4"/>
  <c r="I849" i="4" s="1"/>
  <c r="G849" i="4"/>
  <c r="J848" i="4"/>
  <c r="H848" i="4"/>
  <c r="I848" i="4" s="1"/>
  <c r="G848" i="4"/>
  <c r="J847" i="4"/>
  <c r="H847" i="4"/>
  <c r="I847" i="4" s="1"/>
  <c r="G847" i="4"/>
  <c r="J846" i="4"/>
  <c r="H846" i="4"/>
  <c r="I846" i="4" s="1"/>
  <c r="G846" i="4"/>
  <c r="J845" i="4"/>
  <c r="H845" i="4"/>
  <c r="I845" i="4" s="1"/>
  <c r="G845" i="4"/>
  <c r="J844" i="4"/>
  <c r="H844" i="4"/>
  <c r="I844" i="4" s="1"/>
  <c r="G844" i="4"/>
  <c r="J843" i="4"/>
  <c r="H843" i="4"/>
  <c r="I843" i="4" s="1"/>
  <c r="G843" i="4"/>
  <c r="J842" i="4"/>
  <c r="H842" i="4"/>
  <c r="I842" i="4" s="1"/>
  <c r="G842" i="4"/>
  <c r="J841" i="4"/>
  <c r="H841" i="4"/>
  <c r="I841" i="4" s="1"/>
  <c r="G841" i="4"/>
  <c r="J840" i="4"/>
  <c r="H840" i="4"/>
  <c r="I840" i="4" s="1"/>
  <c r="G840" i="4"/>
  <c r="J839" i="4"/>
  <c r="H839" i="4"/>
  <c r="I839" i="4" s="1"/>
  <c r="G839" i="4"/>
  <c r="J838" i="4"/>
  <c r="H838" i="4"/>
  <c r="I838" i="4" s="1"/>
  <c r="G838" i="4"/>
  <c r="J837" i="4"/>
  <c r="H837" i="4"/>
  <c r="I837" i="4" s="1"/>
  <c r="G837" i="4"/>
  <c r="J836" i="4"/>
  <c r="H836" i="4"/>
  <c r="I836" i="4" s="1"/>
  <c r="G836" i="4"/>
  <c r="J835" i="4"/>
  <c r="H835" i="4"/>
  <c r="I835" i="4" s="1"/>
  <c r="G835" i="4"/>
  <c r="J834" i="4"/>
  <c r="H834" i="4"/>
  <c r="I834" i="4" s="1"/>
  <c r="G834" i="4"/>
  <c r="J833" i="4"/>
  <c r="H833" i="4"/>
  <c r="I833" i="4" s="1"/>
  <c r="G833" i="4"/>
  <c r="J832" i="4"/>
  <c r="H832" i="4"/>
  <c r="I832" i="4" s="1"/>
  <c r="G832" i="4"/>
  <c r="J831" i="4"/>
  <c r="H831" i="4"/>
  <c r="I831" i="4" s="1"/>
  <c r="G831" i="4"/>
  <c r="J830" i="4"/>
  <c r="H830" i="4"/>
  <c r="I830" i="4" s="1"/>
  <c r="G830" i="4"/>
  <c r="J829" i="4"/>
  <c r="H829" i="4"/>
  <c r="I829" i="4" s="1"/>
  <c r="G829" i="4"/>
  <c r="J828" i="4"/>
  <c r="H828" i="4"/>
  <c r="I828" i="4" s="1"/>
  <c r="G828" i="4"/>
  <c r="J827" i="4"/>
  <c r="H827" i="4"/>
  <c r="I827" i="4" s="1"/>
  <c r="G827" i="4"/>
  <c r="J826" i="4"/>
  <c r="H826" i="4"/>
  <c r="I826" i="4" s="1"/>
  <c r="G826" i="4"/>
  <c r="J825" i="4"/>
  <c r="H825" i="4"/>
  <c r="I825" i="4" s="1"/>
  <c r="G825" i="4"/>
  <c r="J824" i="4"/>
  <c r="H824" i="4"/>
  <c r="I824" i="4" s="1"/>
  <c r="G824" i="4"/>
  <c r="J823" i="4"/>
  <c r="H823" i="4"/>
  <c r="I823" i="4" s="1"/>
  <c r="G823" i="4"/>
  <c r="J822" i="4"/>
  <c r="H822" i="4"/>
  <c r="I822" i="4" s="1"/>
  <c r="G822" i="4"/>
  <c r="J821" i="4"/>
  <c r="H821" i="4"/>
  <c r="I821" i="4" s="1"/>
  <c r="G821" i="4"/>
  <c r="J820" i="4"/>
  <c r="H820" i="4"/>
  <c r="I820" i="4" s="1"/>
  <c r="G820" i="4"/>
  <c r="J819" i="4"/>
  <c r="H819" i="4"/>
  <c r="I819" i="4" s="1"/>
  <c r="G819" i="4"/>
  <c r="J818" i="4"/>
  <c r="H818" i="4"/>
  <c r="I818" i="4" s="1"/>
  <c r="G818" i="4"/>
  <c r="J817" i="4"/>
  <c r="H817" i="4"/>
  <c r="I817" i="4" s="1"/>
  <c r="G817" i="4"/>
  <c r="J816" i="4"/>
  <c r="H816" i="4"/>
  <c r="I816" i="4" s="1"/>
  <c r="G816" i="4"/>
  <c r="J815" i="4"/>
  <c r="H815" i="4"/>
  <c r="I815" i="4" s="1"/>
  <c r="G815" i="4"/>
  <c r="J814" i="4"/>
  <c r="H814" i="4"/>
  <c r="I814" i="4" s="1"/>
  <c r="G814" i="4"/>
  <c r="J813" i="4"/>
  <c r="H813" i="4"/>
  <c r="I813" i="4" s="1"/>
  <c r="G813" i="4"/>
  <c r="J812" i="4"/>
  <c r="H812" i="4"/>
  <c r="I812" i="4" s="1"/>
  <c r="G812" i="4"/>
  <c r="J811" i="4"/>
  <c r="H811" i="4"/>
  <c r="I811" i="4" s="1"/>
  <c r="G811" i="4"/>
  <c r="J810" i="4"/>
  <c r="H810" i="4"/>
  <c r="I810" i="4" s="1"/>
  <c r="G810" i="4"/>
  <c r="J809" i="4"/>
  <c r="H809" i="4"/>
  <c r="I809" i="4" s="1"/>
  <c r="G809" i="4"/>
  <c r="J808" i="4"/>
  <c r="H808" i="4"/>
  <c r="I808" i="4" s="1"/>
  <c r="G808" i="4"/>
  <c r="J807" i="4"/>
  <c r="H807" i="4"/>
  <c r="I807" i="4" s="1"/>
  <c r="G807" i="4"/>
  <c r="J806" i="4"/>
  <c r="H806" i="4"/>
  <c r="I806" i="4" s="1"/>
  <c r="G806" i="4"/>
  <c r="J805" i="4"/>
  <c r="H805" i="4"/>
  <c r="I805" i="4" s="1"/>
  <c r="G805" i="4"/>
  <c r="J804" i="4"/>
  <c r="H804" i="4"/>
  <c r="I804" i="4" s="1"/>
  <c r="G804" i="4"/>
  <c r="J803" i="4"/>
  <c r="H803" i="4"/>
  <c r="I803" i="4" s="1"/>
  <c r="G803" i="4"/>
  <c r="J802" i="4"/>
  <c r="H802" i="4"/>
  <c r="I802" i="4" s="1"/>
  <c r="G802" i="4"/>
  <c r="J801" i="4"/>
  <c r="H801" i="4"/>
  <c r="I801" i="4" s="1"/>
  <c r="G801" i="4"/>
  <c r="J800" i="4"/>
  <c r="H800" i="4"/>
  <c r="I800" i="4" s="1"/>
  <c r="G800" i="4"/>
  <c r="J799" i="4"/>
  <c r="H799" i="4"/>
  <c r="I799" i="4" s="1"/>
  <c r="G799" i="4"/>
  <c r="J798" i="4"/>
  <c r="H798" i="4"/>
  <c r="I798" i="4" s="1"/>
  <c r="G798" i="4"/>
  <c r="J797" i="4"/>
  <c r="H797" i="4"/>
  <c r="I797" i="4" s="1"/>
  <c r="G797" i="4"/>
  <c r="J796" i="4"/>
  <c r="H796" i="4"/>
  <c r="I796" i="4" s="1"/>
  <c r="G796" i="4"/>
  <c r="J795" i="4"/>
  <c r="H795" i="4"/>
  <c r="I795" i="4" s="1"/>
  <c r="G795" i="4"/>
  <c r="J794" i="4"/>
  <c r="H794" i="4"/>
  <c r="I794" i="4" s="1"/>
  <c r="G794" i="4"/>
  <c r="J793" i="4"/>
  <c r="H793" i="4"/>
  <c r="I793" i="4" s="1"/>
  <c r="G793" i="4"/>
  <c r="J792" i="4"/>
  <c r="H792" i="4"/>
  <c r="I792" i="4" s="1"/>
  <c r="G792" i="4"/>
  <c r="J791" i="4"/>
  <c r="H791" i="4"/>
  <c r="I791" i="4" s="1"/>
  <c r="G791" i="4"/>
  <c r="J790" i="4"/>
  <c r="H790" i="4"/>
  <c r="I790" i="4" s="1"/>
  <c r="G790" i="4"/>
  <c r="J789" i="4"/>
  <c r="H789" i="4"/>
  <c r="I789" i="4" s="1"/>
  <c r="G789" i="4"/>
  <c r="J788" i="4"/>
  <c r="H788" i="4"/>
  <c r="I788" i="4" s="1"/>
  <c r="G788" i="4"/>
  <c r="J787" i="4"/>
  <c r="H787" i="4"/>
  <c r="I787" i="4" s="1"/>
  <c r="G787" i="4"/>
  <c r="J786" i="4"/>
  <c r="H786" i="4"/>
  <c r="I786" i="4" s="1"/>
  <c r="G786" i="4"/>
  <c r="J785" i="4"/>
  <c r="H785" i="4"/>
  <c r="I785" i="4" s="1"/>
  <c r="G785" i="4"/>
  <c r="J784" i="4"/>
  <c r="H784" i="4"/>
  <c r="I784" i="4" s="1"/>
  <c r="G784" i="4"/>
  <c r="J783" i="4"/>
  <c r="H783" i="4"/>
  <c r="I783" i="4" s="1"/>
  <c r="G783" i="4"/>
  <c r="J782" i="4"/>
  <c r="H782" i="4"/>
  <c r="I782" i="4" s="1"/>
  <c r="G782" i="4"/>
  <c r="J781" i="4"/>
  <c r="H781" i="4"/>
  <c r="I781" i="4" s="1"/>
  <c r="G781" i="4"/>
  <c r="J780" i="4"/>
  <c r="H780" i="4"/>
  <c r="I780" i="4" s="1"/>
  <c r="G780" i="4"/>
  <c r="J779" i="4"/>
  <c r="H779" i="4"/>
  <c r="I779" i="4" s="1"/>
  <c r="G779" i="4"/>
  <c r="J778" i="4"/>
  <c r="H778" i="4"/>
  <c r="I778" i="4" s="1"/>
  <c r="G778" i="4"/>
  <c r="J777" i="4"/>
  <c r="H777" i="4"/>
  <c r="I777" i="4" s="1"/>
  <c r="G777" i="4"/>
  <c r="J776" i="4"/>
  <c r="H776" i="4"/>
  <c r="I776" i="4" s="1"/>
  <c r="G776" i="4"/>
  <c r="J775" i="4"/>
  <c r="H775" i="4"/>
  <c r="I775" i="4" s="1"/>
  <c r="G775" i="4"/>
  <c r="J774" i="4"/>
  <c r="H774" i="4"/>
  <c r="I774" i="4" s="1"/>
  <c r="G774" i="4"/>
  <c r="J773" i="4"/>
  <c r="H773" i="4"/>
  <c r="I773" i="4" s="1"/>
  <c r="G773" i="4"/>
  <c r="J772" i="4"/>
  <c r="H772" i="4"/>
  <c r="I772" i="4" s="1"/>
  <c r="G772" i="4"/>
  <c r="J771" i="4"/>
  <c r="H771" i="4"/>
  <c r="I771" i="4" s="1"/>
  <c r="G771" i="4"/>
  <c r="J770" i="4"/>
  <c r="H770" i="4"/>
  <c r="I770" i="4" s="1"/>
  <c r="G770" i="4"/>
  <c r="J769" i="4"/>
  <c r="H769" i="4"/>
  <c r="I769" i="4" s="1"/>
  <c r="G769" i="4"/>
  <c r="J768" i="4"/>
  <c r="H768" i="4"/>
  <c r="I768" i="4" s="1"/>
  <c r="G768" i="4"/>
  <c r="J767" i="4"/>
  <c r="H767" i="4"/>
  <c r="I767" i="4" s="1"/>
  <c r="G767" i="4"/>
  <c r="J766" i="4"/>
  <c r="H766" i="4"/>
  <c r="I766" i="4" s="1"/>
  <c r="G766" i="4"/>
  <c r="J765" i="4"/>
  <c r="H765" i="4"/>
  <c r="I765" i="4" s="1"/>
  <c r="G765" i="4"/>
  <c r="J764" i="4"/>
  <c r="H764" i="4"/>
  <c r="I764" i="4" s="1"/>
  <c r="G764" i="4"/>
  <c r="J763" i="4"/>
  <c r="H763" i="4"/>
  <c r="I763" i="4" s="1"/>
  <c r="G763" i="4"/>
  <c r="J762" i="4"/>
  <c r="H762" i="4"/>
  <c r="I762" i="4" s="1"/>
  <c r="G762" i="4"/>
  <c r="J761" i="4"/>
  <c r="H761" i="4"/>
  <c r="I761" i="4" s="1"/>
  <c r="G761" i="4"/>
  <c r="J760" i="4"/>
  <c r="H760" i="4"/>
  <c r="I760" i="4" s="1"/>
  <c r="G760" i="4"/>
  <c r="J759" i="4"/>
  <c r="H759" i="4"/>
  <c r="I759" i="4" s="1"/>
  <c r="G759" i="4"/>
  <c r="J758" i="4"/>
  <c r="H758" i="4"/>
  <c r="I758" i="4" s="1"/>
  <c r="G758" i="4"/>
  <c r="J757" i="4"/>
  <c r="H757" i="4"/>
  <c r="I757" i="4" s="1"/>
  <c r="G757" i="4"/>
  <c r="J756" i="4"/>
  <c r="H756" i="4"/>
  <c r="I756" i="4" s="1"/>
  <c r="G756" i="4"/>
  <c r="J755" i="4"/>
  <c r="H755" i="4"/>
  <c r="I755" i="4" s="1"/>
  <c r="G755" i="4"/>
  <c r="J754" i="4"/>
  <c r="H754" i="4"/>
  <c r="I754" i="4" s="1"/>
  <c r="G754" i="4"/>
  <c r="J753" i="4"/>
  <c r="H753" i="4"/>
  <c r="I753" i="4" s="1"/>
  <c r="G753" i="4"/>
  <c r="J752" i="4"/>
  <c r="H752" i="4"/>
  <c r="I752" i="4" s="1"/>
  <c r="G752" i="4"/>
  <c r="J751" i="4"/>
  <c r="H751" i="4"/>
  <c r="I751" i="4" s="1"/>
  <c r="G751" i="4"/>
  <c r="J750" i="4"/>
  <c r="H750" i="4"/>
  <c r="I750" i="4" s="1"/>
  <c r="G750" i="4"/>
  <c r="J749" i="4"/>
  <c r="H749" i="4"/>
  <c r="I749" i="4" s="1"/>
  <c r="G749" i="4"/>
  <c r="J748" i="4"/>
  <c r="H748" i="4"/>
  <c r="I748" i="4" s="1"/>
  <c r="G748" i="4"/>
  <c r="J747" i="4"/>
  <c r="H747" i="4"/>
  <c r="I747" i="4" s="1"/>
  <c r="G747" i="4"/>
  <c r="J746" i="4"/>
  <c r="H746" i="4"/>
  <c r="I746" i="4" s="1"/>
  <c r="G746" i="4"/>
  <c r="J745" i="4"/>
  <c r="H745" i="4"/>
  <c r="I745" i="4" s="1"/>
  <c r="G745" i="4"/>
  <c r="J744" i="4"/>
  <c r="H744" i="4"/>
  <c r="I744" i="4" s="1"/>
  <c r="G744" i="4"/>
  <c r="J743" i="4"/>
  <c r="H743" i="4"/>
  <c r="I743" i="4" s="1"/>
  <c r="G743" i="4"/>
  <c r="J742" i="4"/>
  <c r="H742" i="4"/>
  <c r="I742" i="4" s="1"/>
  <c r="G742" i="4"/>
  <c r="J741" i="4"/>
  <c r="H741" i="4"/>
  <c r="I741" i="4" s="1"/>
  <c r="G741" i="4"/>
  <c r="J740" i="4"/>
  <c r="H740" i="4"/>
  <c r="I740" i="4" s="1"/>
  <c r="G740" i="4"/>
  <c r="J739" i="4"/>
  <c r="H739" i="4"/>
  <c r="I739" i="4" s="1"/>
  <c r="G739" i="4"/>
  <c r="J738" i="4"/>
  <c r="H738" i="4"/>
  <c r="I738" i="4" s="1"/>
  <c r="G738" i="4"/>
  <c r="J737" i="4"/>
  <c r="H737" i="4"/>
  <c r="I737" i="4" s="1"/>
  <c r="G737" i="4"/>
  <c r="J736" i="4"/>
  <c r="H736" i="4"/>
  <c r="I736" i="4" s="1"/>
  <c r="G736" i="4"/>
  <c r="J735" i="4"/>
  <c r="H735" i="4"/>
  <c r="I735" i="4" s="1"/>
  <c r="G735" i="4"/>
  <c r="J734" i="4"/>
  <c r="H734" i="4"/>
  <c r="I734" i="4" s="1"/>
  <c r="G734" i="4"/>
  <c r="J733" i="4"/>
  <c r="H733" i="4"/>
  <c r="I733" i="4" s="1"/>
  <c r="G733" i="4"/>
  <c r="J732" i="4"/>
  <c r="H732" i="4"/>
  <c r="I732" i="4" s="1"/>
  <c r="G732" i="4"/>
  <c r="J731" i="4"/>
  <c r="H731" i="4"/>
  <c r="I731" i="4" s="1"/>
  <c r="G731" i="4"/>
  <c r="J730" i="4"/>
  <c r="H730" i="4"/>
  <c r="I730" i="4" s="1"/>
  <c r="G730" i="4"/>
  <c r="J729" i="4"/>
  <c r="H729" i="4"/>
  <c r="I729" i="4" s="1"/>
  <c r="G729" i="4"/>
  <c r="J728" i="4"/>
  <c r="H728" i="4"/>
  <c r="I728" i="4" s="1"/>
  <c r="G728" i="4"/>
  <c r="J727" i="4"/>
  <c r="H727" i="4"/>
  <c r="I727" i="4" s="1"/>
  <c r="G727" i="4"/>
  <c r="J726" i="4"/>
  <c r="H726" i="4"/>
  <c r="I726" i="4" s="1"/>
  <c r="G726" i="4"/>
  <c r="J725" i="4"/>
  <c r="H725" i="4"/>
  <c r="I725" i="4" s="1"/>
  <c r="G725" i="4"/>
  <c r="J724" i="4"/>
  <c r="H724" i="4"/>
  <c r="I724" i="4" s="1"/>
  <c r="G724" i="4"/>
  <c r="J723" i="4"/>
  <c r="H723" i="4"/>
  <c r="I723" i="4" s="1"/>
  <c r="G723" i="4"/>
  <c r="J722" i="4"/>
  <c r="H722" i="4"/>
  <c r="I722" i="4" s="1"/>
  <c r="G722" i="4"/>
  <c r="J721" i="4"/>
  <c r="H721" i="4"/>
  <c r="I721" i="4" s="1"/>
  <c r="G721" i="4"/>
  <c r="J720" i="4"/>
  <c r="H720" i="4"/>
  <c r="I720" i="4" s="1"/>
  <c r="G720" i="4"/>
  <c r="J719" i="4"/>
  <c r="H719" i="4"/>
  <c r="I719" i="4" s="1"/>
  <c r="G719" i="4"/>
  <c r="J718" i="4"/>
  <c r="H718" i="4"/>
  <c r="I718" i="4" s="1"/>
  <c r="G718" i="4"/>
  <c r="J717" i="4"/>
  <c r="H717" i="4"/>
  <c r="I717" i="4" s="1"/>
  <c r="G717" i="4"/>
  <c r="J716" i="4"/>
  <c r="H716" i="4"/>
  <c r="I716" i="4" s="1"/>
  <c r="G716" i="4"/>
  <c r="J715" i="4"/>
  <c r="H715" i="4"/>
  <c r="I715" i="4" s="1"/>
  <c r="G715" i="4"/>
  <c r="J714" i="4"/>
  <c r="H714" i="4"/>
  <c r="I714" i="4" s="1"/>
  <c r="G714" i="4"/>
  <c r="J713" i="4"/>
  <c r="H713" i="4"/>
  <c r="I713" i="4" s="1"/>
  <c r="G713" i="4"/>
  <c r="J712" i="4"/>
  <c r="H712" i="4"/>
  <c r="I712" i="4" s="1"/>
  <c r="G712" i="4"/>
  <c r="J711" i="4"/>
  <c r="H711" i="4"/>
  <c r="I711" i="4" s="1"/>
  <c r="G711" i="4"/>
  <c r="J710" i="4"/>
  <c r="H710" i="4"/>
  <c r="I710" i="4" s="1"/>
  <c r="G710" i="4"/>
  <c r="J709" i="4"/>
  <c r="H709" i="4"/>
  <c r="I709" i="4" s="1"/>
  <c r="G709" i="4"/>
  <c r="J708" i="4"/>
  <c r="H708" i="4"/>
  <c r="I708" i="4" s="1"/>
  <c r="G708" i="4"/>
  <c r="J707" i="4"/>
  <c r="H707" i="4"/>
  <c r="I707" i="4" s="1"/>
  <c r="G707" i="4"/>
  <c r="J706" i="4"/>
  <c r="H706" i="4"/>
  <c r="I706" i="4" s="1"/>
  <c r="G706" i="4"/>
  <c r="J705" i="4"/>
  <c r="H705" i="4"/>
  <c r="I705" i="4" s="1"/>
  <c r="G705" i="4"/>
  <c r="J704" i="4"/>
  <c r="H704" i="4"/>
  <c r="I704" i="4" s="1"/>
  <c r="G704" i="4"/>
  <c r="J703" i="4"/>
  <c r="H703" i="4"/>
  <c r="I703" i="4" s="1"/>
  <c r="G703" i="4"/>
  <c r="J702" i="4"/>
  <c r="H702" i="4"/>
  <c r="I702" i="4" s="1"/>
  <c r="G702" i="4"/>
  <c r="J701" i="4"/>
  <c r="H701" i="4"/>
  <c r="I701" i="4" s="1"/>
  <c r="G701" i="4"/>
  <c r="J700" i="4"/>
  <c r="H700" i="4"/>
  <c r="I700" i="4" s="1"/>
  <c r="G700" i="4"/>
  <c r="J699" i="4"/>
  <c r="H699" i="4"/>
  <c r="I699" i="4" s="1"/>
  <c r="G699" i="4"/>
  <c r="J698" i="4"/>
  <c r="H698" i="4"/>
  <c r="I698" i="4" s="1"/>
  <c r="G698" i="4"/>
  <c r="J697" i="4"/>
  <c r="H697" i="4"/>
  <c r="I697" i="4" s="1"/>
  <c r="G697" i="4"/>
  <c r="J696" i="4"/>
  <c r="H696" i="4"/>
  <c r="I696" i="4" s="1"/>
  <c r="G696" i="4"/>
  <c r="J695" i="4"/>
  <c r="H695" i="4"/>
  <c r="I695" i="4" s="1"/>
  <c r="G695" i="4"/>
  <c r="J694" i="4"/>
  <c r="H694" i="4"/>
  <c r="I694" i="4" s="1"/>
  <c r="G694" i="4"/>
  <c r="J693" i="4"/>
  <c r="H693" i="4"/>
  <c r="I693" i="4" s="1"/>
  <c r="G693" i="4"/>
  <c r="J692" i="4"/>
  <c r="H692" i="4"/>
  <c r="I692" i="4" s="1"/>
  <c r="G692" i="4"/>
  <c r="J691" i="4"/>
  <c r="H691" i="4"/>
  <c r="I691" i="4" s="1"/>
  <c r="G691" i="4"/>
  <c r="J690" i="4"/>
  <c r="H690" i="4"/>
  <c r="I690" i="4" s="1"/>
  <c r="G690" i="4"/>
  <c r="J689" i="4"/>
  <c r="H689" i="4"/>
  <c r="I689" i="4" s="1"/>
  <c r="G689" i="4"/>
  <c r="J688" i="4"/>
  <c r="H688" i="4"/>
  <c r="I688" i="4" s="1"/>
  <c r="G688" i="4"/>
  <c r="J687" i="4"/>
  <c r="H687" i="4"/>
  <c r="I687" i="4" s="1"/>
  <c r="G687" i="4"/>
  <c r="J686" i="4"/>
  <c r="H686" i="4"/>
  <c r="I686" i="4" s="1"/>
  <c r="G686" i="4"/>
  <c r="J685" i="4"/>
  <c r="H685" i="4"/>
  <c r="I685" i="4" s="1"/>
  <c r="G685" i="4"/>
  <c r="J684" i="4"/>
  <c r="H684" i="4"/>
  <c r="I684" i="4" s="1"/>
  <c r="G684" i="4"/>
  <c r="J683" i="4"/>
  <c r="H683" i="4"/>
  <c r="I683" i="4" s="1"/>
  <c r="G683" i="4"/>
  <c r="J682" i="4"/>
  <c r="H682" i="4"/>
  <c r="I682" i="4" s="1"/>
  <c r="G682" i="4"/>
  <c r="J681" i="4"/>
  <c r="H681" i="4"/>
  <c r="I681" i="4" s="1"/>
  <c r="G681" i="4"/>
  <c r="J680" i="4"/>
  <c r="H680" i="4"/>
  <c r="I680" i="4" s="1"/>
  <c r="G680" i="4"/>
  <c r="J679" i="4"/>
  <c r="H679" i="4"/>
  <c r="I679" i="4" s="1"/>
  <c r="G679" i="4"/>
  <c r="J678" i="4"/>
  <c r="H678" i="4"/>
  <c r="I678" i="4" s="1"/>
  <c r="G678" i="4"/>
  <c r="J677" i="4"/>
  <c r="H677" i="4"/>
  <c r="I677" i="4" s="1"/>
  <c r="G677" i="4"/>
  <c r="J676" i="4"/>
  <c r="H676" i="4"/>
  <c r="I676" i="4" s="1"/>
  <c r="G676" i="4"/>
  <c r="J675" i="4"/>
  <c r="H675" i="4"/>
  <c r="I675" i="4" s="1"/>
  <c r="G675" i="4"/>
  <c r="J674" i="4"/>
  <c r="H674" i="4"/>
  <c r="I674" i="4" s="1"/>
  <c r="G674" i="4"/>
  <c r="J673" i="4"/>
  <c r="H673" i="4"/>
  <c r="I673" i="4" s="1"/>
  <c r="G673" i="4"/>
  <c r="J672" i="4"/>
  <c r="H672" i="4"/>
  <c r="I672" i="4" s="1"/>
  <c r="G672" i="4"/>
  <c r="J671" i="4"/>
  <c r="H671" i="4"/>
  <c r="I671" i="4" s="1"/>
  <c r="G671" i="4"/>
  <c r="J670" i="4"/>
  <c r="H670" i="4"/>
  <c r="I670" i="4" s="1"/>
  <c r="G670" i="4"/>
  <c r="J669" i="4"/>
  <c r="H669" i="4"/>
  <c r="I669" i="4" s="1"/>
  <c r="G669" i="4"/>
  <c r="J668" i="4"/>
  <c r="H668" i="4"/>
  <c r="I668" i="4" s="1"/>
  <c r="G668" i="4"/>
  <c r="J667" i="4"/>
  <c r="H667" i="4"/>
  <c r="I667" i="4" s="1"/>
  <c r="G667" i="4"/>
  <c r="J666" i="4"/>
  <c r="H666" i="4"/>
  <c r="I666" i="4" s="1"/>
  <c r="G666" i="4"/>
  <c r="J665" i="4"/>
  <c r="H665" i="4"/>
  <c r="I665" i="4" s="1"/>
  <c r="G665" i="4"/>
  <c r="J664" i="4"/>
  <c r="H664" i="4"/>
  <c r="I664" i="4" s="1"/>
  <c r="G664" i="4"/>
  <c r="J663" i="4"/>
  <c r="H663" i="4"/>
  <c r="I663" i="4" s="1"/>
  <c r="G663" i="4"/>
  <c r="J662" i="4"/>
  <c r="H662" i="4"/>
  <c r="I662" i="4" s="1"/>
  <c r="G662" i="4"/>
  <c r="J661" i="4"/>
  <c r="H661" i="4"/>
  <c r="I661" i="4" s="1"/>
  <c r="G661" i="4"/>
  <c r="J660" i="4"/>
  <c r="H660" i="4"/>
  <c r="I660" i="4" s="1"/>
  <c r="G660" i="4"/>
  <c r="J659" i="4"/>
  <c r="H659" i="4"/>
  <c r="I659" i="4" s="1"/>
  <c r="G659" i="4"/>
  <c r="J658" i="4"/>
  <c r="H658" i="4"/>
  <c r="I658" i="4" s="1"/>
  <c r="G658" i="4"/>
  <c r="J657" i="4"/>
  <c r="H657" i="4"/>
  <c r="I657" i="4" s="1"/>
  <c r="G657" i="4"/>
  <c r="J656" i="4"/>
  <c r="H656" i="4"/>
  <c r="I656" i="4" s="1"/>
  <c r="G656" i="4"/>
  <c r="J655" i="4"/>
  <c r="H655" i="4"/>
  <c r="I655" i="4" s="1"/>
  <c r="G655" i="4"/>
  <c r="J654" i="4"/>
  <c r="H654" i="4"/>
  <c r="I654" i="4" s="1"/>
  <c r="G654" i="4"/>
  <c r="J653" i="4"/>
  <c r="H653" i="4"/>
  <c r="I653" i="4" s="1"/>
  <c r="G653" i="4"/>
  <c r="J652" i="4"/>
  <c r="H652" i="4"/>
  <c r="I652" i="4" s="1"/>
  <c r="G652" i="4"/>
  <c r="J651" i="4"/>
  <c r="H651" i="4"/>
  <c r="I651" i="4" s="1"/>
  <c r="G651" i="4"/>
  <c r="J650" i="4"/>
  <c r="H650" i="4"/>
  <c r="I650" i="4" s="1"/>
  <c r="G650" i="4"/>
  <c r="J649" i="4"/>
  <c r="H649" i="4"/>
  <c r="I649" i="4" s="1"/>
  <c r="G649" i="4"/>
  <c r="J648" i="4"/>
  <c r="H648" i="4"/>
  <c r="I648" i="4" s="1"/>
  <c r="G648" i="4"/>
  <c r="J647" i="4"/>
  <c r="H647" i="4"/>
  <c r="I647" i="4" s="1"/>
  <c r="G647" i="4"/>
  <c r="J646" i="4"/>
  <c r="H646" i="4"/>
  <c r="I646" i="4" s="1"/>
  <c r="G646" i="4"/>
  <c r="J645" i="4"/>
  <c r="H645" i="4"/>
  <c r="I645" i="4" s="1"/>
  <c r="G645" i="4"/>
  <c r="J644" i="4"/>
  <c r="H644" i="4"/>
  <c r="I644" i="4" s="1"/>
  <c r="G644" i="4"/>
  <c r="J643" i="4"/>
  <c r="H643" i="4"/>
  <c r="I643" i="4" s="1"/>
  <c r="G643" i="4"/>
  <c r="J642" i="4"/>
  <c r="H642" i="4"/>
  <c r="I642" i="4" s="1"/>
  <c r="G642" i="4"/>
  <c r="J641" i="4"/>
  <c r="H641" i="4"/>
  <c r="I641" i="4" s="1"/>
  <c r="G641" i="4"/>
  <c r="J640" i="4"/>
  <c r="H640" i="4"/>
  <c r="I640" i="4" s="1"/>
  <c r="G640" i="4"/>
  <c r="J639" i="4"/>
  <c r="H639" i="4"/>
  <c r="I639" i="4" s="1"/>
  <c r="G639" i="4"/>
  <c r="J638" i="4"/>
  <c r="H638" i="4"/>
  <c r="I638" i="4" s="1"/>
  <c r="G638" i="4"/>
  <c r="J637" i="4"/>
  <c r="H637" i="4"/>
  <c r="I637" i="4" s="1"/>
  <c r="G637" i="4"/>
  <c r="J636" i="4"/>
  <c r="H636" i="4"/>
  <c r="I636" i="4" s="1"/>
  <c r="G636" i="4"/>
  <c r="J635" i="4"/>
  <c r="H635" i="4"/>
  <c r="I635" i="4" s="1"/>
  <c r="G635" i="4"/>
  <c r="J634" i="4"/>
  <c r="H634" i="4"/>
  <c r="I634" i="4" s="1"/>
  <c r="G634" i="4"/>
  <c r="J633" i="4"/>
  <c r="H633" i="4"/>
  <c r="I633" i="4" s="1"/>
  <c r="G633" i="4"/>
  <c r="J632" i="4"/>
  <c r="H632" i="4"/>
  <c r="I632" i="4" s="1"/>
  <c r="G632" i="4"/>
  <c r="J631" i="4"/>
  <c r="H631" i="4"/>
  <c r="I631" i="4" s="1"/>
  <c r="G631" i="4"/>
  <c r="J630" i="4"/>
  <c r="H630" i="4"/>
  <c r="I630" i="4" s="1"/>
  <c r="G630" i="4"/>
  <c r="J629" i="4"/>
  <c r="H629" i="4"/>
  <c r="I629" i="4" s="1"/>
  <c r="G629" i="4"/>
  <c r="J628" i="4"/>
  <c r="H628" i="4"/>
  <c r="I628" i="4" s="1"/>
  <c r="G628" i="4"/>
  <c r="J627" i="4"/>
  <c r="H627" i="4"/>
  <c r="I627" i="4" s="1"/>
  <c r="G627" i="4"/>
  <c r="J626" i="4"/>
  <c r="H626" i="4"/>
  <c r="I626" i="4" s="1"/>
  <c r="G626" i="4"/>
  <c r="J625" i="4"/>
  <c r="H625" i="4"/>
  <c r="I625" i="4" s="1"/>
  <c r="G625" i="4"/>
  <c r="J624" i="4"/>
  <c r="H624" i="4"/>
  <c r="I624" i="4" s="1"/>
  <c r="G624" i="4"/>
  <c r="J623" i="4"/>
  <c r="H623" i="4"/>
  <c r="I623" i="4" s="1"/>
  <c r="G623" i="4"/>
  <c r="J622" i="4"/>
  <c r="H622" i="4"/>
  <c r="I622" i="4" s="1"/>
  <c r="G622" i="4"/>
  <c r="J621" i="4"/>
  <c r="H621" i="4"/>
  <c r="I621" i="4" s="1"/>
  <c r="G621" i="4"/>
  <c r="J620" i="4"/>
  <c r="H620" i="4"/>
  <c r="I620" i="4" s="1"/>
  <c r="G620" i="4"/>
  <c r="J619" i="4"/>
  <c r="H619" i="4"/>
  <c r="I619" i="4" s="1"/>
  <c r="G619" i="4"/>
  <c r="J618" i="4"/>
  <c r="H618" i="4"/>
  <c r="I618" i="4" s="1"/>
  <c r="G618" i="4"/>
  <c r="J617" i="4"/>
  <c r="H617" i="4"/>
  <c r="I617" i="4" s="1"/>
  <c r="G617" i="4"/>
  <c r="J616" i="4"/>
  <c r="H616" i="4"/>
  <c r="I616" i="4" s="1"/>
  <c r="G616" i="4"/>
  <c r="J615" i="4"/>
  <c r="H615" i="4"/>
  <c r="I615" i="4" s="1"/>
  <c r="G615" i="4"/>
  <c r="J614" i="4"/>
  <c r="H614" i="4"/>
  <c r="I614" i="4" s="1"/>
  <c r="G614" i="4"/>
  <c r="J613" i="4"/>
  <c r="H613" i="4"/>
  <c r="I613" i="4" s="1"/>
  <c r="G613" i="4"/>
  <c r="J612" i="4"/>
  <c r="H612" i="4"/>
  <c r="I612" i="4" s="1"/>
  <c r="G612" i="4"/>
  <c r="J611" i="4"/>
  <c r="H611" i="4"/>
  <c r="I611" i="4" s="1"/>
  <c r="G611" i="4"/>
  <c r="J610" i="4"/>
  <c r="H610" i="4"/>
  <c r="I610" i="4" s="1"/>
  <c r="G610" i="4"/>
  <c r="J609" i="4"/>
  <c r="H609" i="4"/>
  <c r="I609" i="4" s="1"/>
  <c r="G609" i="4"/>
  <c r="J608" i="4"/>
  <c r="H608" i="4"/>
  <c r="I608" i="4" s="1"/>
  <c r="G608" i="4"/>
  <c r="J607" i="4"/>
  <c r="H607" i="4"/>
  <c r="I607" i="4" s="1"/>
  <c r="G607" i="4"/>
  <c r="J606" i="4"/>
  <c r="H606" i="4"/>
  <c r="I606" i="4" s="1"/>
  <c r="G606" i="4"/>
  <c r="J605" i="4"/>
  <c r="H605" i="4"/>
  <c r="I605" i="4" s="1"/>
  <c r="G605" i="4"/>
  <c r="J604" i="4"/>
  <c r="H604" i="4"/>
  <c r="I604" i="4" s="1"/>
  <c r="G604" i="4"/>
  <c r="J603" i="4"/>
  <c r="H603" i="4"/>
  <c r="I603" i="4" s="1"/>
  <c r="G603" i="4"/>
  <c r="J602" i="4"/>
  <c r="H602" i="4"/>
  <c r="I602" i="4" s="1"/>
  <c r="G602" i="4"/>
  <c r="J601" i="4"/>
  <c r="H601" i="4"/>
  <c r="I601" i="4" s="1"/>
  <c r="G601" i="4"/>
  <c r="J600" i="4"/>
  <c r="H600" i="4"/>
  <c r="I600" i="4" s="1"/>
  <c r="G600" i="4"/>
  <c r="J599" i="4"/>
  <c r="H599" i="4"/>
  <c r="I599" i="4" s="1"/>
  <c r="G599" i="4"/>
  <c r="J598" i="4"/>
  <c r="H598" i="4"/>
  <c r="I598" i="4" s="1"/>
  <c r="G598" i="4"/>
  <c r="J597" i="4"/>
  <c r="H597" i="4"/>
  <c r="I597" i="4" s="1"/>
  <c r="G597" i="4"/>
  <c r="J596" i="4"/>
  <c r="H596" i="4"/>
  <c r="I596" i="4" s="1"/>
  <c r="G596" i="4"/>
  <c r="J595" i="4"/>
  <c r="H595" i="4"/>
  <c r="I595" i="4" s="1"/>
  <c r="G595" i="4"/>
  <c r="J594" i="4"/>
  <c r="H594" i="4"/>
  <c r="I594" i="4" s="1"/>
  <c r="G594" i="4"/>
  <c r="J593" i="4"/>
  <c r="H593" i="4"/>
  <c r="I593" i="4" s="1"/>
  <c r="G593" i="4"/>
  <c r="J592" i="4"/>
  <c r="H592" i="4"/>
  <c r="I592" i="4" s="1"/>
  <c r="G592" i="4"/>
  <c r="J591" i="4"/>
  <c r="H591" i="4"/>
  <c r="I591" i="4" s="1"/>
  <c r="G591" i="4"/>
  <c r="J590" i="4"/>
  <c r="H590" i="4"/>
  <c r="I590" i="4" s="1"/>
  <c r="G590" i="4"/>
  <c r="J589" i="4"/>
  <c r="H589" i="4"/>
  <c r="I589" i="4" s="1"/>
  <c r="G589" i="4"/>
  <c r="J588" i="4"/>
  <c r="H588" i="4"/>
  <c r="I588" i="4" s="1"/>
  <c r="G588" i="4"/>
  <c r="J587" i="4"/>
  <c r="H587" i="4"/>
  <c r="I587" i="4" s="1"/>
  <c r="G587" i="4"/>
  <c r="J586" i="4"/>
  <c r="H586" i="4"/>
  <c r="I586" i="4" s="1"/>
  <c r="G586" i="4"/>
  <c r="J585" i="4"/>
  <c r="H585" i="4"/>
  <c r="I585" i="4" s="1"/>
  <c r="G585" i="4"/>
  <c r="J584" i="4"/>
  <c r="H584" i="4"/>
  <c r="I584" i="4" s="1"/>
  <c r="G584" i="4"/>
  <c r="J583" i="4"/>
  <c r="H583" i="4"/>
  <c r="I583" i="4" s="1"/>
  <c r="G583" i="4"/>
  <c r="J582" i="4"/>
  <c r="H582" i="4"/>
  <c r="I582" i="4" s="1"/>
  <c r="G582" i="4"/>
  <c r="J581" i="4"/>
  <c r="H581" i="4"/>
  <c r="I581" i="4" s="1"/>
  <c r="G581" i="4"/>
  <c r="J580" i="4"/>
  <c r="H580" i="4"/>
  <c r="I580" i="4" s="1"/>
  <c r="G580" i="4"/>
  <c r="J579" i="4"/>
  <c r="H579" i="4"/>
  <c r="I579" i="4" s="1"/>
  <c r="G579" i="4"/>
  <c r="J578" i="4"/>
  <c r="H578" i="4"/>
  <c r="I578" i="4" s="1"/>
  <c r="G578" i="4"/>
  <c r="J577" i="4"/>
  <c r="H577" i="4"/>
  <c r="I577" i="4" s="1"/>
  <c r="G577" i="4"/>
  <c r="J576" i="4"/>
  <c r="H576" i="4"/>
  <c r="I576" i="4" s="1"/>
  <c r="G576" i="4"/>
  <c r="J575" i="4"/>
  <c r="H575" i="4"/>
  <c r="I575" i="4" s="1"/>
  <c r="G575" i="4"/>
  <c r="J574" i="4"/>
  <c r="H574" i="4"/>
  <c r="I574" i="4" s="1"/>
  <c r="G574" i="4"/>
  <c r="J573" i="4"/>
  <c r="H573" i="4"/>
  <c r="I573" i="4" s="1"/>
  <c r="G573" i="4"/>
  <c r="J572" i="4"/>
  <c r="H572" i="4"/>
  <c r="I572" i="4" s="1"/>
  <c r="G572" i="4"/>
  <c r="J571" i="4"/>
  <c r="H571" i="4"/>
  <c r="I571" i="4" s="1"/>
  <c r="G571" i="4"/>
  <c r="J570" i="4"/>
  <c r="H570" i="4"/>
  <c r="I570" i="4" s="1"/>
  <c r="G570" i="4"/>
  <c r="J569" i="4"/>
  <c r="H569" i="4"/>
  <c r="I569" i="4" s="1"/>
  <c r="G569" i="4"/>
  <c r="J568" i="4"/>
  <c r="H568" i="4"/>
  <c r="I568" i="4" s="1"/>
  <c r="G568" i="4"/>
  <c r="J567" i="4"/>
  <c r="H567" i="4"/>
  <c r="I567" i="4" s="1"/>
  <c r="G567" i="4"/>
  <c r="J566" i="4"/>
  <c r="H566" i="4"/>
  <c r="I566" i="4" s="1"/>
  <c r="G566" i="4"/>
  <c r="J565" i="4"/>
  <c r="H565" i="4"/>
  <c r="I565" i="4" s="1"/>
  <c r="G565" i="4"/>
  <c r="J564" i="4"/>
  <c r="H564" i="4"/>
  <c r="I564" i="4" s="1"/>
  <c r="G564" i="4"/>
  <c r="J563" i="4"/>
  <c r="H563" i="4"/>
  <c r="I563" i="4" s="1"/>
  <c r="G563" i="4"/>
  <c r="J562" i="4"/>
  <c r="H562" i="4"/>
  <c r="I562" i="4" s="1"/>
  <c r="G562" i="4"/>
  <c r="J561" i="4"/>
  <c r="H561" i="4"/>
  <c r="I561" i="4" s="1"/>
  <c r="G561" i="4"/>
  <c r="J560" i="4"/>
  <c r="H560" i="4"/>
  <c r="I560" i="4" s="1"/>
  <c r="G560" i="4"/>
  <c r="J559" i="4"/>
  <c r="H559" i="4"/>
  <c r="I559" i="4" s="1"/>
  <c r="G559" i="4"/>
  <c r="J558" i="4"/>
  <c r="H558" i="4"/>
  <c r="I558" i="4" s="1"/>
  <c r="G558" i="4"/>
  <c r="J557" i="4"/>
  <c r="H557" i="4"/>
  <c r="I557" i="4" s="1"/>
  <c r="G557" i="4"/>
  <c r="J556" i="4"/>
  <c r="H556" i="4"/>
  <c r="I556" i="4" s="1"/>
  <c r="G556" i="4"/>
  <c r="J555" i="4"/>
  <c r="H555" i="4"/>
  <c r="I555" i="4" s="1"/>
  <c r="G555" i="4"/>
  <c r="J554" i="4"/>
  <c r="H554" i="4"/>
  <c r="I554" i="4" s="1"/>
  <c r="G554" i="4"/>
  <c r="J553" i="4"/>
  <c r="H553" i="4"/>
  <c r="I553" i="4" s="1"/>
  <c r="G553" i="4"/>
  <c r="J552" i="4"/>
  <c r="H552" i="4"/>
  <c r="I552" i="4" s="1"/>
  <c r="G552" i="4"/>
  <c r="J551" i="4"/>
  <c r="H551" i="4"/>
  <c r="I551" i="4" s="1"/>
  <c r="G551" i="4"/>
  <c r="J550" i="4"/>
  <c r="H550" i="4"/>
  <c r="I550" i="4" s="1"/>
  <c r="G550" i="4"/>
  <c r="J549" i="4"/>
  <c r="H549" i="4"/>
  <c r="I549" i="4" s="1"/>
  <c r="G549" i="4"/>
  <c r="J548" i="4"/>
  <c r="H548" i="4"/>
  <c r="I548" i="4" s="1"/>
  <c r="G548" i="4"/>
  <c r="J547" i="4"/>
  <c r="H547" i="4"/>
  <c r="I547" i="4" s="1"/>
  <c r="G547" i="4"/>
  <c r="J546" i="4"/>
  <c r="H546" i="4"/>
  <c r="I546" i="4" s="1"/>
  <c r="G546" i="4"/>
  <c r="J545" i="4"/>
  <c r="H545" i="4"/>
  <c r="I545" i="4" s="1"/>
  <c r="G545" i="4"/>
  <c r="J544" i="4"/>
  <c r="H544" i="4"/>
  <c r="I544" i="4" s="1"/>
  <c r="G544" i="4"/>
  <c r="J543" i="4"/>
  <c r="H543" i="4"/>
  <c r="I543" i="4" s="1"/>
  <c r="G543" i="4"/>
  <c r="J542" i="4"/>
  <c r="H542" i="4"/>
  <c r="I542" i="4" s="1"/>
  <c r="G542" i="4"/>
  <c r="J541" i="4"/>
  <c r="H541" i="4"/>
  <c r="I541" i="4" s="1"/>
  <c r="G541" i="4"/>
  <c r="J540" i="4"/>
  <c r="H540" i="4"/>
  <c r="I540" i="4" s="1"/>
  <c r="G540" i="4"/>
  <c r="J539" i="4"/>
  <c r="H539" i="4"/>
  <c r="I539" i="4" s="1"/>
  <c r="G539" i="4"/>
  <c r="J538" i="4"/>
  <c r="H538" i="4"/>
  <c r="I538" i="4" s="1"/>
  <c r="G538" i="4"/>
  <c r="J537" i="4"/>
  <c r="H537" i="4"/>
  <c r="I537" i="4" s="1"/>
  <c r="G537" i="4"/>
  <c r="J536" i="4"/>
  <c r="H536" i="4"/>
  <c r="I536" i="4" s="1"/>
  <c r="G536" i="4"/>
  <c r="J535" i="4"/>
  <c r="H535" i="4"/>
  <c r="I535" i="4" s="1"/>
  <c r="G535" i="4"/>
  <c r="J534" i="4"/>
  <c r="H534" i="4"/>
  <c r="I534" i="4" s="1"/>
  <c r="G534" i="4"/>
  <c r="J533" i="4"/>
  <c r="H533" i="4"/>
  <c r="I533" i="4" s="1"/>
  <c r="G533" i="4"/>
  <c r="J532" i="4"/>
  <c r="H532" i="4"/>
  <c r="I532" i="4" s="1"/>
  <c r="G532" i="4"/>
  <c r="J531" i="4"/>
  <c r="H531" i="4"/>
  <c r="I531" i="4" s="1"/>
  <c r="G531" i="4"/>
  <c r="J530" i="4"/>
  <c r="H530" i="4"/>
  <c r="I530" i="4" s="1"/>
  <c r="G530" i="4"/>
  <c r="J529" i="4"/>
  <c r="H529" i="4"/>
  <c r="I529" i="4" s="1"/>
  <c r="G529" i="4"/>
  <c r="J528" i="4"/>
  <c r="H528" i="4"/>
  <c r="I528" i="4" s="1"/>
  <c r="G528" i="4"/>
  <c r="J527" i="4"/>
  <c r="H527" i="4"/>
  <c r="I527" i="4" s="1"/>
  <c r="G527" i="4"/>
  <c r="J526" i="4"/>
  <c r="H526" i="4"/>
  <c r="I526" i="4" s="1"/>
  <c r="G526" i="4"/>
  <c r="J525" i="4"/>
  <c r="H525" i="4"/>
  <c r="I525" i="4" s="1"/>
  <c r="G525" i="4"/>
  <c r="J524" i="4"/>
  <c r="H524" i="4"/>
  <c r="I524" i="4" s="1"/>
  <c r="G524" i="4"/>
  <c r="J523" i="4"/>
  <c r="H523" i="4"/>
  <c r="I523" i="4" s="1"/>
  <c r="G523" i="4"/>
  <c r="J522" i="4"/>
  <c r="H522" i="4"/>
  <c r="I522" i="4" s="1"/>
  <c r="G522" i="4"/>
  <c r="J521" i="4"/>
  <c r="H521" i="4"/>
  <c r="I521" i="4" s="1"/>
  <c r="G521" i="4"/>
  <c r="J520" i="4"/>
  <c r="H520" i="4"/>
  <c r="I520" i="4" s="1"/>
  <c r="G520" i="4"/>
  <c r="J519" i="4"/>
  <c r="H519" i="4"/>
  <c r="I519" i="4" s="1"/>
  <c r="G519" i="4"/>
  <c r="J518" i="4"/>
  <c r="H518" i="4"/>
  <c r="I518" i="4" s="1"/>
  <c r="G518" i="4"/>
  <c r="J517" i="4"/>
  <c r="H517" i="4"/>
  <c r="I517" i="4" s="1"/>
  <c r="G517" i="4"/>
  <c r="J516" i="4"/>
  <c r="H516" i="4"/>
  <c r="I516" i="4" s="1"/>
  <c r="G516" i="4"/>
  <c r="J515" i="4"/>
  <c r="H515" i="4"/>
  <c r="I515" i="4" s="1"/>
  <c r="G515" i="4"/>
  <c r="J514" i="4"/>
  <c r="H514" i="4"/>
  <c r="I514" i="4" s="1"/>
  <c r="G514" i="4"/>
  <c r="J513" i="4"/>
  <c r="H513" i="4"/>
  <c r="I513" i="4" s="1"/>
  <c r="G513" i="4"/>
  <c r="J512" i="4"/>
  <c r="H512" i="4"/>
  <c r="I512" i="4" s="1"/>
  <c r="G512" i="4"/>
  <c r="J511" i="4"/>
  <c r="H511" i="4"/>
  <c r="I511" i="4" s="1"/>
  <c r="G511" i="4"/>
  <c r="J510" i="4"/>
  <c r="H510" i="4"/>
  <c r="I510" i="4" s="1"/>
  <c r="G510" i="4"/>
  <c r="J509" i="4"/>
  <c r="H509" i="4"/>
  <c r="I509" i="4" s="1"/>
  <c r="G509" i="4"/>
  <c r="J508" i="4"/>
  <c r="H508" i="4"/>
  <c r="I508" i="4" s="1"/>
  <c r="G508" i="4"/>
  <c r="J507" i="4"/>
  <c r="H507" i="4"/>
  <c r="I507" i="4" s="1"/>
  <c r="G507" i="4"/>
  <c r="J506" i="4"/>
  <c r="H506" i="4"/>
  <c r="I506" i="4" s="1"/>
  <c r="G506" i="4"/>
  <c r="J505" i="4"/>
  <c r="H505" i="4"/>
  <c r="I505" i="4" s="1"/>
  <c r="G505" i="4"/>
  <c r="J504" i="4"/>
  <c r="H504" i="4"/>
  <c r="I504" i="4" s="1"/>
  <c r="G504" i="4"/>
  <c r="J503" i="4"/>
  <c r="H503" i="4"/>
  <c r="I503" i="4" s="1"/>
  <c r="G503" i="4"/>
  <c r="J502" i="4"/>
  <c r="H502" i="4"/>
  <c r="I502" i="4" s="1"/>
  <c r="G502" i="4"/>
  <c r="J501" i="4"/>
  <c r="H501" i="4"/>
  <c r="I501" i="4" s="1"/>
  <c r="G501" i="4"/>
  <c r="J500" i="4"/>
  <c r="H500" i="4"/>
  <c r="I500" i="4" s="1"/>
  <c r="G500" i="4"/>
  <c r="J499" i="4"/>
  <c r="H499" i="4"/>
  <c r="I499" i="4" s="1"/>
  <c r="G499" i="4"/>
  <c r="J498" i="4"/>
  <c r="H498" i="4"/>
  <c r="I498" i="4" s="1"/>
  <c r="G498" i="4"/>
  <c r="J497" i="4"/>
  <c r="H497" i="4"/>
  <c r="I497" i="4" s="1"/>
  <c r="G497" i="4"/>
  <c r="J496" i="4"/>
  <c r="H496" i="4"/>
  <c r="I496" i="4" s="1"/>
  <c r="G496" i="4"/>
  <c r="J495" i="4"/>
  <c r="H495" i="4"/>
  <c r="I495" i="4" s="1"/>
  <c r="G495" i="4"/>
  <c r="J494" i="4"/>
  <c r="H494" i="4"/>
  <c r="I494" i="4" s="1"/>
  <c r="G494" i="4"/>
  <c r="J493" i="4"/>
  <c r="H493" i="4"/>
  <c r="I493" i="4" s="1"/>
  <c r="G493" i="4"/>
  <c r="J492" i="4"/>
  <c r="H492" i="4"/>
  <c r="I492" i="4" s="1"/>
  <c r="G492" i="4"/>
  <c r="J491" i="4"/>
  <c r="H491" i="4"/>
  <c r="I491" i="4" s="1"/>
  <c r="G491" i="4"/>
  <c r="J490" i="4"/>
  <c r="H490" i="4"/>
  <c r="I490" i="4" s="1"/>
  <c r="G490" i="4"/>
  <c r="J489" i="4"/>
  <c r="H489" i="4"/>
  <c r="I489" i="4" s="1"/>
  <c r="G489" i="4"/>
  <c r="J488" i="4"/>
  <c r="H488" i="4"/>
  <c r="I488" i="4" s="1"/>
  <c r="G488" i="4"/>
  <c r="J487" i="4"/>
  <c r="H487" i="4"/>
  <c r="I487" i="4" s="1"/>
  <c r="G487" i="4"/>
  <c r="J486" i="4"/>
  <c r="H486" i="4"/>
  <c r="I486" i="4" s="1"/>
  <c r="G486" i="4"/>
  <c r="J485" i="4"/>
  <c r="H485" i="4"/>
  <c r="I485" i="4" s="1"/>
  <c r="G485" i="4"/>
  <c r="J484" i="4"/>
  <c r="H484" i="4"/>
  <c r="I484" i="4" s="1"/>
  <c r="G484" i="4"/>
  <c r="J483" i="4"/>
  <c r="H483" i="4"/>
  <c r="I483" i="4" s="1"/>
  <c r="G483" i="4"/>
  <c r="J482" i="4"/>
  <c r="H482" i="4"/>
  <c r="I482" i="4" s="1"/>
  <c r="G482" i="4"/>
  <c r="J481" i="4"/>
  <c r="H481" i="4"/>
  <c r="I481" i="4" s="1"/>
  <c r="G481" i="4"/>
  <c r="J480" i="4"/>
  <c r="H480" i="4"/>
  <c r="I480" i="4" s="1"/>
  <c r="G480" i="4"/>
  <c r="J479" i="4"/>
  <c r="H479" i="4"/>
  <c r="I479" i="4" s="1"/>
  <c r="G479" i="4"/>
  <c r="J478" i="4"/>
  <c r="H478" i="4"/>
  <c r="I478" i="4" s="1"/>
  <c r="G478" i="4"/>
  <c r="J477" i="4"/>
  <c r="H477" i="4"/>
  <c r="I477" i="4" s="1"/>
  <c r="G477" i="4"/>
  <c r="J476" i="4"/>
  <c r="H476" i="4"/>
  <c r="I476" i="4" s="1"/>
  <c r="G476" i="4"/>
  <c r="J475" i="4"/>
  <c r="H475" i="4"/>
  <c r="I475" i="4" s="1"/>
  <c r="G475" i="4"/>
  <c r="J474" i="4"/>
  <c r="H474" i="4"/>
  <c r="I474" i="4" s="1"/>
  <c r="G474" i="4"/>
  <c r="J473" i="4"/>
  <c r="H473" i="4"/>
  <c r="I473" i="4" s="1"/>
  <c r="G473" i="4"/>
  <c r="J472" i="4"/>
  <c r="H472" i="4"/>
  <c r="I472" i="4" s="1"/>
  <c r="G472" i="4"/>
  <c r="J471" i="4"/>
  <c r="H471" i="4"/>
  <c r="I471" i="4" s="1"/>
  <c r="G471" i="4"/>
  <c r="J470" i="4"/>
  <c r="H470" i="4"/>
  <c r="I470" i="4" s="1"/>
  <c r="G470" i="4"/>
  <c r="J469" i="4"/>
  <c r="H469" i="4"/>
  <c r="I469" i="4" s="1"/>
  <c r="G469" i="4"/>
  <c r="J468" i="4"/>
  <c r="H468" i="4"/>
  <c r="I468" i="4" s="1"/>
  <c r="G468" i="4"/>
  <c r="J467" i="4"/>
  <c r="H467" i="4"/>
  <c r="I467" i="4" s="1"/>
  <c r="G467" i="4"/>
  <c r="J466" i="4"/>
  <c r="H466" i="4"/>
  <c r="I466" i="4" s="1"/>
  <c r="G466" i="4"/>
  <c r="J465" i="4"/>
  <c r="H465" i="4"/>
  <c r="I465" i="4" s="1"/>
  <c r="G465" i="4"/>
  <c r="J464" i="4"/>
  <c r="H464" i="4"/>
  <c r="I464" i="4" s="1"/>
  <c r="G464" i="4"/>
  <c r="J463" i="4"/>
  <c r="H463" i="4"/>
  <c r="I463" i="4" s="1"/>
  <c r="G463" i="4"/>
  <c r="J462" i="4"/>
  <c r="H462" i="4"/>
  <c r="I462" i="4" s="1"/>
  <c r="G462" i="4"/>
  <c r="J461" i="4"/>
  <c r="H461" i="4"/>
  <c r="I461" i="4" s="1"/>
  <c r="G461" i="4"/>
  <c r="J460" i="4"/>
  <c r="H460" i="4"/>
  <c r="I460" i="4" s="1"/>
  <c r="G460" i="4"/>
  <c r="J459" i="4"/>
  <c r="H459" i="4"/>
  <c r="I459" i="4" s="1"/>
  <c r="G459" i="4"/>
  <c r="J458" i="4"/>
  <c r="H458" i="4"/>
  <c r="I458" i="4" s="1"/>
  <c r="G458" i="4"/>
  <c r="J457" i="4"/>
  <c r="H457" i="4"/>
  <c r="I457" i="4" s="1"/>
  <c r="G457" i="4"/>
  <c r="J456" i="4"/>
  <c r="H456" i="4"/>
  <c r="I456" i="4" s="1"/>
  <c r="G456" i="4"/>
  <c r="J455" i="4"/>
  <c r="H455" i="4"/>
  <c r="I455" i="4" s="1"/>
  <c r="G455" i="4"/>
  <c r="J454" i="4"/>
  <c r="H454" i="4"/>
  <c r="I454" i="4" s="1"/>
  <c r="G454" i="4"/>
  <c r="J453" i="4"/>
  <c r="H453" i="4"/>
  <c r="I453" i="4" s="1"/>
  <c r="G453" i="4"/>
  <c r="J452" i="4"/>
  <c r="H452" i="4"/>
  <c r="I452" i="4" s="1"/>
  <c r="G452" i="4"/>
  <c r="J451" i="4"/>
  <c r="H451" i="4"/>
  <c r="I451" i="4" s="1"/>
  <c r="G451" i="4"/>
  <c r="J450" i="4"/>
  <c r="H450" i="4"/>
  <c r="I450" i="4" s="1"/>
  <c r="G450" i="4"/>
  <c r="J449" i="4"/>
  <c r="H449" i="4"/>
  <c r="I449" i="4" s="1"/>
  <c r="G449" i="4"/>
  <c r="J448" i="4"/>
  <c r="H448" i="4"/>
  <c r="I448" i="4" s="1"/>
  <c r="G448" i="4"/>
  <c r="J447" i="4"/>
  <c r="H447" i="4"/>
  <c r="I447" i="4" s="1"/>
  <c r="G447" i="4"/>
  <c r="J446" i="4"/>
  <c r="H446" i="4"/>
  <c r="I446" i="4" s="1"/>
  <c r="G446" i="4"/>
  <c r="J445" i="4"/>
  <c r="H445" i="4"/>
  <c r="I445" i="4" s="1"/>
  <c r="G445" i="4"/>
  <c r="J444" i="4"/>
  <c r="H444" i="4"/>
  <c r="I444" i="4" s="1"/>
  <c r="G444" i="4"/>
  <c r="J443" i="4"/>
  <c r="H443" i="4"/>
  <c r="I443" i="4" s="1"/>
  <c r="G443" i="4"/>
  <c r="J442" i="4"/>
  <c r="H442" i="4"/>
  <c r="I442" i="4" s="1"/>
  <c r="G442" i="4"/>
  <c r="J441" i="4"/>
  <c r="H441" i="4"/>
  <c r="I441" i="4" s="1"/>
  <c r="G441" i="4"/>
  <c r="J440" i="4"/>
  <c r="H440" i="4"/>
  <c r="I440" i="4" s="1"/>
  <c r="G440" i="4"/>
  <c r="J439" i="4"/>
  <c r="H439" i="4"/>
  <c r="I439" i="4" s="1"/>
  <c r="G439" i="4"/>
  <c r="J438" i="4"/>
  <c r="H438" i="4"/>
  <c r="I438" i="4" s="1"/>
  <c r="G438" i="4"/>
  <c r="J437" i="4"/>
  <c r="H437" i="4"/>
  <c r="I437" i="4" s="1"/>
  <c r="G437" i="4"/>
  <c r="J436" i="4"/>
  <c r="H436" i="4"/>
  <c r="I436" i="4" s="1"/>
  <c r="G436" i="4"/>
  <c r="J435" i="4"/>
  <c r="H435" i="4"/>
  <c r="I435" i="4" s="1"/>
  <c r="G435" i="4"/>
  <c r="J434" i="4"/>
  <c r="H434" i="4"/>
  <c r="I434" i="4" s="1"/>
  <c r="G434" i="4"/>
  <c r="J433" i="4"/>
  <c r="H433" i="4"/>
  <c r="I433" i="4" s="1"/>
  <c r="G433" i="4"/>
  <c r="J432" i="4"/>
  <c r="H432" i="4"/>
  <c r="I432" i="4" s="1"/>
  <c r="G432" i="4"/>
  <c r="J431" i="4"/>
  <c r="H431" i="4"/>
  <c r="I431" i="4" s="1"/>
  <c r="G431" i="4"/>
  <c r="J430" i="4"/>
  <c r="H430" i="4"/>
  <c r="I430" i="4" s="1"/>
  <c r="G430" i="4"/>
  <c r="J429" i="4"/>
  <c r="H429" i="4"/>
  <c r="I429" i="4" s="1"/>
  <c r="G429" i="4"/>
  <c r="J428" i="4"/>
  <c r="H428" i="4"/>
  <c r="I428" i="4" s="1"/>
  <c r="G428" i="4"/>
  <c r="J427" i="4"/>
  <c r="H427" i="4"/>
  <c r="I427" i="4" s="1"/>
  <c r="G427" i="4"/>
  <c r="J426" i="4"/>
  <c r="H426" i="4"/>
  <c r="I426" i="4" s="1"/>
  <c r="G426" i="4"/>
  <c r="J425" i="4"/>
  <c r="H425" i="4"/>
  <c r="I425" i="4" s="1"/>
  <c r="G425" i="4"/>
  <c r="J424" i="4"/>
  <c r="H424" i="4"/>
  <c r="I424" i="4" s="1"/>
  <c r="G424" i="4"/>
  <c r="J423" i="4"/>
  <c r="H423" i="4"/>
  <c r="I423" i="4" s="1"/>
  <c r="G423" i="4"/>
  <c r="J422" i="4"/>
  <c r="H422" i="4"/>
  <c r="I422" i="4" s="1"/>
  <c r="G422" i="4"/>
  <c r="J421" i="4"/>
  <c r="H421" i="4"/>
  <c r="I421" i="4" s="1"/>
  <c r="G421" i="4"/>
  <c r="J420" i="4"/>
  <c r="H420" i="4"/>
  <c r="I420" i="4" s="1"/>
  <c r="G420" i="4"/>
  <c r="J419" i="4"/>
  <c r="H419" i="4"/>
  <c r="I419" i="4" s="1"/>
  <c r="G419" i="4"/>
  <c r="J418" i="4"/>
  <c r="H418" i="4"/>
  <c r="I418" i="4" s="1"/>
  <c r="G418" i="4"/>
  <c r="J417" i="4"/>
  <c r="H417" i="4"/>
  <c r="I417" i="4" s="1"/>
  <c r="G417" i="4"/>
  <c r="J416" i="4"/>
  <c r="H416" i="4"/>
  <c r="I416" i="4" s="1"/>
  <c r="G416" i="4"/>
  <c r="J415" i="4"/>
  <c r="H415" i="4"/>
  <c r="I415" i="4" s="1"/>
  <c r="G415" i="4"/>
  <c r="J414" i="4"/>
  <c r="H414" i="4"/>
  <c r="I414" i="4" s="1"/>
  <c r="G414" i="4"/>
  <c r="J413" i="4"/>
  <c r="H413" i="4"/>
  <c r="I413" i="4" s="1"/>
  <c r="G413" i="4"/>
  <c r="J412" i="4"/>
  <c r="H412" i="4"/>
  <c r="I412" i="4" s="1"/>
  <c r="G412" i="4"/>
  <c r="J411" i="4"/>
  <c r="H411" i="4"/>
  <c r="I411" i="4" s="1"/>
  <c r="G411" i="4"/>
  <c r="J410" i="4"/>
  <c r="H410" i="4"/>
  <c r="I410" i="4" s="1"/>
  <c r="G410" i="4"/>
  <c r="J409" i="4"/>
  <c r="H409" i="4"/>
  <c r="I409" i="4" s="1"/>
  <c r="G409" i="4"/>
  <c r="J408" i="4"/>
  <c r="H408" i="4"/>
  <c r="I408" i="4" s="1"/>
  <c r="G408" i="4"/>
  <c r="J407" i="4"/>
  <c r="H407" i="4"/>
  <c r="I407" i="4" s="1"/>
  <c r="G407" i="4"/>
  <c r="J406" i="4"/>
  <c r="H406" i="4"/>
  <c r="I406" i="4" s="1"/>
  <c r="G406" i="4"/>
  <c r="J405" i="4"/>
  <c r="H405" i="4"/>
  <c r="I405" i="4" s="1"/>
  <c r="G405" i="4"/>
  <c r="J404" i="4"/>
  <c r="H404" i="4"/>
  <c r="I404" i="4" s="1"/>
  <c r="G404" i="4"/>
  <c r="J403" i="4"/>
  <c r="H403" i="4"/>
  <c r="I403" i="4" s="1"/>
  <c r="G403" i="4"/>
  <c r="J402" i="4"/>
  <c r="H402" i="4"/>
  <c r="I402" i="4" s="1"/>
  <c r="G402" i="4"/>
  <c r="J401" i="4"/>
  <c r="H401" i="4"/>
  <c r="I401" i="4" s="1"/>
  <c r="G401" i="4"/>
  <c r="J400" i="4"/>
  <c r="H400" i="4"/>
  <c r="I400" i="4" s="1"/>
  <c r="G400" i="4"/>
  <c r="J399" i="4"/>
  <c r="H399" i="4"/>
  <c r="I399" i="4" s="1"/>
  <c r="G399" i="4"/>
  <c r="J398" i="4"/>
  <c r="H398" i="4"/>
  <c r="I398" i="4" s="1"/>
  <c r="G398" i="4"/>
  <c r="J397" i="4"/>
  <c r="H397" i="4"/>
  <c r="I397" i="4" s="1"/>
  <c r="G397" i="4"/>
  <c r="J396" i="4"/>
  <c r="H396" i="4"/>
  <c r="I396" i="4" s="1"/>
  <c r="G396" i="4"/>
  <c r="J395" i="4"/>
  <c r="H395" i="4"/>
  <c r="I395" i="4" s="1"/>
  <c r="G395" i="4"/>
  <c r="J394" i="4"/>
  <c r="H394" i="4"/>
  <c r="I394" i="4" s="1"/>
  <c r="G394" i="4"/>
  <c r="J393" i="4"/>
  <c r="H393" i="4"/>
  <c r="I393" i="4" s="1"/>
  <c r="G393" i="4"/>
  <c r="J392" i="4"/>
  <c r="H392" i="4"/>
  <c r="I392" i="4" s="1"/>
  <c r="G392" i="4"/>
  <c r="J391" i="4"/>
  <c r="H391" i="4"/>
  <c r="I391" i="4" s="1"/>
  <c r="G391" i="4"/>
  <c r="J390" i="4"/>
  <c r="H390" i="4"/>
  <c r="I390" i="4" s="1"/>
  <c r="G390" i="4"/>
  <c r="J389" i="4"/>
  <c r="H389" i="4"/>
  <c r="I389" i="4" s="1"/>
  <c r="G389" i="4"/>
  <c r="J388" i="4"/>
  <c r="H388" i="4"/>
  <c r="I388" i="4" s="1"/>
  <c r="G388" i="4"/>
  <c r="J387" i="4"/>
  <c r="H387" i="4"/>
  <c r="I387" i="4" s="1"/>
  <c r="G387" i="4"/>
  <c r="J386" i="4"/>
  <c r="H386" i="4"/>
  <c r="I386" i="4" s="1"/>
  <c r="G386" i="4"/>
  <c r="J385" i="4"/>
  <c r="H385" i="4"/>
  <c r="I385" i="4" s="1"/>
  <c r="G385" i="4"/>
  <c r="J384" i="4"/>
  <c r="H384" i="4"/>
  <c r="I384" i="4" s="1"/>
  <c r="G384" i="4"/>
  <c r="J383" i="4"/>
  <c r="H383" i="4"/>
  <c r="I383" i="4" s="1"/>
  <c r="G383" i="4"/>
  <c r="J382" i="4"/>
  <c r="H382" i="4"/>
  <c r="I382" i="4" s="1"/>
  <c r="G382" i="4"/>
  <c r="J381" i="4"/>
  <c r="H381" i="4"/>
  <c r="I381" i="4" s="1"/>
  <c r="G381" i="4"/>
  <c r="J380" i="4"/>
  <c r="H380" i="4"/>
  <c r="I380" i="4" s="1"/>
  <c r="G380" i="4"/>
  <c r="J379" i="4"/>
  <c r="H379" i="4"/>
  <c r="I379" i="4" s="1"/>
  <c r="G379" i="4"/>
  <c r="J378" i="4"/>
  <c r="H378" i="4"/>
  <c r="I378" i="4" s="1"/>
  <c r="G378" i="4"/>
  <c r="J377" i="4"/>
  <c r="H377" i="4"/>
  <c r="I377" i="4" s="1"/>
  <c r="G377" i="4"/>
  <c r="J376" i="4"/>
  <c r="H376" i="4"/>
  <c r="I376" i="4" s="1"/>
  <c r="G376" i="4"/>
  <c r="J375" i="4"/>
  <c r="H375" i="4"/>
  <c r="I375" i="4" s="1"/>
  <c r="G375" i="4"/>
  <c r="J374" i="4"/>
  <c r="H374" i="4"/>
  <c r="I374" i="4" s="1"/>
  <c r="G374" i="4"/>
  <c r="J373" i="4"/>
  <c r="H373" i="4"/>
  <c r="I373" i="4" s="1"/>
  <c r="G373" i="4"/>
  <c r="J372" i="4"/>
  <c r="H372" i="4"/>
  <c r="I372" i="4" s="1"/>
  <c r="G372" i="4"/>
  <c r="J371" i="4"/>
  <c r="H371" i="4"/>
  <c r="I371" i="4" s="1"/>
  <c r="G371" i="4"/>
  <c r="J370" i="4"/>
  <c r="H370" i="4"/>
  <c r="I370" i="4" s="1"/>
  <c r="G370" i="4"/>
  <c r="J369" i="4"/>
  <c r="H369" i="4"/>
  <c r="I369" i="4" s="1"/>
  <c r="G369" i="4"/>
  <c r="J368" i="4"/>
  <c r="H368" i="4"/>
  <c r="I368" i="4" s="1"/>
  <c r="G368" i="4"/>
  <c r="J367" i="4"/>
  <c r="H367" i="4"/>
  <c r="I367" i="4" s="1"/>
  <c r="G367" i="4"/>
  <c r="J366" i="4"/>
  <c r="H366" i="4"/>
  <c r="I366" i="4" s="1"/>
  <c r="G366" i="4"/>
  <c r="J365" i="4"/>
  <c r="H365" i="4"/>
  <c r="I365" i="4" s="1"/>
  <c r="G365" i="4"/>
  <c r="J364" i="4"/>
  <c r="H364" i="4"/>
  <c r="I364" i="4" s="1"/>
  <c r="G364" i="4"/>
  <c r="J363" i="4"/>
  <c r="H363" i="4"/>
  <c r="I363" i="4" s="1"/>
  <c r="G363" i="4"/>
  <c r="J362" i="4"/>
  <c r="H362" i="4"/>
  <c r="I362" i="4" s="1"/>
  <c r="G362" i="4"/>
  <c r="J361" i="4"/>
  <c r="H361" i="4"/>
  <c r="I361" i="4" s="1"/>
  <c r="G361" i="4"/>
  <c r="J360" i="4"/>
  <c r="H360" i="4"/>
  <c r="I360" i="4" s="1"/>
  <c r="G360" i="4"/>
  <c r="J359" i="4"/>
  <c r="H359" i="4"/>
  <c r="I359" i="4" s="1"/>
  <c r="G359" i="4"/>
  <c r="J358" i="4"/>
  <c r="H358" i="4"/>
  <c r="I358" i="4" s="1"/>
  <c r="G358" i="4"/>
  <c r="J357" i="4"/>
  <c r="H357" i="4"/>
  <c r="I357" i="4" s="1"/>
  <c r="G357" i="4"/>
  <c r="J356" i="4"/>
  <c r="H356" i="4"/>
  <c r="I356" i="4" s="1"/>
  <c r="G356" i="4"/>
  <c r="J355" i="4"/>
  <c r="H355" i="4"/>
  <c r="I355" i="4" s="1"/>
  <c r="G355" i="4"/>
  <c r="J354" i="4"/>
  <c r="H354" i="4"/>
  <c r="I354" i="4" s="1"/>
  <c r="G354" i="4"/>
  <c r="J353" i="4"/>
  <c r="H353" i="4"/>
  <c r="I353" i="4" s="1"/>
  <c r="G353" i="4"/>
  <c r="J352" i="4"/>
  <c r="H352" i="4"/>
  <c r="I352" i="4" s="1"/>
  <c r="G352" i="4"/>
  <c r="J351" i="4"/>
  <c r="H351" i="4"/>
  <c r="I351" i="4" s="1"/>
  <c r="G351" i="4"/>
  <c r="J350" i="4"/>
  <c r="H350" i="4"/>
  <c r="I350" i="4" s="1"/>
  <c r="G350" i="4"/>
  <c r="J349" i="4"/>
  <c r="H349" i="4"/>
  <c r="I349" i="4" s="1"/>
  <c r="G349" i="4"/>
  <c r="J348" i="4"/>
  <c r="H348" i="4"/>
  <c r="I348" i="4" s="1"/>
  <c r="G348" i="4"/>
  <c r="J347" i="4"/>
  <c r="H347" i="4"/>
  <c r="I347" i="4" s="1"/>
  <c r="G347" i="4"/>
  <c r="J346" i="4"/>
  <c r="H346" i="4"/>
  <c r="I346" i="4" s="1"/>
  <c r="G346" i="4"/>
  <c r="J345" i="4"/>
  <c r="H345" i="4"/>
  <c r="I345" i="4" s="1"/>
  <c r="G345" i="4"/>
  <c r="J344" i="4"/>
  <c r="H344" i="4"/>
  <c r="I344" i="4" s="1"/>
  <c r="G344" i="4"/>
  <c r="J343" i="4"/>
  <c r="H343" i="4"/>
  <c r="I343" i="4" s="1"/>
  <c r="G343" i="4"/>
  <c r="J342" i="4"/>
  <c r="H342" i="4"/>
  <c r="I342" i="4" s="1"/>
  <c r="G342" i="4"/>
  <c r="J341" i="4"/>
  <c r="H341" i="4"/>
  <c r="I341" i="4" s="1"/>
  <c r="G341" i="4"/>
  <c r="J340" i="4"/>
  <c r="H340" i="4"/>
  <c r="I340" i="4" s="1"/>
  <c r="G340" i="4"/>
  <c r="J339" i="4"/>
  <c r="H339" i="4"/>
  <c r="I339" i="4" s="1"/>
  <c r="G339" i="4"/>
  <c r="J338" i="4"/>
  <c r="H338" i="4"/>
  <c r="I338" i="4" s="1"/>
  <c r="G338" i="4"/>
  <c r="J337" i="4"/>
  <c r="H337" i="4"/>
  <c r="I337" i="4" s="1"/>
  <c r="G337" i="4"/>
  <c r="J336" i="4"/>
  <c r="H336" i="4"/>
  <c r="I336" i="4" s="1"/>
  <c r="G336" i="4"/>
  <c r="J335" i="4"/>
  <c r="H335" i="4"/>
  <c r="I335" i="4" s="1"/>
  <c r="G335" i="4"/>
  <c r="J334" i="4"/>
  <c r="H334" i="4"/>
  <c r="I334" i="4" s="1"/>
  <c r="G334" i="4"/>
  <c r="J333" i="4"/>
  <c r="H333" i="4"/>
  <c r="I333" i="4" s="1"/>
  <c r="G333" i="4"/>
  <c r="H332" i="4"/>
  <c r="I332" i="4" s="1"/>
  <c r="G332" i="4"/>
  <c r="H331" i="4"/>
  <c r="I331" i="4" s="1"/>
  <c r="G331" i="4"/>
  <c r="H330" i="4"/>
  <c r="I330" i="4" s="1"/>
  <c r="G330" i="4"/>
  <c r="H329" i="4"/>
  <c r="I329" i="4" s="1"/>
  <c r="G329" i="4"/>
  <c r="G328" i="4"/>
  <c r="H328" i="4" s="1"/>
  <c r="I328" i="4" s="1"/>
  <c r="G327" i="4"/>
  <c r="H327" i="4" s="1"/>
  <c r="I327" i="4" s="1"/>
  <c r="G326" i="4"/>
  <c r="H326" i="4" s="1"/>
  <c r="I326" i="4" s="1"/>
  <c r="H325" i="4"/>
  <c r="I325" i="4" s="1"/>
  <c r="G325" i="4"/>
  <c r="H324" i="4"/>
  <c r="I324" i="4" s="1"/>
  <c r="G324" i="4"/>
  <c r="G323" i="4"/>
  <c r="H323" i="4" s="1"/>
  <c r="I323" i="4" s="1"/>
  <c r="G322" i="4"/>
  <c r="G321" i="4"/>
  <c r="G320" i="4"/>
  <c r="H319" i="4"/>
  <c r="I319" i="4" s="1"/>
  <c r="G319" i="4"/>
  <c r="H318" i="4"/>
  <c r="I318" i="4" s="1"/>
  <c r="G318" i="4"/>
  <c r="G317" i="4"/>
  <c r="H317" i="4" s="1"/>
  <c r="I317" i="4" s="1"/>
  <c r="G316" i="4"/>
  <c r="G315" i="4"/>
  <c r="G314" i="4"/>
  <c r="G313" i="4"/>
  <c r="G312" i="4"/>
  <c r="H311" i="4"/>
  <c r="I311" i="4" s="1"/>
  <c r="G311" i="4"/>
  <c r="G310" i="4"/>
  <c r="G309" i="4"/>
  <c r="G308" i="4"/>
  <c r="G307" i="4"/>
  <c r="G306" i="4"/>
  <c r="G305" i="4"/>
  <c r="H304" i="4"/>
  <c r="I304" i="4" s="1"/>
  <c r="G304" i="4"/>
  <c r="H303" i="4"/>
  <c r="I303" i="4" s="1"/>
  <c r="G303" i="4"/>
  <c r="G302" i="4"/>
  <c r="G301" i="4"/>
  <c r="H301" i="4" s="1"/>
  <c r="I301" i="4" s="1"/>
  <c r="G300" i="4"/>
  <c r="G299" i="4"/>
  <c r="H299" i="4" s="1"/>
  <c r="I299" i="4" s="1"/>
  <c r="G298" i="4"/>
  <c r="G297" i="4"/>
  <c r="G296" i="4"/>
  <c r="G295" i="4"/>
  <c r="G294" i="4"/>
  <c r="G293" i="4"/>
  <c r="G292" i="4"/>
  <c r="G291" i="4"/>
  <c r="H290" i="4"/>
  <c r="I290" i="4" s="1"/>
  <c r="G290" i="4"/>
  <c r="G289" i="4"/>
  <c r="G288" i="4"/>
  <c r="G287" i="4"/>
  <c r="G286" i="4"/>
  <c r="G285" i="4"/>
  <c r="G284" i="4"/>
  <c r="G283" i="4"/>
  <c r="G282" i="4"/>
  <c r="G281" i="4"/>
  <c r="G280" i="4"/>
  <c r="G279" i="4"/>
  <c r="H278" i="4"/>
  <c r="I278" i="4" s="1"/>
  <c r="G278" i="4"/>
  <c r="H277" i="4"/>
  <c r="I277" i="4" s="1"/>
  <c r="G277" i="4"/>
  <c r="H276" i="4"/>
  <c r="I276" i="4" s="1"/>
  <c r="G276" i="4"/>
  <c r="H275" i="4"/>
  <c r="I275" i="4" s="1"/>
  <c r="G275" i="4"/>
  <c r="H274" i="4"/>
  <c r="I274" i="4" s="1"/>
  <c r="G274" i="4"/>
  <c r="G273" i="4"/>
  <c r="G272" i="4"/>
  <c r="G271" i="4"/>
  <c r="G270" i="4"/>
  <c r="G269" i="4"/>
  <c r="G268" i="4"/>
  <c r="H268" i="4" s="1"/>
  <c r="G267" i="4"/>
  <c r="G266" i="4"/>
  <c r="H266" i="4" s="1"/>
  <c r="I266" i="4" s="1"/>
  <c r="G265" i="4"/>
  <c r="G264" i="4"/>
  <c r="H264" i="4" s="1"/>
  <c r="I264" i="4" s="1"/>
  <c r="G263" i="4"/>
  <c r="G262" i="4"/>
  <c r="G261" i="4"/>
  <c r="H261" i="4" s="1"/>
  <c r="I261" i="4" s="1"/>
  <c r="H260" i="4"/>
  <c r="I260" i="4" s="1"/>
  <c r="G260" i="4"/>
  <c r="H259" i="4"/>
  <c r="I259" i="4" s="1"/>
  <c r="G259" i="4"/>
  <c r="G258" i="4"/>
  <c r="H258" i="4" s="1"/>
  <c r="G257" i="4"/>
  <c r="H257" i="4" s="1"/>
  <c r="I257" i="4" s="1"/>
  <c r="G256" i="4"/>
  <c r="H256" i="4" s="1"/>
  <c r="I256" i="4" s="1"/>
  <c r="G255" i="4"/>
  <c r="H255" i="4" s="1"/>
  <c r="I255" i="4" s="1"/>
  <c r="G254" i="4"/>
  <c r="H254" i="4" s="1"/>
  <c r="I254" i="4" s="1"/>
  <c r="G253" i="4"/>
  <c r="H253" i="4" s="1"/>
  <c r="G252" i="4"/>
  <c r="H252" i="4" s="1"/>
  <c r="I252" i="4" s="1"/>
  <c r="G251" i="4"/>
  <c r="H251" i="4" s="1"/>
  <c r="I251" i="4" s="1"/>
  <c r="G250" i="4"/>
  <c r="H250" i="4" s="1"/>
  <c r="I250" i="4" s="1"/>
  <c r="G249" i="4"/>
  <c r="H249" i="4" s="1"/>
  <c r="I249" i="4" s="1"/>
  <c r="G248" i="4"/>
  <c r="G247" i="4"/>
  <c r="H247" i="4" s="1"/>
  <c r="I247" i="4" s="1"/>
  <c r="H246" i="4"/>
  <c r="I246" i="4" s="1"/>
  <c r="G246" i="4"/>
  <c r="G245" i="4"/>
  <c r="H245" i="4" s="1"/>
  <c r="G244" i="4"/>
  <c r="H244" i="4" s="1"/>
  <c r="G243" i="4"/>
  <c r="H243" i="4" s="1"/>
  <c r="I243" i="4" s="1"/>
  <c r="G242" i="4"/>
  <c r="H242" i="4" s="1"/>
  <c r="I242" i="4" s="1"/>
  <c r="G241" i="4"/>
  <c r="H241" i="4" s="1"/>
  <c r="G240" i="4"/>
  <c r="H240" i="4" s="1"/>
  <c r="I240" i="4" s="1"/>
  <c r="G239" i="4"/>
  <c r="H239" i="4" s="1"/>
  <c r="I239" i="4" s="1"/>
  <c r="G238" i="4"/>
  <c r="H238" i="4" s="1"/>
  <c r="I238" i="4" s="1"/>
  <c r="G237" i="4"/>
  <c r="H237" i="4" s="1"/>
  <c r="I237" i="4" s="1"/>
  <c r="G236" i="4"/>
  <c r="H236" i="4" s="1"/>
  <c r="I236" i="4" s="1"/>
  <c r="G235" i="4"/>
  <c r="H235" i="4" s="1"/>
  <c r="I235" i="4" s="1"/>
  <c r="G234" i="4"/>
  <c r="H234" i="4" s="1"/>
  <c r="I234" i="4" s="1"/>
  <c r="G233" i="4"/>
  <c r="H233" i="4" s="1"/>
  <c r="I233" i="4" s="1"/>
  <c r="H232" i="4"/>
  <c r="I232" i="4" s="1"/>
  <c r="G232" i="4"/>
  <c r="H231" i="4"/>
  <c r="I231" i="4" s="1"/>
  <c r="G231" i="4"/>
  <c r="H230" i="4"/>
  <c r="I230" i="4" s="1"/>
  <c r="G230" i="4"/>
  <c r="G229" i="4"/>
  <c r="G228" i="4"/>
  <c r="H228" i="4" s="1"/>
  <c r="I228" i="4" s="1"/>
  <c r="G227" i="4"/>
  <c r="H227" i="4" s="1"/>
  <c r="I227" i="4" s="1"/>
  <c r="G226" i="4"/>
  <c r="H226" i="4" s="1"/>
  <c r="G225" i="4"/>
  <c r="G224" i="4"/>
  <c r="H224" i="4" s="1"/>
  <c r="I224" i="4" s="1"/>
  <c r="G223" i="4"/>
  <c r="G222" i="4"/>
  <c r="G221" i="4"/>
  <c r="G220" i="4"/>
  <c r="H219" i="4"/>
  <c r="I219" i="4" s="1"/>
  <c r="G219" i="4"/>
  <c r="H218" i="4"/>
  <c r="I218" i="4" s="1"/>
  <c r="G218" i="4"/>
  <c r="G217" i="4"/>
  <c r="H217" i="4" s="1"/>
  <c r="G216" i="4"/>
  <c r="H216" i="4" s="1"/>
  <c r="I216" i="4" s="1"/>
  <c r="G215" i="4"/>
  <c r="H215" i="4" s="1"/>
  <c r="I215" i="4" s="1"/>
  <c r="G214" i="4"/>
  <c r="H214" i="4" s="1"/>
  <c r="I214" i="4" s="1"/>
  <c r="G213" i="4"/>
  <c r="G212" i="4"/>
  <c r="G211" i="4"/>
  <c r="H211" i="4" s="1"/>
  <c r="I211" i="4" s="1"/>
  <c r="G210" i="4"/>
  <c r="G209" i="4"/>
  <c r="G208" i="4"/>
  <c r="G207" i="4"/>
  <c r="G206" i="4"/>
  <c r="H205" i="4"/>
  <c r="I205" i="4" s="1"/>
  <c r="G205" i="4"/>
  <c r="H204" i="4"/>
  <c r="I204" i="4" s="1"/>
  <c r="G204" i="4"/>
  <c r="G203" i="4"/>
  <c r="H203" i="4" s="1"/>
  <c r="I203" i="4" s="1"/>
  <c r="G202" i="4"/>
  <c r="H202" i="4" s="1"/>
  <c r="I202" i="4" s="1"/>
  <c r="G201" i="4"/>
  <c r="H201" i="4" s="1"/>
  <c r="I201" i="4" s="1"/>
  <c r="G200" i="4"/>
  <c r="H200" i="4" s="1"/>
  <c r="I200" i="4" s="1"/>
  <c r="G199" i="4"/>
  <c r="H199" i="4" s="1"/>
  <c r="I199" i="4" s="1"/>
  <c r="G198" i="4"/>
  <c r="H198" i="4" s="1"/>
  <c r="G197" i="4"/>
  <c r="H197" i="4" s="1"/>
  <c r="I197" i="4" s="1"/>
  <c r="G196" i="4"/>
  <c r="H196" i="4" s="1"/>
  <c r="I196" i="4" s="1"/>
  <c r="G195" i="4"/>
  <c r="H195" i="4" s="1"/>
  <c r="G194" i="4"/>
  <c r="H194" i="4" s="1"/>
  <c r="I194" i="4" s="1"/>
  <c r="G193" i="4"/>
  <c r="H193" i="4" s="1"/>
  <c r="G192" i="4"/>
  <c r="G191" i="4"/>
  <c r="H191" i="4" s="1"/>
  <c r="H190" i="4"/>
  <c r="I190" i="4" s="1"/>
  <c r="G190" i="4"/>
  <c r="H189" i="4"/>
  <c r="I189" i="4" s="1"/>
  <c r="G189" i="4"/>
  <c r="H188" i="4"/>
  <c r="I188" i="4" s="1"/>
  <c r="G188" i="4"/>
  <c r="H187" i="4"/>
  <c r="I187" i="4" s="1"/>
  <c r="G187" i="4"/>
  <c r="G186" i="4"/>
  <c r="H186" i="4" s="1"/>
  <c r="I186" i="4" s="1"/>
  <c r="G185" i="4"/>
  <c r="H185" i="4" s="1"/>
  <c r="G184" i="4"/>
  <c r="H184" i="4" s="1"/>
  <c r="I184" i="4" s="1"/>
  <c r="G183" i="4"/>
  <c r="H183" i="4" s="1"/>
  <c r="I183" i="4" s="1"/>
  <c r="G182" i="4"/>
  <c r="H182" i="4" s="1"/>
  <c r="I182" i="4" s="1"/>
  <c r="G181" i="4"/>
  <c r="G180" i="4"/>
  <c r="H180" i="4" s="1"/>
  <c r="I180" i="4" s="1"/>
  <c r="G179" i="4"/>
  <c r="H179" i="4" s="1"/>
  <c r="I179" i="4" s="1"/>
  <c r="G178" i="4"/>
  <c r="H178" i="4" s="1"/>
  <c r="I178" i="4" s="1"/>
  <c r="G177" i="4"/>
  <c r="H177" i="4" s="1"/>
  <c r="I177" i="4" s="1"/>
  <c r="G176" i="4"/>
  <c r="G175" i="4"/>
  <c r="H174" i="4"/>
  <c r="I174" i="4" s="1"/>
  <c r="G174" i="4"/>
  <c r="H173" i="4"/>
  <c r="I173" i="4" s="1"/>
  <c r="G173" i="4"/>
  <c r="G172" i="4"/>
  <c r="H172" i="4" s="1"/>
  <c r="I172" i="4" s="1"/>
  <c r="G171" i="4"/>
  <c r="H171" i="4" s="1"/>
  <c r="G170" i="4"/>
  <c r="H170" i="4" s="1"/>
  <c r="I170" i="4" s="1"/>
  <c r="G169" i="4"/>
  <c r="H169" i="4" s="1"/>
  <c r="I169" i="4" s="1"/>
  <c r="G168" i="4"/>
  <c r="H168" i="4" s="1"/>
  <c r="I168" i="4" s="1"/>
  <c r="G167" i="4"/>
  <c r="H167" i="4" s="1"/>
  <c r="G166" i="4"/>
  <c r="H166" i="4" s="1"/>
  <c r="I166" i="4" s="1"/>
  <c r="G165" i="4"/>
  <c r="H165" i="4" s="1"/>
  <c r="I165" i="4" s="1"/>
  <c r="G164" i="4"/>
  <c r="H164" i="4" s="1"/>
  <c r="I164" i="4" s="1"/>
  <c r="G163" i="4"/>
  <c r="H163" i="4" s="1"/>
  <c r="I163" i="4" s="1"/>
  <c r="G162" i="4"/>
  <c r="H162" i="4" s="1"/>
  <c r="I162" i="4" s="1"/>
  <c r="G161" i="4"/>
  <c r="G160" i="4"/>
  <c r="H159" i="4"/>
  <c r="I159" i="4" s="1"/>
  <c r="G159" i="4"/>
  <c r="H158" i="4"/>
  <c r="I158" i="4" s="1"/>
  <c r="G158" i="4"/>
  <c r="H157" i="4"/>
  <c r="I157" i="4" s="1"/>
  <c r="G157" i="4"/>
  <c r="H156" i="4"/>
  <c r="I156" i="4" s="1"/>
  <c r="G156" i="4"/>
  <c r="G155" i="4"/>
  <c r="H155" i="4" s="1"/>
  <c r="I155" i="4" s="1"/>
  <c r="G154" i="4"/>
  <c r="H154" i="4" s="1"/>
  <c r="I154" i="4" s="1"/>
  <c r="G153" i="4"/>
  <c r="H153" i="4" s="1"/>
  <c r="I153" i="4" s="1"/>
  <c r="G152" i="4"/>
  <c r="H152" i="4" s="1"/>
  <c r="I152" i="4" s="1"/>
  <c r="G151" i="4"/>
  <c r="G150" i="4"/>
  <c r="H150" i="4" s="1"/>
  <c r="G149" i="4"/>
  <c r="H149" i="4" s="1"/>
  <c r="I149" i="4" s="1"/>
  <c r="G148" i="4"/>
  <c r="H148" i="4" s="1"/>
  <c r="I148" i="4" s="1"/>
  <c r="G147" i="4"/>
  <c r="H147" i="4" s="1"/>
  <c r="I147" i="4" s="1"/>
  <c r="G146" i="4"/>
  <c r="H145" i="4"/>
  <c r="I145" i="4" s="1"/>
  <c r="G145" i="4"/>
  <c r="G144" i="4"/>
  <c r="H144" i="4" s="1"/>
  <c r="I144" i="4" s="1"/>
  <c r="G143" i="4"/>
  <c r="H143" i="4" s="1"/>
  <c r="I143" i="4" s="1"/>
  <c r="G142" i="4"/>
  <c r="H142" i="4" s="1"/>
  <c r="G141" i="4"/>
  <c r="H141" i="4" s="1"/>
  <c r="G140" i="4"/>
  <c r="H140" i="4" s="1"/>
  <c r="G139" i="4"/>
  <c r="H139" i="4" s="1"/>
  <c r="I139" i="4" s="1"/>
  <c r="G138" i="4"/>
  <c r="H138" i="4" s="1"/>
  <c r="I138" i="4" s="1"/>
  <c r="G137" i="4"/>
  <c r="G136" i="4"/>
  <c r="H136" i="4" s="1"/>
  <c r="I136" i="4" s="1"/>
  <c r="H135" i="4"/>
  <c r="I135" i="4" s="1"/>
  <c r="G135" i="4"/>
  <c r="H134" i="4"/>
  <c r="I134" i="4" s="1"/>
  <c r="G134" i="4"/>
  <c r="H133" i="4"/>
  <c r="I133" i="4" s="1"/>
  <c r="G133" i="4"/>
  <c r="H132" i="4"/>
  <c r="I132" i="4" s="1"/>
  <c r="G132" i="4"/>
  <c r="H131" i="4"/>
  <c r="I131" i="4" s="1"/>
  <c r="G131" i="4"/>
  <c r="G130" i="4"/>
  <c r="G129" i="4"/>
  <c r="H129" i="4" s="1"/>
  <c r="I129" i="4" s="1"/>
  <c r="G128" i="4"/>
  <c r="H128" i="4" s="1"/>
  <c r="I128" i="4" s="1"/>
  <c r="G127" i="4"/>
  <c r="G126" i="4"/>
  <c r="H126" i="4" s="1"/>
  <c r="G125" i="4"/>
  <c r="H124" i="4"/>
  <c r="I124" i="4" s="1"/>
  <c r="G124" i="4"/>
  <c r="H123" i="4"/>
  <c r="I123" i="4" s="1"/>
  <c r="G123" i="4"/>
  <c r="H122" i="4"/>
  <c r="I122" i="4" s="1"/>
  <c r="G122" i="4"/>
  <c r="H121" i="4"/>
  <c r="I121" i="4" s="1"/>
  <c r="G121" i="4"/>
  <c r="H120" i="4"/>
  <c r="I120" i="4" s="1"/>
  <c r="G120" i="4"/>
  <c r="H119" i="4"/>
  <c r="I119" i="4" s="1"/>
  <c r="G119" i="4"/>
  <c r="H118" i="4"/>
  <c r="I118" i="4" s="1"/>
  <c r="G118" i="4"/>
  <c r="G117" i="4"/>
  <c r="H117" i="4" s="1"/>
  <c r="I117" i="4" s="1"/>
  <c r="G116" i="4"/>
  <c r="H116" i="4" s="1"/>
  <c r="I116" i="4" s="1"/>
  <c r="G115" i="4"/>
  <c r="H115" i="4" s="1"/>
  <c r="I115" i="4" s="1"/>
  <c r="G114" i="4"/>
  <c r="H113" i="4"/>
  <c r="I113" i="4" s="1"/>
  <c r="G113" i="4"/>
  <c r="H112" i="4"/>
  <c r="I112" i="4" s="1"/>
  <c r="G112" i="4"/>
  <c r="H111" i="4"/>
  <c r="I111" i="4" s="1"/>
  <c r="G111" i="4"/>
  <c r="H110" i="4"/>
  <c r="I110" i="4" s="1"/>
  <c r="G110" i="4"/>
  <c r="H109" i="4"/>
  <c r="G109" i="4"/>
  <c r="G108" i="4"/>
  <c r="H108" i="4" s="1"/>
  <c r="G107" i="4"/>
  <c r="H107" i="4" s="1"/>
  <c r="I107" i="4" s="1"/>
  <c r="G106" i="4"/>
  <c r="H106" i="4" s="1"/>
  <c r="I106" i="4" s="1"/>
  <c r="G105" i="4"/>
  <c r="H105" i="4" s="1"/>
  <c r="I105" i="4" s="1"/>
  <c r="G104" i="4"/>
  <c r="H104" i="4" s="1"/>
  <c r="I104" i="4" s="1"/>
  <c r="H103" i="4"/>
  <c r="I103" i="4" s="1"/>
  <c r="G103" i="4"/>
  <c r="H102" i="4"/>
  <c r="I102" i="4" s="1"/>
  <c r="G102" i="4"/>
  <c r="H101" i="4"/>
  <c r="I101" i="4" s="1"/>
  <c r="G101" i="4"/>
  <c r="H100" i="4"/>
  <c r="I100" i="4" s="1"/>
  <c r="G100" i="4"/>
  <c r="H99" i="4"/>
  <c r="I99" i="4" s="1"/>
  <c r="G99" i="4"/>
  <c r="H98" i="4"/>
  <c r="I98" i="4" s="1"/>
  <c r="G98" i="4"/>
  <c r="G97" i="4"/>
  <c r="G96" i="4"/>
  <c r="G95" i="4"/>
  <c r="H95" i="4" s="1"/>
  <c r="G94" i="4"/>
  <c r="G93" i="4"/>
  <c r="G92" i="4"/>
  <c r="H91" i="4"/>
  <c r="I91" i="4" s="1"/>
  <c r="G91" i="4"/>
  <c r="H90" i="4"/>
  <c r="I90" i="4" s="1"/>
  <c r="G90" i="4"/>
  <c r="H89" i="4"/>
  <c r="I89" i="4" s="1"/>
  <c r="G89" i="4"/>
  <c r="H88" i="4"/>
  <c r="I88" i="4" s="1"/>
  <c r="G88" i="4"/>
  <c r="H87" i="4"/>
  <c r="I87" i="4" s="1"/>
  <c r="G87" i="4"/>
  <c r="H86" i="4"/>
  <c r="I86" i="4" s="1"/>
  <c r="G86" i="4"/>
  <c r="H85" i="4"/>
  <c r="I85" i="4" s="1"/>
  <c r="G85" i="4"/>
  <c r="H84" i="4"/>
  <c r="I84" i="4" s="1"/>
  <c r="G84" i="4"/>
  <c r="H83" i="4"/>
  <c r="I83" i="4" s="1"/>
  <c r="G83" i="4"/>
  <c r="H82" i="4"/>
  <c r="I82" i="4" s="1"/>
  <c r="G82" i="4"/>
  <c r="H81" i="4"/>
  <c r="I81" i="4" s="1"/>
  <c r="G81" i="4"/>
  <c r="H80" i="4"/>
  <c r="I80" i="4" s="1"/>
  <c r="G80" i="4"/>
  <c r="H79" i="4"/>
  <c r="I79" i="4" s="1"/>
  <c r="G79" i="4"/>
  <c r="H78" i="4"/>
  <c r="I78" i="4" s="1"/>
  <c r="G78" i="4"/>
  <c r="H77" i="4"/>
  <c r="I77" i="4" s="1"/>
  <c r="G77" i="4"/>
  <c r="H76" i="4"/>
  <c r="I76" i="4" s="1"/>
  <c r="G76" i="4"/>
  <c r="H75" i="4"/>
  <c r="I75" i="4" s="1"/>
  <c r="G75" i="4"/>
  <c r="H74" i="4"/>
  <c r="I74" i="4" s="1"/>
  <c r="G74" i="4"/>
  <c r="H73" i="4"/>
  <c r="I73" i="4" s="1"/>
  <c r="G73" i="4"/>
  <c r="H72" i="4"/>
  <c r="I72" i="4" s="1"/>
  <c r="G72" i="4"/>
  <c r="H71" i="4"/>
  <c r="I71" i="4" s="1"/>
  <c r="G71" i="4"/>
  <c r="H70" i="4"/>
  <c r="I70" i="4" s="1"/>
  <c r="G70" i="4"/>
  <c r="H69" i="4"/>
  <c r="I69" i="4" s="1"/>
  <c r="G69" i="4"/>
  <c r="H68" i="4"/>
  <c r="I68" i="4" s="1"/>
  <c r="G68" i="4"/>
  <c r="H67" i="4"/>
  <c r="I67" i="4" s="1"/>
  <c r="G67" i="4"/>
  <c r="H66" i="4"/>
  <c r="I66" i="4" s="1"/>
  <c r="G66" i="4"/>
  <c r="H65" i="4"/>
  <c r="I65" i="4" s="1"/>
  <c r="G65" i="4"/>
  <c r="H64" i="4"/>
  <c r="I64" i="4" s="1"/>
  <c r="G64" i="4"/>
  <c r="H63" i="4"/>
  <c r="I63" i="4" s="1"/>
  <c r="G63" i="4"/>
  <c r="H62" i="4"/>
  <c r="I62" i="4" s="1"/>
  <c r="G62" i="4"/>
  <c r="H61" i="4"/>
  <c r="I61" i="4" s="1"/>
  <c r="G61" i="4"/>
  <c r="H60" i="4"/>
  <c r="I60" i="4" s="1"/>
  <c r="G60" i="4"/>
  <c r="H59" i="4"/>
  <c r="I59" i="4" s="1"/>
  <c r="G59" i="4"/>
  <c r="H58" i="4"/>
  <c r="I58" i="4" s="1"/>
  <c r="G58" i="4"/>
  <c r="H57" i="4"/>
  <c r="I57" i="4" s="1"/>
  <c r="G57" i="4"/>
  <c r="H56" i="4"/>
  <c r="I56" i="4" s="1"/>
  <c r="G56" i="4"/>
  <c r="H55" i="4"/>
  <c r="I55" i="4" s="1"/>
  <c r="G55" i="4"/>
  <c r="H54" i="4"/>
  <c r="I54" i="4" s="1"/>
  <c r="G54" i="4"/>
  <c r="H53" i="4"/>
  <c r="I53" i="4" s="1"/>
  <c r="G53" i="4"/>
  <c r="H52" i="4"/>
  <c r="I52" i="4" s="1"/>
  <c r="G52" i="4"/>
  <c r="H51" i="4"/>
  <c r="I51" i="4" s="1"/>
  <c r="G51" i="4"/>
  <c r="H50" i="4"/>
  <c r="I50" i="4" s="1"/>
  <c r="G50" i="4"/>
  <c r="H49" i="4"/>
  <c r="I49" i="4" s="1"/>
  <c r="G49" i="4"/>
  <c r="H48" i="4"/>
  <c r="I48" i="4" s="1"/>
  <c r="G48" i="4"/>
  <c r="H47" i="4"/>
  <c r="I47" i="4" s="1"/>
  <c r="G47" i="4"/>
  <c r="H46" i="4"/>
  <c r="I46" i="4" s="1"/>
  <c r="G46" i="4"/>
  <c r="H45" i="4"/>
  <c r="I45" i="4" s="1"/>
  <c r="G45" i="4"/>
  <c r="H44" i="4"/>
  <c r="I44" i="4" s="1"/>
  <c r="G44" i="4"/>
  <c r="H43" i="4"/>
  <c r="I43" i="4" s="1"/>
  <c r="G43" i="4"/>
  <c r="H42" i="4"/>
  <c r="I42" i="4" s="1"/>
  <c r="G42" i="4"/>
  <c r="H41" i="4"/>
  <c r="I41" i="4" s="1"/>
  <c r="G41" i="4"/>
  <c r="H40" i="4"/>
  <c r="G40" i="4"/>
  <c r="H39" i="4"/>
  <c r="I39" i="4" s="1"/>
  <c r="G39" i="4"/>
  <c r="H38" i="4"/>
  <c r="I38" i="4" s="1"/>
  <c r="G38" i="4"/>
  <c r="H37" i="4"/>
  <c r="I37" i="4" s="1"/>
  <c r="G37" i="4"/>
  <c r="H36" i="4"/>
  <c r="I36" i="4" s="1"/>
  <c r="G36" i="4"/>
  <c r="H35" i="4"/>
  <c r="I35" i="4" s="1"/>
  <c r="G35" i="4"/>
  <c r="H34" i="4"/>
  <c r="I34" i="4" s="1"/>
  <c r="G34" i="4"/>
  <c r="H33" i="4"/>
  <c r="I33" i="4" s="1"/>
  <c r="G33" i="4"/>
  <c r="H32" i="4"/>
  <c r="I32" i="4" s="1"/>
  <c r="G32" i="4"/>
  <c r="H31" i="4"/>
  <c r="I31" i="4" s="1"/>
  <c r="G31" i="4"/>
  <c r="H30" i="4"/>
  <c r="I30" i="4" s="1"/>
  <c r="G30" i="4"/>
  <c r="H29" i="4"/>
  <c r="I29" i="4" s="1"/>
  <c r="G29" i="4"/>
  <c r="H28" i="4"/>
  <c r="G28" i="4"/>
  <c r="H27" i="4"/>
  <c r="I27" i="4" s="1"/>
  <c r="G27" i="4"/>
  <c r="H26" i="4"/>
  <c r="I26" i="4" s="1"/>
  <c r="G26" i="4"/>
  <c r="H25" i="4"/>
  <c r="I25" i="4" s="1"/>
  <c r="G25" i="4"/>
  <c r="H24" i="4"/>
  <c r="I24" i="4" s="1"/>
  <c r="G24" i="4"/>
  <c r="H23" i="4"/>
  <c r="I23" i="4" s="1"/>
  <c r="G23" i="4"/>
  <c r="H22" i="4"/>
  <c r="I22" i="4" s="1"/>
  <c r="G22" i="4"/>
  <c r="H21" i="4"/>
  <c r="I21" i="4" s="1"/>
  <c r="G21" i="4"/>
  <c r="H20" i="4"/>
  <c r="G20" i="4"/>
  <c r="H19" i="4"/>
  <c r="I19" i="4" s="1"/>
  <c r="G19" i="4"/>
  <c r="H18" i="4"/>
  <c r="I18" i="4" s="1"/>
  <c r="G18" i="4"/>
  <c r="H17" i="4"/>
  <c r="I17" i="4" s="1"/>
  <c r="G17" i="4"/>
  <c r="H16" i="4"/>
  <c r="I16" i="4" s="1"/>
  <c r="G16" i="4"/>
  <c r="H15" i="4"/>
  <c r="G15" i="4"/>
  <c r="H14" i="4"/>
  <c r="I14" i="4" s="1"/>
  <c r="G14" i="4"/>
  <c r="H13" i="4"/>
  <c r="I13" i="4" s="1"/>
  <c r="G13" i="4"/>
  <c r="H12" i="4"/>
  <c r="I12" i="4" s="1"/>
  <c r="G12" i="4"/>
  <c r="H11" i="4"/>
  <c r="I11" i="4" s="1"/>
  <c r="G11" i="4"/>
  <c r="H10" i="4"/>
  <c r="I10" i="4" s="1"/>
  <c r="G10" i="4"/>
  <c r="H9" i="4"/>
  <c r="I9" i="4" s="1"/>
  <c r="G9" i="4"/>
  <c r="H8" i="4"/>
  <c r="I8" i="4" s="1"/>
  <c r="G8" i="4"/>
  <c r="H7" i="4"/>
  <c r="I7" i="4" s="1"/>
  <c r="G7" i="4"/>
  <c r="H6" i="4"/>
  <c r="I6" i="4" s="1"/>
  <c r="G6" i="4"/>
  <c r="H5" i="4"/>
  <c r="I5" i="4" s="1"/>
  <c r="G5" i="4"/>
  <c r="H4" i="4"/>
  <c r="I4" i="4" s="1"/>
  <c r="G4" i="4"/>
  <c r="H3" i="4"/>
  <c r="I3" i="4" s="1"/>
  <c r="G3" i="4"/>
  <c r="H2" i="4"/>
  <c r="G2" i="4"/>
  <c r="N31" i="3"/>
  <c r="N30" i="3"/>
  <c r="N29" i="3"/>
  <c r="N28" i="3"/>
  <c r="N27" i="3"/>
  <c r="N26" i="3"/>
  <c r="N25" i="3"/>
  <c r="N24" i="3"/>
  <c r="N23" i="3"/>
  <c r="N22" i="3"/>
  <c r="N21" i="3"/>
  <c r="N20" i="3"/>
  <c r="N19" i="3"/>
  <c r="N18" i="3"/>
  <c r="N17" i="3"/>
  <c r="N16" i="3"/>
  <c r="N15" i="3"/>
  <c r="N14" i="3"/>
  <c r="N13" i="3"/>
  <c r="N12" i="3"/>
  <c r="N11" i="3"/>
  <c r="N10" i="3"/>
  <c r="N9" i="3"/>
  <c r="N8" i="3"/>
  <c r="N7" i="3"/>
  <c r="E4" i="3"/>
  <c r="N2" i="3"/>
  <c r="D2" i="3"/>
  <c r="N31" i="2"/>
  <c r="N30" i="2"/>
  <c r="N29" i="2"/>
  <c r="N28" i="2"/>
  <c r="N27" i="2"/>
  <c r="N26" i="2"/>
  <c r="N25" i="2"/>
  <c r="N24" i="2"/>
  <c r="N23" i="2"/>
  <c r="N22" i="2"/>
  <c r="N21" i="2"/>
  <c r="N20" i="2"/>
  <c r="N19" i="2"/>
  <c r="N18" i="2"/>
  <c r="N17" i="2"/>
  <c r="N16" i="2"/>
  <c r="N15" i="2"/>
  <c r="N14" i="2"/>
  <c r="N13" i="2"/>
  <c r="N12" i="2"/>
  <c r="N11" i="2"/>
  <c r="N10" i="2"/>
  <c r="N9" i="2"/>
  <c r="N8" i="2"/>
  <c r="N7" i="2"/>
  <c r="E4" i="2"/>
  <c r="N2" i="2"/>
  <c r="D2" i="2"/>
  <c r="H321" i="4" l="1"/>
  <c r="I321" i="4" s="1"/>
  <c r="H320" i="4"/>
  <c r="I320" i="4" s="1"/>
  <c r="H125" i="4"/>
  <c r="I125" i="4" s="1"/>
  <c r="H313" i="4"/>
  <c r="I313" i="4" s="1"/>
  <c r="H312" i="4"/>
  <c r="I312" i="4" s="1"/>
  <c r="I268" i="4"/>
  <c r="H322" i="4"/>
  <c r="I322" i="4" s="1"/>
  <c r="H307" i="4"/>
  <c r="I307" i="4" s="1"/>
  <c r="H308" i="4"/>
  <c r="I308" i="4" s="1"/>
  <c r="H305" i="4"/>
  <c r="I305" i="4" s="1"/>
  <c r="H306" i="4"/>
  <c r="I306" i="4" s="1"/>
  <c r="I258" i="4"/>
  <c r="H316" i="4"/>
  <c r="I316" i="4" s="1"/>
  <c r="I253" i="4"/>
  <c r="H315" i="4"/>
  <c r="I315" i="4" s="1"/>
  <c r="I245" i="4"/>
  <c r="H314" i="4"/>
  <c r="I314" i="4" s="1"/>
  <c r="H297" i="4"/>
  <c r="I297" i="4" s="1"/>
  <c r="H294" i="4"/>
  <c r="I294" i="4" s="1"/>
  <c r="H291" i="4"/>
  <c r="I291" i="4" s="1"/>
  <c r="H295" i="4"/>
  <c r="I295" i="4" s="1"/>
  <c r="H293" i="4"/>
  <c r="I293" i="4" s="1"/>
  <c r="I244" i="4"/>
  <c r="H309" i="4"/>
  <c r="I309" i="4" s="1"/>
  <c r="I241" i="4"/>
  <c r="H310" i="4"/>
  <c r="I310" i="4" s="1"/>
  <c r="H285" i="4"/>
  <c r="I285" i="4" s="1"/>
  <c r="H287" i="4"/>
  <c r="I287" i="4" s="1"/>
  <c r="I226" i="4"/>
  <c r="H302" i="4"/>
  <c r="I302" i="4" s="1"/>
  <c r="I109" i="4"/>
  <c r="I108" i="4"/>
  <c r="H298" i="4"/>
  <c r="I298" i="4" s="1"/>
  <c r="H265" i="4"/>
  <c r="I265" i="4" s="1"/>
  <c r="H263" i="4"/>
  <c r="I263" i="4" s="1"/>
  <c r="H267" i="4"/>
  <c r="I267" i="4" s="1"/>
  <c r="I217" i="4"/>
  <c r="H288" i="4"/>
  <c r="I288" i="4" s="1"/>
  <c r="I198" i="4"/>
  <c r="H289" i="4"/>
  <c r="I289" i="4" s="1"/>
  <c r="I185" i="4"/>
  <c r="H286" i="4"/>
  <c r="I286" i="4" s="1"/>
  <c r="I195" i="4"/>
  <c r="H273" i="4"/>
  <c r="I273" i="4" s="1"/>
  <c r="I193" i="4"/>
  <c r="H271" i="4"/>
  <c r="I271" i="4" s="1"/>
  <c r="I191" i="4"/>
  <c r="H269" i="4"/>
  <c r="I269" i="4" s="1"/>
  <c r="I171" i="4"/>
  <c r="H272" i="4"/>
  <c r="I272" i="4" s="1"/>
  <c r="I167" i="4"/>
  <c r="H270" i="4"/>
  <c r="I270" i="4" s="1"/>
  <c r="I126" i="4"/>
  <c r="H222" i="4"/>
  <c r="I222" i="4" s="1"/>
  <c r="H223" i="4"/>
  <c r="I223" i="4" s="1"/>
  <c r="H220" i="4"/>
  <c r="H207" i="4"/>
  <c r="H206" i="4"/>
  <c r="H213" i="4"/>
  <c r="I150" i="4"/>
  <c r="H225" i="4"/>
  <c r="I225" i="4" s="1"/>
  <c r="I95" i="4"/>
  <c r="I28" i="4"/>
  <c r="H229" i="4"/>
  <c r="I229" i="4" s="1"/>
  <c r="H192" i="4"/>
  <c r="I142" i="4"/>
  <c r="H210" i="4"/>
  <c r="I141" i="4"/>
  <c r="H209" i="4"/>
  <c r="I140" i="4"/>
  <c r="H208" i="4"/>
  <c r="H181" i="4"/>
  <c r="H176" i="4"/>
  <c r="H175" i="4"/>
  <c r="I175" i="4" s="1"/>
  <c r="H160" i="4"/>
  <c r="I160" i="4" s="1"/>
  <c r="H161" i="4"/>
  <c r="I161" i="4" s="1"/>
  <c r="H146" i="4"/>
  <c r="H114" i="4"/>
  <c r="H127" i="4"/>
  <c r="I127" i="4" s="1"/>
  <c r="H137" i="4"/>
  <c r="I137" i="4" s="1"/>
  <c r="H130" i="4"/>
  <c r="I130" i="4" s="1"/>
  <c r="H92" i="4"/>
  <c r="I92" i="4" s="1"/>
  <c r="I40" i="4"/>
  <c r="H96" i="4"/>
  <c r="I20" i="4"/>
  <c r="H97" i="4"/>
  <c r="I97" i="4" s="1"/>
  <c r="I15" i="4"/>
  <c r="H94" i="4"/>
  <c r="H93" i="4"/>
  <c r="AQ527" i="10"/>
  <c r="AL527" i="10"/>
  <c r="Z527" i="10"/>
  <c r="I453" i="10"/>
  <c r="H453" i="10"/>
  <c r="G453" i="10"/>
  <c r="F453" i="10"/>
  <c r="Z453" i="10" s="1"/>
  <c r="E453" i="10"/>
  <c r="D453" i="10"/>
  <c r="AQ453" i="10" s="1"/>
  <c r="C453" i="10"/>
  <c r="I304" i="10"/>
  <c r="H304" i="10"/>
  <c r="G304" i="10"/>
  <c r="F304" i="10"/>
  <c r="Z304" i="10" s="1"/>
  <c r="E304" i="10"/>
  <c r="D304" i="10"/>
  <c r="AQ304" i="10" s="1"/>
  <c r="C304" i="10"/>
  <c r="C155" i="10"/>
  <c r="I155" i="10"/>
  <c r="H155" i="10"/>
  <c r="G155" i="10"/>
  <c r="F155" i="10"/>
  <c r="Z155" i="10" s="1"/>
  <c r="E155" i="10"/>
  <c r="J155" i="10" s="1"/>
  <c r="D155" i="10"/>
  <c r="AQ155" i="10" s="1"/>
  <c r="C6" i="10"/>
  <c r="I6" i="10"/>
  <c r="H6" i="10"/>
  <c r="G6" i="10"/>
  <c r="F6" i="10"/>
  <c r="Z6" i="10" s="1"/>
  <c r="E6" i="10"/>
  <c r="D6" i="10"/>
  <c r="AQ6" i="10" s="1"/>
  <c r="AQ601" i="10"/>
  <c r="AL601" i="10"/>
  <c r="Z601" i="10"/>
  <c r="L601" i="10"/>
  <c r="K601" i="10"/>
  <c r="J601" i="10"/>
  <c r="I601" i="10"/>
  <c r="H601" i="10"/>
  <c r="G601" i="10"/>
  <c r="F601" i="10"/>
  <c r="E601" i="10"/>
  <c r="D601" i="10"/>
  <c r="C601" i="10"/>
  <c r="AQ600" i="10"/>
  <c r="AL600" i="10"/>
  <c r="Z600" i="10"/>
  <c r="L600" i="10"/>
  <c r="K600" i="10"/>
  <c r="J600" i="10"/>
  <c r="I600" i="10"/>
  <c r="H600" i="10"/>
  <c r="G600" i="10"/>
  <c r="F600" i="10"/>
  <c r="E600" i="10"/>
  <c r="D600" i="10"/>
  <c r="C600" i="10"/>
  <c r="AQ599" i="10"/>
  <c r="AL599" i="10"/>
  <c r="Z599" i="10"/>
  <c r="L599" i="10"/>
  <c r="K599" i="10"/>
  <c r="J599" i="10"/>
  <c r="I599" i="10"/>
  <c r="H599" i="10"/>
  <c r="G599" i="10"/>
  <c r="F599" i="10"/>
  <c r="E599" i="10"/>
  <c r="D599" i="10"/>
  <c r="C599" i="10"/>
  <c r="AQ598" i="10"/>
  <c r="AL598" i="10"/>
  <c r="Z598" i="10"/>
  <c r="L598" i="10"/>
  <c r="K598" i="10"/>
  <c r="J598" i="10"/>
  <c r="I598" i="10"/>
  <c r="H598" i="10"/>
  <c r="G598" i="10"/>
  <c r="F598" i="10"/>
  <c r="E598" i="10"/>
  <c r="D598" i="10"/>
  <c r="C598" i="10"/>
  <c r="AQ597" i="10"/>
  <c r="AL597" i="10"/>
  <c r="Z597" i="10"/>
  <c r="L597" i="10"/>
  <c r="K597" i="10"/>
  <c r="J597" i="10"/>
  <c r="I597" i="10"/>
  <c r="H597" i="10"/>
  <c r="G597" i="10"/>
  <c r="F597" i="10"/>
  <c r="E597" i="10"/>
  <c r="D597" i="10"/>
  <c r="C597" i="10"/>
  <c r="AQ596" i="10"/>
  <c r="AL596" i="10"/>
  <c r="Z596" i="10"/>
  <c r="L596" i="10"/>
  <c r="K596" i="10"/>
  <c r="J596" i="10"/>
  <c r="I596" i="10"/>
  <c r="H596" i="10"/>
  <c r="G596" i="10"/>
  <c r="F596" i="10"/>
  <c r="E596" i="10"/>
  <c r="D596" i="10"/>
  <c r="C596" i="10"/>
  <c r="AQ595" i="10"/>
  <c r="AL595" i="10"/>
  <c r="Z595" i="10"/>
  <c r="L595" i="10"/>
  <c r="K595" i="10"/>
  <c r="J595" i="10"/>
  <c r="I595" i="10"/>
  <c r="H595" i="10"/>
  <c r="G595" i="10"/>
  <c r="F595" i="10"/>
  <c r="E595" i="10"/>
  <c r="D595" i="10"/>
  <c r="C595" i="10"/>
  <c r="AQ594" i="10"/>
  <c r="AL594" i="10"/>
  <c r="Z594" i="10"/>
  <c r="L594" i="10"/>
  <c r="K594" i="10"/>
  <c r="J594" i="10"/>
  <c r="I594" i="10"/>
  <c r="H594" i="10"/>
  <c r="G594" i="10"/>
  <c r="F594" i="10"/>
  <c r="E594" i="10"/>
  <c r="D594" i="10"/>
  <c r="C594" i="10"/>
  <c r="AQ593" i="10"/>
  <c r="AL593" i="10"/>
  <c r="Z593" i="10"/>
  <c r="L593" i="10"/>
  <c r="K593" i="10"/>
  <c r="J593" i="10"/>
  <c r="I593" i="10"/>
  <c r="H593" i="10"/>
  <c r="G593" i="10"/>
  <c r="F593" i="10"/>
  <c r="E593" i="10"/>
  <c r="D593" i="10"/>
  <c r="C593" i="10"/>
  <c r="AQ592" i="10"/>
  <c r="AL592" i="10"/>
  <c r="Z592" i="10"/>
  <c r="L592" i="10"/>
  <c r="K592" i="10"/>
  <c r="J592" i="10"/>
  <c r="I592" i="10"/>
  <c r="H592" i="10"/>
  <c r="G592" i="10"/>
  <c r="F592" i="10"/>
  <c r="E592" i="10"/>
  <c r="D592" i="10"/>
  <c r="C592" i="10"/>
  <c r="AQ591" i="10"/>
  <c r="AL591" i="10"/>
  <c r="Z591" i="10"/>
  <c r="L591" i="10"/>
  <c r="K591" i="10"/>
  <c r="J591" i="10"/>
  <c r="I591" i="10"/>
  <c r="H591" i="10"/>
  <c r="G591" i="10"/>
  <c r="F591" i="10"/>
  <c r="E591" i="10"/>
  <c r="D591" i="10"/>
  <c r="C591" i="10"/>
  <c r="AQ590" i="10"/>
  <c r="AL590" i="10"/>
  <c r="Z590" i="10"/>
  <c r="L590" i="10"/>
  <c r="K590" i="10"/>
  <c r="J590" i="10"/>
  <c r="I590" i="10"/>
  <c r="H590" i="10"/>
  <c r="G590" i="10"/>
  <c r="F590" i="10"/>
  <c r="E590" i="10"/>
  <c r="D590" i="10"/>
  <c r="C590" i="10"/>
  <c r="AQ589" i="10"/>
  <c r="AL589" i="10"/>
  <c r="Z589" i="10"/>
  <c r="L589" i="10"/>
  <c r="K589" i="10"/>
  <c r="J589" i="10"/>
  <c r="I589" i="10"/>
  <c r="H589" i="10"/>
  <c r="G589" i="10"/>
  <c r="F589" i="10"/>
  <c r="E589" i="10"/>
  <c r="D589" i="10"/>
  <c r="C589" i="10"/>
  <c r="AQ588" i="10"/>
  <c r="AL588" i="10"/>
  <c r="Z588" i="10"/>
  <c r="L588" i="10"/>
  <c r="K588" i="10"/>
  <c r="J588" i="10"/>
  <c r="I588" i="10"/>
  <c r="H588" i="10"/>
  <c r="G588" i="10"/>
  <c r="F588" i="10"/>
  <c r="E588" i="10"/>
  <c r="D588" i="10"/>
  <c r="C588" i="10"/>
  <c r="J587" i="10"/>
  <c r="AL587" i="10"/>
  <c r="Z587" i="10"/>
  <c r="H587" i="10"/>
  <c r="I587" i="10"/>
  <c r="F587" i="10"/>
  <c r="E587" i="10"/>
  <c r="D587" i="10"/>
  <c r="C587" i="10"/>
  <c r="K587" i="10"/>
  <c r="G587" i="10"/>
  <c r="L587" i="10"/>
  <c r="AQ587" i="10"/>
  <c r="C586" i="10"/>
  <c r="D586" i="10"/>
  <c r="F586" i="10"/>
  <c r="G586" i="10"/>
  <c r="AQ586" i="10"/>
  <c r="H586" i="10"/>
  <c r="E586" i="10"/>
  <c r="I586" i="10"/>
  <c r="J586" i="10"/>
  <c r="K586" i="10"/>
  <c r="Z586" i="10"/>
  <c r="AL586" i="10"/>
  <c r="L586" i="10"/>
  <c r="L585" i="10"/>
  <c r="J585" i="10"/>
  <c r="D585" i="10"/>
  <c r="F585" i="10"/>
  <c r="Z585" i="10"/>
  <c r="AL585" i="10"/>
  <c r="AQ585" i="10"/>
  <c r="E585" i="10"/>
  <c r="G585" i="10"/>
  <c r="H585" i="10"/>
  <c r="C585" i="10"/>
  <c r="I585" i="10"/>
  <c r="K585" i="10"/>
  <c r="K584" i="10"/>
  <c r="L584" i="10"/>
  <c r="Z584" i="10"/>
  <c r="AL584" i="10"/>
  <c r="AQ584" i="10"/>
  <c r="H584" i="10"/>
  <c r="J584" i="10"/>
  <c r="I584" i="10"/>
  <c r="G584" i="10"/>
  <c r="F584" i="10"/>
  <c r="E584" i="10"/>
  <c r="D584" i="10"/>
  <c r="C584" i="10"/>
  <c r="AL583" i="10"/>
  <c r="AQ583" i="10"/>
  <c r="Z583" i="10"/>
  <c r="L583" i="10"/>
  <c r="K583" i="10"/>
  <c r="J583" i="10"/>
  <c r="I583" i="10"/>
  <c r="H583" i="10"/>
  <c r="G583" i="10"/>
  <c r="F583" i="10"/>
  <c r="E583" i="10"/>
  <c r="D583" i="10"/>
  <c r="C583" i="10"/>
  <c r="G582" i="10"/>
  <c r="H582" i="10"/>
  <c r="I582" i="10"/>
  <c r="J582" i="10"/>
  <c r="K582" i="10"/>
  <c r="L582" i="10"/>
  <c r="AQ582" i="10"/>
  <c r="Z582" i="10"/>
  <c r="AL582" i="10"/>
  <c r="C582" i="10"/>
  <c r="D582" i="10"/>
  <c r="E582" i="10"/>
  <c r="F582" i="10"/>
  <c r="AQ581" i="10"/>
  <c r="C581" i="10"/>
  <c r="G581" i="10"/>
  <c r="L581" i="10"/>
  <c r="K581" i="10"/>
  <c r="H581" i="10"/>
  <c r="F581" i="10"/>
  <c r="E581" i="10"/>
  <c r="D581" i="10"/>
  <c r="I581" i="10"/>
  <c r="J581" i="10"/>
  <c r="Z581" i="10"/>
  <c r="AL581" i="10"/>
  <c r="Z580" i="10"/>
  <c r="AL580" i="10"/>
  <c r="L580" i="10"/>
  <c r="J580" i="10"/>
  <c r="G580" i="10"/>
  <c r="E580" i="10"/>
  <c r="C580" i="10"/>
  <c r="H580" i="10"/>
  <c r="AQ580" i="10"/>
  <c r="K580" i="10"/>
  <c r="I580" i="10"/>
  <c r="F580" i="10"/>
  <c r="D580" i="10"/>
  <c r="E579" i="10"/>
  <c r="G579" i="10"/>
  <c r="K579" i="10"/>
  <c r="L579" i="10"/>
  <c r="Z579" i="10"/>
  <c r="AL579" i="10"/>
  <c r="AQ579" i="10"/>
  <c r="I579" i="10"/>
  <c r="C579" i="10"/>
  <c r="J579" i="10"/>
  <c r="D579" i="10"/>
  <c r="F579" i="10"/>
  <c r="H579" i="10"/>
  <c r="F578" i="10"/>
  <c r="C578" i="10"/>
  <c r="G578" i="10"/>
  <c r="H578" i="10"/>
  <c r="J578" i="10"/>
  <c r="Z578" i="10"/>
  <c r="L578" i="10"/>
  <c r="D578" i="10"/>
  <c r="E578" i="10"/>
  <c r="I578" i="10"/>
  <c r="K578" i="10"/>
  <c r="AL578" i="10"/>
  <c r="AQ578" i="10"/>
  <c r="D577" i="10"/>
  <c r="F577" i="10"/>
  <c r="I577" i="10"/>
  <c r="K577" i="10"/>
  <c r="AL577" i="10"/>
  <c r="J577" i="10"/>
  <c r="Z577" i="10"/>
  <c r="L577" i="10"/>
  <c r="H577" i="10"/>
  <c r="G577" i="10"/>
  <c r="E577" i="10"/>
  <c r="C577" i="10"/>
  <c r="AQ577" i="10"/>
  <c r="J576" i="10"/>
  <c r="AL576" i="10"/>
  <c r="AQ576" i="10"/>
  <c r="L576" i="10"/>
  <c r="K576" i="10"/>
  <c r="I576" i="10"/>
  <c r="E576" i="10"/>
  <c r="D576" i="10"/>
  <c r="H576" i="10"/>
  <c r="C576" i="10"/>
  <c r="F576" i="10"/>
  <c r="G576" i="10"/>
  <c r="Z576" i="10"/>
  <c r="J575" i="10"/>
  <c r="L575" i="10"/>
  <c r="Z575" i="10"/>
  <c r="AL575" i="10"/>
  <c r="AQ575" i="10"/>
  <c r="I575" i="10"/>
  <c r="G575" i="10"/>
  <c r="K575" i="10"/>
  <c r="C575" i="10"/>
  <c r="D575" i="10"/>
  <c r="E575" i="10"/>
  <c r="F575" i="10"/>
  <c r="H575" i="10"/>
  <c r="J574" i="10"/>
  <c r="AL574" i="10"/>
  <c r="D574" i="10"/>
  <c r="C574" i="10"/>
  <c r="AQ574" i="10"/>
  <c r="L574" i="10"/>
  <c r="K574" i="10"/>
  <c r="Z574" i="10"/>
  <c r="I574" i="10"/>
  <c r="H574" i="10"/>
  <c r="G574" i="10"/>
  <c r="F574" i="10"/>
  <c r="E574" i="10"/>
  <c r="AL573" i="10"/>
  <c r="AQ573" i="10"/>
  <c r="Z573" i="10"/>
  <c r="L573" i="10"/>
  <c r="K573" i="10"/>
  <c r="J573" i="10"/>
  <c r="I573" i="10"/>
  <c r="H573" i="10"/>
  <c r="G573" i="10"/>
  <c r="F573" i="10"/>
  <c r="E573" i="10"/>
  <c r="D573" i="10"/>
  <c r="C573" i="10"/>
  <c r="C572" i="10"/>
  <c r="D572" i="10"/>
  <c r="E572" i="10"/>
  <c r="F572" i="10"/>
  <c r="H572" i="10"/>
  <c r="I572" i="10"/>
  <c r="AQ572" i="10"/>
  <c r="J572" i="10"/>
  <c r="K572" i="10"/>
  <c r="L572" i="10"/>
  <c r="Z572" i="10"/>
  <c r="AL572" i="10"/>
  <c r="G572" i="10"/>
  <c r="D571" i="10"/>
  <c r="AL571" i="10"/>
  <c r="Z571" i="10"/>
  <c r="L571" i="10"/>
  <c r="J571" i="10"/>
  <c r="H571" i="10"/>
  <c r="G571" i="10"/>
  <c r="E571" i="10"/>
  <c r="C571" i="10"/>
  <c r="K571" i="10"/>
  <c r="AQ571" i="10"/>
  <c r="I571" i="10"/>
  <c r="F571" i="10"/>
  <c r="J570" i="10"/>
  <c r="AQ570" i="10"/>
  <c r="AL570" i="10"/>
  <c r="K570" i="10"/>
  <c r="H570" i="10"/>
  <c r="F570" i="10"/>
  <c r="C570" i="10"/>
  <c r="Z570" i="10"/>
  <c r="L570" i="10"/>
  <c r="D570" i="10"/>
  <c r="E570" i="10"/>
  <c r="G570" i="10"/>
  <c r="I570" i="10"/>
  <c r="L569" i="10"/>
  <c r="C569" i="10"/>
  <c r="E569" i="10"/>
  <c r="H569" i="10"/>
  <c r="I569" i="10"/>
  <c r="K569" i="10"/>
  <c r="Z569" i="10"/>
  <c r="AQ569" i="10"/>
  <c r="AL569" i="10"/>
  <c r="G569" i="10"/>
  <c r="F569" i="10"/>
  <c r="D569" i="10"/>
  <c r="J569" i="10"/>
  <c r="I568" i="10"/>
  <c r="J568" i="10"/>
  <c r="C568" i="10"/>
  <c r="D568" i="10"/>
  <c r="E568" i="10"/>
  <c r="G568" i="10"/>
  <c r="H568" i="10"/>
  <c r="K568" i="10"/>
  <c r="L568" i="10"/>
  <c r="Z568" i="10"/>
  <c r="AL568" i="10"/>
  <c r="AQ568" i="10"/>
  <c r="F568" i="10"/>
  <c r="F567" i="10"/>
  <c r="E567" i="10"/>
  <c r="G567" i="10"/>
  <c r="H567" i="10"/>
  <c r="J567" i="10"/>
  <c r="C567" i="10"/>
  <c r="L567" i="10"/>
  <c r="Z567" i="10"/>
  <c r="K567" i="10"/>
  <c r="AL567" i="10"/>
  <c r="AQ567" i="10"/>
  <c r="I567" i="10"/>
  <c r="D567" i="10"/>
  <c r="C566" i="10"/>
  <c r="K566" i="10"/>
  <c r="J566" i="10"/>
  <c r="H566" i="10"/>
  <c r="G566" i="10"/>
  <c r="E566" i="10"/>
  <c r="D566" i="10"/>
  <c r="F566" i="10"/>
  <c r="I566" i="10"/>
  <c r="AQ566" i="10"/>
  <c r="AL566" i="10"/>
  <c r="Z566" i="10"/>
  <c r="L566" i="10"/>
  <c r="AQ565" i="10"/>
  <c r="Z565" i="10"/>
  <c r="J565" i="10"/>
  <c r="I565" i="10"/>
  <c r="G565" i="10"/>
  <c r="F565" i="10"/>
  <c r="C565" i="10"/>
  <c r="D565" i="10"/>
  <c r="E565" i="10"/>
  <c r="K565" i="10"/>
  <c r="H565" i="10"/>
  <c r="L565" i="10"/>
  <c r="AL565" i="10"/>
  <c r="AQ564" i="10"/>
  <c r="J564" i="10"/>
  <c r="I564" i="10"/>
  <c r="F564" i="10"/>
  <c r="C564" i="10"/>
  <c r="AL564" i="10"/>
  <c r="H564" i="10"/>
  <c r="G564" i="10"/>
  <c r="L564" i="10"/>
  <c r="K564" i="10"/>
  <c r="Z564" i="10"/>
  <c r="E564" i="10"/>
  <c r="D564" i="10"/>
  <c r="L563" i="10"/>
  <c r="K563" i="10"/>
  <c r="H563" i="10"/>
  <c r="E563" i="10"/>
  <c r="C563" i="10"/>
  <c r="I563" i="10"/>
  <c r="J563" i="10"/>
  <c r="Z563" i="10"/>
  <c r="AQ563" i="10"/>
  <c r="AL563" i="10"/>
  <c r="D563" i="10"/>
  <c r="G563" i="10"/>
  <c r="F563" i="10"/>
  <c r="G562" i="10"/>
  <c r="C562" i="10"/>
  <c r="L562" i="10"/>
  <c r="K562" i="10"/>
  <c r="AL562" i="10"/>
  <c r="Z562" i="10"/>
  <c r="AQ562" i="10"/>
  <c r="J562" i="10"/>
  <c r="I562" i="10"/>
  <c r="H562" i="10"/>
  <c r="F562" i="10"/>
  <c r="E562" i="10"/>
  <c r="D562" i="10"/>
  <c r="Z561" i="10"/>
  <c r="H561" i="10"/>
  <c r="AL561" i="10"/>
  <c r="AQ561" i="10"/>
  <c r="G561" i="10"/>
  <c r="D561" i="10"/>
  <c r="L561" i="10"/>
  <c r="C561" i="10"/>
  <c r="E561" i="10"/>
  <c r="F561" i="10"/>
  <c r="I561" i="10"/>
  <c r="J561" i="10"/>
  <c r="K561" i="10"/>
  <c r="AQ560" i="10"/>
  <c r="AL560" i="10"/>
  <c r="L560" i="10"/>
  <c r="K560" i="10"/>
  <c r="I560" i="10"/>
  <c r="F560" i="10"/>
  <c r="D560" i="10"/>
  <c r="C560" i="10"/>
  <c r="E560" i="10"/>
  <c r="G560" i="10"/>
  <c r="H560" i="10"/>
  <c r="J560" i="10"/>
  <c r="Z560" i="10"/>
  <c r="K559" i="10"/>
  <c r="I559" i="10"/>
  <c r="G559" i="10"/>
  <c r="E559" i="10"/>
  <c r="C559" i="10"/>
  <c r="L559" i="10"/>
  <c r="AQ559" i="10"/>
  <c r="Z559" i="10"/>
  <c r="J559" i="10"/>
  <c r="H559" i="10"/>
  <c r="F559" i="10"/>
  <c r="D559" i="10"/>
  <c r="AL559" i="10"/>
  <c r="D558" i="10"/>
  <c r="H558" i="10"/>
  <c r="K558" i="10"/>
  <c r="L558" i="10"/>
  <c r="Z558" i="10"/>
  <c r="AL558" i="10"/>
  <c r="AQ558" i="10"/>
  <c r="G558" i="10"/>
  <c r="J558" i="10"/>
  <c r="I558" i="10"/>
  <c r="E558" i="10"/>
  <c r="C558" i="10"/>
  <c r="F558" i="10"/>
  <c r="Z557" i="10"/>
  <c r="K557" i="10"/>
  <c r="I557" i="10"/>
  <c r="G557" i="10"/>
  <c r="F557" i="10"/>
  <c r="C557" i="10"/>
  <c r="E557" i="10"/>
  <c r="H557" i="10"/>
  <c r="L557" i="10"/>
  <c r="J557" i="10"/>
  <c r="AQ557" i="10"/>
  <c r="AL557" i="10"/>
  <c r="D557" i="10"/>
  <c r="AQ556" i="10"/>
  <c r="F556" i="10"/>
  <c r="C556" i="10"/>
  <c r="I556" i="10"/>
  <c r="K556" i="10"/>
  <c r="Z556" i="10"/>
  <c r="D556" i="10"/>
  <c r="G556" i="10"/>
  <c r="E556" i="10"/>
  <c r="H556" i="10"/>
  <c r="J556" i="10"/>
  <c r="L556" i="10"/>
  <c r="AL556" i="10"/>
  <c r="C555" i="10"/>
  <c r="L555" i="10"/>
  <c r="I555" i="10"/>
  <c r="AQ555" i="10"/>
  <c r="E555" i="10"/>
  <c r="J555" i="10"/>
  <c r="AL555" i="10"/>
  <c r="Z555" i="10"/>
  <c r="K555" i="10"/>
  <c r="H555" i="10"/>
  <c r="F555" i="10"/>
  <c r="D555" i="10"/>
  <c r="G555" i="10"/>
  <c r="J554" i="10"/>
  <c r="AL554" i="10"/>
  <c r="E554" i="10"/>
  <c r="L554" i="10"/>
  <c r="H554" i="10"/>
  <c r="F554" i="10"/>
  <c r="C554" i="10"/>
  <c r="D554" i="10"/>
  <c r="G554" i="10"/>
  <c r="I554" i="10"/>
  <c r="K554" i="10"/>
  <c r="Z554" i="10"/>
  <c r="AQ554" i="10"/>
  <c r="C553" i="10"/>
  <c r="AL553" i="10"/>
  <c r="E553" i="10"/>
  <c r="H553" i="10"/>
  <c r="K553" i="10"/>
  <c r="L553" i="10"/>
  <c r="Z553" i="10"/>
  <c r="AQ553" i="10"/>
  <c r="G553" i="10"/>
  <c r="D553" i="10"/>
  <c r="F553" i="10"/>
  <c r="I553" i="10"/>
  <c r="J553" i="10"/>
  <c r="C552" i="10"/>
  <c r="AL552" i="10"/>
  <c r="H552" i="10"/>
  <c r="K552" i="10"/>
  <c r="I552" i="10"/>
  <c r="AQ552" i="10"/>
  <c r="F552" i="10"/>
  <c r="D552" i="10"/>
  <c r="J552" i="10"/>
  <c r="E552" i="10"/>
  <c r="Z552" i="10"/>
  <c r="L552" i="10"/>
  <c r="G552" i="10"/>
  <c r="L551" i="10"/>
  <c r="K551" i="10"/>
  <c r="I551" i="10"/>
  <c r="F551" i="10"/>
  <c r="C551" i="10"/>
  <c r="G551" i="10"/>
  <c r="E551" i="10"/>
  <c r="AL551" i="10"/>
  <c r="AQ551" i="10"/>
  <c r="Z551" i="10"/>
  <c r="J551" i="10"/>
  <c r="H551" i="10"/>
  <c r="D551" i="10"/>
  <c r="F550" i="10"/>
  <c r="G550" i="10"/>
  <c r="H550" i="10"/>
  <c r="I550" i="10"/>
  <c r="J550" i="10"/>
  <c r="K550" i="10"/>
  <c r="L550" i="10"/>
  <c r="AQ550" i="10"/>
  <c r="AL550" i="10"/>
  <c r="Z550" i="10"/>
  <c r="E550" i="10"/>
  <c r="D550" i="10"/>
  <c r="C550" i="10"/>
  <c r="AQ549" i="10"/>
  <c r="K549" i="10"/>
  <c r="I549" i="10"/>
  <c r="G549" i="10"/>
  <c r="F549" i="10"/>
  <c r="H549" i="10"/>
  <c r="C549" i="10"/>
  <c r="J549" i="10"/>
  <c r="L549" i="10"/>
  <c r="E549" i="10"/>
  <c r="D549" i="10"/>
  <c r="AL549" i="10"/>
  <c r="Z549" i="10"/>
  <c r="F548" i="10"/>
  <c r="G548" i="10"/>
  <c r="AL548" i="10"/>
  <c r="Z548" i="10"/>
  <c r="I548" i="10"/>
  <c r="H548" i="10"/>
  <c r="J548" i="10"/>
  <c r="C548" i="10"/>
  <c r="AQ548" i="10"/>
  <c r="K548" i="10"/>
  <c r="L548" i="10"/>
  <c r="D548" i="10"/>
  <c r="E548" i="10"/>
  <c r="AQ547" i="10"/>
  <c r="AL547" i="10"/>
  <c r="Z547" i="10"/>
  <c r="L547" i="10"/>
  <c r="K547" i="10"/>
  <c r="I547" i="10"/>
  <c r="J547" i="10"/>
  <c r="G547" i="10"/>
  <c r="H547" i="10"/>
  <c r="F547" i="10"/>
  <c r="D547" i="10"/>
  <c r="E547" i="10"/>
  <c r="C547" i="10"/>
  <c r="F546" i="10"/>
  <c r="AQ546" i="10"/>
  <c r="AL546" i="10"/>
  <c r="L546" i="10"/>
  <c r="H546" i="10"/>
  <c r="D546" i="10"/>
  <c r="J546" i="10"/>
  <c r="Z546" i="10"/>
  <c r="K546" i="10"/>
  <c r="I546" i="10"/>
  <c r="G546" i="10"/>
  <c r="E546" i="10"/>
  <c r="C546" i="10"/>
  <c r="AQ545" i="10"/>
  <c r="C545" i="10"/>
  <c r="E545" i="10"/>
  <c r="G545" i="10"/>
  <c r="H545" i="10"/>
  <c r="J545" i="10"/>
  <c r="AL545" i="10"/>
  <c r="Z545" i="10"/>
  <c r="L545" i="10"/>
  <c r="K545" i="10"/>
  <c r="I545" i="10"/>
  <c r="F545" i="10"/>
  <c r="D545" i="10"/>
  <c r="L544" i="10"/>
  <c r="J544" i="10"/>
  <c r="H544" i="10"/>
  <c r="F544" i="10"/>
  <c r="E544" i="10"/>
  <c r="C544" i="10"/>
  <c r="AQ544" i="10"/>
  <c r="AL544" i="10"/>
  <c r="Z544" i="10"/>
  <c r="K544" i="10"/>
  <c r="I544" i="10"/>
  <c r="G544" i="10"/>
  <c r="D544" i="10"/>
  <c r="C543" i="10"/>
  <c r="L543" i="10"/>
  <c r="AL543" i="10"/>
  <c r="Z543" i="10"/>
  <c r="J543" i="10"/>
  <c r="H543" i="10"/>
  <c r="F543" i="10"/>
  <c r="AQ543" i="10"/>
  <c r="K543" i="10"/>
  <c r="I543" i="10"/>
  <c r="G543" i="10"/>
  <c r="E543" i="10"/>
  <c r="D543" i="10"/>
  <c r="H542" i="10"/>
  <c r="E542" i="10"/>
  <c r="F542" i="10"/>
  <c r="K542" i="10"/>
  <c r="I542" i="10"/>
  <c r="L542" i="10"/>
  <c r="J542" i="10"/>
  <c r="Z542" i="10"/>
  <c r="AQ542" i="10"/>
  <c r="AL542" i="10"/>
  <c r="D542" i="10"/>
  <c r="G542" i="10"/>
  <c r="C542" i="10"/>
  <c r="L541" i="10"/>
  <c r="H541" i="10"/>
  <c r="F541" i="10"/>
  <c r="AL541" i="10"/>
  <c r="AQ541" i="10"/>
  <c r="K541" i="10"/>
  <c r="E541" i="10"/>
  <c r="D541" i="10"/>
  <c r="C541" i="10"/>
  <c r="Z541" i="10"/>
  <c r="J541" i="10"/>
  <c r="I541" i="10"/>
  <c r="G541" i="10"/>
  <c r="G540" i="10"/>
  <c r="K540" i="10"/>
  <c r="F540" i="10"/>
  <c r="H540" i="10"/>
  <c r="D540" i="10"/>
  <c r="AL540" i="10"/>
  <c r="Z540" i="10"/>
  <c r="J540" i="10"/>
  <c r="AQ540" i="10"/>
  <c r="I540" i="10"/>
  <c r="C540" i="10"/>
  <c r="E540" i="10"/>
  <c r="L540" i="10"/>
  <c r="F539" i="10"/>
  <c r="G539" i="10"/>
  <c r="I539" i="10"/>
  <c r="AQ539" i="10"/>
  <c r="AL539" i="10"/>
  <c r="Z539" i="10"/>
  <c r="L539" i="10"/>
  <c r="K539" i="10"/>
  <c r="J539" i="10"/>
  <c r="H539" i="10"/>
  <c r="E539" i="10"/>
  <c r="D539" i="10"/>
  <c r="C539" i="10"/>
  <c r="Z538" i="10"/>
  <c r="I538" i="10"/>
  <c r="G538" i="10"/>
  <c r="C538" i="10"/>
  <c r="J538" i="10"/>
  <c r="D538" i="10"/>
  <c r="H538" i="10"/>
  <c r="F538" i="10"/>
  <c r="L538" i="10"/>
  <c r="AQ538" i="10"/>
  <c r="E538" i="10"/>
  <c r="K538" i="10"/>
  <c r="AL538" i="10"/>
  <c r="K537" i="10"/>
  <c r="F537" i="10"/>
  <c r="AL537" i="10"/>
  <c r="AQ537" i="10"/>
  <c r="L537" i="10"/>
  <c r="J537" i="10"/>
  <c r="H537" i="10"/>
  <c r="D537" i="10"/>
  <c r="E537" i="10"/>
  <c r="C537" i="10"/>
  <c r="G537" i="10"/>
  <c r="I537" i="10"/>
  <c r="Z537" i="10"/>
  <c r="G536" i="10"/>
  <c r="E536" i="10"/>
  <c r="K536" i="10"/>
  <c r="Z536" i="10"/>
  <c r="D536" i="10"/>
  <c r="H536" i="10"/>
  <c r="AQ536" i="10"/>
  <c r="J536" i="10"/>
  <c r="AL536" i="10"/>
  <c r="L536" i="10"/>
  <c r="I536" i="10"/>
  <c r="F536" i="10"/>
  <c r="C536" i="10"/>
  <c r="F535" i="10"/>
  <c r="C535" i="10"/>
  <c r="E535" i="10"/>
  <c r="AQ535" i="10"/>
  <c r="K535" i="10"/>
  <c r="D535" i="10"/>
  <c r="Z535" i="10"/>
  <c r="H535" i="10"/>
  <c r="L535" i="10"/>
  <c r="J535" i="10"/>
  <c r="I535" i="10"/>
  <c r="G535" i="10"/>
  <c r="AL535" i="10"/>
  <c r="C534" i="10"/>
  <c r="AL534" i="10"/>
  <c r="K534" i="10"/>
  <c r="I534" i="10"/>
  <c r="G534" i="10"/>
  <c r="D534" i="10"/>
  <c r="Z534" i="10"/>
  <c r="L534" i="10"/>
  <c r="J534" i="10"/>
  <c r="H534" i="10"/>
  <c r="F534" i="10"/>
  <c r="E534" i="10"/>
  <c r="AQ534" i="10"/>
  <c r="K533" i="10"/>
  <c r="H533" i="10"/>
  <c r="F533" i="10"/>
  <c r="C533" i="10"/>
  <c r="I533" i="10"/>
  <c r="E533" i="10"/>
  <c r="L533" i="10"/>
  <c r="Z533" i="10"/>
  <c r="AQ533" i="10"/>
  <c r="AL533" i="10"/>
  <c r="J533" i="10"/>
  <c r="G533" i="10"/>
  <c r="D533" i="10"/>
  <c r="G532" i="10"/>
  <c r="I532" i="10"/>
  <c r="E532" i="10"/>
  <c r="H532" i="10"/>
  <c r="J532" i="10"/>
  <c r="AL532" i="10"/>
  <c r="L532" i="10"/>
  <c r="K532" i="10"/>
  <c r="F532" i="10"/>
  <c r="C532" i="10"/>
  <c r="AQ532" i="10"/>
  <c r="D532" i="10"/>
  <c r="Z532" i="10"/>
  <c r="F531" i="10"/>
  <c r="C531" i="10"/>
  <c r="K531" i="10"/>
  <c r="E531" i="10"/>
  <c r="D531" i="10"/>
  <c r="J531" i="10"/>
  <c r="AQ531" i="10"/>
  <c r="L531" i="10"/>
  <c r="Z531" i="10"/>
  <c r="AL531" i="10"/>
  <c r="G531" i="10"/>
  <c r="I531" i="10"/>
  <c r="H531" i="10"/>
  <c r="Z530" i="10"/>
  <c r="I530" i="10"/>
  <c r="H530" i="10"/>
  <c r="K530" i="10"/>
  <c r="AQ530" i="10"/>
  <c r="J530" i="10"/>
  <c r="G530" i="10"/>
  <c r="E530" i="10"/>
  <c r="C530" i="10"/>
  <c r="AL530" i="10"/>
  <c r="F530" i="10"/>
  <c r="L530" i="10"/>
  <c r="D530" i="10"/>
  <c r="AQ529" i="10"/>
  <c r="C529" i="10"/>
  <c r="H529" i="10"/>
  <c r="G529" i="10"/>
  <c r="E529" i="10"/>
  <c r="Z529" i="10"/>
  <c r="I529" i="10"/>
  <c r="D529" i="10"/>
  <c r="AL529" i="10"/>
  <c r="L529" i="10"/>
  <c r="J529" i="10"/>
  <c r="F529" i="10"/>
  <c r="K529" i="10"/>
  <c r="Z528" i="10"/>
  <c r="L528" i="10"/>
  <c r="G528" i="10"/>
  <c r="I528" i="10"/>
  <c r="J528" i="10"/>
  <c r="AQ528" i="10"/>
  <c r="E528" i="10"/>
  <c r="D528" i="10"/>
  <c r="K528" i="10"/>
  <c r="H528" i="10"/>
  <c r="AL528" i="10"/>
  <c r="C528" i="10"/>
  <c r="F528" i="10"/>
  <c r="F527" i="10"/>
  <c r="G527" i="10"/>
  <c r="H527" i="10"/>
  <c r="D527" i="10"/>
  <c r="E527" i="10"/>
  <c r="I527" i="10"/>
  <c r="C527" i="10"/>
  <c r="J527" i="10"/>
  <c r="K527" i="10"/>
  <c r="L527" i="10"/>
  <c r="H526" i="10"/>
  <c r="G526" i="10"/>
  <c r="I526" i="10"/>
  <c r="J526" i="10"/>
  <c r="K526" i="10"/>
  <c r="D526" i="10"/>
  <c r="E526" i="10"/>
  <c r="F526" i="10"/>
  <c r="L526" i="10"/>
  <c r="AL526" i="10"/>
  <c r="C526" i="10"/>
  <c r="Z526" i="10"/>
  <c r="AQ526" i="10"/>
  <c r="G525" i="10"/>
  <c r="H525" i="10"/>
  <c r="I525" i="10"/>
  <c r="J525" i="10"/>
  <c r="K525" i="10"/>
  <c r="Z525" i="10"/>
  <c r="AL525" i="10"/>
  <c r="AQ525" i="10"/>
  <c r="L525" i="10"/>
  <c r="C525" i="10"/>
  <c r="D525" i="10"/>
  <c r="E525" i="10"/>
  <c r="F525" i="10"/>
  <c r="AL524" i="10"/>
  <c r="J524" i="10"/>
  <c r="D524" i="10"/>
  <c r="C524" i="10"/>
  <c r="AQ524" i="10"/>
  <c r="Z524" i="10"/>
  <c r="L524" i="10"/>
  <c r="K524" i="10"/>
  <c r="I524" i="10"/>
  <c r="G524" i="10"/>
  <c r="F524" i="10"/>
  <c r="E524" i="10"/>
  <c r="H524" i="10"/>
  <c r="D523" i="10"/>
  <c r="F523" i="10"/>
  <c r="G523" i="10"/>
  <c r="H523" i="10"/>
  <c r="AL523" i="10"/>
  <c r="J523" i="10"/>
  <c r="K523" i="10"/>
  <c r="L523" i="10"/>
  <c r="I523" i="10"/>
  <c r="AQ523" i="10"/>
  <c r="E523" i="10"/>
  <c r="C523" i="10"/>
  <c r="Z523" i="10"/>
  <c r="AQ522" i="10"/>
  <c r="E522" i="10"/>
  <c r="G522" i="10"/>
  <c r="H522" i="10"/>
  <c r="C522" i="10"/>
  <c r="D522" i="10"/>
  <c r="AL522" i="10"/>
  <c r="F522" i="10"/>
  <c r="Z522" i="10"/>
  <c r="L522" i="10"/>
  <c r="K522" i="10"/>
  <c r="I522" i="10"/>
  <c r="J522" i="10"/>
  <c r="C521" i="10"/>
  <c r="D521" i="10"/>
  <c r="AQ521" i="10" s="1"/>
  <c r="F521" i="10"/>
  <c r="Z521" i="10" s="1"/>
  <c r="E521" i="10"/>
  <c r="I521" i="10"/>
  <c r="H521" i="10"/>
  <c r="G521" i="10"/>
  <c r="J521" i="10" s="1"/>
  <c r="G520" i="10"/>
  <c r="C520" i="10"/>
  <c r="D520" i="10"/>
  <c r="AQ520" i="10" s="1"/>
  <c r="E520" i="10"/>
  <c r="F520" i="10"/>
  <c r="H520" i="10"/>
  <c r="I520" i="10"/>
  <c r="J520" i="10"/>
  <c r="Z520" i="10"/>
  <c r="E519" i="10"/>
  <c r="D519" i="10"/>
  <c r="C519" i="10"/>
  <c r="F519" i="10"/>
  <c r="Z519" i="10"/>
  <c r="AQ519" i="10"/>
  <c r="G519" i="10"/>
  <c r="H519" i="10"/>
  <c r="I519" i="10"/>
  <c r="J519" i="10"/>
  <c r="F518" i="10"/>
  <c r="Z518" i="10" s="1"/>
  <c r="C518" i="10"/>
  <c r="D518" i="10"/>
  <c r="AQ518" i="10" s="1"/>
  <c r="E518" i="10"/>
  <c r="I518" i="10"/>
  <c r="H518" i="10"/>
  <c r="G518" i="10"/>
  <c r="J518" i="10" s="1"/>
  <c r="H517" i="10"/>
  <c r="I517" i="10"/>
  <c r="E517" i="10"/>
  <c r="D517" i="10"/>
  <c r="C517" i="10"/>
  <c r="G517" i="10"/>
  <c r="AQ517" i="10"/>
  <c r="F517" i="10"/>
  <c r="Z517" i="10" s="1"/>
  <c r="E516" i="10"/>
  <c r="F516" i="10"/>
  <c r="C516" i="10"/>
  <c r="G516" i="10"/>
  <c r="D516" i="10"/>
  <c r="J516" i="10"/>
  <c r="I516" i="10"/>
  <c r="Z516" i="10"/>
  <c r="AQ516" i="10"/>
  <c r="H516" i="10"/>
  <c r="I515" i="10"/>
  <c r="H515" i="10"/>
  <c r="G515" i="10"/>
  <c r="F515" i="10"/>
  <c r="E515" i="10"/>
  <c r="D515" i="10"/>
  <c r="AQ515" i="10" s="1"/>
  <c r="C515" i="10"/>
  <c r="Z515" i="10"/>
  <c r="I514" i="10"/>
  <c r="H514" i="10"/>
  <c r="G514" i="10"/>
  <c r="F514" i="10"/>
  <c r="E514" i="10"/>
  <c r="D514" i="10"/>
  <c r="C514" i="10"/>
  <c r="AQ514" i="10"/>
  <c r="Z514" i="10"/>
  <c r="G513" i="10"/>
  <c r="D513" i="10"/>
  <c r="AQ513" i="10" s="1"/>
  <c r="I513" i="10"/>
  <c r="H513" i="10"/>
  <c r="F513" i="10"/>
  <c r="Z513" i="10" s="1"/>
  <c r="E513" i="10"/>
  <c r="C513" i="10"/>
  <c r="I512" i="10"/>
  <c r="H512" i="10"/>
  <c r="G512" i="10"/>
  <c r="F512" i="10"/>
  <c r="E512" i="10"/>
  <c r="D512" i="10"/>
  <c r="AQ512" i="10" s="1"/>
  <c r="C512" i="10"/>
  <c r="Z512" i="10"/>
  <c r="J512" i="10"/>
  <c r="D511" i="10"/>
  <c r="I511" i="10"/>
  <c r="H511" i="10"/>
  <c r="G511" i="10"/>
  <c r="F511" i="10"/>
  <c r="Z511" i="10" s="1"/>
  <c r="AQ511" i="10"/>
  <c r="C511" i="10"/>
  <c r="E511" i="10"/>
  <c r="J511" i="10" s="1"/>
  <c r="I510" i="10"/>
  <c r="H510" i="10"/>
  <c r="G510" i="10"/>
  <c r="F510" i="10"/>
  <c r="Z510" i="10" s="1"/>
  <c r="E510" i="10"/>
  <c r="D510" i="10"/>
  <c r="AQ510" i="10" s="1"/>
  <c r="C510" i="10"/>
  <c r="I509" i="10"/>
  <c r="H509" i="10"/>
  <c r="G509" i="10"/>
  <c r="F509" i="10"/>
  <c r="Z509" i="10" s="1"/>
  <c r="E509" i="10"/>
  <c r="D509" i="10"/>
  <c r="AQ509" i="10" s="1"/>
  <c r="C509" i="10"/>
  <c r="I508" i="10"/>
  <c r="H508" i="10"/>
  <c r="G508" i="10"/>
  <c r="F508" i="10"/>
  <c r="Z508" i="10" s="1"/>
  <c r="E508" i="10"/>
  <c r="D508" i="10"/>
  <c r="AQ508" i="10" s="1"/>
  <c r="C508" i="10"/>
  <c r="I507" i="10"/>
  <c r="H507" i="10"/>
  <c r="G507" i="10"/>
  <c r="F507" i="10"/>
  <c r="Z507" i="10" s="1"/>
  <c r="E507" i="10"/>
  <c r="D507" i="10"/>
  <c r="AQ507" i="10" s="1"/>
  <c r="C507" i="10"/>
  <c r="I506" i="10"/>
  <c r="H506" i="10"/>
  <c r="G506" i="10"/>
  <c r="F506" i="10"/>
  <c r="Z506" i="10" s="1"/>
  <c r="E506" i="10"/>
  <c r="D506" i="10"/>
  <c r="AQ506" i="10" s="1"/>
  <c r="C506" i="10"/>
  <c r="I505" i="10"/>
  <c r="H505" i="10"/>
  <c r="G505" i="10"/>
  <c r="F505" i="10"/>
  <c r="Z505" i="10" s="1"/>
  <c r="E505" i="10"/>
  <c r="D505" i="10"/>
  <c r="AQ505" i="10" s="1"/>
  <c r="C505" i="10"/>
  <c r="I504" i="10"/>
  <c r="H504" i="10"/>
  <c r="G504" i="10"/>
  <c r="F504" i="10"/>
  <c r="Z504" i="10" s="1"/>
  <c r="E504" i="10"/>
  <c r="D504" i="10"/>
  <c r="AQ504" i="10" s="1"/>
  <c r="C504" i="10"/>
  <c r="I503" i="10"/>
  <c r="H503" i="10"/>
  <c r="G503" i="10"/>
  <c r="F503" i="10"/>
  <c r="Z503" i="10" s="1"/>
  <c r="E503" i="10"/>
  <c r="D503" i="10"/>
  <c r="AQ503" i="10" s="1"/>
  <c r="C503" i="10"/>
  <c r="I502" i="10"/>
  <c r="H502" i="10"/>
  <c r="G502" i="10"/>
  <c r="F502" i="10"/>
  <c r="Z502" i="10" s="1"/>
  <c r="E502" i="10"/>
  <c r="D502" i="10"/>
  <c r="AQ502" i="10" s="1"/>
  <c r="C502" i="10"/>
  <c r="I501" i="10"/>
  <c r="H501" i="10"/>
  <c r="G501" i="10"/>
  <c r="F501" i="10"/>
  <c r="Z501" i="10" s="1"/>
  <c r="E501" i="10"/>
  <c r="D501" i="10"/>
  <c r="AQ501" i="10" s="1"/>
  <c r="C501" i="10"/>
  <c r="I500" i="10"/>
  <c r="H500" i="10"/>
  <c r="G500" i="10"/>
  <c r="F500" i="10"/>
  <c r="Z500" i="10" s="1"/>
  <c r="E500" i="10"/>
  <c r="D500" i="10"/>
  <c r="AQ500" i="10" s="1"/>
  <c r="C500" i="10"/>
  <c r="I499" i="10"/>
  <c r="H499" i="10"/>
  <c r="G499" i="10"/>
  <c r="F499" i="10"/>
  <c r="Z499" i="10" s="1"/>
  <c r="E499" i="10"/>
  <c r="D499" i="10"/>
  <c r="AQ499" i="10" s="1"/>
  <c r="C499" i="10"/>
  <c r="I498" i="10"/>
  <c r="H498" i="10"/>
  <c r="G498" i="10"/>
  <c r="F498" i="10"/>
  <c r="Z498" i="10" s="1"/>
  <c r="E498" i="10"/>
  <c r="D498" i="10"/>
  <c r="AQ498" i="10" s="1"/>
  <c r="C498" i="10"/>
  <c r="I497" i="10"/>
  <c r="H497" i="10"/>
  <c r="G497" i="10"/>
  <c r="F497" i="10"/>
  <c r="Z497" i="10" s="1"/>
  <c r="E497" i="10"/>
  <c r="D497" i="10"/>
  <c r="AQ497" i="10" s="1"/>
  <c r="C497" i="10"/>
  <c r="I496" i="10"/>
  <c r="H496" i="10"/>
  <c r="G496" i="10"/>
  <c r="F496" i="10"/>
  <c r="Z496" i="10" s="1"/>
  <c r="E496" i="10"/>
  <c r="D496" i="10"/>
  <c r="AQ496" i="10" s="1"/>
  <c r="C496" i="10"/>
  <c r="I495" i="10"/>
  <c r="H495" i="10"/>
  <c r="G495" i="10"/>
  <c r="F495" i="10"/>
  <c r="Z495" i="10" s="1"/>
  <c r="E495" i="10"/>
  <c r="D495" i="10"/>
  <c r="AQ495" i="10" s="1"/>
  <c r="C495" i="10"/>
  <c r="I494" i="10"/>
  <c r="H494" i="10"/>
  <c r="G494" i="10"/>
  <c r="F494" i="10"/>
  <c r="Z494" i="10" s="1"/>
  <c r="E494" i="10"/>
  <c r="D494" i="10"/>
  <c r="AQ494" i="10" s="1"/>
  <c r="C494" i="10"/>
  <c r="I493" i="10"/>
  <c r="H493" i="10"/>
  <c r="G493" i="10"/>
  <c r="F493" i="10"/>
  <c r="Z493" i="10" s="1"/>
  <c r="E493" i="10"/>
  <c r="D493" i="10"/>
  <c r="AQ493" i="10" s="1"/>
  <c r="C493" i="10"/>
  <c r="I492" i="10"/>
  <c r="H492" i="10"/>
  <c r="G492" i="10"/>
  <c r="F492" i="10"/>
  <c r="Z492" i="10" s="1"/>
  <c r="E492" i="10"/>
  <c r="D492" i="10"/>
  <c r="AQ492" i="10" s="1"/>
  <c r="C492" i="10"/>
  <c r="I491" i="10"/>
  <c r="H491" i="10"/>
  <c r="G491" i="10"/>
  <c r="F491" i="10"/>
  <c r="Z491" i="10" s="1"/>
  <c r="E491" i="10"/>
  <c r="D491" i="10"/>
  <c r="AQ491" i="10" s="1"/>
  <c r="C491" i="10"/>
  <c r="I490" i="10"/>
  <c r="H490" i="10"/>
  <c r="G490" i="10"/>
  <c r="F490" i="10"/>
  <c r="Z490" i="10" s="1"/>
  <c r="E490" i="10"/>
  <c r="D490" i="10"/>
  <c r="AQ490" i="10" s="1"/>
  <c r="C490" i="10"/>
  <c r="I489" i="10"/>
  <c r="H489" i="10"/>
  <c r="G489" i="10"/>
  <c r="F489" i="10"/>
  <c r="Z489" i="10" s="1"/>
  <c r="E489" i="10"/>
  <c r="D489" i="10"/>
  <c r="AQ489" i="10" s="1"/>
  <c r="C489" i="10"/>
  <c r="I488" i="10"/>
  <c r="H488" i="10"/>
  <c r="G488" i="10"/>
  <c r="F488" i="10"/>
  <c r="Z488" i="10" s="1"/>
  <c r="E488" i="10"/>
  <c r="D488" i="10"/>
  <c r="AQ488" i="10" s="1"/>
  <c r="C488" i="10"/>
  <c r="I487" i="10"/>
  <c r="H487" i="10"/>
  <c r="G487" i="10"/>
  <c r="F487" i="10"/>
  <c r="Z487" i="10" s="1"/>
  <c r="E487" i="10"/>
  <c r="D487" i="10"/>
  <c r="AQ487" i="10" s="1"/>
  <c r="C487" i="10"/>
  <c r="I486" i="10"/>
  <c r="H486" i="10"/>
  <c r="G486" i="10"/>
  <c r="F486" i="10"/>
  <c r="Z486" i="10" s="1"/>
  <c r="E486" i="10"/>
  <c r="D486" i="10"/>
  <c r="AQ486" i="10" s="1"/>
  <c r="C486" i="10"/>
  <c r="I485" i="10"/>
  <c r="H485" i="10"/>
  <c r="G485" i="10"/>
  <c r="F485" i="10"/>
  <c r="Z485" i="10" s="1"/>
  <c r="E485" i="10"/>
  <c r="D485" i="10"/>
  <c r="AQ485" i="10" s="1"/>
  <c r="C485" i="10"/>
  <c r="I484" i="10"/>
  <c r="H484" i="10"/>
  <c r="G484" i="10"/>
  <c r="F484" i="10"/>
  <c r="Z484" i="10" s="1"/>
  <c r="E484" i="10"/>
  <c r="D484" i="10"/>
  <c r="AQ484" i="10" s="1"/>
  <c r="C484" i="10"/>
  <c r="I483" i="10"/>
  <c r="H483" i="10"/>
  <c r="G483" i="10"/>
  <c r="F483" i="10"/>
  <c r="Z483" i="10" s="1"/>
  <c r="E483" i="10"/>
  <c r="D483" i="10"/>
  <c r="AQ483" i="10" s="1"/>
  <c r="C483" i="10"/>
  <c r="I482" i="10"/>
  <c r="H482" i="10"/>
  <c r="G482" i="10"/>
  <c r="F482" i="10"/>
  <c r="Z482" i="10" s="1"/>
  <c r="E482" i="10"/>
  <c r="D482" i="10"/>
  <c r="AQ482" i="10" s="1"/>
  <c r="C482" i="10"/>
  <c r="I481" i="10"/>
  <c r="H481" i="10"/>
  <c r="G481" i="10"/>
  <c r="F481" i="10"/>
  <c r="Z481" i="10" s="1"/>
  <c r="E481" i="10"/>
  <c r="D481" i="10"/>
  <c r="AQ481" i="10" s="1"/>
  <c r="C481" i="10"/>
  <c r="I480" i="10"/>
  <c r="H480" i="10"/>
  <c r="G480" i="10"/>
  <c r="F480" i="10"/>
  <c r="Z480" i="10" s="1"/>
  <c r="E480" i="10"/>
  <c r="D480" i="10"/>
  <c r="AQ480" i="10" s="1"/>
  <c r="C480" i="10"/>
  <c r="I479" i="10"/>
  <c r="H479" i="10"/>
  <c r="G479" i="10"/>
  <c r="F479" i="10"/>
  <c r="Z479" i="10" s="1"/>
  <c r="E479" i="10"/>
  <c r="D479" i="10"/>
  <c r="AQ479" i="10" s="1"/>
  <c r="C479" i="10"/>
  <c r="I478" i="10"/>
  <c r="H478" i="10"/>
  <c r="G478" i="10"/>
  <c r="F478" i="10"/>
  <c r="Z478" i="10" s="1"/>
  <c r="E478" i="10"/>
  <c r="D478" i="10"/>
  <c r="AQ478" i="10" s="1"/>
  <c r="C478" i="10"/>
  <c r="I477" i="10"/>
  <c r="H477" i="10"/>
  <c r="G477" i="10"/>
  <c r="F477" i="10"/>
  <c r="Z477" i="10" s="1"/>
  <c r="E477" i="10"/>
  <c r="D477" i="10"/>
  <c r="AQ477" i="10" s="1"/>
  <c r="C477" i="10"/>
  <c r="I476" i="10"/>
  <c r="H476" i="10"/>
  <c r="G476" i="10"/>
  <c r="F476" i="10"/>
  <c r="Z476" i="10" s="1"/>
  <c r="E476" i="10"/>
  <c r="D476" i="10"/>
  <c r="AQ476" i="10" s="1"/>
  <c r="C476" i="10"/>
  <c r="I475" i="10"/>
  <c r="H475" i="10"/>
  <c r="G475" i="10"/>
  <c r="F475" i="10"/>
  <c r="Z475" i="10" s="1"/>
  <c r="E475" i="10"/>
  <c r="D475" i="10"/>
  <c r="AQ475" i="10" s="1"/>
  <c r="C475" i="10"/>
  <c r="I474" i="10"/>
  <c r="H474" i="10"/>
  <c r="G474" i="10"/>
  <c r="F474" i="10"/>
  <c r="Z474" i="10" s="1"/>
  <c r="E474" i="10"/>
  <c r="D474" i="10"/>
  <c r="AQ474" i="10" s="1"/>
  <c r="C474" i="10"/>
  <c r="I473" i="10"/>
  <c r="H473" i="10"/>
  <c r="G473" i="10"/>
  <c r="F473" i="10"/>
  <c r="Z473" i="10" s="1"/>
  <c r="E473" i="10"/>
  <c r="D473" i="10"/>
  <c r="AQ473" i="10" s="1"/>
  <c r="C473" i="10"/>
  <c r="I472" i="10"/>
  <c r="H472" i="10"/>
  <c r="G472" i="10"/>
  <c r="F472" i="10"/>
  <c r="Z472" i="10" s="1"/>
  <c r="E472" i="10"/>
  <c r="D472" i="10"/>
  <c r="AQ472" i="10" s="1"/>
  <c r="C472" i="10"/>
  <c r="I471" i="10"/>
  <c r="H471" i="10"/>
  <c r="G471" i="10"/>
  <c r="F471" i="10"/>
  <c r="Z471" i="10" s="1"/>
  <c r="E471" i="10"/>
  <c r="D471" i="10"/>
  <c r="AQ471" i="10" s="1"/>
  <c r="C471" i="10"/>
  <c r="I470" i="10"/>
  <c r="H470" i="10"/>
  <c r="G470" i="10"/>
  <c r="F470" i="10"/>
  <c r="Z470" i="10" s="1"/>
  <c r="E470" i="10"/>
  <c r="D470" i="10"/>
  <c r="AQ470" i="10" s="1"/>
  <c r="C470" i="10"/>
  <c r="I469" i="10"/>
  <c r="H469" i="10"/>
  <c r="G469" i="10"/>
  <c r="F469" i="10"/>
  <c r="Z469" i="10" s="1"/>
  <c r="E469" i="10"/>
  <c r="D469" i="10"/>
  <c r="AQ469" i="10" s="1"/>
  <c r="C469" i="10"/>
  <c r="I468" i="10"/>
  <c r="H468" i="10"/>
  <c r="G468" i="10"/>
  <c r="F468" i="10"/>
  <c r="Z468" i="10" s="1"/>
  <c r="E468" i="10"/>
  <c r="D468" i="10"/>
  <c r="AQ468" i="10" s="1"/>
  <c r="C468" i="10"/>
  <c r="I467" i="10"/>
  <c r="H467" i="10"/>
  <c r="G467" i="10"/>
  <c r="F467" i="10"/>
  <c r="Z467" i="10" s="1"/>
  <c r="E467" i="10"/>
  <c r="D467" i="10"/>
  <c r="AQ467" i="10" s="1"/>
  <c r="C467" i="10"/>
  <c r="I466" i="10"/>
  <c r="H466" i="10"/>
  <c r="G466" i="10"/>
  <c r="F466" i="10"/>
  <c r="Z466" i="10" s="1"/>
  <c r="E466" i="10"/>
  <c r="D466" i="10"/>
  <c r="AQ466" i="10" s="1"/>
  <c r="C466" i="10"/>
  <c r="I465" i="10"/>
  <c r="H465" i="10"/>
  <c r="G465" i="10"/>
  <c r="F465" i="10"/>
  <c r="Z465" i="10" s="1"/>
  <c r="E465" i="10"/>
  <c r="D465" i="10"/>
  <c r="AQ465" i="10" s="1"/>
  <c r="C465" i="10"/>
  <c r="I464" i="10"/>
  <c r="H464" i="10"/>
  <c r="G464" i="10"/>
  <c r="F464" i="10"/>
  <c r="Z464" i="10" s="1"/>
  <c r="E464" i="10"/>
  <c r="D464" i="10"/>
  <c r="AQ464" i="10" s="1"/>
  <c r="C464" i="10"/>
  <c r="I463" i="10"/>
  <c r="H463" i="10"/>
  <c r="G463" i="10"/>
  <c r="F463" i="10"/>
  <c r="Z463" i="10" s="1"/>
  <c r="E463" i="10"/>
  <c r="D463" i="10"/>
  <c r="AQ463" i="10" s="1"/>
  <c r="C463" i="10"/>
  <c r="I462" i="10"/>
  <c r="H462" i="10"/>
  <c r="G462" i="10"/>
  <c r="F462" i="10"/>
  <c r="Z462" i="10" s="1"/>
  <c r="E462" i="10"/>
  <c r="D462" i="10"/>
  <c r="AQ462" i="10" s="1"/>
  <c r="C462" i="10"/>
  <c r="I461" i="10"/>
  <c r="H461" i="10"/>
  <c r="G461" i="10"/>
  <c r="F461" i="10"/>
  <c r="Z461" i="10" s="1"/>
  <c r="E461" i="10"/>
  <c r="D461" i="10"/>
  <c r="AQ461" i="10" s="1"/>
  <c r="C461" i="10"/>
  <c r="I460" i="10"/>
  <c r="H460" i="10"/>
  <c r="G460" i="10"/>
  <c r="F460" i="10"/>
  <c r="Z460" i="10" s="1"/>
  <c r="E460" i="10"/>
  <c r="D460" i="10"/>
  <c r="AQ460" i="10" s="1"/>
  <c r="C460" i="10"/>
  <c r="I459" i="10"/>
  <c r="H459" i="10"/>
  <c r="G459" i="10"/>
  <c r="F459" i="10"/>
  <c r="Z459" i="10" s="1"/>
  <c r="E459" i="10"/>
  <c r="D459" i="10"/>
  <c r="AQ459" i="10" s="1"/>
  <c r="C459" i="10"/>
  <c r="I458" i="10"/>
  <c r="H458" i="10"/>
  <c r="G458" i="10"/>
  <c r="F458" i="10"/>
  <c r="Z458" i="10" s="1"/>
  <c r="E458" i="10"/>
  <c r="D458" i="10"/>
  <c r="AQ458" i="10" s="1"/>
  <c r="C458" i="10"/>
  <c r="I457" i="10"/>
  <c r="H457" i="10"/>
  <c r="G457" i="10"/>
  <c r="F457" i="10"/>
  <c r="Z457" i="10" s="1"/>
  <c r="E457" i="10"/>
  <c r="D457" i="10"/>
  <c r="AQ457" i="10" s="1"/>
  <c r="C457" i="10"/>
  <c r="I456" i="10"/>
  <c r="H456" i="10"/>
  <c r="G456" i="10"/>
  <c r="F456" i="10"/>
  <c r="Z456" i="10" s="1"/>
  <c r="E456" i="10"/>
  <c r="D456" i="10"/>
  <c r="AQ456" i="10" s="1"/>
  <c r="C456" i="10"/>
  <c r="I455" i="10"/>
  <c r="H455" i="10"/>
  <c r="G455" i="10"/>
  <c r="F455" i="10"/>
  <c r="Z455" i="10" s="1"/>
  <c r="E455" i="10"/>
  <c r="D455" i="10"/>
  <c r="AQ455" i="10" s="1"/>
  <c r="C455" i="10"/>
  <c r="C454" i="10"/>
  <c r="I454" i="10"/>
  <c r="H454" i="10"/>
  <c r="G454" i="10"/>
  <c r="F454" i="10"/>
  <c r="Z454" i="10" s="1"/>
  <c r="E454" i="10"/>
  <c r="J454" i="10" s="1"/>
  <c r="D454" i="10"/>
  <c r="AQ454" i="10" s="1"/>
  <c r="C452" i="10"/>
  <c r="D452" i="10"/>
  <c r="AQ452" i="10" s="1"/>
  <c r="E452" i="10"/>
  <c r="F452" i="10"/>
  <c r="Z452" i="10" s="1"/>
  <c r="G452" i="10"/>
  <c r="H452" i="10"/>
  <c r="I452" i="10"/>
  <c r="I451" i="10"/>
  <c r="H451" i="10"/>
  <c r="G451" i="10"/>
  <c r="F451" i="10"/>
  <c r="Z451" i="10" s="1"/>
  <c r="E451" i="10"/>
  <c r="D451" i="10"/>
  <c r="AQ451" i="10" s="1"/>
  <c r="C451" i="10"/>
  <c r="I450" i="10"/>
  <c r="H450" i="10"/>
  <c r="G450" i="10"/>
  <c r="F450" i="10"/>
  <c r="Z450" i="10" s="1"/>
  <c r="E450" i="10"/>
  <c r="D450" i="10"/>
  <c r="AQ450" i="10" s="1"/>
  <c r="C450" i="10"/>
  <c r="I449" i="10"/>
  <c r="H449" i="10"/>
  <c r="G449" i="10"/>
  <c r="F449" i="10"/>
  <c r="Z449" i="10" s="1"/>
  <c r="E449" i="10"/>
  <c r="D449" i="10"/>
  <c r="C449" i="10"/>
  <c r="AQ449" i="10"/>
  <c r="I448" i="10"/>
  <c r="H448" i="10"/>
  <c r="G448" i="10"/>
  <c r="F448" i="10"/>
  <c r="Z448" i="10" s="1"/>
  <c r="E448" i="10"/>
  <c r="D448" i="10"/>
  <c r="C448" i="10"/>
  <c r="AQ448" i="10"/>
  <c r="I447" i="10"/>
  <c r="E447" i="10"/>
  <c r="D447" i="10"/>
  <c r="AQ447" i="10" s="1"/>
  <c r="C447" i="10"/>
  <c r="H447" i="10"/>
  <c r="G447" i="10"/>
  <c r="F447" i="10"/>
  <c r="Z447" i="10" s="1"/>
  <c r="C446" i="10"/>
  <c r="D446" i="10"/>
  <c r="E446" i="10"/>
  <c r="F446" i="10"/>
  <c r="G446" i="10"/>
  <c r="H446" i="10"/>
  <c r="I446" i="10"/>
  <c r="J446" i="10"/>
  <c r="Z446" i="10"/>
  <c r="AQ446" i="10"/>
  <c r="C445" i="10"/>
  <c r="D445" i="10"/>
  <c r="AQ445" i="10" s="1"/>
  <c r="E445" i="10"/>
  <c r="F445" i="10"/>
  <c r="G445" i="10"/>
  <c r="J445" i="10"/>
  <c r="Z445" i="10"/>
  <c r="I445" i="10"/>
  <c r="H445" i="10"/>
  <c r="G444" i="10"/>
  <c r="F444" i="10"/>
  <c r="Z444" i="10" s="1"/>
  <c r="E444" i="10"/>
  <c r="D444" i="10"/>
  <c r="AQ444" i="10" s="1"/>
  <c r="C444" i="10"/>
  <c r="J444" i="10"/>
  <c r="I444" i="10"/>
  <c r="H444" i="10"/>
  <c r="I443" i="10"/>
  <c r="H443" i="10"/>
  <c r="G443" i="10"/>
  <c r="F443" i="10"/>
  <c r="Z443" i="10" s="1"/>
  <c r="E443" i="10"/>
  <c r="D443" i="10"/>
  <c r="AQ443" i="10" s="1"/>
  <c r="C443" i="10"/>
  <c r="I442" i="10"/>
  <c r="H442" i="10"/>
  <c r="G442" i="10"/>
  <c r="F442" i="10"/>
  <c r="Z442" i="10" s="1"/>
  <c r="E442" i="10"/>
  <c r="D442" i="10"/>
  <c r="AQ442" i="10" s="1"/>
  <c r="C442" i="10"/>
  <c r="D441" i="10"/>
  <c r="E441" i="10"/>
  <c r="F441" i="10"/>
  <c r="G441" i="10"/>
  <c r="AQ441" i="10"/>
  <c r="H441" i="10"/>
  <c r="I441" i="10"/>
  <c r="Z441" i="10"/>
  <c r="C441" i="10"/>
  <c r="C440" i="10"/>
  <c r="D440" i="10"/>
  <c r="AQ440" i="10" s="1"/>
  <c r="E440" i="10"/>
  <c r="F440" i="10"/>
  <c r="G440" i="10"/>
  <c r="H440" i="10"/>
  <c r="I440" i="10"/>
  <c r="Z440" i="10"/>
  <c r="I439" i="10"/>
  <c r="H439" i="10"/>
  <c r="G439" i="10"/>
  <c r="F439" i="10"/>
  <c r="Z439" i="10" s="1"/>
  <c r="E439" i="10"/>
  <c r="D439" i="10"/>
  <c r="AQ439" i="10" s="1"/>
  <c r="C439" i="10"/>
  <c r="C438" i="10"/>
  <c r="D438" i="10"/>
  <c r="E438" i="10"/>
  <c r="F438" i="10"/>
  <c r="G438" i="10"/>
  <c r="H438" i="10"/>
  <c r="I438" i="10"/>
  <c r="Z438" i="10"/>
  <c r="AQ438" i="10"/>
  <c r="H437" i="10"/>
  <c r="I437" i="10"/>
  <c r="G437" i="10"/>
  <c r="F437" i="10"/>
  <c r="Z437" i="10" s="1"/>
  <c r="E437" i="10"/>
  <c r="D437" i="10"/>
  <c r="AQ437" i="10" s="1"/>
  <c r="C437" i="10"/>
  <c r="H436" i="10"/>
  <c r="C436" i="10"/>
  <c r="D436" i="10"/>
  <c r="E436" i="10"/>
  <c r="F436" i="10"/>
  <c r="G436" i="10"/>
  <c r="I436" i="10"/>
  <c r="J436" i="10"/>
  <c r="Z436" i="10"/>
  <c r="AQ436" i="10"/>
  <c r="G435" i="10"/>
  <c r="C435" i="10"/>
  <c r="D435" i="10"/>
  <c r="AQ435" i="10" s="1"/>
  <c r="E435" i="10"/>
  <c r="F435" i="10"/>
  <c r="Z435" i="10" s="1"/>
  <c r="H435" i="10"/>
  <c r="I435" i="10"/>
  <c r="J435" i="10"/>
  <c r="I434" i="10"/>
  <c r="H434" i="10"/>
  <c r="G434" i="10"/>
  <c r="F434" i="10"/>
  <c r="Z434" i="10" s="1"/>
  <c r="E434" i="10"/>
  <c r="D434" i="10"/>
  <c r="AQ434" i="10" s="1"/>
  <c r="C434" i="10"/>
  <c r="J434" i="10"/>
  <c r="H433" i="10"/>
  <c r="I433" i="10"/>
  <c r="G433" i="10"/>
  <c r="C433" i="10"/>
  <c r="D433" i="10"/>
  <c r="AQ433" i="10" s="1"/>
  <c r="E433" i="10"/>
  <c r="F433" i="10"/>
  <c r="Z433" i="10" s="1"/>
  <c r="D432" i="10"/>
  <c r="I432" i="10"/>
  <c r="H432" i="10"/>
  <c r="G432" i="10"/>
  <c r="F432" i="10"/>
  <c r="E432" i="10"/>
  <c r="C432" i="10"/>
  <c r="AQ432" i="10"/>
  <c r="Z432" i="10"/>
  <c r="G431" i="10"/>
  <c r="H431" i="10"/>
  <c r="C431" i="10"/>
  <c r="D431" i="10"/>
  <c r="E431" i="10"/>
  <c r="J431" i="10" s="1"/>
  <c r="I431" i="10"/>
  <c r="F431" i="10"/>
  <c r="AQ431" i="10"/>
  <c r="Z431" i="10"/>
  <c r="G430" i="10"/>
  <c r="F430" i="10"/>
  <c r="D430" i="10"/>
  <c r="AQ430" i="10" s="1"/>
  <c r="Z430" i="10"/>
  <c r="E430" i="10"/>
  <c r="C430" i="10"/>
  <c r="I430" i="10"/>
  <c r="H430" i="10"/>
  <c r="C429" i="10"/>
  <c r="D429" i="10"/>
  <c r="AQ429" i="10" s="1"/>
  <c r="E429" i="10"/>
  <c r="G429" i="10"/>
  <c r="H429" i="10"/>
  <c r="I429" i="10"/>
  <c r="J429" i="10"/>
  <c r="F429" i="10"/>
  <c r="Z429" i="10" s="1"/>
  <c r="H428" i="10"/>
  <c r="G428" i="10"/>
  <c r="F428" i="10"/>
  <c r="Z428" i="10" s="1"/>
  <c r="E428" i="10"/>
  <c r="D428" i="10"/>
  <c r="C428" i="10"/>
  <c r="I428" i="10"/>
  <c r="AQ428" i="10"/>
  <c r="I427" i="10"/>
  <c r="G427" i="10"/>
  <c r="F427" i="10"/>
  <c r="Z427" i="10" s="1"/>
  <c r="C427" i="10"/>
  <c r="E427" i="10"/>
  <c r="J427" i="10" s="1"/>
  <c r="D427" i="10"/>
  <c r="AQ427" i="10" s="1"/>
  <c r="H427" i="10"/>
  <c r="F426" i="10"/>
  <c r="G426" i="10"/>
  <c r="H426" i="10"/>
  <c r="Z426" i="10"/>
  <c r="I426" i="10"/>
  <c r="E426" i="10"/>
  <c r="C426" i="10"/>
  <c r="D426" i="10"/>
  <c r="AQ426" i="10" s="1"/>
  <c r="E425" i="10"/>
  <c r="C425" i="10"/>
  <c r="I425" i="10"/>
  <c r="H425" i="10"/>
  <c r="G425" i="10"/>
  <c r="J425" i="10" s="1"/>
  <c r="F425" i="10"/>
  <c r="Z425" i="10"/>
  <c r="D425" i="10"/>
  <c r="AQ425" i="10" s="1"/>
  <c r="I424" i="10"/>
  <c r="H424" i="10"/>
  <c r="G424" i="10"/>
  <c r="E424" i="10"/>
  <c r="D424" i="10"/>
  <c r="C424" i="10"/>
  <c r="F424" i="10"/>
  <c r="Z424" i="10" s="1"/>
  <c r="AQ424" i="10"/>
  <c r="I423" i="10"/>
  <c r="H423" i="10"/>
  <c r="G423" i="10"/>
  <c r="F423" i="10"/>
  <c r="Z423" i="10" s="1"/>
  <c r="E423" i="10"/>
  <c r="D423" i="10"/>
  <c r="AQ423" i="10" s="1"/>
  <c r="C423" i="10"/>
  <c r="I422" i="10"/>
  <c r="H422" i="10"/>
  <c r="G422" i="10"/>
  <c r="F422" i="10"/>
  <c r="Z422" i="10" s="1"/>
  <c r="E422" i="10"/>
  <c r="D422" i="10"/>
  <c r="AQ422" i="10" s="1"/>
  <c r="C422" i="10"/>
  <c r="I421" i="10"/>
  <c r="H421" i="10"/>
  <c r="G421" i="10"/>
  <c r="F421" i="10"/>
  <c r="Z421" i="10" s="1"/>
  <c r="E421" i="10"/>
  <c r="D421" i="10"/>
  <c r="AQ421" i="10" s="1"/>
  <c r="C421" i="10"/>
  <c r="I420" i="10"/>
  <c r="H420" i="10"/>
  <c r="G420" i="10"/>
  <c r="F420" i="10"/>
  <c r="Z420" i="10" s="1"/>
  <c r="E420" i="10"/>
  <c r="D420" i="10"/>
  <c r="AQ420" i="10" s="1"/>
  <c r="C420" i="10"/>
  <c r="G419" i="10"/>
  <c r="F419" i="10"/>
  <c r="E419" i="10"/>
  <c r="D419" i="10"/>
  <c r="AQ419" i="10" s="1"/>
  <c r="C419" i="10"/>
  <c r="Z419" i="10"/>
  <c r="J419" i="10"/>
  <c r="I419" i="10"/>
  <c r="H419" i="10"/>
  <c r="I418" i="10"/>
  <c r="C418" i="10"/>
  <c r="D418" i="10"/>
  <c r="AQ418" i="10" s="1"/>
  <c r="E418" i="10"/>
  <c r="F418" i="10"/>
  <c r="Z418" i="10" s="1"/>
  <c r="G418" i="10"/>
  <c r="H418" i="10"/>
  <c r="I417" i="10"/>
  <c r="H417" i="10"/>
  <c r="G417" i="10"/>
  <c r="F417" i="10"/>
  <c r="Z417" i="10"/>
  <c r="C417" i="10"/>
  <c r="D417" i="10"/>
  <c r="AQ417" i="10" s="1"/>
  <c r="E417" i="10"/>
  <c r="J417" i="10" s="1"/>
  <c r="D416" i="10"/>
  <c r="I416" i="10"/>
  <c r="H416" i="10"/>
  <c r="C416" i="10"/>
  <c r="F416" i="10"/>
  <c r="Z416" i="10" s="1"/>
  <c r="G416" i="10"/>
  <c r="E416" i="10"/>
  <c r="J416" i="10" s="1"/>
  <c r="AQ416" i="10"/>
  <c r="E415" i="10"/>
  <c r="F415" i="10"/>
  <c r="Z415" i="10" s="1"/>
  <c r="D415" i="10"/>
  <c r="AQ415" i="10" s="1"/>
  <c r="C415" i="10"/>
  <c r="I415" i="10"/>
  <c r="G415" i="10"/>
  <c r="J415" i="10" s="1"/>
  <c r="H415" i="10"/>
  <c r="F414" i="10"/>
  <c r="C414" i="10"/>
  <c r="D414" i="10"/>
  <c r="AQ414" i="10" s="1"/>
  <c r="H414" i="10"/>
  <c r="G414" i="10"/>
  <c r="I414" i="10"/>
  <c r="Z414" i="10"/>
  <c r="E414" i="10"/>
  <c r="J414" i="10" s="1"/>
  <c r="I413" i="10"/>
  <c r="H413" i="10"/>
  <c r="G413" i="10"/>
  <c r="F413" i="10"/>
  <c r="E413" i="10"/>
  <c r="D413" i="10"/>
  <c r="AQ413" i="10" s="1"/>
  <c r="C413" i="10"/>
  <c r="Z413" i="10"/>
  <c r="D412" i="10"/>
  <c r="AQ412" i="10" s="1"/>
  <c r="C412" i="10"/>
  <c r="G412" i="10"/>
  <c r="E412" i="10"/>
  <c r="F412" i="10"/>
  <c r="H412" i="10"/>
  <c r="I412" i="10"/>
  <c r="J412" i="10"/>
  <c r="Z412" i="10"/>
  <c r="D411" i="10"/>
  <c r="AQ411" i="10" s="1"/>
  <c r="E411" i="10"/>
  <c r="I411" i="10"/>
  <c r="H411" i="10"/>
  <c r="F411" i="10"/>
  <c r="Z411" i="10" s="1"/>
  <c r="G411" i="10"/>
  <c r="C411" i="10"/>
  <c r="F410" i="10"/>
  <c r="Z410" i="10"/>
  <c r="I410" i="10"/>
  <c r="H410" i="10"/>
  <c r="G410" i="10"/>
  <c r="E410" i="10"/>
  <c r="D410" i="10"/>
  <c r="AQ410" i="10" s="1"/>
  <c r="C410" i="10"/>
  <c r="D409" i="10"/>
  <c r="G409" i="10"/>
  <c r="H409" i="10"/>
  <c r="I409" i="10"/>
  <c r="E409" i="10"/>
  <c r="F409" i="10"/>
  <c r="C409" i="10"/>
  <c r="AQ409" i="10"/>
  <c r="Z409" i="10"/>
  <c r="H408" i="10"/>
  <c r="G408" i="10"/>
  <c r="F408" i="10"/>
  <c r="D408" i="10"/>
  <c r="AQ408" i="10" s="1"/>
  <c r="C408" i="10"/>
  <c r="Z408" i="10"/>
  <c r="I408" i="10"/>
  <c r="E408" i="10"/>
  <c r="J408" i="10" s="1"/>
  <c r="D407" i="10"/>
  <c r="AQ407" i="10" s="1"/>
  <c r="C407" i="10"/>
  <c r="E407" i="10"/>
  <c r="F407" i="10"/>
  <c r="Z407" i="10" s="1"/>
  <c r="G407" i="10"/>
  <c r="H407" i="10"/>
  <c r="I407" i="10"/>
  <c r="E406" i="10"/>
  <c r="D406" i="10"/>
  <c r="AQ406" i="10" s="1"/>
  <c r="C406" i="10"/>
  <c r="G406" i="10"/>
  <c r="H406" i="10"/>
  <c r="I406" i="10"/>
  <c r="F406" i="10"/>
  <c r="Z406" i="10" s="1"/>
  <c r="E405" i="10"/>
  <c r="F405" i="10"/>
  <c r="G405" i="10"/>
  <c r="H405" i="10"/>
  <c r="I405" i="10"/>
  <c r="Z405" i="10"/>
  <c r="D405" i="10"/>
  <c r="AQ405" i="10" s="1"/>
  <c r="C405" i="10"/>
  <c r="F404" i="10"/>
  <c r="G404" i="10"/>
  <c r="H404" i="10"/>
  <c r="I404" i="10"/>
  <c r="Z404" i="10"/>
  <c r="C404" i="10"/>
  <c r="D404" i="10"/>
  <c r="AQ404" i="10" s="1"/>
  <c r="E404" i="10"/>
  <c r="J404" i="10" s="1"/>
  <c r="D403" i="10"/>
  <c r="AQ403" i="10" s="1"/>
  <c r="F403" i="10"/>
  <c r="E403" i="10"/>
  <c r="G403" i="10"/>
  <c r="H403" i="10"/>
  <c r="I403" i="10"/>
  <c r="Z403" i="10"/>
  <c r="C403" i="10"/>
  <c r="J403" i="10" s="1"/>
  <c r="G402" i="10"/>
  <c r="I402" i="10"/>
  <c r="H402" i="10"/>
  <c r="F402" i="10"/>
  <c r="Z402" i="10" s="1"/>
  <c r="E402" i="10"/>
  <c r="D402" i="10"/>
  <c r="AQ402" i="10" s="1"/>
  <c r="C402" i="10"/>
  <c r="G401" i="10"/>
  <c r="I401" i="10"/>
  <c r="H401" i="10"/>
  <c r="F401" i="10"/>
  <c r="Z401" i="10" s="1"/>
  <c r="E401" i="10"/>
  <c r="D401" i="10"/>
  <c r="AQ401" i="10" s="1"/>
  <c r="C401" i="10"/>
  <c r="H400" i="10"/>
  <c r="G400" i="10"/>
  <c r="D400" i="10"/>
  <c r="AQ400" i="10" s="1"/>
  <c r="E400" i="10"/>
  <c r="C400" i="10"/>
  <c r="F400" i="10"/>
  <c r="Z400" i="10" s="1"/>
  <c r="I400" i="10"/>
  <c r="J400" i="10"/>
  <c r="C399" i="10"/>
  <c r="D399" i="10"/>
  <c r="AQ399" i="10" s="1"/>
  <c r="E399" i="10"/>
  <c r="F399" i="10"/>
  <c r="Z399" i="10"/>
  <c r="H399" i="10"/>
  <c r="I399" i="10"/>
  <c r="G399" i="10"/>
  <c r="I398" i="10"/>
  <c r="H398" i="10"/>
  <c r="G398" i="10"/>
  <c r="F398" i="10"/>
  <c r="Z398" i="10" s="1"/>
  <c r="E398" i="10"/>
  <c r="D398" i="10"/>
  <c r="AQ398" i="10" s="1"/>
  <c r="C398" i="10"/>
  <c r="I397" i="10"/>
  <c r="G397" i="10"/>
  <c r="C397" i="10"/>
  <c r="F397" i="10"/>
  <c r="Z397" i="10" s="1"/>
  <c r="E397" i="10"/>
  <c r="J397" i="10" s="1"/>
  <c r="D397" i="10"/>
  <c r="AQ397" i="10" s="1"/>
  <c r="H397" i="10"/>
  <c r="E396" i="10"/>
  <c r="G396" i="10"/>
  <c r="F396" i="10"/>
  <c r="D396" i="10"/>
  <c r="C396" i="10"/>
  <c r="Z396" i="10"/>
  <c r="AQ396" i="10"/>
  <c r="H396" i="10"/>
  <c r="I396" i="10"/>
  <c r="G395" i="10"/>
  <c r="F395" i="10"/>
  <c r="E395" i="10"/>
  <c r="D395" i="10"/>
  <c r="C395" i="10"/>
  <c r="J395" i="10"/>
  <c r="I395" i="10"/>
  <c r="Z395" i="10"/>
  <c r="AQ395" i="10"/>
  <c r="H395" i="10"/>
  <c r="G394" i="10"/>
  <c r="F394" i="10"/>
  <c r="E394" i="10"/>
  <c r="D394" i="10"/>
  <c r="C394" i="10"/>
  <c r="I394" i="10"/>
  <c r="Z394" i="10"/>
  <c r="H394" i="10"/>
  <c r="J394" i="10"/>
  <c r="AQ394" i="10"/>
  <c r="I393" i="10"/>
  <c r="H393" i="10"/>
  <c r="G393" i="10"/>
  <c r="F393" i="10"/>
  <c r="Z393" i="10" s="1"/>
  <c r="E393" i="10"/>
  <c r="D393" i="10"/>
  <c r="AQ393" i="10" s="1"/>
  <c r="C393" i="10"/>
  <c r="C392" i="10"/>
  <c r="D392" i="10"/>
  <c r="E392" i="10"/>
  <c r="F392" i="10"/>
  <c r="G392" i="10"/>
  <c r="H392" i="10"/>
  <c r="I392" i="10"/>
  <c r="J392" i="10"/>
  <c r="Z392" i="10"/>
  <c r="AQ392" i="10"/>
  <c r="E391" i="10"/>
  <c r="F391" i="10"/>
  <c r="G391" i="10"/>
  <c r="H391" i="10"/>
  <c r="I391" i="10"/>
  <c r="Z391" i="10"/>
  <c r="C391" i="10"/>
  <c r="J391" i="10" s="1"/>
  <c r="D391" i="10"/>
  <c r="AQ391" i="10" s="1"/>
  <c r="I390" i="10"/>
  <c r="G390" i="10"/>
  <c r="F390" i="10"/>
  <c r="E390" i="10"/>
  <c r="D390" i="10"/>
  <c r="AQ390" i="10" s="1"/>
  <c r="C390" i="10"/>
  <c r="H390" i="10"/>
  <c r="Z390" i="10"/>
  <c r="J390" i="10"/>
  <c r="I389" i="10"/>
  <c r="H389" i="10"/>
  <c r="G389" i="10"/>
  <c r="F389" i="10"/>
  <c r="Z389" i="10" s="1"/>
  <c r="E389" i="10"/>
  <c r="D389" i="10"/>
  <c r="AQ389" i="10" s="1"/>
  <c r="C389" i="10"/>
  <c r="C388" i="10"/>
  <c r="D388" i="10"/>
  <c r="AQ388" i="10" s="1"/>
  <c r="E388" i="10"/>
  <c r="F388" i="10"/>
  <c r="G388" i="10"/>
  <c r="H388" i="10"/>
  <c r="I388" i="10"/>
  <c r="J388" i="10"/>
  <c r="Z388" i="10"/>
  <c r="D387" i="10"/>
  <c r="AQ387" i="10" s="1"/>
  <c r="E387" i="10"/>
  <c r="F387" i="10"/>
  <c r="G387" i="10"/>
  <c r="C387" i="10"/>
  <c r="H387" i="10"/>
  <c r="I387" i="10"/>
  <c r="J387" i="10"/>
  <c r="Z387" i="10"/>
  <c r="I386" i="10"/>
  <c r="H386" i="10"/>
  <c r="G386" i="10"/>
  <c r="F386" i="10"/>
  <c r="Z386" i="10" s="1"/>
  <c r="E386" i="10"/>
  <c r="D386" i="10"/>
  <c r="AQ386" i="10" s="1"/>
  <c r="C386" i="10"/>
  <c r="I385" i="10"/>
  <c r="G385" i="10"/>
  <c r="F385" i="10"/>
  <c r="Z385" i="10" s="1"/>
  <c r="E385" i="10"/>
  <c r="D385" i="10"/>
  <c r="AQ385" i="10" s="1"/>
  <c r="C385" i="10"/>
  <c r="H385" i="10"/>
  <c r="H384" i="10"/>
  <c r="G384" i="10"/>
  <c r="F384" i="10"/>
  <c r="E384" i="10"/>
  <c r="D384" i="10"/>
  <c r="AQ384" i="10" s="1"/>
  <c r="C384" i="10"/>
  <c r="Z384" i="10"/>
  <c r="J384" i="10"/>
  <c r="I384" i="10"/>
  <c r="H383" i="10"/>
  <c r="G383" i="10"/>
  <c r="F383" i="10"/>
  <c r="E383" i="10"/>
  <c r="D383" i="10"/>
  <c r="C383" i="10"/>
  <c r="I383" i="10"/>
  <c r="J383" i="10"/>
  <c r="Z383" i="10"/>
  <c r="AQ383" i="10"/>
  <c r="C382" i="10"/>
  <c r="D382" i="10"/>
  <c r="AQ382" i="10" s="1"/>
  <c r="E382" i="10"/>
  <c r="F382" i="10"/>
  <c r="Z382" i="10" s="1"/>
  <c r="G382" i="10"/>
  <c r="H382" i="10"/>
  <c r="I382" i="10"/>
  <c r="G381" i="10"/>
  <c r="H381" i="10"/>
  <c r="I381" i="10"/>
  <c r="F381" i="10"/>
  <c r="Z381" i="10" s="1"/>
  <c r="E381" i="10"/>
  <c r="D381" i="10"/>
  <c r="AQ381" i="10" s="1"/>
  <c r="C381" i="10"/>
  <c r="E380" i="10"/>
  <c r="F380" i="10"/>
  <c r="G380" i="10"/>
  <c r="I380" i="10"/>
  <c r="Z380" i="10"/>
  <c r="H380" i="10"/>
  <c r="D380" i="10"/>
  <c r="AQ380" i="10" s="1"/>
  <c r="C380" i="10"/>
  <c r="J380" i="10" s="1"/>
  <c r="I379" i="10"/>
  <c r="H379" i="10"/>
  <c r="G379" i="10"/>
  <c r="F379" i="10"/>
  <c r="Z379" i="10" s="1"/>
  <c r="E379" i="10"/>
  <c r="D379" i="10"/>
  <c r="AQ379" i="10" s="1"/>
  <c r="C379" i="10"/>
  <c r="I378" i="10"/>
  <c r="H378" i="10"/>
  <c r="G378" i="10"/>
  <c r="F378" i="10"/>
  <c r="E378" i="10"/>
  <c r="D378" i="10"/>
  <c r="AQ378" i="10" s="1"/>
  <c r="C378" i="10"/>
  <c r="Z378" i="10"/>
  <c r="I377" i="10"/>
  <c r="H377" i="10"/>
  <c r="G377" i="10"/>
  <c r="F377" i="10"/>
  <c r="Z377" i="10" s="1"/>
  <c r="E377" i="10"/>
  <c r="D377" i="10"/>
  <c r="AQ377" i="10" s="1"/>
  <c r="C377" i="10"/>
  <c r="I376" i="10"/>
  <c r="H376" i="10"/>
  <c r="G376" i="10"/>
  <c r="F376" i="10"/>
  <c r="Z376" i="10" s="1"/>
  <c r="E376" i="10"/>
  <c r="D376" i="10"/>
  <c r="AQ376" i="10" s="1"/>
  <c r="C376" i="10"/>
  <c r="I375" i="10"/>
  <c r="H375" i="10"/>
  <c r="G375" i="10"/>
  <c r="F375" i="10"/>
  <c r="Z375" i="10" s="1"/>
  <c r="E375" i="10"/>
  <c r="D375" i="10"/>
  <c r="AQ375" i="10" s="1"/>
  <c r="C375" i="10"/>
  <c r="I374" i="10"/>
  <c r="G374" i="10"/>
  <c r="F374" i="10"/>
  <c r="Z374" i="10" s="1"/>
  <c r="E374" i="10"/>
  <c r="D374" i="10"/>
  <c r="AQ374" i="10" s="1"/>
  <c r="C374" i="10"/>
  <c r="H374" i="10"/>
  <c r="I373" i="10"/>
  <c r="H373" i="10"/>
  <c r="G373" i="10"/>
  <c r="F373" i="10"/>
  <c r="Z373" i="10" s="1"/>
  <c r="E373" i="10"/>
  <c r="D373" i="10"/>
  <c r="C373" i="10"/>
  <c r="AQ373" i="10"/>
  <c r="I372" i="10"/>
  <c r="H372" i="10"/>
  <c r="G372" i="10"/>
  <c r="F372" i="10"/>
  <c r="Z372" i="10" s="1"/>
  <c r="E372" i="10"/>
  <c r="D372" i="10"/>
  <c r="AQ372" i="10" s="1"/>
  <c r="C372" i="10"/>
  <c r="I371" i="10"/>
  <c r="H371" i="10"/>
  <c r="F371" i="10"/>
  <c r="Z371" i="10" s="1"/>
  <c r="E371" i="10"/>
  <c r="D371" i="10"/>
  <c r="AQ371" i="10" s="1"/>
  <c r="C371" i="10"/>
  <c r="G371" i="10"/>
  <c r="I370" i="10"/>
  <c r="H370" i="10"/>
  <c r="F370" i="10"/>
  <c r="Z370" i="10" s="1"/>
  <c r="E370" i="10"/>
  <c r="D370" i="10"/>
  <c r="AQ370" i="10" s="1"/>
  <c r="G370" i="10"/>
  <c r="C370" i="10"/>
  <c r="I369" i="10"/>
  <c r="H369" i="10"/>
  <c r="F369" i="10"/>
  <c r="Z369" i="10" s="1"/>
  <c r="E369" i="10"/>
  <c r="D369" i="10"/>
  <c r="AQ369" i="10" s="1"/>
  <c r="C369" i="10"/>
  <c r="G369" i="10"/>
  <c r="I368" i="10"/>
  <c r="H368" i="10"/>
  <c r="G368" i="10"/>
  <c r="F368" i="10"/>
  <c r="Z368" i="10" s="1"/>
  <c r="E368" i="10"/>
  <c r="D368" i="10"/>
  <c r="AQ368" i="10" s="1"/>
  <c r="C368" i="10"/>
  <c r="I367" i="10"/>
  <c r="H367" i="10"/>
  <c r="G367" i="10"/>
  <c r="F367" i="10"/>
  <c r="Z367" i="10" s="1"/>
  <c r="E367" i="10"/>
  <c r="D367" i="10"/>
  <c r="AQ367" i="10" s="1"/>
  <c r="C367" i="10"/>
  <c r="I366" i="10"/>
  <c r="H366" i="10"/>
  <c r="G366" i="10"/>
  <c r="F366" i="10"/>
  <c r="Z366" i="10" s="1"/>
  <c r="E366" i="10"/>
  <c r="D366" i="10"/>
  <c r="AQ366" i="10" s="1"/>
  <c r="C366" i="10"/>
  <c r="I365" i="10"/>
  <c r="H365" i="10"/>
  <c r="G365" i="10"/>
  <c r="F365" i="10"/>
  <c r="Z365" i="10" s="1"/>
  <c r="E365" i="10"/>
  <c r="D365" i="10"/>
  <c r="AQ365" i="10" s="1"/>
  <c r="C365" i="10"/>
  <c r="I364" i="10"/>
  <c r="G364" i="10"/>
  <c r="F364" i="10"/>
  <c r="Z364" i="10" s="1"/>
  <c r="E364" i="10"/>
  <c r="D364" i="10"/>
  <c r="AQ364" i="10" s="1"/>
  <c r="C364" i="10"/>
  <c r="H364" i="10"/>
  <c r="I363" i="10"/>
  <c r="H363" i="10"/>
  <c r="G363" i="10"/>
  <c r="F363" i="10"/>
  <c r="Z363" i="10" s="1"/>
  <c r="E363" i="10"/>
  <c r="D363" i="10"/>
  <c r="AQ363" i="10" s="1"/>
  <c r="C363" i="10"/>
  <c r="I362" i="10"/>
  <c r="H362" i="10"/>
  <c r="G362" i="10"/>
  <c r="F362" i="10"/>
  <c r="Z362" i="10" s="1"/>
  <c r="E362" i="10"/>
  <c r="D362" i="10"/>
  <c r="C362" i="10"/>
  <c r="AQ362" i="10"/>
  <c r="I361" i="10"/>
  <c r="H361" i="10"/>
  <c r="G361" i="10"/>
  <c r="F361" i="10"/>
  <c r="Z361" i="10" s="1"/>
  <c r="E361" i="10"/>
  <c r="D361" i="10"/>
  <c r="AQ361" i="10" s="1"/>
  <c r="C361" i="10"/>
  <c r="F360" i="10"/>
  <c r="Z360" i="10" s="1"/>
  <c r="G360" i="10"/>
  <c r="H360" i="10"/>
  <c r="I360" i="10"/>
  <c r="C360" i="10"/>
  <c r="D360" i="10"/>
  <c r="AQ360" i="10" s="1"/>
  <c r="E360" i="10"/>
  <c r="J360" i="10" s="1"/>
  <c r="I359" i="10"/>
  <c r="D359" i="10"/>
  <c r="AQ359" i="10" s="1"/>
  <c r="E359" i="10"/>
  <c r="F359" i="10"/>
  <c r="Z359" i="10" s="1"/>
  <c r="C359" i="10"/>
  <c r="H359" i="10"/>
  <c r="G359" i="10"/>
  <c r="H358" i="10"/>
  <c r="I358" i="10"/>
  <c r="C358" i="10"/>
  <c r="D358" i="10"/>
  <c r="AQ358" i="10" s="1"/>
  <c r="E358" i="10"/>
  <c r="F358" i="10"/>
  <c r="Z358" i="10" s="1"/>
  <c r="G358" i="10"/>
  <c r="C357" i="10"/>
  <c r="E357" i="10"/>
  <c r="F357" i="10"/>
  <c r="G357" i="10"/>
  <c r="H357" i="10"/>
  <c r="I357" i="10"/>
  <c r="J357" i="10"/>
  <c r="D357" i="10"/>
  <c r="AQ357" i="10" s="1"/>
  <c r="Z357" i="10"/>
  <c r="D356" i="10"/>
  <c r="E356" i="10"/>
  <c r="G356" i="10"/>
  <c r="H356" i="10"/>
  <c r="I356" i="10"/>
  <c r="F356" i="10"/>
  <c r="Z356" i="10"/>
  <c r="AQ356" i="10"/>
  <c r="C356" i="10"/>
  <c r="J356" i="10" s="1"/>
  <c r="C355" i="10"/>
  <c r="E355" i="10"/>
  <c r="F355" i="10"/>
  <c r="H355" i="10"/>
  <c r="I355" i="10"/>
  <c r="D355" i="10"/>
  <c r="G355" i="10"/>
  <c r="J355" i="10" s="1"/>
  <c r="Z355" i="10"/>
  <c r="AQ355" i="10"/>
  <c r="C354" i="10"/>
  <c r="D354" i="10"/>
  <c r="AQ354" i="10" s="1"/>
  <c r="E354" i="10"/>
  <c r="F354" i="10"/>
  <c r="I354" i="10"/>
  <c r="H354" i="10"/>
  <c r="G354" i="10"/>
  <c r="Z354" i="10"/>
  <c r="D353" i="10"/>
  <c r="AQ353" i="10" s="1"/>
  <c r="C353" i="10"/>
  <c r="I353" i="10"/>
  <c r="H353" i="10"/>
  <c r="G353" i="10"/>
  <c r="F353" i="10"/>
  <c r="Z353" i="10" s="1"/>
  <c r="E353" i="10"/>
  <c r="I352" i="10"/>
  <c r="H352" i="10"/>
  <c r="G352" i="10"/>
  <c r="F352" i="10"/>
  <c r="Z352" i="10" s="1"/>
  <c r="E352" i="10"/>
  <c r="D352" i="10"/>
  <c r="C352" i="10"/>
  <c r="AQ352" i="10"/>
  <c r="I351" i="10"/>
  <c r="H351" i="10"/>
  <c r="G351" i="10"/>
  <c r="F351" i="10"/>
  <c r="Z351" i="10" s="1"/>
  <c r="E351" i="10"/>
  <c r="D351" i="10"/>
  <c r="AQ351" i="10" s="1"/>
  <c r="C351" i="10"/>
  <c r="I350" i="10"/>
  <c r="H350" i="10"/>
  <c r="G350" i="10"/>
  <c r="F350" i="10"/>
  <c r="Z350" i="10" s="1"/>
  <c r="E350" i="10"/>
  <c r="D350" i="10"/>
  <c r="AQ350" i="10" s="1"/>
  <c r="C350" i="10"/>
  <c r="I349" i="10"/>
  <c r="H349" i="10"/>
  <c r="G349" i="10"/>
  <c r="D349" i="10"/>
  <c r="AQ349" i="10" s="1"/>
  <c r="F349" i="10"/>
  <c r="Z349" i="10" s="1"/>
  <c r="E349" i="10"/>
  <c r="C349" i="10"/>
  <c r="I348" i="10"/>
  <c r="C348" i="10"/>
  <c r="D348" i="10"/>
  <c r="F348" i="10"/>
  <c r="G348" i="10"/>
  <c r="H348" i="10"/>
  <c r="Z348" i="10"/>
  <c r="AQ348" i="10"/>
  <c r="E348" i="10"/>
  <c r="J348" i="10" s="1"/>
  <c r="F347" i="10"/>
  <c r="I347" i="10"/>
  <c r="H347" i="10"/>
  <c r="G347" i="10"/>
  <c r="Z347" i="10"/>
  <c r="E347" i="10"/>
  <c r="D347" i="10"/>
  <c r="AQ347" i="10" s="1"/>
  <c r="C347" i="10"/>
  <c r="F346" i="10"/>
  <c r="E346" i="10"/>
  <c r="D346" i="10"/>
  <c r="AQ346" i="10" s="1"/>
  <c r="G346" i="10"/>
  <c r="C346" i="10"/>
  <c r="Z346" i="10"/>
  <c r="J346" i="10"/>
  <c r="I346" i="10"/>
  <c r="H346" i="10"/>
  <c r="I345" i="10"/>
  <c r="H345" i="10"/>
  <c r="G345" i="10"/>
  <c r="F345" i="10"/>
  <c r="E345" i="10"/>
  <c r="D345" i="10"/>
  <c r="AQ345" i="10" s="1"/>
  <c r="C345" i="10"/>
  <c r="Z345" i="10"/>
  <c r="G344" i="10"/>
  <c r="F344" i="10"/>
  <c r="E344" i="10"/>
  <c r="D344" i="10"/>
  <c r="AQ344" i="10" s="1"/>
  <c r="C344" i="10"/>
  <c r="Z344" i="10"/>
  <c r="J344" i="10"/>
  <c r="I344" i="10"/>
  <c r="H344" i="10"/>
  <c r="E343" i="10"/>
  <c r="D343" i="10"/>
  <c r="C343" i="10"/>
  <c r="H343" i="10"/>
  <c r="AQ343" i="10"/>
  <c r="I343" i="10"/>
  <c r="G343" i="10"/>
  <c r="J343" i="10" s="1"/>
  <c r="F343" i="10"/>
  <c r="Z343" i="10" s="1"/>
  <c r="C342" i="10"/>
  <c r="H342" i="10"/>
  <c r="G342" i="10"/>
  <c r="F342" i="10"/>
  <c r="Z342" i="10" s="1"/>
  <c r="E342" i="10"/>
  <c r="J342" i="10" s="1"/>
  <c r="I342" i="10"/>
  <c r="D342" i="10"/>
  <c r="AQ342" i="10" s="1"/>
  <c r="H341" i="10"/>
  <c r="G341" i="10"/>
  <c r="F341" i="10"/>
  <c r="E341" i="10"/>
  <c r="D341" i="10"/>
  <c r="AQ341" i="10" s="1"/>
  <c r="C341" i="10"/>
  <c r="Z341" i="10"/>
  <c r="I341" i="10"/>
  <c r="C340" i="10"/>
  <c r="D340" i="10"/>
  <c r="AQ340" i="10" s="1"/>
  <c r="E340" i="10"/>
  <c r="F340" i="10"/>
  <c r="G340" i="10"/>
  <c r="H340" i="10"/>
  <c r="I340" i="10"/>
  <c r="J340" i="10"/>
  <c r="Z340" i="10"/>
  <c r="C339" i="10"/>
  <c r="D339" i="10"/>
  <c r="AQ339" i="10" s="1"/>
  <c r="E339" i="10"/>
  <c r="F339" i="10"/>
  <c r="Z339" i="10" s="1"/>
  <c r="G339" i="10"/>
  <c r="H339" i="10"/>
  <c r="I339" i="10"/>
  <c r="F338" i="10"/>
  <c r="E338" i="10"/>
  <c r="D338" i="10"/>
  <c r="AQ338" i="10" s="1"/>
  <c r="C338" i="10"/>
  <c r="G338" i="10"/>
  <c r="H338" i="10"/>
  <c r="I338" i="10"/>
  <c r="J338" i="10"/>
  <c r="Z338" i="10"/>
  <c r="I337" i="10"/>
  <c r="H337" i="10"/>
  <c r="G337" i="10"/>
  <c r="F337" i="10"/>
  <c r="Z337" i="10" s="1"/>
  <c r="E337" i="10"/>
  <c r="C337" i="10"/>
  <c r="D337" i="10"/>
  <c r="AQ337" i="10" s="1"/>
  <c r="E336" i="10"/>
  <c r="I336" i="10"/>
  <c r="H336" i="10"/>
  <c r="G336" i="10"/>
  <c r="F336" i="10"/>
  <c r="Z336" i="10" s="1"/>
  <c r="D336" i="10"/>
  <c r="AQ336" i="10" s="1"/>
  <c r="C336" i="10"/>
  <c r="F335" i="10"/>
  <c r="Z335" i="10"/>
  <c r="I335" i="10"/>
  <c r="H335" i="10"/>
  <c r="C335" i="10"/>
  <c r="G335" i="10"/>
  <c r="E335" i="10"/>
  <c r="J335" i="10" s="1"/>
  <c r="D335" i="10"/>
  <c r="AQ335" i="10" s="1"/>
  <c r="C334" i="10"/>
  <c r="D334" i="10"/>
  <c r="E334" i="10"/>
  <c r="F334" i="10"/>
  <c r="G334" i="10"/>
  <c r="H334" i="10"/>
  <c r="I334" i="10"/>
  <c r="Z334" i="10"/>
  <c r="AQ334" i="10"/>
  <c r="F333" i="10"/>
  <c r="E333" i="10"/>
  <c r="D333" i="10"/>
  <c r="AQ333" i="10" s="1"/>
  <c r="C333" i="10"/>
  <c r="G333" i="10"/>
  <c r="Z333" i="10"/>
  <c r="I333" i="10"/>
  <c r="J333" i="10"/>
  <c r="H333" i="10"/>
  <c r="I332" i="10"/>
  <c r="H332" i="10"/>
  <c r="G332" i="10"/>
  <c r="C332" i="10"/>
  <c r="D332" i="10"/>
  <c r="AQ332" i="10" s="1"/>
  <c r="E332" i="10"/>
  <c r="J332" i="10" s="1"/>
  <c r="F332" i="10"/>
  <c r="Z332" i="10" s="1"/>
  <c r="G331" i="10"/>
  <c r="F331" i="10"/>
  <c r="E331" i="10"/>
  <c r="D331" i="10"/>
  <c r="C331" i="10"/>
  <c r="I331" i="10"/>
  <c r="Z331" i="10"/>
  <c r="AQ331" i="10"/>
  <c r="H331" i="10"/>
  <c r="C330" i="10"/>
  <c r="E330" i="10"/>
  <c r="F330" i="10"/>
  <c r="Z330" i="10" s="1"/>
  <c r="G330" i="10"/>
  <c r="H330" i="10"/>
  <c r="I330" i="10"/>
  <c r="J330" i="10"/>
  <c r="D330" i="10"/>
  <c r="AQ330" i="10" s="1"/>
  <c r="I329" i="10"/>
  <c r="H329" i="10"/>
  <c r="G329" i="10"/>
  <c r="C329" i="10"/>
  <c r="F329" i="10"/>
  <c r="Z329" i="10" s="1"/>
  <c r="E329" i="10"/>
  <c r="D329" i="10"/>
  <c r="AQ329" i="10" s="1"/>
  <c r="F328" i="10"/>
  <c r="Z328" i="10" s="1"/>
  <c r="G328" i="10"/>
  <c r="H328" i="10"/>
  <c r="I328" i="10"/>
  <c r="E328" i="10"/>
  <c r="C328" i="10"/>
  <c r="D328" i="10"/>
  <c r="AQ328" i="10" s="1"/>
  <c r="G327" i="10"/>
  <c r="F327" i="10"/>
  <c r="E327" i="10"/>
  <c r="D327" i="10"/>
  <c r="AQ327" i="10" s="1"/>
  <c r="C327" i="10"/>
  <c r="Z327" i="10"/>
  <c r="I327" i="10"/>
  <c r="H327" i="10"/>
  <c r="C326" i="10"/>
  <c r="D326" i="10"/>
  <c r="AQ326" i="10" s="1"/>
  <c r="E326" i="10"/>
  <c r="F326" i="10"/>
  <c r="Z326" i="10" s="1"/>
  <c r="G326" i="10"/>
  <c r="H326" i="10"/>
  <c r="I326" i="10"/>
  <c r="I325" i="10"/>
  <c r="H325" i="10"/>
  <c r="G325" i="10"/>
  <c r="F325" i="10"/>
  <c r="Z325" i="10" s="1"/>
  <c r="E325" i="10"/>
  <c r="D325" i="10"/>
  <c r="AQ325" i="10" s="1"/>
  <c r="C325" i="10"/>
  <c r="C324" i="10"/>
  <c r="I324" i="10"/>
  <c r="H324" i="10"/>
  <c r="G324" i="10"/>
  <c r="F324" i="10"/>
  <c r="Z324" i="10" s="1"/>
  <c r="E324" i="10"/>
  <c r="D324" i="10"/>
  <c r="AQ324" i="10" s="1"/>
  <c r="I323" i="10"/>
  <c r="H323" i="10"/>
  <c r="G323" i="10"/>
  <c r="F323" i="10"/>
  <c r="Z323" i="10" s="1"/>
  <c r="E323" i="10"/>
  <c r="D323" i="10"/>
  <c r="AQ323" i="10" s="1"/>
  <c r="C323" i="10"/>
  <c r="H322" i="10"/>
  <c r="G322" i="10"/>
  <c r="F322" i="10"/>
  <c r="E322" i="10"/>
  <c r="D322" i="10"/>
  <c r="AQ322" i="10" s="1"/>
  <c r="C322" i="10"/>
  <c r="I322" i="10"/>
  <c r="Z322" i="10"/>
  <c r="C321" i="10"/>
  <c r="D321" i="10"/>
  <c r="AQ321" i="10" s="1"/>
  <c r="E321" i="10"/>
  <c r="F321" i="10"/>
  <c r="Z321" i="10" s="1"/>
  <c r="G321" i="10"/>
  <c r="H321" i="10"/>
  <c r="I321" i="10"/>
  <c r="I320" i="10"/>
  <c r="H320" i="10"/>
  <c r="G320" i="10"/>
  <c r="F320" i="10"/>
  <c r="Z320" i="10" s="1"/>
  <c r="E320" i="10"/>
  <c r="D320" i="10"/>
  <c r="AQ320" i="10" s="1"/>
  <c r="C320" i="10"/>
  <c r="F319" i="10"/>
  <c r="Z319" i="10" s="1"/>
  <c r="E319" i="10"/>
  <c r="D319" i="10"/>
  <c r="AQ319" i="10" s="1"/>
  <c r="C319" i="10"/>
  <c r="H319" i="10"/>
  <c r="G319" i="10"/>
  <c r="I319" i="10"/>
  <c r="H318" i="10"/>
  <c r="G318" i="10"/>
  <c r="F318" i="10"/>
  <c r="Z318" i="10" s="1"/>
  <c r="E318" i="10"/>
  <c r="D318" i="10"/>
  <c r="AQ318" i="10" s="1"/>
  <c r="C318" i="10"/>
  <c r="I318" i="10"/>
  <c r="D317" i="10"/>
  <c r="E317" i="10"/>
  <c r="F317" i="10"/>
  <c r="G317" i="10"/>
  <c r="H317" i="10"/>
  <c r="Z317" i="10"/>
  <c r="C317" i="10"/>
  <c r="J317" i="10"/>
  <c r="AQ317" i="10"/>
  <c r="I317" i="10"/>
  <c r="G316" i="10"/>
  <c r="F316" i="10"/>
  <c r="E316" i="10"/>
  <c r="D316" i="10"/>
  <c r="C316" i="10"/>
  <c r="AQ316" i="10"/>
  <c r="Z316" i="10"/>
  <c r="J316" i="10"/>
  <c r="I316" i="10"/>
  <c r="H316" i="10"/>
  <c r="C315" i="10"/>
  <c r="D315" i="10"/>
  <c r="AQ315" i="10" s="1"/>
  <c r="E315" i="10"/>
  <c r="F315" i="10"/>
  <c r="G315" i="10"/>
  <c r="H315" i="10"/>
  <c r="I315" i="10"/>
  <c r="J315" i="10"/>
  <c r="Z315" i="10"/>
  <c r="I314" i="10"/>
  <c r="E314" i="10"/>
  <c r="C314" i="10"/>
  <c r="D314" i="10"/>
  <c r="AQ314" i="10" s="1"/>
  <c r="F314" i="10"/>
  <c r="Z314" i="10" s="1"/>
  <c r="G314" i="10"/>
  <c r="H314" i="10"/>
  <c r="F313" i="10"/>
  <c r="E313" i="10"/>
  <c r="D313" i="10"/>
  <c r="C313" i="10"/>
  <c r="Z313" i="10"/>
  <c r="I313" i="10"/>
  <c r="H313" i="10"/>
  <c r="G313" i="10"/>
  <c r="J313" i="10" s="1"/>
  <c r="AQ313" i="10"/>
  <c r="I312" i="10"/>
  <c r="H312" i="10"/>
  <c r="G312" i="10"/>
  <c r="F312" i="10"/>
  <c r="Z312" i="10" s="1"/>
  <c r="E312" i="10"/>
  <c r="D312" i="10"/>
  <c r="AQ312" i="10" s="1"/>
  <c r="C312" i="10"/>
  <c r="F311" i="10"/>
  <c r="E311" i="10"/>
  <c r="D311" i="10"/>
  <c r="AQ311" i="10" s="1"/>
  <c r="C311" i="10"/>
  <c r="G311" i="10"/>
  <c r="H311" i="10"/>
  <c r="I311" i="10"/>
  <c r="J311" i="10"/>
  <c r="Z311" i="10"/>
  <c r="D310" i="10"/>
  <c r="AQ310" i="10" s="1"/>
  <c r="C310" i="10"/>
  <c r="E310" i="10"/>
  <c r="F310" i="10"/>
  <c r="Z310" i="10" s="1"/>
  <c r="G310" i="10"/>
  <c r="H310" i="10"/>
  <c r="I310" i="10"/>
  <c r="E309" i="10"/>
  <c r="D309" i="10"/>
  <c r="AQ309" i="10" s="1"/>
  <c r="I309" i="10"/>
  <c r="H309" i="10"/>
  <c r="G309" i="10"/>
  <c r="F309" i="10"/>
  <c r="Z309" i="10" s="1"/>
  <c r="C309" i="10"/>
  <c r="D308" i="10"/>
  <c r="AQ308" i="10" s="1"/>
  <c r="C308" i="10"/>
  <c r="I308" i="10"/>
  <c r="H308" i="10"/>
  <c r="G308" i="10"/>
  <c r="F308" i="10"/>
  <c r="Z308" i="10" s="1"/>
  <c r="E308" i="10"/>
  <c r="J308" i="10" s="1"/>
  <c r="H307" i="10"/>
  <c r="I307" i="10"/>
  <c r="F307" i="10"/>
  <c r="G307" i="10"/>
  <c r="C307" i="10"/>
  <c r="D307" i="10"/>
  <c r="AQ307" i="10" s="1"/>
  <c r="E307" i="10"/>
  <c r="J307" i="10" s="1"/>
  <c r="Z307" i="10"/>
  <c r="I306" i="10"/>
  <c r="C306" i="10"/>
  <c r="D306" i="10"/>
  <c r="AQ306" i="10" s="1"/>
  <c r="E306" i="10"/>
  <c r="F306" i="10"/>
  <c r="Z306" i="10" s="1"/>
  <c r="G306" i="10"/>
  <c r="H306" i="10"/>
  <c r="C305" i="10"/>
  <c r="D305" i="10"/>
  <c r="E305" i="10"/>
  <c r="F305" i="10"/>
  <c r="G305" i="10"/>
  <c r="H305" i="10"/>
  <c r="I305" i="10"/>
  <c r="J305" i="10"/>
  <c r="Z305" i="10"/>
  <c r="AQ305" i="10"/>
  <c r="H303" i="10"/>
  <c r="F303" i="10"/>
  <c r="E303" i="10"/>
  <c r="D303" i="10"/>
  <c r="AQ303" i="10" s="1"/>
  <c r="C303" i="10"/>
  <c r="G303" i="10"/>
  <c r="Z303" i="10"/>
  <c r="J303" i="10"/>
  <c r="I303" i="10"/>
  <c r="D302" i="10"/>
  <c r="F302" i="10"/>
  <c r="E302" i="10"/>
  <c r="Z302" i="10"/>
  <c r="C302" i="10"/>
  <c r="H302" i="10"/>
  <c r="I302" i="10"/>
  <c r="AQ302" i="10"/>
  <c r="G302" i="10"/>
  <c r="J302" i="10" s="1"/>
  <c r="C301" i="10"/>
  <c r="I301" i="10"/>
  <c r="H301" i="10"/>
  <c r="G301" i="10"/>
  <c r="F301" i="10"/>
  <c r="Z301" i="10" s="1"/>
  <c r="E301" i="10"/>
  <c r="J301" i="10" s="1"/>
  <c r="D301" i="10"/>
  <c r="AQ301" i="10" s="1"/>
  <c r="D300" i="10"/>
  <c r="AQ300" i="10" s="1"/>
  <c r="C300" i="10"/>
  <c r="I300" i="10"/>
  <c r="H300" i="10"/>
  <c r="G300" i="10"/>
  <c r="F300" i="10"/>
  <c r="Z300" i="10" s="1"/>
  <c r="E300" i="10"/>
  <c r="J300" i="10" s="1"/>
  <c r="I299" i="10"/>
  <c r="H299" i="10"/>
  <c r="G299" i="10"/>
  <c r="F299" i="10"/>
  <c r="E299" i="10"/>
  <c r="Z299" i="10"/>
  <c r="D299" i="10"/>
  <c r="AQ299" i="10" s="1"/>
  <c r="C299" i="10"/>
  <c r="E298" i="10"/>
  <c r="C298" i="10"/>
  <c r="D298" i="10"/>
  <c r="AQ298" i="10" s="1"/>
  <c r="I298" i="10"/>
  <c r="H298" i="10"/>
  <c r="G298" i="10"/>
  <c r="J298" i="10" s="1"/>
  <c r="F298" i="10"/>
  <c r="Z298" i="10" s="1"/>
  <c r="C297" i="10"/>
  <c r="D297" i="10"/>
  <c r="AQ297" i="10" s="1"/>
  <c r="E297" i="10"/>
  <c r="F297" i="10"/>
  <c r="Z297" i="10" s="1"/>
  <c r="G297" i="10"/>
  <c r="H297" i="10"/>
  <c r="I297" i="10"/>
  <c r="H296" i="10"/>
  <c r="I296" i="10"/>
  <c r="E296" i="10"/>
  <c r="G296" i="10"/>
  <c r="D296" i="10"/>
  <c r="AQ296" i="10" s="1"/>
  <c r="F296" i="10"/>
  <c r="Z296" i="10" s="1"/>
  <c r="C296" i="10"/>
  <c r="G295" i="10"/>
  <c r="F295" i="10"/>
  <c r="E295" i="10"/>
  <c r="D295" i="10"/>
  <c r="AQ295" i="10" s="1"/>
  <c r="C295" i="10"/>
  <c r="J295" i="10" s="1"/>
  <c r="Z295" i="10"/>
  <c r="I295" i="10"/>
  <c r="H295" i="10"/>
  <c r="I294" i="10"/>
  <c r="H294" i="10"/>
  <c r="G294" i="10"/>
  <c r="F294" i="10"/>
  <c r="Z294" i="10" s="1"/>
  <c r="E294" i="10"/>
  <c r="D294" i="10"/>
  <c r="AQ294" i="10" s="1"/>
  <c r="C294" i="10"/>
  <c r="F293" i="10"/>
  <c r="Z293" i="10"/>
  <c r="I293" i="10"/>
  <c r="H293" i="10"/>
  <c r="G293" i="10"/>
  <c r="E293" i="10"/>
  <c r="C293" i="10"/>
  <c r="D293" i="10"/>
  <c r="AQ293" i="10" s="1"/>
  <c r="C292" i="10"/>
  <c r="E292" i="10"/>
  <c r="I292" i="10"/>
  <c r="D292" i="10"/>
  <c r="AQ292" i="10" s="1"/>
  <c r="G292" i="10"/>
  <c r="J292" i="10" s="1"/>
  <c r="F292" i="10"/>
  <c r="Z292" i="10" s="1"/>
  <c r="H292" i="10"/>
  <c r="I291" i="10"/>
  <c r="H291" i="10"/>
  <c r="G291" i="10"/>
  <c r="F291" i="10"/>
  <c r="E291" i="10"/>
  <c r="D291" i="10"/>
  <c r="C291" i="10"/>
  <c r="Z291" i="10"/>
  <c r="AQ291" i="10"/>
  <c r="I290" i="10"/>
  <c r="E290" i="10"/>
  <c r="H290" i="10"/>
  <c r="G290" i="10"/>
  <c r="F290" i="10"/>
  <c r="D290" i="10"/>
  <c r="AQ290" i="10" s="1"/>
  <c r="C290" i="10"/>
  <c r="Z290" i="10"/>
  <c r="C289" i="10"/>
  <c r="D289" i="10"/>
  <c r="AQ289" i="10" s="1"/>
  <c r="E289" i="10"/>
  <c r="F289" i="10"/>
  <c r="Z289" i="10" s="1"/>
  <c r="G289" i="10"/>
  <c r="H289" i="10"/>
  <c r="I289" i="10"/>
  <c r="J289" i="10"/>
  <c r="C288" i="10"/>
  <c r="D288" i="10"/>
  <c r="AQ288" i="10" s="1"/>
  <c r="E288" i="10"/>
  <c r="F288" i="10"/>
  <c r="G288" i="10"/>
  <c r="H288" i="10"/>
  <c r="I288" i="10"/>
  <c r="Z288" i="10"/>
  <c r="C287" i="10"/>
  <c r="I287" i="10"/>
  <c r="H287" i="10"/>
  <c r="E287" i="10"/>
  <c r="G287" i="10"/>
  <c r="F287" i="10"/>
  <c r="Z287" i="10" s="1"/>
  <c r="D287" i="10"/>
  <c r="AQ287" i="10" s="1"/>
  <c r="I286" i="10"/>
  <c r="G286" i="10"/>
  <c r="F286" i="10"/>
  <c r="E286" i="10"/>
  <c r="D286" i="10"/>
  <c r="AQ286" i="10" s="1"/>
  <c r="C286" i="10"/>
  <c r="H286" i="10"/>
  <c r="Z286" i="10"/>
  <c r="F285" i="10"/>
  <c r="Z285" i="10" s="1"/>
  <c r="G285" i="10"/>
  <c r="H285" i="10"/>
  <c r="I285" i="10"/>
  <c r="C285" i="10"/>
  <c r="D285" i="10"/>
  <c r="AQ285" i="10" s="1"/>
  <c r="E285" i="10"/>
  <c r="J285" i="10" s="1"/>
  <c r="C284" i="10"/>
  <c r="D284" i="10"/>
  <c r="G284" i="10"/>
  <c r="H284" i="10"/>
  <c r="I284" i="10"/>
  <c r="AQ284" i="10"/>
  <c r="F284" i="10"/>
  <c r="Z284" i="10" s="1"/>
  <c r="E284" i="10"/>
  <c r="J284" i="10" s="1"/>
  <c r="I283" i="10"/>
  <c r="H283" i="10"/>
  <c r="G283" i="10"/>
  <c r="F283" i="10"/>
  <c r="Z283" i="10" s="1"/>
  <c r="E283" i="10"/>
  <c r="D283" i="10"/>
  <c r="AQ283" i="10" s="1"/>
  <c r="C283" i="10"/>
  <c r="C282" i="10"/>
  <c r="D282" i="10"/>
  <c r="E282" i="10"/>
  <c r="F282" i="10"/>
  <c r="G282" i="10"/>
  <c r="H282" i="10"/>
  <c r="I282" i="10"/>
  <c r="J282" i="10"/>
  <c r="Z282" i="10"/>
  <c r="AQ282" i="10"/>
  <c r="C281" i="10"/>
  <c r="F281" i="10"/>
  <c r="Z281" i="10" s="1"/>
  <c r="D281" i="10"/>
  <c r="AQ281" i="10" s="1"/>
  <c r="E281" i="10"/>
  <c r="G281" i="10"/>
  <c r="H281" i="10"/>
  <c r="I281" i="10"/>
  <c r="J281" i="10"/>
  <c r="C280" i="10"/>
  <c r="I280" i="10"/>
  <c r="F280" i="10"/>
  <c r="Z280" i="10" s="1"/>
  <c r="H280" i="10"/>
  <c r="G280" i="10"/>
  <c r="E280" i="10"/>
  <c r="J280" i="10" s="1"/>
  <c r="D280" i="10"/>
  <c r="AQ280" i="10" s="1"/>
  <c r="C279" i="10"/>
  <c r="F279" i="10"/>
  <c r="Z279" i="10"/>
  <c r="D279" i="10"/>
  <c r="AQ279" i="10" s="1"/>
  <c r="I279" i="10"/>
  <c r="H279" i="10"/>
  <c r="G279" i="10"/>
  <c r="E279" i="10"/>
  <c r="F278" i="10"/>
  <c r="Z278" i="10"/>
  <c r="I278" i="10"/>
  <c r="H278" i="10"/>
  <c r="G278" i="10"/>
  <c r="E278" i="10"/>
  <c r="D278" i="10"/>
  <c r="AQ278" i="10" s="1"/>
  <c r="C278" i="10"/>
  <c r="I277" i="10"/>
  <c r="H277" i="10"/>
  <c r="G277" i="10"/>
  <c r="F277" i="10"/>
  <c r="E277" i="10"/>
  <c r="D277" i="10"/>
  <c r="AQ277" i="10" s="1"/>
  <c r="C277" i="10"/>
  <c r="Z277" i="10"/>
  <c r="J277" i="10"/>
  <c r="C276" i="10"/>
  <c r="D276" i="10"/>
  <c r="AQ276" i="10" s="1"/>
  <c r="E276" i="10"/>
  <c r="F276" i="10"/>
  <c r="H276" i="10"/>
  <c r="G276" i="10"/>
  <c r="J276" i="10" s="1"/>
  <c r="I276" i="10"/>
  <c r="Z276" i="10"/>
  <c r="I275" i="10"/>
  <c r="G275" i="10"/>
  <c r="F275" i="10"/>
  <c r="Z275" i="10" s="1"/>
  <c r="E275" i="10"/>
  <c r="D275" i="10"/>
  <c r="AQ275" i="10" s="1"/>
  <c r="C275" i="10"/>
  <c r="H275" i="10"/>
  <c r="E274" i="10"/>
  <c r="C274" i="10"/>
  <c r="F274" i="10"/>
  <c r="Z274" i="10" s="1"/>
  <c r="G274" i="10"/>
  <c r="H274" i="10"/>
  <c r="I274" i="10"/>
  <c r="J274" i="10"/>
  <c r="D274" i="10"/>
  <c r="AQ274" i="10" s="1"/>
  <c r="E273" i="10"/>
  <c r="F273" i="10"/>
  <c r="G273" i="10"/>
  <c r="H273" i="10"/>
  <c r="I273" i="10"/>
  <c r="Z273" i="10"/>
  <c r="C273" i="10"/>
  <c r="D273" i="10"/>
  <c r="AQ273" i="10" s="1"/>
  <c r="J273" i="10"/>
  <c r="I272" i="10"/>
  <c r="H272" i="10"/>
  <c r="G272" i="10"/>
  <c r="F272" i="10"/>
  <c r="E272" i="10"/>
  <c r="D272" i="10"/>
  <c r="AQ272" i="10" s="1"/>
  <c r="C272" i="10"/>
  <c r="Z272" i="10"/>
  <c r="I271" i="10"/>
  <c r="H271" i="10"/>
  <c r="G271" i="10"/>
  <c r="F271" i="10"/>
  <c r="Z271" i="10" s="1"/>
  <c r="E271" i="10"/>
  <c r="D271" i="10"/>
  <c r="AQ271" i="10" s="1"/>
  <c r="C271" i="10"/>
  <c r="I270" i="10"/>
  <c r="H270" i="10"/>
  <c r="G270" i="10"/>
  <c r="F270" i="10"/>
  <c r="Z270" i="10" s="1"/>
  <c r="E270" i="10"/>
  <c r="D270" i="10"/>
  <c r="AQ270" i="10" s="1"/>
  <c r="C270" i="10"/>
  <c r="I269" i="10"/>
  <c r="H269" i="10"/>
  <c r="G269" i="10"/>
  <c r="F269" i="10"/>
  <c r="Z269" i="10" s="1"/>
  <c r="E269" i="10"/>
  <c r="D269" i="10"/>
  <c r="AQ269" i="10" s="1"/>
  <c r="C269" i="10"/>
  <c r="I268" i="10"/>
  <c r="H268" i="10"/>
  <c r="G268" i="10"/>
  <c r="F268" i="10"/>
  <c r="Z268" i="10" s="1"/>
  <c r="E268" i="10"/>
  <c r="D268" i="10"/>
  <c r="AQ268" i="10" s="1"/>
  <c r="C268" i="10"/>
  <c r="I267" i="10"/>
  <c r="H267" i="10"/>
  <c r="G267" i="10"/>
  <c r="F267" i="10"/>
  <c r="Z267" i="10" s="1"/>
  <c r="E267" i="10"/>
  <c r="D267" i="10"/>
  <c r="AQ267" i="10" s="1"/>
  <c r="C267" i="10"/>
  <c r="I266" i="10"/>
  <c r="H266" i="10"/>
  <c r="G266" i="10"/>
  <c r="F266" i="10"/>
  <c r="Z266" i="10" s="1"/>
  <c r="E266" i="10"/>
  <c r="D266" i="10"/>
  <c r="AQ266" i="10" s="1"/>
  <c r="C266" i="10"/>
  <c r="I265" i="10"/>
  <c r="H265" i="10"/>
  <c r="G265" i="10"/>
  <c r="F265" i="10"/>
  <c r="Z265" i="10" s="1"/>
  <c r="E265" i="10"/>
  <c r="D265" i="10"/>
  <c r="AQ265" i="10" s="1"/>
  <c r="C265" i="10"/>
  <c r="I264" i="10"/>
  <c r="H264" i="10"/>
  <c r="G264" i="10"/>
  <c r="F264" i="10"/>
  <c r="Z264" i="10" s="1"/>
  <c r="E264" i="10"/>
  <c r="D264" i="10"/>
  <c r="AQ264" i="10" s="1"/>
  <c r="C264" i="10"/>
  <c r="I263" i="10"/>
  <c r="H263" i="10"/>
  <c r="G263" i="10"/>
  <c r="F263" i="10"/>
  <c r="Z263" i="10" s="1"/>
  <c r="E263" i="10"/>
  <c r="D263" i="10"/>
  <c r="AQ263" i="10" s="1"/>
  <c r="C263" i="10"/>
  <c r="I262" i="10"/>
  <c r="H262" i="10"/>
  <c r="G262" i="10"/>
  <c r="F262" i="10"/>
  <c r="Z262" i="10" s="1"/>
  <c r="E262" i="10"/>
  <c r="D262" i="10"/>
  <c r="AQ262" i="10" s="1"/>
  <c r="C262" i="10"/>
  <c r="I261" i="10"/>
  <c r="H261" i="10"/>
  <c r="G261" i="10"/>
  <c r="F261" i="10"/>
  <c r="Z261" i="10" s="1"/>
  <c r="E261" i="10"/>
  <c r="D261" i="10"/>
  <c r="AQ261" i="10" s="1"/>
  <c r="C261" i="10"/>
  <c r="I260" i="10"/>
  <c r="H260" i="10"/>
  <c r="G260" i="10"/>
  <c r="F260" i="10"/>
  <c r="Z260" i="10" s="1"/>
  <c r="E260" i="10"/>
  <c r="D260" i="10"/>
  <c r="AQ260" i="10" s="1"/>
  <c r="C260" i="10"/>
  <c r="I259" i="10"/>
  <c r="H259" i="10"/>
  <c r="G259" i="10"/>
  <c r="F259" i="10"/>
  <c r="Z259" i="10" s="1"/>
  <c r="E259" i="10"/>
  <c r="C259" i="10"/>
  <c r="D259" i="10"/>
  <c r="AQ259" i="10" s="1"/>
  <c r="I258" i="10"/>
  <c r="H258" i="10"/>
  <c r="G258" i="10"/>
  <c r="F258" i="10"/>
  <c r="Z258" i="10" s="1"/>
  <c r="E258" i="10"/>
  <c r="D258" i="10"/>
  <c r="AQ258" i="10" s="1"/>
  <c r="C258" i="10"/>
  <c r="I257" i="10"/>
  <c r="H257" i="10"/>
  <c r="G257" i="10"/>
  <c r="F257" i="10"/>
  <c r="Z257" i="10" s="1"/>
  <c r="E257" i="10"/>
  <c r="D257" i="10"/>
  <c r="AQ257" i="10" s="1"/>
  <c r="C257" i="10"/>
  <c r="I256" i="10"/>
  <c r="H256" i="10"/>
  <c r="G256" i="10"/>
  <c r="F256" i="10"/>
  <c r="Z256" i="10" s="1"/>
  <c r="E256" i="10"/>
  <c r="D256" i="10"/>
  <c r="AQ256" i="10" s="1"/>
  <c r="C256" i="10"/>
  <c r="I255" i="10"/>
  <c r="H255" i="10"/>
  <c r="G255" i="10"/>
  <c r="F255" i="10"/>
  <c r="Z255" i="10" s="1"/>
  <c r="E255" i="10"/>
  <c r="D255" i="10"/>
  <c r="AQ255" i="10" s="1"/>
  <c r="C255" i="10"/>
  <c r="I254" i="10"/>
  <c r="H254" i="10"/>
  <c r="G254" i="10"/>
  <c r="F254" i="10"/>
  <c r="Z254" i="10" s="1"/>
  <c r="E254" i="10"/>
  <c r="D254" i="10"/>
  <c r="AQ254" i="10" s="1"/>
  <c r="C254" i="10"/>
  <c r="I253" i="10"/>
  <c r="G253" i="10"/>
  <c r="F253" i="10"/>
  <c r="Z253" i="10" s="1"/>
  <c r="E253" i="10"/>
  <c r="D253" i="10"/>
  <c r="AQ253" i="10" s="1"/>
  <c r="C253" i="10"/>
  <c r="H253" i="10"/>
  <c r="I252" i="10"/>
  <c r="H252" i="10"/>
  <c r="G252" i="10"/>
  <c r="F252" i="10"/>
  <c r="Z252" i="10" s="1"/>
  <c r="C252" i="10"/>
  <c r="D252" i="10"/>
  <c r="AQ252" i="10" s="1"/>
  <c r="E252" i="10"/>
  <c r="J252" i="10" s="1"/>
  <c r="D251" i="10"/>
  <c r="AQ251" i="10" s="1"/>
  <c r="I251" i="10"/>
  <c r="H251" i="10"/>
  <c r="G251" i="10"/>
  <c r="F251" i="10"/>
  <c r="Z251" i="10" s="1"/>
  <c r="C251" i="10"/>
  <c r="E251" i="10"/>
  <c r="J251" i="10" s="1"/>
  <c r="G250" i="10"/>
  <c r="H250" i="10"/>
  <c r="I250" i="10"/>
  <c r="C250" i="10"/>
  <c r="F250" i="10"/>
  <c r="Z250" i="10" s="1"/>
  <c r="D250" i="10"/>
  <c r="AQ250" i="10" s="1"/>
  <c r="E250" i="10"/>
  <c r="J250" i="10" s="1"/>
  <c r="I249" i="10"/>
  <c r="H249" i="10"/>
  <c r="F249" i="10"/>
  <c r="Z249" i="10" s="1"/>
  <c r="E249" i="10"/>
  <c r="D249" i="10"/>
  <c r="AQ249" i="10" s="1"/>
  <c r="G249" i="10"/>
  <c r="C249" i="10"/>
  <c r="E248" i="10"/>
  <c r="G248" i="10"/>
  <c r="D248" i="10"/>
  <c r="AQ248" i="10" s="1"/>
  <c r="F248" i="10"/>
  <c r="Z248" i="10" s="1"/>
  <c r="I248" i="10"/>
  <c r="H248" i="10"/>
  <c r="C248" i="10"/>
  <c r="J248" i="10" s="1"/>
  <c r="I247" i="10"/>
  <c r="E247" i="10"/>
  <c r="D247" i="10"/>
  <c r="H247" i="10"/>
  <c r="G247" i="10"/>
  <c r="F247" i="10"/>
  <c r="Z247" i="10" s="1"/>
  <c r="C247" i="10"/>
  <c r="AQ247" i="10"/>
  <c r="C246" i="10"/>
  <c r="D246" i="10"/>
  <c r="AQ246" i="10" s="1"/>
  <c r="H246" i="10"/>
  <c r="E246" i="10"/>
  <c r="I246" i="10"/>
  <c r="G246" i="10"/>
  <c r="F246" i="10"/>
  <c r="Z246" i="10" s="1"/>
  <c r="C245" i="10"/>
  <c r="G245" i="10"/>
  <c r="E245" i="10"/>
  <c r="F245" i="10"/>
  <c r="Z245" i="10" s="1"/>
  <c r="D245" i="10"/>
  <c r="AQ245" i="10" s="1"/>
  <c r="I245" i="10"/>
  <c r="H245" i="10"/>
  <c r="I244" i="10"/>
  <c r="F244" i="10"/>
  <c r="D244" i="10"/>
  <c r="AQ244" i="10" s="1"/>
  <c r="Z244" i="10"/>
  <c r="H244" i="10"/>
  <c r="G244" i="10"/>
  <c r="E244" i="10"/>
  <c r="C244" i="10"/>
  <c r="C243" i="10"/>
  <c r="F243" i="10"/>
  <c r="Z243" i="10" s="1"/>
  <c r="H243" i="10"/>
  <c r="D243" i="10"/>
  <c r="AQ243" i="10" s="1"/>
  <c r="E243" i="10"/>
  <c r="G243" i="10"/>
  <c r="I243" i="10"/>
  <c r="D242" i="10"/>
  <c r="AQ242" i="10" s="1"/>
  <c r="C242" i="10"/>
  <c r="F242" i="10"/>
  <c r="Z242" i="10" s="1"/>
  <c r="E242" i="10"/>
  <c r="I242" i="10"/>
  <c r="H242" i="10"/>
  <c r="G242" i="10"/>
  <c r="C241" i="10"/>
  <c r="E241" i="10"/>
  <c r="I241" i="10"/>
  <c r="H241" i="10"/>
  <c r="G241" i="10"/>
  <c r="J241" i="10" s="1"/>
  <c r="D241" i="10"/>
  <c r="AQ241" i="10" s="1"/>
  <c r="F241" i="10"/>
  <c r="Z241" i="10" s="1"/>
  <c r="I240" i="10"/>
  <c r="H240" i="10"/>
  <c r="G240" i="10"/>
  <c r="F240" i="10"/>
  <c r="Z240" i="10" s="1"/>
  <c r="E240" i="10"/>
  <c r="D240" i="10"/>
  <c r="AQ240" i="10" s="1"/>
  <c r="C240" i="10"/>
  <c r="G239" i="10"/>
  <c r="F239" i="10"/>
  <c r="Z239" i="10" s="1"/>
  <c r="D239" i="10"/>
  <c r="AQ239" i="10" s="1"/>
  <c r="C239" i="10"/>
  <c r="E239" i="10"/>
  <c r="I239" i="10"/>
  <c r="H239" i="10"/>
  <c r="E238" i="10"/>
  <c r="F238" i="10"/>
  <c r="Z238" i="10" s="1"/>
  <c r="G238" i="10"/>
  <c r="H238" i="10"/>
  <c r="C238" i="10"/>
  <c r="D238" i="10"/>
  <c r="AQ238" i="10" s="1"/>
  <c r="I238" i="10"/>
  <c r="H237" i="10"/>
  <c r="F237" i="10"/>
  <c r="C237" i="10"/>
  <c r="D237" i="10"/>
  <c r="AQ237" i="10" s="1"/>
  <c r="E237" i="10"/>
  <c r="G237" i="10"/>
  <c r="I237" i="10"/>
  <c r="Z237" i="10"/>
  <c r="E236" i="10"/>
  <c r="I236" i="10"/>
  <c r="G236" i="10"/>
  <c r="F236" i="10"/>
  <c r="Z236" i="10" s="1"/>
  <c r="D236" i="10"/>
  <c r="AQ236" i="10" s="1"/>
  <c r="C236" i="10"/>
  <c r="J236" i="10"/>
  <c r="H236" i="10"/>
  <c r="G235" i="10"/>
  <c r="I235" i="10"/>
  <c r="E235" i="10"/>
  <c r="D235" i="10"/>
  <c r="F235" i="10"/>
  <c r="C235" i="10"/>
  <c r="J235" i="10" s="1"/>
  <c r="H235" i="10"/>
  <c r="AQ235" i="10"/>
  <c r="Z235" i="10"/>
  <c r="G234" i="10"/>
  <c r="H234" i="10"/>
  <c r="F234" i="10"/>
  <c r="C234" i="10"/>
  <c r="Z234" i="10"/>
  <c r="E234" i="10"/>
  <c r="J234" i="10" s="1"/>
  <c r="D234" i="10"/>
  <c r="AQ234" i="10" s="1"/>
  <c r="I234" i="10"/>
  <c r="G233" i="10"/>
  <c r="I233" i="10"/>
  <c r="E233" i="10"/>
  <c r="H233" i="10"/>
  <c r="F233" i="10"/>
  <c r="Z233" i="10" s="1"/>
  <c r="C233" i="10"/>
  <c r="D233" i="10"/>
  <c r="AQ233" i="10" s="1"/>
  <c r="I232" i="10"/>
  <c r="G232" i="10"/>
  <c r="D232" i="10"/>
  <c r="C232" i="10"/>
  <c r="E232" i="10"/>
  <c r="J232" i="10" s="1"/>
  <c r="F232" i="10"/>
  <c r="Z232" i="10" s="1"/>
  <c r="H232" i="10"/>
  <c r="AQ232" i="10"/>
  <c r="E231" i="10"/>
  <c r="F231" i="10"/>
  <c r="Z231" i="10" s="1"/>
  <c r="C231" i="10"/>
  <c r="D231" i="10"/>
  <c r="AQ231" i="10" s="1"/>
  <c r="G231" i="10"/>
  <c r="H231" i="10"/>
  <c r="I231" i="10"/>
  <c r="I230" i="10"/>
  <c r="H230" i="10"/>
  <c r="F230" i="10"/>
  <c r="D230" i="10"/>
  <c r="AQ230" i="10" s="1"/>
  <c r="G230" i="10"/>
  <c r="Z230" i="10"/>
  <c r="E230" i="10"/>
  <c r="C230" i="10"/>
  <c r="C229" i="10"/>
  <c r="D229" i="10"/>
  <c r="AQ229" i="10" s="1"/>
  <c r="I229" i="10"/>
  <c r="G229" i="10"/>
  <c r="F229" i="10"/>
  <c r="E229" i="10"/>
  <c r="J229" i="10" s="1"/>
  <c r="Z229" i="10"/>
  <c r="H229" i="10"/>
  <c r="I228" i="10"/>
  <c r="C228" i="10"/>
  <c r="D228" i="10"/>
  <c r="AQ228" i="10" s="1"/>
  <c r="E228" i="10"/>
  <c r="F228" i="10"/>
  <c r="Z228" i="10" s="1"/>
  <c r="G228" i="10"/>
  <c r="H228" i="10"/>
  <c r="I227" i="10"/>
  <c r="H227" i="10"/>
  <c r="G227" i="10"/>
  <c r="F227" i="10"/>
  <c r="E227" i="10"/>
  <c r="D227" i="10"/>
  <c r="AQ227" i="10" s="1"/>
  <c r="C227" i="10"/>
  <c r="Z227" i="10"/>
  <c r="I226" i="10"/>
  <c r="C226" i="10"/>
  <c r="H226" i="10"/>
  <c r="G226" i="10"/>
  <c r="F226" i="10"/>
  <c r="Z226" i="10" s="1"/>
  <c r="E226" i="10"/>
  <c r="J226" i="10" s="1"/>
  <c r="D226" i="10"/>
  <c r="AQ226" i="10" s="1"/>
  <c r="H225" i="10"/>
  <c r="I225" i="10"/>
  <c r="C225" i="10"/>
  <c r="D225" i="10"/>
  <c r="AQ225" i="10" s="1"/>
  <c r="E225" i="10"/>
  <c r="F225" i="10"/>
  <c r="Z225" i="10" s="1"/>
  <c r="G225" i="10"/>
  <c r="I224" i="10"/>
  <c r="D224" i="10"/>
  <c r="AQ224" i="10" s="1"/>
  <c r="C224" i="10"/>
  <c r="E224" i="10"/>
  <c r="F224" i="10"/>
  <c r="Z224" i="10" s="1"/>
  <c r="G224" i="10"/>
  <c r="H224" i="10"/>
  <c r="H223" i="10"/>
  <c r="G223" i="10"/>
  <c r="F223" i="10"/>
  <c r="Z223" i="10" s="1"/>
  <c r="E223" i="10"/>
  <c r="D223" i="10"/>
  <c r="AQ223" i="10" s="1"/>
  <c r="C223" i="10"/>
  <c r="I223" i="10"/>
  <c r="I222" i="10"/>
  <c r="D222" i="10"/>
  <c r="E222" i="10"/>
  <c r="F222" i="10"/>
  <c r="G222" i="10"/>
  <c r="H222" i="10"/>
  <c r="C222" i="10"/>
  <c r="AQ222" i="10"/>
  <c r="Z222" i="10"/>
  <c r="J222" i="10"/>
  <c r="D221" i="10"/>
  <c r="AQ221" i="10" s="1"/>
  <c r="I221" i="10"/>
  <c r="H221" i="10"/>
  <c r="G221" i="10"/>
  <c r="F221" i="10"/>
  <c r="Z221" i="10" s="1"/>
  <c r="E221" i="10"/>
  <c r="C221" i="10"/>
  <c r="F220" i="10"/>
  <c r="G220" i="10"/>
  <c r="I220" i="10"/>
  <c r="C220" i="10"/>
  <c r="H220" i="10"/>
  <c r="E220" i="10"/>
  <c r="J220" i="10" s="1"/>
  <c r="D220" i="10"/>
  <c r="AQ220" i="10" s="1"/>
  <c r="Z220" i="10"/>
  <c r="I219" i="10"/>
  <c r="H219" i="10"/>
  <c r="G219" i="10"/>
  <c r="F219" i="10"/>
  <c r="Z219" i="10" s="1"/>
  <c r="E219" i="10"/>
  <c r="D219" i="10"/>
  <c r="AQ219" i="10" s="1"/>
  <c r="C219" i="10"/>
  <c r="F218" i="10"/>
  <c r="G218" i="10"/>
  <c r="H218" i="10"/>
  <c r="Z218" i="10"/>
  <c r="I218" i="10"/>
  <c r="C218" i="10"/>
  <c r="D218" i="10"/>
  <c r="AQ218" i="10" s="1"/>
  <c r="E218" i="10"/>
  <c r="J218" i="10" s="1"/>
  <c r="C217" i="10"/>
  <c r="H217" i="10"/>
  <c r="I217" i="10"/>
  <c r="E217" i="10"/>
  <c r="G217" i="10"/>
  <c r="D217" i="10"/>
  <c r="AQ217" i="10" s="1"/>
  <c r="F217" i="10"/>
  <c r="Z217" i="10" s="1"/>
  <c r="D216" i="10"/>
  <c r="AQ216" i="10" s="1"/>
  <c r="C216" i="10"/>
  <c r="E216" i="10"/>
  <c r="F216" i="10"/>
  <c r="G216" i="10"/>
  <c r="J216" i="10" s="1"/>
  <c r="H216" i="10"/>
  <c r="I216" i="10"/>
  <c r="Z216" i="10"/>
  <c r="H215" i="10"/>
  <c r="G215" i="10"/>
  <c r="F215" i="10"/>
  <c r="E215" i="10"/>
  <c r="D215" i="10"/>
  <c r="AQ215" i="10" s="1"/>
  <c r="C215" i="10"/>
  <c r="Z215" i="10"/>
  <c r="J215" i="10"/>
  <c r="I215" i="10"/>
  <c r="F214" i="10"/>
  <c r="C214" i="10"/>
  <c r="G214" i="10"/>
  <c r="E214" i="10"/>
  <c r="D214" i="10"/>
  <c r="AQ214" i="10" s="1"/>
  <c r="Z214" i="10"/>
  <c r="J214" i="10"/>
  <c r="I214" i="10"/>
  <c r="H214" i="10"/>
  <c r="C213" i="10"/>
  <c r="D213" i="10"/>
  <c r="E213" i="10"/>
  <c r="F213" i="10"/>
  <c r="Z213" i="10" s="1"/>
  <c r="H213" i="10"/>
  <c r="I213" i="10"/>
  <c r="AQ213" i="10"/>
  <c r="G213" i="10"/>
  <c r="J213" i="10" s="1"/>
  <c r="G212" i="10"/>
  <c r="I212" i="10"/>
  <c r="F212" i="10"/>
  <c r="Z212" i="10" s="1"/>
  <c r="H212" i="10"/>
  <c r="E212" i="10"/>
  <c r="D212" i="10"/>
  <c r="AQ212" i="10" s="1"/>
  <c r="C212" i="10"/>
  <c r="D211" i="10"/>
  <c r="AQ211" i="10" s="1"/>
  <c r="C211" i="10"/>
  <c r="G211" i="10"/>
  <c r="H211" i="10"/>
  <c r="I211" i="10"/>
  <c r="F211" i="10"/>
  <c r="Z211" i="10" s="1"/>
  <c r="E211" i="10"/>
  <c r="C210" i="10"/>
  <c r="D210" i="10"/>
  <c r="E210" i="10"/>
  <c r="G210" i="10"/>
  <c r="H210" i="10"/>
  <c r="I210" i="10"/>
  <c r="J210" i="10"/>
  <c r="AQ210" i="10"/>
  <c r="F210" i="10"/>
  <c r="Z210" i="10" s="1"/>
  <c r="C209" i="10"/>
  <c r="I209" i="10"/>
  <c r="H209" i="10"/>
  <c r="G209" i="10"/>
  <c r="F209" i="10"/>
  <c r="Z209" i="10" s="1"/>
  <c r="E209" i="10"/>
  <c r="J209" i="10" s="1"/>
  <c r="D209" i="10"/>
  <c r="AQ209" i="10" s="1"/>
  <c r="I208" i="10"/>
  <c r="H208" i="10"/>
  <c r="G208" i="10"/>
  <c r="F208" i="10"/>
  <c r="Z208" i="10" s="1"/>
  <c r="E208" i="10"/>
  <c r="D208" i="10"/>
  <c r="AQ208" i="10" s="1"/>
  <c r="C208" i="10"/>
  <c r="I207" i="10"/>
  <c r="H207" i="10"/>
  <c r="G207" i="10"/>
  <c r="F207" i="10"/>
  <c r="Z207" i="10" s="1"/>
  <c r="E207" i="10"/>
  <c r="D207" i="10"/>
  <c r="AQ207" i="10" s="1"/>
  <c r="C207" i="10"/>
  <c r="I206" i="10"/>
  <c r="H206" i="10"/>
  <c r="G206" i="10"/>
  <c r="F206" i="10"/>
  <c r="Z206" i="10" s="1"/>
  <c r="E206" i="10"/>
  <c r="D206" i="10"/>
  <c r="AQ206" i="10" s="1"/>
  <c r="C206" i="10"/>
  <c r="F205" i="10"/>
  <c r="G205" i="10"/>
  <c r="C205" i="10"/>
  <c r="D205" i="10"/>
  <c r="E205" i="10"/>
  <c r="J205" i="10" s="1"/>
  <c r="Z205" i="10"/>
  <c r="H205" i="10"/>
  <c r="I205" i="10"/>
  <c r="AQ205" i="10"/>
  <c r="C204" i="10"/>
  <c r="I204" i="10"/>
  <c r="H204" i="10"/>
  <c r="G204" i="10"/>
  <c r="F204" i="10"/>
  <c r="Z204" i="10" s="1"/>
  <c r="E204" i="10"/>
  <c r="J204" i="10" s="1"/>
  <c r="D204" i="10"/>
  <c r="AQ204" i="10" s="1"/>
  <c r="H203" i="10"/>
  <c r="I203" i="10"/>
  <c r="D203" i="10"/>
  <c r="AQ203" i="10" s="1"/>
  <c r="C203" i="10"/>
  <c r="E203" i="10"/>
  <c r="F203" i="10"/>
  <c r="Z203" i="10" s="1"/>
  <c r="G203" i="10"/>
  <c r="C202" i="10"/>
  <c r="D202" i="10"/>
  <c r="AQ202" i="10" s="1"/>
  <c r="F202" i="10"/>
  <c r="G202" i="10"/>
  <c r="H202" i="10"/>
  <c r="I202" i="10"/>
  <c r="Z202" i="10"/>
  <c r="E202" i="10"/>
  <c r="J202" i="10" s="1"/>
  <c r="G201" i="10"/>
  <c r="C201" i="10"/>
  <c r="D201" i="10"/>
  <c r="E201" i="10"/>
  <c r="J201" i="10" s="1"/>
  <c r="F201" i="10"/>
  <c r="H201" i="10"/>
  <c r="Z201" i="10"/>
  <c r="AQ201" i="10"/>
  <c r="I201" i="10"/>
  <c r="H200" i="10"/>
  <c r="C200" i="10"/>
  <c r="D200" i="10"/>
  <c r="E200" i="10"/>
  <c r="F200" i="10"/>
  <c r="G200" i="10"/>
  <c r="I200" i="10"/>
  <c r="AQ200" i="10"/>
  <c r="Z200" i="10"/>
  <c r="J200" i="10"/>
  <c r="C199" i="10"/>
  <c r="D199" i="10"/>
  <c r="AQ199" i="10" s="1"/>
  <c r="E199" i="10"/>
  <c r="F199" i="10"/>
  <c r="Z199" i="10" s="1"/>
  <c r="G199" i="10"/>
  <c r="H199" i="10"/>
  <c r="I199" i="10"/>
  <c r="E198" i="10"/>
  <c r="D198" i="10"/>
  <c r="AQ198" i="10" s="1"/>
  <c r="I198" i="10"/>
  <c r="H198" i="10"/>
  <c r="G198" i="10"/>
  <c r="F198" i="10"/>
  <c r="Z198" i="10" s="1"/>
  <c r="C198" i="10"/>
  <c r="I197" i="10"/>
  <c r="H197" i="10"/>
  <c r="G197" i="10"/>
  <c r="F197" i="10"/>
  <c r="Z197" i="10" s="1"/>
  <c r="E197" i="10"/>
  <c r="D197" i="10"/>
  <c r="AQ197" i="10" s="1"/>
  <c r="C197" i="10"/>
  <c r="I196" i="10"/>
  <c r="H196" i="10"/>
  <c r="G196" i="10"/>
  <c r="F196" i="10"/>
  <c r="E196" i="10"/>
  <c r="C196" i="10"/>
  <c r="Z196" i="10"/>
  <c r="D196" i="10"/>
  <c r="AQ196" i="10" s="1"/>
  <c r="F195" i="10"/>
  <c r="E195" i="10"/>
  <c r="G195" i="10"/>
  <c r="H195" i="10"/>
  <c r="I195" i="10"/>
  <c r="C195" i="10"/>
  <c r="J195" i="10" s="1"/>
  <c r="Z195" i="10"/>
  <c r="D195" i="10"/>
  <c r="AQ195" i="10" s="1"/>
  <c r="C194" i="10"/>
  <c r="D194" i="10"/>
  <c r="E194" i="10"/>
  <c r="F194" i="10"/>
  <c r="G194" i="10"/>
  <c r="H194" i="10"/>
  <c r="AQ194" i="10"/>
  <c r="J194" i="10"/>
  <c r="Z194" i="10"/>
  <c r="I194" i="10"/>
  <c r="H193" i="10"/>
  <c r="I193" i="10"/>
  <c r="G193" i="10"/>
  <c r="F193" i="10"/>
  <c r="Z193" i="10" s="1"/>
  <c r="D193" i="10"/>
  <c r="AQ193" i="10" s="1"/>
  <c r="C193" i="10"/>
  <c r="E193" i="10"/>
  <c r="J193" i="10" s="1"/>
  <c r="I192" i="10"/>
  <c r="H192" i="10"/>
  <c r="G192" i="10"/>
  <c r="F192" i="10"/>
  <c r="Z192" i="10" s="1"/>
  <c r="E192" i="10"/>
  <c r="D192" i="10"/>
  <c r="AQ192" i="10" s="1"/>
  <c r="C192" i="10"/>
  <c r="I191" i="10"/>
  <c r="H191" i="10"/>
  <c r="G191" i="10"/>
  <c r="F191" i="10"/>
  <c r="Z191" i="10" s="1"/>
  <c r="E191" i="10"/>
  <c r="D191" i="10"/>
  <c r="AQ191" i="10" s="1"/>
  <c r="C191" i="10"/>
  <c r="I190" i="10"/>
  <c r="C190" i="10"/>
  <c r="D190" i="10"/>
  <c r="AQ190" i="10" s="1"/>
  <c r="E190" i="10"/>
  <c r="F190" i="10"/>
  <c r="Z190" i="10" s="1"/>
  <c r="G190" i="10"/>
  <c r="H190" i="10"/>
  <c r="I189" i="10"/>
  <c r="H189" i="10"/>
  <c r="C189" i="10"/>
  <c r="D189" i="10"/>
  <c r="AQ189" i="10" s="1"/>
  <c r="E189" i="10"/>
  <c r="F189" i="10"/>
  <c r="Z189" i="10" s="1"/>
  <c r="G189" i="10"/>
  <c r="H188" i="10"/>
  <c r="G188" i="10"/>
  <c r="F188" i="10"/>
  <c r="Z188" i="10" s="1"/>
  <c r="E188" i="10"/>
  <c r="D188" i="10"/>
  <c r="AQ188" i="10" s="1"/>
  <c r="C188" i="10"/>
  <c r="I188" i="10"/>
  <c r="I187" i="10"/>
  <c r="C187" i="10"/>
  <c r="D187" i="10"/>
  <c r="E187" i="10"/>
  <c r="F187" i="10"/>
  <c r="G187" i="10"/>
  <c r="H187" i="10"/>
  <c r="Z187" i="10"/>
  <c r="AQ187" i="10"/>
  <c r="F186" i="10"/>
  <c r="Z186" i="10"/>
  <c r="I186" i="10"/>
  <c r="H186" i="10"/>
  <c r="G186" i="10"/>
  <c r="E186" i="10"/>
  <c r="D186" i="10"/>
  <c r="AQ186" i="10" s="1"/>
  <c r="C186" i="10"/>
  <c r="C185" i="10"/>
  <c r="D185" i="10"/>
  <c r="AQ185" i="10" s="1"/>
  <c r="E185" i="10"/>
  <c r="F185" i="10"/>
  <c r="G185" i="10"/>
  <c r="H185" i="10"/>
  <c r="Z185" i="10"/>
  <c r="I185" i="10"/>
  <c r="I184" i="10"/>
  <c r="F184" i="10"/>
  <c r="E184" i="10"/>
  <c r="D184" i="10"/>
  <c r="AQ184" i="10" s="1"/>
  <c r="C184" i="10"/>
  <c r="G184" i="10"/>
  <c r="H184" i="10"/>
  <c r="Z184" i="10"/>
  <c r="C183" i="10"/>
  <c r="D183" i="10"/>
  <c r="AQ183" i="10" s="1"/>
  <c r="F183" i="10"/>
  <c r="G183" i="10"/>
  <c r="H183" i="10"/>
  <c r="I183" i="10"/>
  <c r="Z183" i="10"/>
  <c r="E183" i="10"/>
  <c r="J183" i="10" s="1"/>
  <c r="G182" i="10"/>
  <c r="D182" i="10"/>
  <c r="AQ182" i="10" s="1"/>
  <c r="C182" i="10"/>
  <c r="F182" i="10"/>
  <c r="Z182" i="10" s="1"/>
  <c r="H182" i="10"/>
  <c r="I182" i="10"/>
  <c r="E182" i="10"/>
  <c r="J182" i="10" s="1"/>
  <c r="I181" i="10"/>
  <c r="H181" i="10"/>
  <c r="G181" i="10"/>
  <c r="F181" i="10"/>
  <c r="Z181" i="10" s="1"/>
  <c r="E181" i="10"/>
  <c r="D181" i="10"/>
  <c r="AQ181" i="10" s="1"/>
  <c r="C181" i="10"/>
  <c r="I180" i="10"/>
  <c r="H180" i="10"/>
  <c r="G180" i="10"/>
  <c r="E180" i="10"/>
  <c r="D180" i="10"/>
  <c r="AQ180" i="10" s="1"/>
  <c r="C180" i="10"/>
  <c r="F180" i="10"/>
  <c r="Z180" i="10" s="1"/>
  <c r="C179" i="10"/>
  <c r="D179" i="10"/>
  <c r="AQ179" i="10" s="1"/>
  <c r="E179" i="10"/>
  <c r="F179" i="10"/>
  <c r="G179" i="10"/>
  <c r="H179" i="10"/>
  <c r="I179" i="10"/>
  <c r="J179" i="10"/>
  <c r="Z179" i="10"/>
  <c r="I178" i="10"/>
  <c r="H178" i="10"/>
  <c r="G178" i="10"/>
  <c r="F178" i="10"/>
  <c r="Z178" i="10" s="1"/>
  <c r="E178" i="10"/>
  <c r="D178" i="10"/>
  <c r="AQ178" i="10" s="1"/>
  <c r="C178" i="10"/>
  <c r="I177" i="10"/>
  <c r="H177" i="10"/>
  <c r="G177" i="10"/>
  <c r="E177" i="10"/>
  <c r="D177" i="10"/>
  <c r="AQ177" i="10" s="1"/>
  <c r="C177" i="10"/>
  <c r="F177" i="10"/>
  <c r="Z177" i="10" s="1"/>
  <c r="C176" i="10"/>
  <c r="D176" i="10"/>
  <c r="AQ176" i="10" s="1"/>
  <c r="E176" i="10"/>
  <c r="F176" i="10"/>
  <c r="G176" i="10"/>
  <c r="H176" i="10"/>
  <c r="I176" i="10"/>
  <c r="J176" i="10"/>
  <c r="Z176" i="10"/>
  <c r="D175" i="10"/>
  <c r="E175" i="10"/>
  <c r="F175" i="10"/>
  <c r="G175" i="10"/>
  <c r="H175" i="10"/>
  <c r="I175" i="10"/>
  <c r="Z175" i="10"/>
  <c r="C175" i="10"/>
  <c r="AQ175" i="10"/>
  <c r="I174" i="10"/>
  <c r="H174" i="10"/>
  <c r="C174" i="10"/>
  <c r="F174" i="10"/>
  <c r="E174" i="10"/>
  <c r="D174" i="10"/>
  <c r="AQ174" i="10" s="1"/>
  <c r="Z174" i="10"/>
  <c r="G174" i="10"/>
  <c r="I173" i="10"/>
  <c r="H173" i="10"/>
  <c r="G173" i="10"/>
  <c r="F173" i="10"/>
  <c r="Z173" i="10" s="1"/>
  <c r="E173" i="10"/>
  <c r="D173" i="10"/>
  <c r="AQ173" i="10" s="1"/>
  <c r="C173" i="10"/>
  <c r="I172" i="10"/>
  <c r="H172" i="10"/>
  <c r="G172" i="10"/>
  <c r="F172" i="10"/>
  <c r="Z172" i="10" s="1"/>
  <c r="E172" i="10"/>
  <c r="C172" i="10"/>
  <c r="D172" i="10"/>
  <c r="AQ172" i="10" s="1"/>
  <c r="I171" i="10"/>
  <c r="H171" i="10"/>
  <c r="G171" i="10"/>
  <c r="F171" i="10"/>
  <c r="Z171" i="10" s="1"/>
  <c r="E171" i="10"/>
  <c r="D171" i="10"/>
  <c r="AQ171" i="10" s="1"/>
  <c r="C171" i="10"/>
  <c r="I170" i="10"/>
  <c r="H170" i="10"/>
  <c r="G170" i="10"/>
  <c r="F170" i="10"/>
  <c r="Z170" i="10" s="1"/>
  <c r="E170" i="10"/>
  <c r="D170" i="10"/>
  <c r="AQ170" i="10" s="1"/>
  <c r="C170" i="10"/>
  <c r="I169" i="10"/>
  <c r="H169" i="10"/>
  <c r="G169" i="10"/>
  <c r="F169" i="10"/>
  <c r="Z169" i="10" s="1"/>
  <c r="E169" i="10"/>
  <c r="D169" i="10"/>
  <c r="AQ169" i="10" s="1"/>
  <c r="C169" i="10"/>
  <c r="I168" i="10"/>
  <c r="H168" i="10"/>
  <c r="G168" i="10"/>
  <c r="F168" i="10"/>
  <c r="Z168" i="10" s="1"/>
  <c r="E168" i="10"/>
  <c r="D168" i="10"/>
  <c r="AQ168" i="10" s="1"/>
  <c r="C168" i="10"/>
  <c r="I167" i="10"/>
  <c r="H167" i="10"/>
  <c r="G167" i="10"/>
  <c r="F167" i="10"/>
  <c r="Z167" i="10" s="1"/>
  <c r="E167" i="10"/>
  <c r="D167" i="10"/>
  <c r="AQ167" i="10" s="1"/>
  <c r="C167" i="10"/>
  <c r="I166" i="10"/>
  <c r="H166" i="10"/>
  <c r="G166" i="10"/>
  <c r="F166" i="10"/>
  <c r="Z166" i="10" s="1"/>
  <c r="E166" i="10"/>
  <c r="D166" i="10"/>
  <c r="AQ166" i="10" s="1"/>
  <c r="C166" i="10"/>
  <c r="I165" i="10"/>
  <c r="H165" i="10"/>
  <c r="G165" i="10"/>
  <c r="F165" i="10"/>
  <c r="Z165" i="10" s="1"/>
  <c r="E165" i="10"/>
  <c r="D165" i="10"/>
  <c r="AQ165" i="10" s="1"/>
  <c r="C165" i="10"/>
  <c r="I164" i="10"/>
  <c r="H164" i="10"/>
  <c r="G164" i="10"/>
  <c r="F164" i="10"/>
  <c r="Z164" i="10" s="1"/>
  <c r="E164" i="10"/>
  <c r="D164" i="10"/>
  <c r="AQ164" i="10" s="1"/>
  <c r="C164" i="10"/>
  <c r="I163" i="10"/>
  <c r="H163" i="10"/>
  <c r="G163" i="10"/>
  <c r="F163" i="10"/>
  <c r="Z163" i="10" s="1"/>
  <c r="E163" i="10"/>
  <c r="D163" i="10"/>
  <c r="AQ163" i="10" s="1"/>
  <c r="C163" i="10"/>
  <c r="I162" i="10"/>
  <c r="H162" i="10"/>
  <c r="G162" i="10"/>
  <c r="F162" i="10"/>
  <c r="Z162" i="10" s="1"/>
  <c r="E162" i="10"/>
  <c r="D162" i="10"/>
  <c r="AQ162" i="10" s="1"/>
  <c r="C162" i="10"/>
  <c r="I161" i="10"/>
  <c r="H161" i="10"/>
  <c r="G161" i="10"/>
  <c r="F161" i="10"/>
  <c r="Z161" i="10" s="1"/>
  <c r="E161" i="10"/>
  <c r="D161" i="10"/>
  <c r="AQ161" i="10" s="1"/>
  <c r="C161" i="10"/>
  <c r="I160" i="10"/>
  <c r="H160" i="10"/>
  <c r="G160" i="10"/>
  <c r="F160" i="10"/>
  <c r="Z160" i="10" s="1"/>
  <c r="E160" i="10"/>
  <c r="D160" i="10"/>
  <c r="AQ160" i="10" s="1"/>
  <c r="C160" i="10"/>
  <c r="I159" i="10"/>
  <c r="H159" i="10"/>
  <c r="G159" i="10"/>
  <c r="F159" i="10"/>
  <c r="Z159" i="10" s="1"/>
  <c r="E159" i="10"/>
  <c r="D159" i="10"/>
  <c r="AQ159" i="10" s="1"/>
  <c r="C159" i="10"/>
  <c r="I158" i="10"/>
  <c r="H158" i="10"/>
  <c r="G158" i="10"/>
  <c r="F158" i="10"/>
  <c r="Z158" i="10" s="1"/>
  <c r="E158" i="10"/>
  <c r="D158" i="10"/>
  <c r="AQ158" i="10" s="1"/>
  <c r="C158" i="10"/>
  <c r="F157" i="10"/>
  <c r="Z157" i="10"/>
  <c r="I157" i="10"/>
  <c r="G157" i="10"/>
  <c r="E157" i="10"/>
  <c r="C157" i="10"/>
  <c r="H157" i="10"/>
  <c r="D157" i="10"/>
  <c r="AQ157" i="10" s="1"/>
  <c r="H156" i="10"/>
  <c r="E156" i="10"/>
  <c r="C156" i="10"/>
  <c r="I156" i="10"/>
  <c r="G156" i="10"/>
  <c r="J156" i="10" s="1"/>
  <c r="F156" i="10"/>
  <c r="Z156" i="10" s="1"/>
  <c r="D156" i="10"/>
  <c r="AQ156" i="10" s="1"/>
  <c r="C154" i="10"/>
  <c r="D154" i="10"/>
  <c r="AQ154" i="10" s="1"/>
  <c r="E154" i="10"/>
  <c r="F154" i="10"/>
  <c r="G154" i="10"/>
  <c r="H154" i="10"/>
  <c r="I154" i="10"/>
  <c r="J154" i="10"/>
  <c r="Z154" i="10"/>
  <c r="E153" i="10"/>
  <c r="F153" i="10"/>
  <c r="H153" i="10"/>
  <c r="I153" i="10"/>
  <c r="Z153" i="10"/>
  <c r="G153" i="10"/>
  <c r="C153" i="10"/>
  <c r="D153" i="10"/>
  <c r="AQ153" i="10" s="1"/>
  <c r="H152" i="10"/>
  <c r="G152" i="10"/>
  <c r="F152" i="10"/>
  <c r="E152" i="10"/>
  <c r="D152" i="10"/>
  <c r="C152" i="10"/>
  <c r="I152" i="10"/>
  <c r="J152" i="10"/>
  <c r="Z152" i="10"/>
  <c r="AQ152" i="10"/>
  <c r="C151" i="10"/>
  <c r="D151" i="10"/>
  <c r="AQ151" i="10" s="1"/>
  <c r="E151" i="10"/>
  <c r="F151" i="10"/>
  <c r="Z151" i="10" s="1"/>
  <c r="G151" i="10"/>
  <c r="H151" i="10"/>
  <c r="I151" i="10"/>
  <c r="G150" i="10"/>
  <c r="H150" i="10"/>
  <c r="C150" i="10"/>
  <c r="D150" i="10"/>
  <c r="AQ150" i="10" s="1"/>
  <c r="I150" i="10"/>
  <c r="E150" i="10"/>
  <c r="J150" i="10" s="1"/>
  <c r="F150" i="10"/>
  <c r="Z150" i="10" s="1"/>
  <c r="H149" i="10"/>
  <c r="I149" i="10"/>
  <c r="C149" i="10"/>
  <c r="D149" i="10"/>
  <c r="AQ149" i="10" s="1"/>
  <c r="E149" i="10"/>
  <c r="F149" i="10"/>
  <c r="Z149" i="10" s="1"/>
  <c r="G149" i="10"/>
  <c r="C148" i="10"/>
  <c r="D148" i="10"/>
  <c r="E148" i="10"/>
  <c r="F148" i="10"/>
  <c r="Z148" i="10" s="1"/>
  <c r="G148" i="10"/>
  <c r="H148" i="10"/>
  <c r="J148" i="10"/>
  <c r="I148" i="10"/>
  <c r="AQ148" i="10"/>
  <c r="I147" i="10"/>
  <c r="H147" i="10"/>
  <c r="G147" i="10"/>
  <c r="F147" i="10"/>
  <c r="Z147" i="10" s="1"/>
  <c r="E147" i="10"/>
  <c r="D147" i="10"/>
  <c r="AQ147" i="10" s="1"/>
  <c r="C147" i="10"/>
  <c r="F146" i="10"/>
  <c r="H146" i="10"/>
  <c r="G146" i="10"/>
  <c r="C146" i="10"/>
  <c r="D146" i="10"/>
  <c r="AQ146" i="10" s="1"/>
  <c r="E146" i="10"/>
  <c r="J146" i="10" s="1"/>
  <c r="Z146" i="10"/>
  <c r="I146" i="10"/>
  <c r="I145" i="10"/>
  <c r="H145" i="10"/>
  <c r="G145" i="10"/>
  <c r="F145" i="10"/>
  <c r="Z145" i="10" s="1"/>
  <c r="E145" i="10"/>
  <c r="D145" i="10"/>
  <c r="AQ145" i="10" s="1"/>
  <c r="C145" i="10"/>
  <c r="I144" i="10"/>
  <c r="H144" i="10"/>
  <c r="G144" i="10"/>
  <c r="F144" i="10"/>
  <c r="Z144" i="10" s="1"/>
  <c r="E144" i="10"/>
  <c r="D144" i="10"/>
  <c r="AQ144" i="10" s="1"/>
  <c r="C144" i="10"/>
  <c r="I143" i="10"/>
  <c r="H143" i="10"/>
  <c r="G143" i="10"/>
  <c r="F143" i="10"/>
  <c r="Z143" i="10" s="1"/>
  <c r="E143" i="10"/>
  <c r="D143" i="10"/>
  <c r="AQ143" i="10" s="1"/>
  <c r="C143" i="10"/>
  <c r="I142" i="10"/>
  <c r="H142" i="10"/>
  <c r="G142" i="10"/>
  <c r="F142" i="10"/>
  <c r="Z142" i="10" s="1"/>
  <c r="E142" i="10"/>
  <c r="D142" i="10"/>
  <c r="AQ142" i="10" s="1"/>
  <c r="C142" i="10"/>
  <c r="I141" i="10"/>
  <c r="H141" i="10"/>
  <c r="G141" i="10"/>
  <c r="F141" i="10"/>
  <c r="Z141" i="10" s="1"/>
  <c r="E141" i="10"/>
  <c r="D141" i="10"/>
  <c r="AQ141" i="10" s="1"/>
  <c r="C141" i="10"/>
  <c r="I140" i="10"/>
  <c r="H140" i="10"/>
  <c r="G140" i="10"/>
  <c r="F140" i="10"/>
  <c r="Z140" i="10" s="1"/>
  <c r="E140" i="10"/>
  <c r="D140" i="10"/>
  <c r="AQ140" i="10" s="1"/>
  <c r="C140" i="10"/>
  <c r="I139" i="10"/>
  <c r="H139" i="10"/>
  <c r="G139" i="10"/>
  <c r="F139" i="10"/>
  <c r="Z139" i="10" s="1"/>
  <c r="E139" i="10"/>
  <c r="D139" i="10"/>
  <c r="AQ139" i="10" s="1"/>
  <c r="C139" i="10"/>
  <c r="D138" i="10"/>
  <c r="AQ138" i="10" s="1"/>
  <c r="I138" i="10"/>
  <c r="H138" i="10"/>
  <c r="G138" i="10"/>
  <c r="F138" i="10"/>
  <c r="Z138" i="10" s="1"/>
  <c r="E138" i="10"/>
  <c r="C138" i="10"/>
  <c r="I137" i="10"/>
  <c r="H137" i="10"/>
  <c r="G137" i="10"/>
  <c r="F137" i="10"/>
  <c r="Z137" i="10" s="1"/>
  <c r="E137" i="10"/>
  <c r="D137" i="10"/>
  <c r="AQ137" i="10" s="1"/>
  <c r="C137" i="10"/>
  <c r="I136" i="10"/>
  <c r="H136" i="10"/>
  <c r="G136" i="10"/>
  <c r="F136" i="10"/>
  <c r="Z136" i="10" s="1"/>
  <c r="E136" i="10"/>
  <c r="D136" i="10"/>
  <c r="AQ136" i="10" s="1"/>
  <c r="C136" i="10"/>
  <c r="I135" i="10"/>
  <c r="H135" i="10"/>
  <c r="G135" i="10"/>
  <c r="F135" i="10"/>
  <c r="Z135" i="10" s="1"/>
  <c r="E135" i="10"/>
  <c r="C135" i="10"/>
  <c r="D135" i="10"/>
  <c r="AQ135" i="10" s="1"/>
  <c r="C134" i="10"/>
  <c r="D134" i="10"/>
  <c r="E134" i="10"/>
  <c r="F134" i="10"/>
  <c r="G134" i="10"/>
  <c r="H134" i="10"/>
  <c r="I134" i="10"/>
  <c r="J134" i="10"/>
  <c r="Z134" i="10"/>
  <c r="AQ134" i="10"/>
  <c r="C133" i="10"/>
  <c r="D133" i="10"/>
  <c r="E133" i="10"/>
  <c r="F133" i="10"/>
  <c r="G133" i="10"/>
  <c r="H133" i="10"/>
  <c r="I133" i="10"/>
  <c r="J133" i="10"/>
  <c r="AQ133" i="10"/>
  <c r="Z133" i="10"/>
  <c r="I132" i="10"/>
  <c r="H132" i="10"/>
  <c r="G132" i="10"/>
  <c r="F132" i="10"/>
  <c r="Z132" i="10" s="1"/>
  <c r="E132" i="10"/>
  <c r="D132" i="10"/>
  <c r="AQ132" i="10" s="1"/>
  <c r="C132" i="10"/>
  <c r="G131" i="10"/>
  <c r="H131" i="10"/>
  <c r="D131" i="10"/>
  <c r="AQ131" i="10" s="1"/>
  <c r="E131" i="10"/>
  <c r="F131" i="10"/>
  <c r="C131" i="10"/>
  <c r="Z131" i="10"/>
  <c r="J131" i="10"/>
  <c r="I131" i="10"/>
  <c r="E130" i="10"/>
  <c r="D130" i="10"/>
  <c r="AQ130" i="10" s="1"/>
  <c r="C130" i="10"/>
  <c r="G130" i="10"/>
  <c r="H130" i="10"/>
  <c r="F130" i="10"/>
  <c r="J130" i="10"/>
  <c r="I130" i="10"/>
  <c r="Z130" i="10"/>
  <c r="C129" i="10"/>
  <c r="D129" i="10"/>
  <c r="AQ129" i="10" s="1"/>
  <c r="E129" i="10"/>
  <c r="F129" i="10"/>
  <c r="Z129" i="10" s="1"/>
  <c r="G129" i="10"/>
  <c r="H129" i="10"/>
  <c r="I129" i="10"/>
  <c r="F128" i="10"/>
  <c r="E128" i="10"/>
  <c r="D128" i="10"/>
  <c r="Z128" i="10"/>
  <c r="I128" i="10"/>
  <c r="C128" i="10"/>
  <c r="AQ128" i="10"/>
  <c r="H128" i="10"/>
  <c r="G128" i="10"/>
  <c r="J128" i="10" s="1"/>
  <c r="H127" i="10"/>
  <c r="G127" i="10"/>
  <c r="F127" i="10"/>
  <c r="E127" i="10"/>
  <c r="D127" i="10"/>
  <c r="AQ127" i="10" s="1"/>
  <c r="C127" i="10"/>
  <c r="I127" i="10"/>
  <c r="Z127" i="10"/>
  <c r="J127" i="10"/>
  <c r="F126" i="10"/>
  <c r="E126" i="10"/>
  <c r="D126" i="10"/>
  <c r="AQ126" i="10" s="1"/>
  <c r="C126" i="10"/>
  <c r="Z126" i="10"/>
  <c r="I126" i="10"/>
  <c r="H126" i="10"/>
  <c r="G126" i="10"/>
  <c r="J126" i="10" s="1"/>
  <c r="C125" i="10"/>
  <c r="H125" i="10"/>
  <c r="G125" i="10"/>
  <c r="I125" i="10"/>
  <c r="F125" i="10"/>
  <c r="Z125" i="10" s="1"/>
  <c r="E125" i="10"/>
  <c r="J125" i="10" s="1"/>
  <c r="D125" i="10"/>
  <c r="AQ125" i="10" s="1"/>
  <c r="I124" i="10"/>
  <c r="H124" i="10"/>
  <c r="G124" i="10"/>
  <c r="F124" i="10"/>
  <c r="Z124" i="10" s="1"/>
  <c r="E124" i="10"/>
  <c r="D124" i="10"/>
  <c r="AQ124" i="10" s="1"/>
  <c r="C124" i="10"/>
  <c r="I123" i="10"/>
  <c r="H123" i="10"/>
  <c r="G123" i="10"/>
  <c r="F123" i="10"/>
  <c r="Z123" i="10" s="1"/>
  <c r="E123" i="10"/>
  <c r="D123" i="10"/>
  <c r="AQ123" i="10" s="1"/>
  <c r="C123" i="10"/>
  <c r="H122" i="10"/>
  <c r="F122" i="10"/>
  <c r="Z122" i="10" s="1"/>
  <c r="E122" i="10"/>
  <c r="D122" i="10"/>
  <c r="AQ122" i="10" s="1"/>
  <c r="C122" i="10"/>
  <c r="G122" i="10"/>
  <c r="J122" i="10"/>
  <c r="I122" i="10"/>
  <c r="E121" i="10"/>
  <c r="C121" i="10"/>
  <c r="D121" i="10"/>
  <c r="AQ121" i="10" s="1"/>
  <c r="F121" i="10"/>
  <c r="Z121" i="10" s="1"/>
  <c r="G121" i="10"/>
  <c r="H121" i="10"/>
  <c r="I121" i="10"/>
  <c r="F120" i="10"/>
  <c r="Z120" i="10" s="1"/>
  <c r="E120" i="10"/>
  <c r="D120" i="10"/>
  <c r="AQ120" i="10" s="1"/>
  <c r="C120" i="10"/>
  <c r="G120" i="10"/>
  <c r="H120" i="10"/>
  <c r="I120" i="10"/>
  <c r="D119" i="10"/>
  <c r="AQ119" i="10" s="1"/>
  <c r="C119" i="10"/>
  <c r="G119" i="10"/>
  <c r="E119" i="10"/>
  <c r="H119" i="10"/>
  <c r="I119" i="10"/>
  <c r="F119" i="10"/>
  <c r="Z119" i="10"/>
  <c r="G118" i="10"/>
  <c r="F118" i="10"/>
  <c r="E118" i="10"/>
  <c r="D118" i="10"/>
  <c r="AQ118" i="10" s="1"/>
  <c r="C118" i="10"/>
  <c r="J118" i="10" s="1"/>
  <c r="Z118" i="10"/>
  <c r="I118" i="10"/>
  <c r="H118" i="10"/>
  <c r="H117" i="10"/>
  <c r="G117" i="10"/>
  <c r="F117" i="10"/>
  <c r="E117" i="10"/>
  <c r="C117" i="10"/>
  <c r="J117" i="10" s="1"/>
  <c r="D117" i="10"/>
  <c r="AQ117" i="10" s="1"/>
  <c r="Z117" i="10"/>
  <c r="I117" i="10"/>
  <c r="C116" i="10"/>
  <c r="D116" i="10"/>
  <c r="E116" i="10"/>
  <c r="G116" i="10"/>
  <c r="H116" i="10"/>
  <c r="I116" i="10"/>
  <c r="F116" i="10"/>
  <c r="Z116" i="10" s="1"/>
  <c r="AQ116" i="10"/>
  <c r="I115" i="10"/>
  <c r="H115" i="10"/>
  <c r="G115" i="10"/>
  <c r="C115" i="10"/>
  <c r="D115" i="10"/>
  <c r="AQ115" i="10" s="1"/>
  <c r="E115" i="10"/>
  <c r="F115" i="10"/>
  <c r="Z115" i="10" s="1"/>
  <c r="H114" i="10"/>
  <c r="F114" i="10"/>
  <c r="I114" i="10"/>
  <c r="Z114" i="10"/>
  <c r="C114" i="10"/>
  <c r="D114" i="10"/>
  <c r="AQ114" i="10" s="1"/>
  <c r="E114" i="10"/>
  <c r="G114" i="10"/>
  <c r="F113" i="10"/>
  <c r="E113" i="10"/>
  <c r="D113" i="10"/>
  <c r="AQ113" i="10" s="1"/>
  <c r="C113" i="10"/>
  <c r="Z113" i="10"/>
  <c r="I113" i="10"/>
  <c r="H113" i="10"/>
  <c r="G113" i="10"/>
  <c r="J113" i="10" s="1"/>
  <c r="G112" i="10"/>
  <c r="F112" i="10"/>
  <c r="E112" i="10"/>
  <c r="D112" i="10"/>
  <c r="AQ112" i="10" s="1"/>
  <c r="C112" i="10"/>
  <c r="Z112" i="10"/>
  <c r="I112" i="10"/>
  <c r="H112" i="10"/>
  <c r="H111" i="10"/>
  <c r="F111" i="10"/>
  <c r="Z111" i="10" s="1"/>
  <c r="G111" i="10"/>
  <c r="D111" i="10"/>
  <c r="AQ111" i="10" s="1"/>
  <c r="C111" i="10"/>
  <c r="I111" i="10"/>
  <c r="E111" i="10"/>
  <c r="J111" i="10" s="1"/>
  <c r="I110" i="10"/>
  <c r="C110" i="10"/>
  <c r="D110" i="10"/>
  <c r="AQ110" i="10" s="1"/>
  <c r="E110" i="10"/>
  <c r="F110" i="10"/>
  <c r="Z110" i="10" s="1"/>
  <c r="G110" i="10"/>
  <c r="H110" i="10"/>
  <c r="I109" i="10"/>
  <c r="C109" i="10"/>
  <c r="D109" i="10"/>
  <c r="AQ109" i="10" s="1"/>
  <c r="E109" i="10"/>
  <c r="F109" i="10"/>
  <c r="Z109" i="10" s="1"/>
  <c r="G109" i="10"/>
  <c r="H109" i="10"/>
  <c r="F108" i="10"/>
  <c r="E108" i="10"/>
  <c r="D108" i="10"/>
  <c r="C108" i="10"/>
  <c r="I108" i="10"/>
  <c r="H108" i="10"/>
  <c r="G108" i="10"/>
  <c r="AQ108" i="10"/>
  <c r="Z108" i="10"/>
  <c r="J108" i="10"/>
  <c r="D107" i="10"/>
  <c r="AQ107" i="10" s="1"/>
  <c r="E107" i="10"/>
  <c r="C107" i="10"/>
  <c r="F107" i="10"/>
  <c r="Z107" i="10" s="1"/>
  <c r="G107" i="10"/>
  <c r="H107" i="10"/>
  <c r="I107" i="10"/>
  <c r="H106" i="10"/>
  <c r="F106" i="10"/>
  <c r="E106" i="10"/>
  <c r="D106" i="10"/>
  <c r="AQ106" i="10" s="1"/>
  <c r="C106" i="10"/>
  <c r="G106" i="10"/>
  <c r="Z106" i="10"/>
  <c r="I106" i="10"/>
  <c r="C105" i="10"/>
  <c r="F105" i="10"/>
  <c r="D105" i="10"/>
  <c r="AQ105" i="10" s="1"/>
  <c r="E105" i="10"/>
  <c r="G105" i="10"/>
  <c r="H105" i="10"/>
  <c r="I105" i="10"/>
  <c r="J105" i="10"/>
  <c r="Z105" i="10"/>
  <c r="D104" i="10"/>
  <c r="C104" i="10"/>
  <c r="E104" i="10"/>
  <c r="F104" i="10"/>
  <c r="Z104" i="10" s="1"/>
  <c r="G104" i="10"/>
  <c r="H104" i="10"/>
  <c r="I104" i="10"/>
  <c r="AQ104" i="10"/>
  <c r="J104" i="10"/>
  <c r="G103" i="10"/>
  <c r="F103" i="10"/>
  <c r="E103" i="10"/>
  <c r="D103" i="10"/>
  <c r="C103" i="10"/>
  <c r="I103" i="10"/>
  <c r="J103" i="10"/>
  <c r="Z103" i="10"/>
  <c r="AQ103" i="10"/>
  <c r="H103" i="10"/>
  <c r="I102" i="10"/>
  <c r="H102" i="10"/>
  <c r="G102" i="10"/>
  <c r="F102" i="10"/>
  <c r="Z102" i="10" s="1"/>
  <c r="C102" i="10"/>
  <c r="D102" i="10"/>
  <c r="AQ102" i="10" s="1"/>
  <c r="E102" i="10"/>
  <c r="J102" i="10" s="1"/>
  <c r="H101" i="10"/>
  <c r="G101" i="10"/>
  <c r="F101" i="10"/>
  <c r="Z101" i="10" s="1"/>
  <c r="E101" i="10"/>
  <c r="D101" i="10"/>
  <c r="AQ101" i="10" s="1"/>
  <c r="C101" i="10"/>
  <c r="I101" i="10"/>
  <c r="H100" i="10"/>
  <c r="C100" i="10"/>
  <c r="E100" i="10"/>
  <c r="D100" i="10"/>
  <c r="AQ100" i="10" s="1"/>
  <c r="G100" i="10"/>
  <c r="F100" i="10"/>
  <c r="Z100" i="10" s="1"/>
  <c r="J100" i="10"/>
  <c r="I100" i="10"/>
  <c r="C99" i="10"/>
  <c r="I99" i="10"/>
  <c r="D99" i="10"/>
  <c r="AQ99" i="10" s="1"/>
  <c r="E99" i="10"/>
  <c r="F99" i="10"/>
  <c r="Z99" i="10" s="1"/>
  <c r="G99" i="10"/>
  <c r="H99" i="10"/>
  <c r="J99" i="10"/>
  <c r="C98" i="10"/>
  <c r="I98" i="10"/>
  <c r="D98" i="10"/>
  <c r="AQ98" i="10" s="1"/>
  <c r="E98" i="10"/>
  <c r="F98" i="10"/>
  <c r="Z98" i="10" s="1"/>
  <c r="G98" i="10"/>
  <c r="H98" i="10"/>
  <c r="D97" i="10"/>
  <c r="E97" i="10"/>
  <c r="F97" i="10"/>
  <c r="C97" i="10"/>
  <c r="G97" i="10"/>
  <c r="H97" i="10"/>
  <c r="I97" i="10"/>
  <c r="Z97" i="10"/>
  <c r="AQ97" i="10"/>
  <c r="J97" i="10"/>
  <c r="I96" i="10"/>
  <c r="H96" i="10"/>
  <c r="G96" i="10"/>
  <c r="F96" i="10"/>
  <c r="Z96" i="10" s="1"/>
  <c r="E96" i="10"/>
  <c r="D96" i="10"/>
  <c r="AQ96" i="10" s="1"/>
  <c r="C96" i="10"/>
  <c r="C95" i="10"/>
  <c r="E95" i="10"/>
  <c r="G95" i="10"/>
  <c r="H95" i="10"/>
  <c r="I95" i="10"/>
  <c r="D95" i="10"/>
  <c r="AQ95" i="10" s="1"/>
  <c r="F95" i="10"/>
  <c r="Z95" i="10" s="1"/>
  <c r="I94" i="10"/>
  <c r="D94" i="10"/>
  <c r="AQ94" i="10" s="1"/>
  <c r="E94" i="10"/>
  <c r="F94" i="10"/>
  <c r="Z94" i="10" s="1"/>
  <c r="G94" i="10"/>
  <c r="H94" i="10"/>
  <c r="C94" i="10"/>
  <c r="I93" i="10"/>
  <c r="H93" i="10"/>
  <c r="E93" i="10"/>
  <c r="G93" i="10"/>
  <c r="C93" i="10"/>
  <c r="D93" i="10"/>
  <c r="AQ93" i="10" s="1"/>
  <c r="F93" i="10"/>
  <c r="Z93" i="10" s="1"/>
  <c r="C92" i="10"/>
  <c r="I92" i="10"/>
  <c r="H92" i="10"/>
  <c r="G92" i="10"/>
  <c r="F92" i="10"/>
  <c r="Z92" i="10" s="1"/>
  <c r="E92" i="10"/>
  <c r="D92" i="10"/>
  <c r="AQ92" i="10" s="1"/>
  <c r="C91" i="10"/>
  <c r="D91" i="10"/>
  <c r="I91" i="10"/>
  <c r="H91" i="10"/>
  <c r="G91" i="10"/>
  <c r="F91" i="10"/>
  <c r="E91" i="10"/>
  <c r="J91" i="10" s="1"/>
  <c r="AQ91" i="10"/>
  <c r="Z91" i="10"/>
  <c r="G90" i="10"/>
  <c r="F90" i="10"/>
  <c r="E90" i="10"/>
  <c r="D90" i="10"/>
  <c r="AQ90" i="10" s="1"/>
  <c r="C90" i="10"/>
  <c r="Z90" i="10"/>
  <c r="I90" i="10"/>
  <c r="H90" i="10"/>
  <c r="E89" i="10"/>
  <c r="D89" i="10"/>
  <c r="C89" i="10"/>
  <c r="F89" i="10"/>
  <c r="I89" i="10"/>
  <c r="G89" i="10"/>
  <c r="Z89" i="10"/>
  <c r="AQ89" i="10"/>
  <c r="H89" i="10"/>
  <c r="C88" i="10"/>
  <c r="D88" i="10"/>
  <c r="AQ88" i="10" s="1"/>
  <c r="E88" i="10"/>
  <c r="F88" i="10"/>
  <c r="Z88" i="10" s="1"/>
  <c r="G88" i="10"/>
  <c r="H88" i="10"/>
  <c r="I88" i="10"/>
  <c r="C87" i="10"/>
  <c r="D87" i="10"/>
  <c r="AQ87" i="10" s="1"/>
  <c r="I87" i="10"/>
  <c r="H87" i="10"/>
  <c r="G87" i="10"/>
  <c r="E87" i="10"/>
  <c r="J87" i="10" s="1"/>
  <c r="F87" i="10"/>
  <c r="Z87" i="10" s="1"/>
  <c r="E86" i="10"/>
  <c r="I86" i="10"/>
  <c r="G86" i="10"/>
  <c r="F86" i="10"/>
  <c r="D86" i="10"/>
  <c r="AQ86" i="10" s="1"/>
  <c r="C86" i="10"/>
  <c r="Z86" i="10"/>
  <c r="H86" i="10"/>
  <c r="C85" i="10"/>
  <c r="D85" i="10"/>
  <c r="AQ85" i="10" s="1"/>
  <c r="E85" i="10"/>
  <c r="F85" i="10"/>
  <c r="G85" i="10"/>
  <c r="H85" i="10"/>
  <c r="I85" i="10"/>
  <c r="Z85" i="10"/>
  <c r="C84" i="10"/>
  <c r="D84" i="10"/>
  <c r="E84" i="10"/>
  <c r="F84" i="10"/>
  <c r="I84" i="10"/>
  <c r="G84" i="10"/>
  <c r="AQ84" i="10"/>
  <c r="Z84" i="10"/>
  <c r="H84" i="10"/>
  <c r="E83" i="10"/>
  <c r="F83" i="10"/>
  <c r="C83" i="10"/>
  <c r="D83" i="10"/>
  <c r="AQ83" i="10" s="1"/>
  <c r="G83" i="10"/>
  <c r="H83" i="10"/>
  <c r="I83" i="10"/>
  <c r="Z83" i="10"/>
  <c r="G82" i="10"/>
  <c r="C82" i="10"/>
  <c r="D82" i="10"/>
  <c r="AQ82" i="10" s="1"/>
  <c r="E82" i="10"/>
  <c r="F82" i="10"/>
  <c r="Z82" i="10" s="1"/>
  <c r="H82" i="10"/>
  <c r="I82" i="10"/>
  <c r="H81" i="10"/>
  <c r="G81" i="10"/>
  <c r="F81" i="10"/>
  <c r="Z81" i="10" s="1"/>
  <c r="E81" i="10"/>
  <c r="D81" i="10"/>
  <c r="AQ81" i="10" s="1"/>
  <c r="C81" i="10"/>
  <c r="I81" i="10"/>
  <c r="C80" i="10"/>
  <c r="D80" i="10"/>
  <c r="AQ80" i="10" s="1"/>
  <c r="E80" i="10"/>
  <c r="F80" i="10"/>
  <c r="Z80" i="10" s="1"/>
  <c r="G80" i="10"/>
  <c r="H80" i="10"/>
  <c r="I80" i="10"/>
  <c r="I79" i="10"/>
  <c r="H79" i="10"/>
  <c r="G79" i="10"/>
  <c r="F79" i="10"/>
  <c r="E79" i="10"/>
  <c r="D79" i="10"/>
  <c r="C79" i="10"/>
  <c r="Z79" i="10"/>
  <c r="AQ79" i="10"/>
  <c r="I78" i="10"/>
  <c r="H78" i="10"/>
  <c r="G78" i="10"/>
  <c r="F78" i="10"/>
  <c r="Z78" i="10" s="1"/>
  <c r="E78" i="10"/>
  <c r="D78" i="10"/>
  <c r="AQ78" i="10" s="1"/>
  <c r="C78" i="10"/>
  <c r="I77" i="10"/>
  <c r="H77" i="10"/>
  <c r="G77" i="10"/>
  <c r="F77" i="10"/>
  <c r="Z77" i="10" s="1"/>
  <c r="E77" i="10"/>
  <c r="D77" i="10"/>
  <c r="AQ77" i="10" s="1"/>
  <c r="C77" i="10"/>
  <c r="D76" i="10"/>
  <c r="AQ76" i="10" s="1"/>
  <c r="I76" i="10"/>
  <c r="H76" i="10"/>
  <c r="F76" i="10"/>
  <c r="Z76" i="10" s="1"/>
  <c r="E76" i="10"/>
  <c r="C76" i="10"/>
  <c r="G76" i="10"/>
  <c r="I75" i="10"/>
  <c r="G75" i="10"/>
  <c r="H75" i="10"/>
  <c r="C75" i="10"/>
  <c r="D75" i="10"/>
  <c r="E75" i="10"/>
  <c r="J75" i="10" s="1"/>
  <c r="F75" i="10"/>
  <c r="Z75" i="10" s="1"/>
  <c r="AQ75" i="10"/>
  <c r="I74" i="10"/>
  <c r="G74" i="10"/>
  <c r="H74" i="10"/>
  <c r="F74" i="10"/>
  <c r="E74" i="10"/>
  <c r="D74" i="10"/>
  <c r="C74" i="10"/>
  <c r="AQ74" i="10"/>
  <c r="Z74" i="10"/>
  <c r="J74" i="10"/>
  <c r="I73" i="10"/>
  <c r="E73" i="10"/>
  <c r="F73" i="10"/>
  <c r="Z73" i="10" s="1"/>
  <c r="G73" i="10"/>
  <c r="H73" i="10"/>
  <c r="C73" i="10"/>
  <c r="D73" i="10"/>
  <c r="AQ73" i="10" s="1"/>
  <c r="D72" i="10"/>
  <c r="E72" i="10"/>
  <c r="F72" i="10"/>
  <c r="G72" i="10"/>
  <c r="H72" i="10"/>
  <c r="I72" i="10"/>
  <c r="Z72" i="10"/>
  <c r="AQ72" i="10"/>
  <c r="C72" i="10"/>
  <c r="J72" i="10" s="1"/>
  <c r="D71" i="10"/>
  <c r="C71" i="10"/>
  <c r="I71" i="10"/>
  <c r="H71" i="10"/>
  <c r="G71" i="10"/>
  <c r="F71" i="10"/>
  <c r="Z71" i="10" s="1"/>
  <c r="E71" i="10"/>
  <c r="J71" i="10" s="1"/>
  <c r="AQ71" i="10"/>
  <c r="D70" i="10"/>
  <c r="C70" i="10"/>
  <c r="I70" i="10"/>
  <c r="H70" i="10"/>
  <c r="G70" i="10"/>
  <c r="F70" i="10"/>
  <c r="Z70" i="10" s="1"/>
  <c r="E70" i="10"/>
  <c r="J70" i="10" s="1"/>
  <c r="AQ70" i="10"/>
  <c r="H69" i="10"/>
  <c r="I69" i="10"/>
  <c r="G69" i="10"/>
  <c r="D69" i="10"/>
  <c r="AQ69" i="10" s="1"/>
  <c r="F69" i="10"/>
  <c r="E69" i="10"/>
  <c r="C69" i="10"/>
  <c r="Z69" i="10"/>
  <c r="C68" i="10"/>
  <c r="E68" i="10"/>
  <c r="F68" i="10"/>
  <c r="G68" i="10"/>
  <c r="D68" i="10"/>
  <c r="Z68" i="10"/>
  <c r="AQ68" i="10"/>
  <c r="J68" i="10"/>
  <c r="I68" i="10"/>
  <c r="H68" i="10"/>
  <c r="I67" i="10"/>
  <c r="F67" i="10"/>
  <c r="C67" i="10"/>
  <c r="E67" i="10"/>
  <c r="D67" i="10"/>
  <c r="AQ67" i="10" s="1"/>
  <c r="Z67" i="10"/>
  <c r="G67" i="10"/>
  <c r="H67" i="10"/>
  <c r="I66" i="10"/>
  <c r="H66" i="10"/>
  <c r="G66" i="10"/>
  <c r="F66" i="10"/>
  <c r="E66" i="10"/>
  <c r="D66" i="10"/>
  <c r="AQ66" i="10"/>
  <c r="C66" i="10"/>
  <c r="Z66" i="10"/>
  <c r="I65" i="10"/>
  <c r="H65" i="10"/>
  <c r="G65" i="10"/>
  <c r="F65" i="10"/>
  <c r="Z65" i="10" s="1"/>
  <c r="E65" i="10"/>
  <c r="D65" i="10"/>
  <c r="C65" i="10"/>
  <c r="AQ65" i="10"/>
  <c r="I64" i="10"/>
  <c r="H64" i="10"/>
  <c r="G64" i="10"/>
  <c r="F64" i="10"/>
  <c r="E64" i="10"/>
  <c r="D64" i="10"/>
  <c r="AQ64" i="10" s="1"/>
  <c r="C64" i="10"/>
  <c r="Z64" i="10"/>
  <c r="I63" i="10"/>
  <c r="H63" i="10"/>
  <c r="G63" i="10"/>
  <c r="F63" i="10"/>
  <c r="E63" i="10"/>
  <c r="D63" i="10"/>
  <c r="C63" i="10"/>
  <c r="AQ63" i="10"/>
  <c r="Z63" i="10"/>
  <c r="G62" i="10"/>
  <c r="H62" i="10"/>
  <c r="I62" i="10"/>
  <c r="F62" i="10"/>
  <c r="Z62" i="10" s="1"/>
  <c r="E62" i="10"/>
  <c r="D62" i="10"/>
  <c r="AQ62" i="10" s="1"/>
  <c r="C62" i="10"/>
  <c r="E61" i="10"/>
  <c r="D61" i="10"/>
  <c r="AQ61" i="10"/>
  <c r="C61" i="10"/>
  <c r="I61" i="10"/>
  <c r="H61" i="10"/>
  <c r="G61" i="10"/>
  <c r="J61" i="10" s="1"/>
  <c r="F61" i="10"/>
  <c r="Z61" i="10" s="1"/>
  <c r="D60" i="10"/>
  <c r="C60" i="10"/>
  <c r="AQ60" i="10"/>
  <c r="I60" i="10"/>
  <c r="H60" i="10"/>
  <c r="G60" i="10"/>
  <c r="F60" i="10"/>
  <c r="Z60" i="10" s="1"/>
  <c r="E60" i="10"/>
  <c r="J60" i="10" s="1"/>
  <c r="I59" i="10"/>
  <c r="H59" i="10"/>
  <c r="G59" i="10"/>
  <c r="F59" i="10"/>
  <c r="Z59" i="10" s="1"/>
  <c r="E59" i="10"/>
  <c r="D59" i="10"/>
  <c r="AQ59" i="10" s="1"/>
  <c r="C59" i="10"/>
  <c r="F58" i="10"/>
  <c r="E58" i="10"/>
  <c r="C58" i="10"/>
  <c r="D58" i="10"/>
  <c r="AQ58" i="10"/>
  <c r="Z58" i="10"/>
  <c r="I58" i="10"/>
  <c r="H58" i="10"/>
  <c r="G58" i="10"/>
  <c r="J58" i="10" s="1"/>
  <c r="D57" i="10"/>
  <c r="C57" i="10"/>
  <c r="E57" i="10"/>
  <c r="I57" i="10"/>
  <c r="AQ57" i="10"/>
  <c r="H57" i="10"/>
  <c r="G57" i="10"/>
  <c r="F57" i="10"/>
  <c r="Z57" i="10" s="1"/>
  <c r="C56" i="10"/>
  <c r="I56" i="10"/>
  <c r="H56" i="10"/>
  <c r="G56" i="10"/>
  <c r="F56" i="10"/>
  <c r="Z56" i="10" s="1"/>
  <c r="E56" i="10"/>
  <c r="J56" i="10" s="1"/>
  <c r="D56" i="10"/>
  <c r="AQ56" i="10" s="1"/>
  <c r="F55" i="10"/>
  <c r="E55" i="10"/>
  <c r="D55" i="10"/>
  <c r="AQ55" i="10" s="1"/>
  <c r="C55" i="10"/>
  <c r="Z55" i="10"/>
  <c r="I55" i="10"/>
  <c r="H55" i="10"/>
  <c r="G55" i="10"/>
  <c r="J55" i="10" s="1"/>
  <c r="E54" i="10"/>
  <c r="D54" i="10"/>
  <c r="AQ54" i="10" s="1"/>
  <c r="C54" i="10"/>
  <c r="I54" i="10"/>
  <c r="H54" i="10"/>
  <c r="G54" i="10"/>
  <c r="J54" i="10" s="1"/>
  <c r="F54" i="10"/>
  <c r="Z54" i="10" s="1"/>
  <c r="I53" i="10"/>
  <c r="H53" i="10"/>
  <c r="G53" i="10"/>
  <c r="F53" i="10"/>
  <c r="Z53" i="10" s="1"/>
  <c r="E53" i="10"/>
  <c r="D53" i="10"/>
  <c r="AQ53" i="10" s="1"/>
  <c r="C53" i="10"/>
  <c r="D52" i="10"/>
  <c r="F52" i="10"/>
  <c r="C52" i="10"/>
  <c r="E52" i="10"/>
  <c r="AQ52" i="10"/>
  <c r="Z52" i="10"/>
  <c r="I52" i="10"/>
  <c r="H52" i="10"/>
  <c r="G52" i="10"/>
  <c r="J52" i="10" s="1"/>
  <c r="C51" i="10"/>
  <c r="D51" i="10"/>
  <c r="AQ51" i="10" s="1"/>
  <c r="E51" i="10"/>
  <c r="F51" i="10"/>
  <c r="Z51" i="10" s="1"/>
  <c r="G51" i="10"/>
  <c r="H51" i="10"/>
  <c r="I51" i="10"/>
  <c r="J51" i="10"/>
  <c r="C50" i="10"/>
  <c r="I50" i="10"/>
  <c r="H50" i="10"/>
  <c r="G50" i="10"/>
  <c r="F50" i="10"/>
  <c r="Z50" i="10" s="1"/>
  <c r="E50" i="10"/>
  <c r="J50" i="10" s="1"/>
  <c r="D50" i="10"/>
  <c r="AQ50" i="10" s="1"/>
  <c r="F49" i="10"/>
  <c r="E49" i="10"/>
  <c r="D49" i="10"/>
  <c r="AQ49" i="10" s="1"/>
  <c r="Z49" i="10"/>
  <c r="C49" i="10"/>
  <c r="I49" i="10"/>
  <c r="H49" i="10"/>
  <c r="G49" i="10"/>
  <c r="J49" i="10" s="1"/>
  <c r="E48" i="10"/>
  <c r="D48" i="10"/>
  <c r="AQ48" i="10" s="1"/>
  <c r="C48" i="10"/>
  <c r="F48" i="10"/>
  <c r="Z48" i="10"/>
  <c r="I48" i="10"/>
  <c r="H48" i="10"/>
  <c r="G48" i="10"/>
  <c r="J48" i="10" s="1"/>
  <c r="I47" i="10"/>
  <c r="H47" i="10"/>
  <c r="G47" i="10"/>
  <c r="F47" i="10"/>
  <c r="Z47" i="10" s="1"/>
  <c r="E47" i="10"/>
  <c r="D47" i="10"/>
  <c r="AQ47" i="10" s="1"/>
  <c r="C47" i="10"/>
  <c r="F46" i="10"/>
  <c r="E46" i="10"/>
  <c r="D46" i="10"/>
  <c r="AQ46" i="10" s="1"/>
  <c r="C46" i="10"/>
  <c r="Z46" i="10"/>
  <c r="I46" i="10"/>
  <c r="H46" i="10"/>
  <c r="G46" i="10"/>
  <c r="J46" i="10" s="1"/>
  <c r="G45" i="10"/>
  <c r="F45" i="10"/>
  <c r="E45" i="10"/>
  <c r="D45" i="10"/>
  <c r="AQ45" i="10" s="1"/>
  <c r="Z45" i="10"/>
  <c r="C45" i="10"/>
  <c r="J45" i="10"/>
  <c r="I45" i="10"/>
  <c r="H45" i="10"/>
  <c r="I44" i="10"/>
  <c r="H44" i="10"/>
  <c r="G44" i="10"/>
  <c r="F44" i="10"/>
  <c r="Z44" i="10" s="1"/>
  <c r="E44" i="10"/>
  <c r="D44" i="10"/>
  <c r="AQ44" i="10" s="1"/>
  <c r="C44" i="10"/>
  <c r="F43" i="10"/>
  <c r="E43" i="10"/>
  <c r="D43" i="10"/>
  <c r="AQ43" i="10" s="1"/>
  <c r="C43" i="10"/>
  <c r="Z43" i="10"/>
  <c r="I43" i="10"/>
  <c r="H43" i="10"/>
  <c r="G43" i="10"/>
  <c r="J43" i="10" s="1"/>
  <c r="E42" i="10"/>
  <c r="D42" i="10"/>
  <c r="AQ42" i="10" s="1"/>
  <c r="C42" i="10"/>
  <c r="F42" i="10"/>
  <c r="Z42" i="10"/>
  <c r="I42" i="10"/>
  <c r="H42" i="10"/>
  <c r="G42" i="10"/>
  <c r="J42" i="10" s="1"/>
  <c r="F41" i="10"/>
  <c r="E41" i="10"/>
  <c r="D41" i="10"/>
  <c r="AQ41" i="10" s="1"/>
  <c r="C41" i="10"/>
  <c r="Z41" i="10"/>
  <c r="I41" i="10"/>
  <c r="H41" i="10"/>
  <c r="G41" i="10"/>
  <c r="F40" i="10"/>
  <c r="E40" i="10"/>
  <c r="D40" i="10"/>
  <c r="AQ40" i="10" s="1"/>
  <c r="C40" i="10"/>
  <c r="Z40" i="10"/>
  <c r="I40" i="10"/>
  <c r="H40" i="10"/>
  <c r="G40" i="10"/>
  <c r="J40" i="10" s="1"/>
  <c r="C39" i="10"/>
  <c r="D39" i="10"/>
  <c r="AQ39" i="10" s="1"/>
  <c r="E39" i="10"/>
  <c r="F39" i="10"/>
  <c r="G39" i="10"/>
  <c r="H39" i="10"/>
  <c r="I39" i="10"/>
  <c r="J39" i="10"/>
  <c r="Z39" i="10"/>
  <c r="E38" i="10"/>
  <c r="D38" i="10"/>
  <c r="AQ38" i="10" s="1"/>
  <c r="C38" i="10"/>
  <c r="G38" i="10"/>
  <c r="I38" i="10"/>
  <c r="H38" i="10"/>
  <c r="F38" i="10"/>
  <c r="Z38" i="10" s="1"/>
  <c r="I37" i="10"/>
  <c r="C37" i="10"/>
  <c r="D37" i="10"/>
  <c r="AQ37" i="10" s="1"/>
  <c r="E37" i="10"/>
  <c r="F37" i="10"/>
  <c r="Z37" i="10"/>
  <c r="H37" i="10"/>
  <c r="G37" i="10"/>
  <c r="J37" i="10" s="1"/>
  <c r="D36" i="10"/>
  <c r="AQ36" i="10" s="1"/>
  <c r="E36" i="10"/>
  <c r="I36" i="10"/>
  <c r="H36" i="10"/>
  <c r="G36" i="10"/>
  <c r="C36" i="10"/>
  <c r="F36" i="10"/>
  <c r="Z36" i="10" s="1"/>
  <c r="C35" i="10"/>
  <c r="D35" i="10"/>
  <c r="AQ35" i="10" s="1"/>
  <c r="E35" i="10"/>
  <c r="F35" i="10"/>
  <c r="G35" i="10"/>
  <c r="H35" i="10"/>
  <c r="I35" i="10"/>
  <c r="J35" i="10"/>
  <c r="Z35" i="10"/>
  <c r="E34" i="10"/>
  <c r="G34" i="10"/>
  <c r="C34" i="10"/>
  <c r="F34" i="10"/>
  <c r="Z34" i="10" s="1"/>
  <c r="D34" i="10"/>
  <c r="AQ34" i="10" s="1"/>
  <c r="H34" i="10"/>
  <c r="I34" i="10"/>
  <c r="J34" i="10"/>
  <c r="C33" i="10"/>
  <c r="D33" i="10"/>
  <c r="E33" i="10"/>
  <c r="F33" i="10"/>
  <c r="G33" i="10"/>
  <c r="H33" i="10"/>
  <c r="I33" i="10"/>
  <c r="J33" i="10"/>
  <c r="AQ33" i="10"/>
  <c r="Z33" i="10"/>
  <c r="I32" i="10"/>
  <c r="H32" i="10"/>
  <c r="G32" i="10"/>
  <c r="F32" i="10"/>
  <c r="Z32" i="10" s="1"/>
  <c r="E32" i="10"/>
  <c r="D32" i="10"/>
  <c r="AQ32" i="10" s="1"/>
  <c r="C32" i="10"/>
  <c r="E31" i="10"/>
  <c r="D31" i="10"/>
  <c r="AQ31" i="10" s="1"/>
  <c r="C31" i="10"/>
  <c r="F31" i="10"/>
  <c r="Z31" i="10" s="1"/>
  <c r="I31" i="10"/>
  <c r="H31" i="10"/>
  <c r="G31" i="10"/>
  <c r="J31" i="10" s="1"/>
  <c r="H30" i="10"/>
  <c r="G30" i="10"/>
  <c r="F30" i="10"/>
  <c r="Z30" i="10"/>
  <c r="E30" i="10"/>
  <c r="D30" i="10"/>
  <c r="AQ30" i="10" s="1"/>
  <c r="C30" i="10"/>
  <c r="J30" i="10"/>
  <c r="I30" i="10"/>
  <c r="I29" i="10"/>
  <c r="G29" i="10"/>
  <c r="E29" i="10"/>
  <c r="D29" i="10"/>
  <c r="AQ29" i="10" s="1"/>
  <c r="C29" i="10"/>
  <c r="F29" i="10"/>
  <c r="Z29" i="10" s="1"/>
  <c r="H29" i="10"/>
  <c r="I28" i="10"/>
  <c r="C28" i="10"/>
  <c r="D28" i="10"/>
  <c r="AQ28" i="10" s="1"/>
  <c r="E28" i="10"/>
  <c r="F28" i="10"/>
  <c r="Z28" i="10" s="1"/>
  <c r="G28" i="10"/>
  <c r="H28" i="10"/>
  <c r="I27" i="10"/>
  <c r="H27" i="10"/>
  <c r="G27" i="10"/>
  <c r="F27" i="10"/>
  <c r="Z27" i="10" s="1"/>
  <c r="E27" i="10"/>
  <c r="D27" i="10"/>
  <c r="AQ27" i="10" s="1"/>
  <c r="C27" i="10"/>
  <c r="D26" i="10"/>
  <c r="AQ26" i="10" s="1"/>
  <c r="E26" i="10"/>
  <c r="C26" i="10"/>
  <c r="I26" i="10"/>
  <c r="H26" i="10"/>
  <c r="G26" i="10"/>
  <c r="J26" i="10" s="1"/>
  <c r="F26" i="10"/>
  <c r="Z26" i="10" s="1"/>
  <c r="I25" i="10"/>
  <c r="G25" i="10"/>
  <c r="F25" i="10"/>
  <c r="E25" i="10"/>
  <c r="D25" i="10"/>
  <c r="AQ25" i="10" s="1"/>
  <c r="C25" i="10"/>
  <c r="J25" i="10"/>
  <c r="H25" i="10"/>
  <c r="Z25" i="10"/>
  <c r="D24" i="10"/>
  <c r="AQ24" i="10" s="1"/>
  <c r="C24" i="10"/>
  <c r="E24" i="10"/>
  <c r="F24" i="10"/>
  <c r="Z24" i="10" s="1"/>
  <c r="G24" i="10"/>
  <c r="H24" i="10"/>
  <c r="I24" i="10"/>
  <c r="D23" i="10"/>
  <c r="E23" i="10"/>
  <c r="C23" i="10"/>
  <c r="F23" i="10"/>
  <c r="I23" i="10"/>
  <c r="H23" i="10"/>
  <c r="G23" i="10"/>
  <c r="J23" i="10" s="1"/>
  <c r="Z23" i="10"/>
  <c r="AQ23" i="10"/>
  <c r="G22" i="10"/>
  <c r="I22" i="10"/>
  <c r="F22" i="10"/>
  <c r="Z22" i="10" s="1"/>
  <c r="E22" i="10"/>
  <c r="D22" i="10"/>
  <c r="AQ22" i="10" s="1"/>
  <c r="C22" i="10"/>
  <c r="H22" i="10"/>
  <c r="E21" i="10"/>
  <c r="F21" i="10"/>
  <c r="Z21" i="10" s="1"/>
  <c r="G21" i="10"/>
  <c r="H21" i="10"/>
  <c r="I21" i="10"/>
  <c r="C21" i="10"/>
  <c r="D21" i="10"/>
  <c r="AQ21" i="10" s="1"/>
  <c r="E20" i="10"/>
  <c r="I20" i="10"/>
  <c r="C20" i="10"/>
  <c r="D20" i="10"/>
  <c r="AQ20" i="10" s="1"/>
  <c r="F20" i="10"/>
  <c r="Z20" i="10" s="1"/>
  <c r="G20" i="10"/>
  <c r="J20" i="10" s="1"/>
  <c r="H20" i="10"/>
  <c r="I19" i="10"/>
  <c r="D19" i="10"/>
  <c r="AQ19" i="10" s="1"/>
  <c r="C19" i="10"/>
  <c r="F19" i="10"/>
  <c r="Z19" i="10" s="1"/>
  <c r="G19" i="10"/>
  <c r="H19" i="10"/>
  <c r="E19" i="10"/>
  <c r="J19" i="10" s="1"/>
  <c r="E18" i="10"/>
  <c r="I18" i="10"/>
  <c r="H18" i="10"/>
  <c r="G18" i="10"/>
  <c r="F18" i="10"/>
  <c r="Z18" i="10" s="1"/>
  <c r="D18" i="10"/>
  <c r="AQ18" i="10" s="1"/>
  <c r="C18" i="10"/>
  <c r="E17" i="10"/>
  <c r="I17" i="10"/>
  <c r="H17" i="10"/>
  <c r="G17" i="10"/>
  <c r="F17" i="10"/>
  <c r="Z17" i="10" s="1"/>
  <c r="D17" i="10"/>
  <c r="AQ17" i="10" s="1"/>
  <c r="C17" i="10"/>
  <c r="E16" i="10"/>
  <c r="D16" i="10"/>
  <c r="AQ16" i="10" s="1"/>
  <c r="C16" i="10"/>
  <c r="I16" i="10"/>
  <c r="G16" i="10"/>
  <c r="J16" i="10" s="1"/>
  <c r="H16" i="10"/>
  <c r="F16" i="10"/>
  <c r="Z16" i="10" s="1"/>
  <c r="D15" i="10"/>
  <c r="C15" i="10"/>
  <c r="E15" i="10"/>
  <c r="F15" i="10"/>
  <c r="G15" i="10"/>
  <c r="H15" i="10"/>
  <c r="I15" i="10"/>
  <c r="J15" i="10"/>
  <c r="Z15" i="10"/>
  <c r="AQ15" i="10"/>
  <c r="F14" i="10"/>
  <c r="Z14" i="10" s="1"/>
  <c r="D14" i="10"/>
  <c r="AQ14" i="10" s="1"/>
  <c r="I14" i="10"/>
  <c r="H14" i="10"/>
  <c r="G14" i="10"/>
  <c r="C14" i="10"/>
  <c r="E14" i="10"/>
  <c r="J14" i="10" s="1"/>
  <c r="D13" i="10"/>
  <c r="E13" i="10"/>
  <c r="F13" i="10"/>
  <c r="Z13" i="10" s="1"/>
  <c r="G13" i="10"/>
  <c r="H13" i="10"/>
  <c r="I13" i="10"/>
  <c r="AQ13" i="10"/>
  <c r="C13" i="10"/>
  <c r="D12" i="10"/>
  <c r="E12" i="10"/>
  <c r="F12" i="10"/>
  <c r="G12" i="10"/>
  <c r="H12" i="10"/>
  <c r="I12" i="10"/>
  <c r="Z12" i="10"/>
  <c r="AQ12" i="10"/>
  <c r="C12" i="10"/>
  <c r="D11" i="10"/>
  <c r="AQ11" i="10" s="1"/>
  <c r="E11" i="10"/>
  <c r="I11" i="10"/>
  <c r="H11" i="10"/>
  <c r="G11" i="10"/>
  <c r="F11" i="10"/>
  <c r="Z11" i="10" s="1"/>
  <c r="C11" i="10"/>
  <c r="E10" i="10"/>
  <c r="D10" i="10"/>
  <c r="AQ10" i="10" s="1"/>
  <c r="F10" i="10"/>
  <c r="Z10" i="10" s="1"/>
  <c r="G10" i="10"/>
  <c r="I10" i="10"/>
  <c r="H10" i="10"/>
  <c r="C10" i="10"/>
  <c r="H9" i="10"/>
  <c r="E9" i="10"/>
  <c r="D9" i="10"/>
  <c r="C9" i="10"/>
  <c r="F9" i="10"/>
  <c r="G9" i="10"/>
  <c r="I9" i="10"/>
  <c r="J9" i="10"/>
  <c r="Z9" i="10"/>
  <c r="AQ9" i="10"/>
  <c r="F8" i="10"/>
  <c r="H8" i="10"/>
  <c r="G8" i="10"/>
  <c r="I8" i="10"/>
  <c r="Z8" i="10"/>
  <c r="C8" i="10"/>
  <c r="E8" i="10"/>
  <c r="J8" i="10" s="1"/>
  <c r="D8" i="10"/>
  <c r="AQ8" i="10" s="1"/>
  <c r="E7" i="10"/>
  <c r="C7" i="10"/>
  <c r="D7" i="10"/>
  <c r="AQ7" i="10" s="1"/>
  <c r="F7" i="10"/>
  <c r="Z7" i="10" s="1"/>
  <c r="G7" i="10"/>
  <c r="H7" i="10"/>
  <c r="I7" i="10"/>
  <c r="G5" i="10"/>
  <c r="F5" i="10"/>
  <c r="Z5" i="10" s="1"/>
  <c r="E5" i="10"/>
  <c r="C5" i="10"/>
  <c r="I5" i="10"/>
  <c r="H5" i="10"/>
  <c r="D5" i="10"/>
  <c r="AQ5" i="10" s="1"/>
  <c r="C4" i="10"/>
  <c r="D4" i="10"/>
  <c r="AQ4" i="10" s="1"/>
  <c r="E4" i="10"/>
  <c r="H4" i="10"/>
  <c r="G4" i="10"/>
  <c r="J4" i="10" s="1"/>
  <c r="I4" i="10"/>
  <c r="F4" i="10"/>
  <c r="Z4" i="10" s="1"/>
  <c r="C3" i="10"/>
  <c r="F3" i="10"/>
  <c r="I3" i="10"/>
  <c r="E3" i="10"/>
  <c r="D3" i="10"/>
  <c r="AQ3" i="10" s="1"/>
  <c r="Z3" i="10"/>
  <c r="H3" i="10"/>
  <c r="G3" i="10"/>
  <c r="I2" i="10"/>
  <c r="C2" i="10"/>
  <c r="D2" i="10"/>
  <c r="AQ2" i="10" s="1"/>
  <c r="E2" i="10"/>
  <c r="F2" i="10"/>
  <c r="G2" i="10"/>
  <c r="H2" i="10"/>
  <c r="F608" i="6"/>
  <c r="G608" i="6"/>
  <c r="C608" i="6"/>
  <c r="D608" i="6"/>
  <c r="E608" i="6"/>
  <c r="E607" i="6"/>
  <c r="F607" i="6"/>
  <c r="G607" i="6"/>
  <c r="C607" i="6"/>
  <c r="D607" i="6"/>
  <c r="C606" i="6"/>
  <c r="E606" i="6"/>
  <c r="F606" i="6"/>
  <c r="D606" i="6"/>
  <c r="G606" i="6"/>
  <c r="D605" i="6"/>
  <c r="F605" i="6"/>
  <c r="C605" i="6"/>
  <c r="G605" i="6"/>
  <c r="E605" i="6"/>
  <c r="E604" i="6"/>
  <c r="D604" i="6"/>
  <c r="G604" i="6"/>
  <c r="F604" i="6"/>
  <c r="C604" i="6"/>
  <c r="E603" i="6"/>
  <c r="F603" i="6"/>
  <c r="D603" i="6"/>
  <c r="C603" i="6"/>
  <c r="G603" i="6"/>
  <c r="E602" i="6"/>
  <c r="C602" i="6"/>
  <c r="F602" i="6"/>
  <c r="D602" i="6"/>
  <c r="G602" i="6"/>
  <c r="E601" i="6"/>
  <c r="F601" i="6"/>
  <c r="C601" i="6"/>
  <c r="D601" i="6"/>
  <c r="G601" i="6"/>
  <c r="F600" i="6"/>
  <c r="D600" i="6"/>
  <c r="E600" i="6"/>
  <c r="G600" i="6"/>
  <c r="C600" i="6"/>
  <c r="E599" i="6"/>
  <c r="C599" i="6"/>
  <c r="G599" i="6"/>
  <c r="D599" i="6"/>
  <c r="F599" i="6"/>
  <c r="C598" i="6"/>
  <c r="F598" i="6"/>
  <c r="G598" i="6"/>
  <c r="E598" i="6"/>
  <c r="D598" i="6"/>
  <c r="G597" i="6"/>
  <c r="F597" i="6"/>
  <c r="C597" i="6"/>
  <c r="E597" i="6"/>
  <c r="D597" i="6"/>
  <c r="D596" i="6"/>
  <c r="G596" i="6"/>
  <c r="C596" i="6"/>
  <c r="F596" i="6"/>
  <c r="E596" i="6"/>
  <c r="F595" i="6"/>
  <c r="C595" i="6"/>
  <c r="D595" i="6"/>
  <c r="G595" i="6"/>
  <c r="E595" i="6"/>
  <c r="D594" i="6"/>
  <c r="F594" i="6"/>
  <c r="C594" i="6"/>
  <c r="G594" i="6"/>
  <c r="E594" i="6"/>
  <c r="F593" i="6"/>
  <c r="D593" i="6"/>
  <c r="G593" i="6"/>
  <c r="E593" i="6"/>
  <c r="C593" i="6"/>
  <c r="E592" i="6"/>
  <c r="C592" i="6"/>
  <c r="G592" i="6"/>
  <c r="F592" i="6"/>
  <c r="D592" i="6"/>
  <c r="F591" i="6"/>
  <c r="E591" i="6"/>
  <c r="G591" i="6"/>
  <c r="D591" i="6"/>
  <c r="C591" i="6"/>
  <c r="E590" i="6"/>
  <c r="D590" i="6"/>
  <c r="F590" i="6"/>
  <c r="G590" i="6"/>
  <c r="C590" i="6"/>
  <c r="D589" i="6"/>
  <c r="G589" i="6"/>
  <c r="F589" i="6"/>
  <c r="C589" i="6"/>
  <c r="E589" i="6"/>
  <c r="E588" i="6"/>
  <c r="G588" i="6"/>
  <c r="D588" i="6"/>
  <c r="F588" i="6"/>
  <c r="C588" i="6"/>
  <c r="D587" i="6"/>
  <c r="C587" i="6"/>
  <c r="E587" i="6"/>
  <c r="F587" i="6"/>
  <c r="G587" i="6"/>
  <c r="E586" i="6"/>
  <c r="C586" i="6"/>
  <c r="F586" i="6"/>
  <c r="G586" i="6"/>
  <c r="D586" i="6"/>
  <c r="F585" i="6"/>
  <c r="E585" i="6"/>
  <c r="C585" i="6"/>
  <c r="D585" i="6"/>
  <c r="G585" i="6"/>
  <c r="G584" i="6"/>
  <c r="E584" i="6"/>
  <c r="D584" i="6"/>
  <c r="F584" i="6"/>
  <c r="C584" i="6"/>
  <c r="C583" i="6"/>
  <c r="G583" i="6"/>
  <c r="F583" i="6"/>
  <c r="E583" i="6"/>
  <c r="D583" i="6"/>
  <c r="E582" i="6"/>
  <c r="D582" i="6"/>
  <c r="C582" i="6"/>
  <c r="G582" i="6"/>
  <c r="F582" i="6"/>
  <c r="C581" i="6"/>
  <c r="F581" i="6"/>
  <c r="D581" i="6"/>
  <c r="E581" i="6"/>
  <c r="G581" i="6"/>
  <c r="F580" i="6"/>
  <c r="E580" i="6"/>
  <c r="C580" i="6"/>
  <c r="D580" i="6"/>
  <c r="G580" i="6"/>
  <c r="C579" i="6"/>
  <c r="F579" i="6"/>
  <c r="G579" i="6"/>
  <c r="E579" i="6"/>
  <c r="D579" i="6"/>
  <c r="D578" i="6"/>
  <c r="F578" i="6"/>
  <c r="G578" i="6"/>
  <c r="E578" i="6"/>
  <c r="C578" i="6"/>
  <c r="D577" i="6"/>
  <c r="E577" i="6"/>
  <c r="F577" i="6"/>
  <c r="G577" i="6"/>
  <c r="C577" i="6"/>
  <c r="C576" i="6"/>
  <c r="D576" i="6"/>
  <c r="E576" i="6"/>
  <c r="G576" i="6"/>
  <c r="F576" i="6"/>
  <c r="F575" i="6"/>
  <c r="G575" i="6"/>
  <c r="D575" i="6"/>
  <c r="E575" i="6"/>
  <c r="C575" i="6"/>
  <c r="E574" i="6"/>
  <c r="D574" i="6"/>
  <c r="C574" i="6"/>
  <c r="F574" i="6"/>
  <c r="G574" i="6"/>
  <c r="D573" i="6"/>
  <c r="F573" i="6"/>
  <c r="G573" i="6"/>
  <c r="C573" i="6"/>
  <c r="E573" i="6"/>
  <c r="G572" i="6"/>
  <c r="E572" i="6"/>
  <c r="D572" i="6"/>
  <c r="C572" i="6"/>
  <c r="F572" i="6"/>
  <c r="D571" i="6"/>
  <c r="F571" i="6"/>
  <c r="C571" i="6"/>
  <c r="G571" i="6"/>
  <c r="E571" i="6"/>
  <c r="E570" i="6"/>
  <c r="F570" i="6"/>
  <c r="D570" i="6"/>
  <c r="C570" i="6"/>
  <c r="G570" i="6"/>
  <c r="C569" i="6"/>
  <c r="F569" i="6"/>
  <c r="D569" i="6"/>
  <c r="E569" i="6"/>
  <c r="G569" i="6"/>
  <c r="D568" i="6"/>
  <c r="E568" i="6"/>
  <c r="G568" i="6"/>
  <c r="F568" i="6"/>
  <c r="C568" i="6"/>
  <c r="F567" i="6"/>
  <c r="E567" i="6"/>
  <c r="D567" i="6"/>
  <c r="G567" i="6"/>
  <c r="C567" i="6"/>
  <c r="E566" i="6"/>
  <c r="F566" i="6"/>
  <c r="C566" i="6"/>
  <c r="G566" i="6"/>
  <c r="D566" i="6"/>
  <c r="D565" i="6"/>
  <c r="C565" i="6"/>
  <c r="E565" i="6"/>
  <c r="G565" i="6"/>
  <c r="F565" i="6"/>
  <c r="F564" i="6"/>
  <c r="D564" i="6"/>
  <c r="C564" i="6"/>
  <c r="G564" i="6"/>
  <c r="E564" i="6"/>
  <c r="E563" i="6"/>
  <c r="C563" i="6"/>
  <c r="G563" i="6"/>
  <c r="F563" i="6"/>
  <c r="D563" i="6"/>
  <c r="C562" i="6"/>
  <c r="F562" i="6"/>
  <c r="E562" i="6"/>
  <c r="D562" i="6"/>
  <c r="G562" i="6"/>
  <c r="C561" i="6"/>
  <c r="E561" i="6"/>
  <c r="F561" i="6"/>
  <c r="G561" i="6"/>
  <c r="D561" i="6"/>
  <c r="E560" i="6"/>
  <c r="G560" i="6"/>
  <c r="D560" i="6"/>
  <c r="F560" i="6"/>
  <c r="C560" i="6"/>
  <c r="D559" i="6"/>
  <c r="G559" i="6"/>
  <c r="F559" i="6"/>
  <c r="E559" i="6"/>
  <c r="C559" i="6"/>
  <c r="F558" i="6"/>
  <c r="C558" i="6"/>
  <c r="G558" i="6"/>
  <c r="E558" i="6"/>
  <c r="D558" i="6"/>
  <c r="G557" i="6"/>
  <c r="D557" i="6"/>
  <c r="E557" i="6"/>
  <c r="F557" i="6"/>
  <c r="C556" i="6"/>
  <c r="E556" i="6"/>
  <c r="G556" i="6"/>
  <c r="F556" i="6"/>
  <c r="D556" i="6"/>
  <c r="G555" i="6"/>
  <c r="D555" i="6"/>
  <c r="E555" i="6"/>
  <c r="F555" i="6"/>
  <c r="C555" i="6"/>
  <c r="C554" i="6"/>
  <c r="E554" i="6"/>
  <c r="G554" i="6"/>
  <c r="F554" i="6"/>
  <c r="D554" i="6"/>
  <c r="D553" i="6"/>
  <c r="G553" i="6"/>
  <c r="F553" i="6"/>
  <c r="E553" i="6"/>
  <c r="C553" i="6"/>
  <c r="G552" i="6"/>
  <c r="F552" i="6"/>
  <c r="C552" i="6"/>
  <c r="E552" i="6"/>
  <c r="D552" i="6"/>
  <c r="G551" i="6"/>
  <c r="E551" i="6"/>
  <c r="C551" i="6"/>
  <c r="F551" i="6"/>
  <c r="D551" i="6"/>
  <c r="C550" i="6"/>
  <c r="D550" i="6"/>
  <c r="E550" i="6"/>
  <c r="F550" i="6"/>
  <c r="G550" i="6"/>
  <c r="C549" i="6"/>
  <c r="F549" i="6"/>
  <c r="E549" i="6"/>
  <c r="D549" i="6"/>
  <c r="G549" i="6"/>
  <c r="F548" i="6"/>
  <c r="C548" i="6"/>
  <c r="E548" i="6"/>
  <c r="G548" i="6"/>
  <c r="D548" i="6"/>
  <c r="C547" i="6"/>
  <c r="E547" i="6"/>
  <c r="F547" i="6"/>
  <c r="D547" i="6"/>
  <c r="G547" i="6"/>
  <c r="E546" i="6"/>
  <c r="F546" i="6"/>
  <c r="D546" i="6"/>
  <c r="G546" i="6"/>
  <c r="C546" i="6"/>
  <c r="E545" i="6"/>
  <c r="G545" i="6"/>
  <c r="F545" i="6"/>
  <c r="D545" i="6"/>
  <c r="C545" i="6"/>
  <c r="D544" i="6"/>
  <c r="G544" i="6"/>
  <c r="E544" i="6"/>
  <c r="F544" i="6"/>
  <c r="C544" i="6"/>
  <c r="D543" i="6"/>
  <c r="E543" i="6"/>
  <c r="G543" i="6"/>
  <c r="C543" i="6"/>
  <c r="F543" i="6"/>
  <c r="D542" i="6"/>
  <c r="F542" i="6"/>
  <c r="C542" i="6"/>
  <c r="G542" i="6"/>
  <c r="E542" i="6"/>
  <c r="C541" i="6"/>
  <c r="F541" i="6"/>
  <c r="D541" i="6"/>
  <c r="G541" i="6"/>
  <c r="E541" i="6"/>
  <c r="G540" i="6"/>
  <c r="F540" i="6"/>
  <c r="D540" i="6"/>
  <c r="E540" i="6"/>
  <c r="C540" i="6"/>
  <c r="E539" i="6"/>
  <c r="F539" i="6"/>
  <c r="D539" i="6"/>
  <c r="G539" i="6"/>
  <c r="C539" i="6"/>
  <c r="E538" i="6"/>
  <c r="F538" i="6"/>
  <c r="G538" i="6"/>
  <c r="C538" i="6"/>
  <c r="D538" i="6"/>
  <c r="G537" i="6"/>
  <c r="C537" i="6"/>
  <c r="E537" i="6"/>
  <c r="D537" i="6"/>
  <c r="F537" i="6"/>
  <c r="E536" i="6"/>
  <c r="C536" i="6"/>
  <c r="G536" i="6"/>
  <c r="D536" i="6"/>
  <c r="F536" i="6"/>
  <c r="C535" i="6"/>
  <c r="E535" i="6"/>
  <c r="G535" i="6"/>
  <c r="F535" i="6"/>
  <c r="D535" i="6"/>
  <c r="G534" i="6"/>
  <c r="E534" i="6"/>
  <c r="F534" i="6"/>
  <c r="C534" i="6"/>
  <c r="D534" i="6"/>
  <c r="F533" i="6"/>
  <c r="D533" i="6"/>
  <c r="E533" i="6"/>
  <c r="G533" i="6"/>
  <c r="C533" i="6"/>
  <c r="D532" i="6"/>
  <c r="F532" i="6"/>
  <c r="E532" i="6"/>
  <c r="G532" i="6"/>
  <c r="C532" i="6"/>
  <c r="E531" i="6"/>
  <c r="D531" i="6"/>
  <c r="F531" i="6"/>
  <c r="C531" i="6"/>
  <c r="G531" i="6"/>
  <c r="C530" i="6"/>
  <c r="D530" i="6"/>
  <c r="F530" i="6"/>
  <c r="G530" i="6"/>
  <c r="E530" i="6"/>
  <c r="D529" i="6"/>
  <c r="C529" i="6"/>
  <c r="F529" i="6"/>
  <c r="E529" i="6"/>
  <c r="G529" i="6"/>
  <c r="D528" i="6"/>
  <c r="F528" i="6"/>
  <c r="G528" i="6"/>
  <c r="C528" i="6"/>
  <c r="E528" i="6"/>
  <c r="G527" i="6"/>
  <c r="F527" i="6"/>
  <c r="D527" i="6"/>
  <c r="E527" i="6"/>
  <c r="C527" i="6"/>
  <c r="C526" i="6"/>
  <c r="F526" i="6"/>
  <c r="D526" i="6"/>
  <c r="G526" i="6"/>
  <c r="E526" i="6"/>
  <c r="C525" i="6"/>
  <c r="E525" i="6"/>
  <c r="D525" i="6"/>
  <c r="F525" i="6"/>
  <c r="G525" i="6"/>
  <c r="C524" i="6"/>
  <c r="D524" i="6"/>
  <c r="E524" i="6"/>
  <c r="G524" i="6"/>
  <c r="F524" i="6"/>
  <c r="F523" i="6"/>
  <c r="C523" i="6"/>
  <c r="G523" i="6"/>
  <c r="D523" i="6"/>
  <c r="E523" i="6"/>
  <c r="D522" i="6"/>
  <c r="F522" i="6"/>
  <c r="C522" i="6"/>
  <c r="G522" i="6"/>
  <c r="E522" i="6"/>
  <c r="E521" i="6"/>
  <c r="C521" i="6"/>
  <c r="D521" i="6"/>
  <c r="G521" i="6"/>
  <c r="F521" i="6"/>
  <c r="F520" i="6"/>
  <c r="G520" i="6"/>
  <c r="E520" i="6"/>
  <c r="C520" i="6"/>
  <c r="D520" i="6"/>
  <c r="C519" i="6"/>
  <c r="F519" i="6"/>
  <c r="D519" i="6"/>
  <c r="G519" i="6"/>
  <c r="E519" i="6"/>
  <c r="C518" i="6"/>
  <c r="G518" i="6"/>
  <c r="F518" i="6"/>
  <c r="D518" i="6"/>
  <c r="E518" i="6"/>
  <c r="C517" i="6"/>
  <c r="D517" i="6"/>
  <c r="E517" i="6"/>
  <c r="G517" i="6"/>
  <c r="F517" i="6"/>
  <c r="E516" i="6"/>
  <c r="C516" i="6"/>
  <c r="G516" i="6"/>
  <c r="D516" i="6"/>
  <c r="F516" i="6"/>
  <c r="C515" i="6"/>
  <c r="E515" i="6"/>
  <c r="F515" i="6"/>
  <c r="G515" i="6"/>
  <c r="D515" i="6"/>
  <c r="G514" i="6"/>
  <c r="C514" i="6"/>
  <c r="D514" i="6"/>
  <c r="F514" i="6"/>
  <c r="E514" i="6"/>
  <c r="C513" i="6"/>
  <c r="E513" i="6"/>
  <c r="D513" i="6"/>
  <c r="G513" i="6"/>
  <c r="F513" i="6"/>
  <c r="D512" i="6"/>
  <c r="C512" i="6"/>
  <c r="E512" i="6"/>
  <c r="G512" i="6"/>
  <c r="F512" i="6"/>
  <c r="E511" i="6"/>
  <c r="F511" i="6"/>
  <c r="C511" i="6"/>
  <c r="G511" i="6"/>
  <c r="D511" i="6"/>
  <c r="G510" i="6"/>
  <c r="D510" i="6"/>
  <c r="E510" i="6"/>
  <c r="C510" i="6"/>
  <c r="F510" i="6"/>
  <c r="E509" i="6"/>
  <c r="F509" i="6"/>
  <c r="D509" i="6"/>
  <c r="C509" i="6"/>
  <c r="G509" i="6"/>
  <c r="F508" i="6"/>
  <c r="C508" i="6"/>
  <c r="E508" i="6"/>
  <c r="G508" i="6"/>
  <c r="D508" i="6"/>
  <c r="D507" i="6"/>
  <c r="G507" i="6"/>
  <c r="C507" i="6"/>
  <c r="F507" i="6"/>
  <c r="E507" i="6"/>
  <c r="C506" i="6"/>
  <c r="G506" i="6"/>
  <c r="E506" i="6"/>
  <c r="D506" i="6"/>
  <c r="F506" i="6"/>
  <c r="C505" i="6"/>
  <c r="E505" i="6"/>
  <c r="D505" i="6"/>
  <c r="F505" i="6"/>
  <c r="G505" i="6"/>
  <c r="G504" i="6"/>
  <c r="D504" i="6"/>
  <c r="C504" i="6"/>
  <c r="F504" i="6"/>
  <c r="E504" i="6"/>
  <c r="G503" i="6"/>
  <c r="F503" i="6"/>
  <c r="D503" i="6"/>
  <c r="E503" i="6"/>
  <c r="C503" i="6"/>
  <c r="C502" i="6"/>
  <c r="F502" i="6"/>
  <c r="D502" i="6"/>
  <c r="G502" i="6"/>
  <c r="E502" i="6"/>
  <c r="F501" i="6"/>
  <c r="D501" i="6"/>
  <c r="E501" i="6"/>
  <c r="C501" i="6"/>
  <c r="G501" i="6"/>
  <c r="E500" i="6"/>
  <c r="G500" i="6"/>
  <c r="D500" i="6"/>
  <c r="F500" i="6"/>
  <c r="C500" i="6"/>
  <c r="C499" i="6"/>
  <c r="F499" i="6"/>
  <c r="G499" i="6"/>
  <c r="E499" i="6"/>
  <c r="D499" i="6"/>
  <c r="C498" i="6"/>
  <c r="G498" i="6"/>
  <c r="D498" i="6"/>
  <c r="E498" i="6"/>
  <c r="F498" i="6"/>
  <c r="G497" i="6"/>
  <c r="F497" i="6"/>
  <c r="C497" i="6"/>
  <c r="D497" i="6"/>
  <c r="E497" i="6"/>
  <c r="F496" i="6"/>
  <c r="C496" i="6"/>
  <c r="G496" i="6"/>
  <c r="E496" i="6"/>
  <c r="D496" i="6"/>
  <c r="E495" i="6"/>
  <c r="D495" i="6"/>
  <c r="C495" i="6"/>
  <c r="F495" i="6"/>
  <c r="G495" i="6"/>
  <c r="E494" i="6"/>
  <c r="G494" i="6"/>
  <c r="D494" i="6"/>
  <c r="F494" i="6"/>
  <c r="C494" i="6"/>
  <c r="C493" i="6"/>
  <c r="F493" i="6"/>
  <c r="G493" i="6"/>
  <c r="E493" i="6"/>
  <c r="D493" i="6"/>
  <c r="D492" i="6"/>
  <c r="C492" i="6"/>
  <c r="E492" i="6"/>
  <c r="F492" i="6"/>
  <c r="G492" i="6"/>
  <c r="F491" i="6"/>
  <c r="D491" i="6"/>
  <c r="E491" i="6"/>
  <c r="C491" i="6"/>
  <c r="G491" i="6"/>
  <c r="E490" i="6"/>
  <c r="C490" i="6"/>
  <c r="G490" i="6"/>
  <c r="D490" i="6"/>
  <c r="F490" i="6"/>
  <c r="G489" i="6"/>
  <c r="D489" i="6"/>
  <c r="C489" i="6"/>
  <c r="E489" i="6"/>
  <c r="F489" i="6"/>
  <c r="G488" i="6"/>
  <c r="D488" i="6"/>
  <c r="C488" i="6"/>
  <c r="E488" i="6"/>
  <c r="F488" i="6"/>
  <c r="E487" i="6"/>
  <c r="D487" i="6"/>
  <c r="C487" i="6"/>
  <c r="F487" i="6"/>
  <c r="G487" i="6"/>
  <c r="G486" i="6"/>
  <c r="F486" i="6"/>
  <c r="E486" i="6"/>
  <c r="C486" i="6"/>
  <c r="D486" i="6"/>
  <c r="D485" i="6"/>
  <c r="E485" i="6"/>
  <c r="G485" i="6"/>
  <c r="C485" i="6"/>
  <c r="F485" i="6"/>
  <c r="G484" i="6"/>
  <c r="E484" i="6"/>
  <c r="C484" i="6"/>
  <c r="D484" i="6"/>
  <c r="F484" i="6"/>
  <c r="G483" i="6"/>
  <c r="E483" i="6"/>
  <c r="F483" i="6"/>
  <c r="D483" i="6"/>
  <c r="C483" i="6"/>
  <c r="E482" i="6"/>
  <c r="C482" i="6"/>
  <c r="F482" i="6"/>
  <c r="D482" i="6"/>
  <c r="G482" i="6"/>
  <c r="D481" i="6"/>
  <c r="G481" i="6"/>
  <c r="C481" i="6"/>
  <c r="E481" i="6"/>
  <c r="F481" i="6"/>
  <c r="D480" i="6"/>
  <c r="C480" i="6"/>
  <c r="E480" i="6"/>
  <c r="F480" i="6"/>
  <c r="G480" i="6"/>
  <c r="E479" i="6"/>
  <c r="G479" i="6"/>
  <c r="D479" i="6"/>
  <c r="C479" i="6"/>
  <c r="F479" i="6"/>
  <c r="E478" i="6"/>
  <c r="D478" i="6"/>
  <c r="C478" i="6"/>
  <c r="G478" i="6"/>
  <c r="F478" i="6"/>
  <c r="D477" i="6"/>
  <c r="E477" i="6"/>
  <c r="F477" i="6"/>
  <c r="C477" i="6"/>
  <c r="G477" i="6"/>
  <c r="F476" i="6"/>
  <c r="E476" i="6"/>
  <c r="D476" i="6"/>
  <c r="C476" i="6"/>
  <c r="G476" i="6"/>
  <c r="G475" i="6"/>
  <c r="C475" i="6"/>
  <c r="E475" i="6"/>
  <c r="D475" i="6"/>
  <c r="F475" i="6"/>
  <c r="E474" i="6"/>
  <c r="C474" i="6"/>
  <c r="G474" i="6"/>
  <c r="F474" i="6"/>
  <c r="D474" i="6"/>
  <c r="F473" i="6"/>
  <c r="C473" i="6"/>
  <c r="G473" i="6"/>
  <c r="E473" i="6"/>
  <c r="D473" i="6"/>
  <c r="C472" i="6"/>
  <c r="F472" i="6"/>
  <c r="E472" i="6"/>
  <c r="G472" i="6"/>
  <c r="D472" i="6"/>
  <c r="E471" i="6"/>
  <c r="D471" i="6"/>
  <c r="G471" i="6"/>
  <c r="C471" i="6"/>
  <c r="F471" i="6"/>
  <c r="F470" i="6"/>
  <c r="G470" i="6"/>
  <c r="D470" i="6"/>
  <c r="E470" i="6"/>
  <c r="C470" i="6"/>
  <c r="D469" i="6"/>
  <c r="F469" i="6"/>
  <c r="E469" i="6"/>
  <c r="C469" i="6"/>
  <c r="G469" i="6"/>
  <c r="F468" i="6"/>
  <c r="E468" i="6"/>
  <c r="D468" i="6"/>
  <c r="G468" i="6"/>
  <c r="C468" i="6"/>
  <c r="E467" i="6"/>
  <c r="F467" i="6"/>
  <c r="D467" i="6"/>
  <c r="C467" i="6"/>
  <c r="G467" i="6"/>
  <c r="G466" i="6"/>
  <c r="E466" i="6"/>
  <c r="C466" i="6"/>
  <c r="D466" i="6"/>
  <c r="F466" i="6"/>
  <c r="D465" i="6"/>
  <c r="E465" i="6"/>
  <c r="C465" i="6"/>
  <c r="G465" i="6"/>
  <c r="F465" i="6"/>
  <c r="F464" i="6"/>
  <c r="D464" i="6"/>
  <c r="G464" i="6"/>
  <c r="E464" i="6"/>
  <c r="C464" i="6"/>
  <c r="E463" i="6"/>
  <c r="D463" i="6"/>
  <c r="C463" i="6"/>
  <c r="F463" i="6"/>
  <c r="G463" i="6"/>
  <c r="C462" i="6"/>
  <c r="F462" i="6"/>
  <c r="E462" i="6"/>
  <c r="G462" i="6"/>
  <c r="D462" i="6"/>
  <c r="G461" i="6"/>
  <c r="C461" i="6"/>
  <c r="D461" i="6"/>
  <c r="E461" i="6"/>
  <c r="F461" i="6"/>
  <c r="G460" i="6"/>
  <c r="F460" i="6"/>
  <c r="E460" i="6"/>
  <c r="D460" i="6"/>
  <c r="C460" i="6"/>
  <c r="F459" i="6"/>
  <c r="G459" i="6"/>
  <c r="D459" i="6"/>
  <c r="E459" i="6"/>
  <c r="C459" i="6"/>
  <c r="G458" i="6"/>
  <c r="D458" i="6"/>
  <c r="E458" i="6"/>
  <c r="F458" i="6"/>
  <c r="C458" i="6"/>
  <c r="G457" i="6"/>
  <c r="D457" i="6"/>
  <c r="E457" i="6"/>
  <c r="C457" i="6"/>
  <c r="F457" i="6"/>
  <c r="E456" i="6"/>
  <c r="C456" i="6"/>
  <c r="G456" i="6"/>
  <c r="D456" i="6"/>
  <c r="F456" i="6"/>
  <c r="D455" i="6"/>
  <c r="F455" i="6"/>
  <c r="E455" i="6"/>
  <c r="C455" i="6"/>
  <c r="G455" i="6"/>
  <c r="E454" i="6"/>
  <c r="D454" i="6"/>
  <c r="F454" i="6"/>
  <c r="C454" i="6"/>
  <c r="G454" i="6"/>
  <c r="D453" i="6"/>
  <c r="G453" i="6"/>
  <c r="E453" i="6"/>
  <c r="C453" i="6"/>
  <c r="F453" i="6"/>
  <c r="G452" i="6"/>
  <c r="C452" i="6"/>
  <c r="F452" i="6"/>
  <c r="D452" i="6"/>
  <c r="E452" i="6"/>
  <c r="D451" i="6"/>
  <c r="G451" i="6"/>
  <c r="E451" i="6"/>
  <c r="F451" i="6"/>
  <c r="F450" i="6"/>
  <c r="C450" i="6"/>
  <c r="E450" i="6"/>
  <c r="G450" i="6"/>
  <c r="D450" i="6"/>
  <c r="E449" i="6"/>
  <c r="C449" i="6"/>
  <c r="D449" i="6"/>
  <c r="F449" i="6"/>
  <c r="G449" i="6"/>
  <c r="F448" i="6"/>
  <c r="D448" i="6"/>
  <c r="E448" i="6"/>
  <c r="C448" i="6"/>
  <c r="G448" i="6"/>
  <c r="E447" i="6"/>
  <c r="C447" i="6"/>
  <c r="G447" i="6"/>
  <c r="D447" i="6"/>
  <c r="F447" i="6"/>
  <c r="G446" i="6"/>
  <c r="D446" i="6"/>
  <c r="E446" i="6"/>
  <c r="F446" i="6"/>
  <c r="C446" i="6"/>
  <c r="F445" i="6"/>
  <c r="G445" i="6"/>
  <c r="C445" i="6"/>
  <c r="E445" i="6"/>
  <c r="D445" i="6"/>
  <c r="E444" i="6"/>
  <c r="C444" i="6"/>
  <c r="F444" i="6"/>
  <c r="G444" i="6"/>
  <c r="D444" i="6"/>
  <c r="C443" i="6"/>
  <c r="G443" i="6"/>
  <c r="E443" i="6"/>
  <c r="F443" i="6"/>
  <c r="D443" i="6"/>
  <c r="C442" i="6"/>
  <c r="G442" i="6"/>
  <c r="D442" i="6"/>
  <c r="E442" i="6"/>
  <c r="F442" i="6"/>
  <c r="G441" i="6"/>
  <c r="C441" i="6"/>
  <c r="D441" i="6"/>
  <c r="F441" i="6"/>
  <c r="E441" i="6"/>
  <c r="G440" i="6"/>
  <c r="E440" i="6"/>
  <c r="C440" i="6"/>
  <c r="F440" i="6"/>
  <c r="D440" i="6"/>
  <c r="G439" i="6"/>
  <c r="F439" i="6"/>
  <c r="C439" i="6"/>
  <c r="E439" i="6"/>
  <c r="D439" i="6"/>
  <c r="C438" i="6"/>
  <c r="F438" i="6"/>
  <c r="E438" i="6"/>
  <c r="G438" i="6"/>
  <c r="D438" i="6"/>
  <c r="E437" i="6"/>
  <c r="C437" i="6"/>
  <c r="G437" i="6"/>
  <c r="D437" i="6"/>
  <c r="F437" i="6"/>
  <c r="G436" i="6"/>
  <c r="F436" i="6"/>
  <c r="C436" i="6"/>
  <c r="D436" i="6"/>
  <c r="E436" i="6"/>
  <c r="E435" i="6"/>
  <c r="D435" i="6"/>
  <c r="C435" i="6"/>
  <c r="F435" i="6"/>
  <c r="G435" i="6"/>
  <c r="G434" i="6"/>
  <c r="D434" i="6"/>
  <c r="C434" i="6"/>
  <c r="F434" i="6"/>
  <c r="E434" i="6"/>
  <c r="D433" i="6"/>
  <c r="F433" i="6"/>
  <c r="C433" i="6"/>
  <c r="E433" i="6"/>
  <c r="G433" i="6"/>
  <c r="G432" i="6"/>
  <c r="F432" i="6"/>
  <c r="C432" i="6"/>
  <c r="D432" i="6"/>
  <c r="E432" i="6"/>
  <c r="G431" i="6"/>
  <c r="E431" i="6"/>
  <c r="F431" i="6"/>
  <c r="C431" i="6"/>
  <c r="D431" i="6"/>
  <c r="G430" i="6"/>
  <c r="D430" i="6"/>
  <c r="E430" i="6"/>
  <c r="F430" i="6"/>
  <c r="C430" i="6"/>
  <c r="F429" i="6"/>
  <c r="E429" i="6"/>
  <c r="C429" i="6"/>
  <c r="G429" i="6"/>
  <c r="D429" i="6"/>
  <c r="E428" i="6"/>
  <c r="D428" i="6"/>
  <c r="C428" i="6"/>
  <c r="F428" i="6"/>
  <c r="G428" i="6"/>
  <c r="D427" i="6"/>
  <c r="G427" i="6"/>
  <c r="C427" i="6"/>
  <c r="F427" i="6"/>
  <c r="E427" i="6"/>
  <c r="G426" i="6"/>
  <c r="D426" i="6"/>
  <c r="C426" i="6"/>
  <c r="F426" i="6"/>
  <c r="E426" i="6"/>
  <c r="G425" i="6"/>
  <c r="F425" i="6"/>
  <c r="D425" i="6"/>
  <c r="C425" i="6"/>
  <c r="E425" i="6"/>
  <c r="F424" i="6"/>
  <c r="G424" i="6"/>
  <c r="C424" i="6"/>
  <c r="D424" i="6"/>
  <c r="E424" i="6"/>
  <c r="C423" i="6"/>
  <c r="F423" i="6"/>
  <c r="D423" i="6"/>
  <c r="G423" i="6"/>
  <c r="E423" i="6"/>
  <c r="D422" i="6"/>
  <c r="F422" i="6"/>
  <c r="E422" i="6"/>
  <c r="G422" i="6"/>
  <c r="C422" i="6"/>
  <c r="G421" i="6"/>
  <c r="C421" i="6"/>
  <c r="E421" i="6"/>
  <c r="D421" i="6"/>
  <c r="F421" i="6"/>
  <c r="C420" i="6"/>
  <c r="F420" i="6"/>
  <c r="E420" i="6"/>
  <c r="G420" i="6"/>
  <c r="D420" i="6"/>
  <c r="C419" i="6"/>
  <c r="F419" i="6"/>
  <c r="E419" i="6"/>
  <c r="D419" i="6"/>
  <c r="G419" i="6"/>
  <c r="F418" i="6"/>
  <c r="G418" i="6"/>
  <c r="D418" i="6"/>
  <c r="E418" i="6"/>
  <c r="C418" i="6"/>
  <c r="C417" i="6"/>
  <c r="F417" i="6"/>
  <c r="G417" i="6"/>
  <c r="E417" i="6"/>
  <c r="D417" i="6"/>
  <c r="F416" i="6"/>
  <c r="C416" i="6"/>
  <c r="D416" i="6"/>
  <c r="G416" i="6"/>
  <c r="E416" i="6"/>
  <c r="D415" i="6"/>
  <c r="F415" i="6"/>
  <c r="G415" i="6"/>
  <c r="C415" i="6"/>
  <c r="E415" i="6"/>
  <c r="D414" i="6"/>
  <c r="E414" i="6"/>
  <c r="G414" i="6"/>
  <c r="F414" i="6"/>
  <c r="C414" i="6"/>
  <c r="E413" i="6"/>
  <c r="F413" i="6"/>
  <c r="C413" i="6"/>
  <c r="D413" i="6"/>
  <c r="G413" i="6"/>
  <c r="D412" i="6"/>
  <c r="C412" i="6"/>
  <c r="F412" i="6"/>
  <c r="G412" i="6"/>
  <c r="E412" i="6"/>
  <c r="D411" i="6"/>
  <c r="F411" i="6"/>
  <c r="E411" i="6"/>
  <c r="C411" i="6"/>
  <c r="G411" i="6"/>
  <c r="F410" i="6"/>
  <c r="D410" i="6"/>
  <c r="E410" i="6"/>
  <c r="G410" i="6"/>
  <c r="C410" i="6"/>
  <c r="G409" i="6"/>
  <c r="E409" i="6"/>
  <c r="D409" i="6"/>
  <c r="C409" i="6"/>
  <c r="F409" i="6"/>
  <c r="F408" i="6"/>
  <c r="C408" i="6"/>
  <c r="D408" i="6"/>
  <c r="G408" i="6"/>
  <c r="E408" i="6"/>
  <c r="G407" i="6"/>
  <c r="E407" i="6"/>
  <c r="F407" i="6"/>
  <c r="D407" i="6"/>
  <c r="C407" i="6"/>
  <c r="C406" i="6"/>
  <c r="G406" i="6"/>
  <c r="E406" i="6"/>
  <c r="F406" i="6"/>
  <c r="D406" i="6"/>
  <c r="C405" i="6"/>
  <c r="D405" i="6"/>
  <c r="F405" i="6"/>
  <c r="E405" i="6"/>
  <c r="G405" i="6"/>
  <c r="G404" i="6"/>
  <c r="E404" i="6"/>
  <c r="C404" i="6"/>
  <c r="F404" i="6"/>
  <c r="D404" i="6"/>
  <c r="C403" i="6"/>
  <c r="E403" i="6"/>
  <c r="F403" i="6"/>
  <c r="G403" i="6"/>
  <c r="D403" i="6"/>
  <c r="D402" i="6"/>
  <c r="E402" i="6"/>
  <c r="G402" i="6"/>
  <c r="F402" i="6"/>
  <c r="C402" i="6"/>
  <c r="G401" i="6"/>
  <c r="C401" i="6"/>
  <c r="D401" i="6"/>
  <c r="E401" i="6"/>
  <c r="F401" i="6"/>
  <c r="G400" i="6"/>
  <c r="C400" i="6"/>
  <c r="F400" i="6"/>
  <c r="D400" i="6"/>
  <c r="E400" i="6"/>
  <c r="D399" i="6"/>
  <c r="G399" i="6"/>
  <c r="F399" i="6"/>
  <c r="C399" i="6"/>
  <c r="E399" i="6"/>
  <c r="C398" i="6"/>
  <c r="D398" i="6"/>
  <c r="G398" i="6"/>
  <c r="E398" i="6"/>
  <c r="F398" i="6"/>
  <c r="C397" i="6"/>
  <c r="F397" i="6"/>
  <c r="G397" i="6"/>
  <c r="E397" i="6"/>
  <c r="D397" i="6"/>
  <c r="D396" i="6"/>
  <c r="E396" i="6"/>
  <c r="F396" i="6"/>
  <c r="C396" i="6"/>
  <c r="G396" i="6"/>
  <c r="C395" i="6"/>
  <c r="D395" i="6"/>
  <c r="F395" i="6"/>
  <c r="G395" i="6"/>
  <c r="E395" i="6"/>
  <c r="C394" i="6"/>
  <c r="G394" i="6"/>
  <c r="E394" i="6"/>
  <c r="F394" i="6"/>
  <c r="D394" i="6"/>
  <c r="D393" i="6"/>
  <c r="E393" i="6"/>
  <c r="C393" i="6"/>
  <c r="F393" i="6"/>
  <c r="G393" i="6"/>
  <c r="F392" i="6"/>
  <c r="G392" i="6"/>
  <c r="D392" i="6"/>
  <c r="E392" i="6"/>
  <c r="C392" i="6"/>
  <c r="F391" i="6"/>
  <c r="D391" i="6"/>
  <c r="C391" i="6"/>
  <c r="G391" i="6"/>
  <c r="E391" i="6"/>
  <c r="D390" i="6"/>
  <c r="E390" i="6"/>
  <c r="F390" i="6"/>
  <c r="C390" i="6"/>
  <c r="G390" i="6"/>
  <c r="F389" i="6"/>
  <c r="G389" i="6"/>
  <c r="C389" i="6"/>
  <c r="E389" i="6"/>
  <c r="D389" i="6"/>
  <c r="D388" i="6"/>
  <c r="F388" i="6"/>
  <c r="C388" i="6"/>
  <c r="E388" i="6"/>
  <c r="G388" i="6"/>
  <c r="G387" i="6"/>
  <c r="E387" i="6"/>
  <c r="D387" i="6"/>
  <c r="C387" i="6"/>
  <c r="F387" i="6"/>
  <c r="G386" i="6"/>
  <c r="D386" i="6"/>
  <c r="F386" i="6"/>
  <c r="C386" i="6"/>
  <c r="E386" i="6"/>
  <c r="F385" i="6"/>
  <c r="E385" i="6"/>
  <c r="C385" i="6"/>
  <c r="D385" i="6"/>
  <c r="G385" i="6"/>
  <c r="C384" i="6"/>
  <c r="F384" i="6"/>
  <c r="D384" i="6"/>
  <c r="E384" i="6"/>
  <c r="G384" i="6"/>
  <c r="E383" i="6"/>
  <c r="F383" i="6"/>
  <c r="C383" i="6"/>
  <c r="D383" i="6"/>
  <c r="G383" i="6"/>
  <c r="G382" i="6"/>
  <c r="D382" i="6"/>
  <c r="C382" i="6"/>
  <c r="F382" i="6"/>
  <c r="E382" i="6"/>
  <c r="F381" i="6"/>
  <c r="C381" i="6"/>
  <c r="E381" i="6"/>
  <c r="G381" i="6"/>
  <c r="D381" i="6"/>
  <c r="F380" i="6"/>
  <c r="E380" i="6"/>
  <c r="C380" i="6"/>
  <c r="D380" i="6"/>
  <c r="G380" i="6"/>
  <c r="G379" i="6"/>
  <c r="C379" i="6"/>
  <c r="D379" i="6"/>
  <c r="E379" i="6"/>
  <c r="F379" i="6"/>
  <c r="C378" i="6"/>
  <c r="F378" i="6"/>
  <c r="G378" i="6"/>
  <c r="D378" i="6"/>
  <c r="E378" i="6"/>
  <c r="G377" i="6"/>
  <c r="E377" i="6"/>
  <c r="C377" i="6"/>
  <c r="D377" i="6"/>
  <c r="F377" i="6"/>
  <c r="C376" i="6"/>
  <c r="E376" i="6"/>
  <c r="G376" i="6"/>
  <c r="D376" i="6"/>
  <c r="F376" i="6"/>
  <c r="F375" i="6"/>
  <c r="E375" i="6"/>
  <c r="D375" i="6"/>
  <c r="G375" i="6"/>
  <c r="C375" i="6"/>
  <c r="G374" i="6"/>
  <c r="F374" i="6"/>
  <c r="C374" i="6"/>
  <c r="E374" i="6"/>
  <c r="D374" i="6"/>
  <c r="C373" i="6"/>
  <c r="G373" i="6"/>
  <c r="D373" i="6"/>
  <c r="E373" i="6"/>
  <c r="F373" i="6"/>
  <c r="E372" i="6"/>
  <c r="G372" i="6"/>
  <c r="F372" i="6"/>
  <c r="C372" i="6"/>
  <c r="D372" i="6"/>
  <c r="G371" i="6"/>
  <c r="D371" i="6"/>
  <c r="E371" i="6"/>
  <c r="C371" i="6"/>
  <c r="F371" i="6"/>
  <c r="D370" i="6"/>
  <c r="G370" i="6"/>
  <c r="E370" i="6"/>
  <c r="C370" i="6"/>
  <c r="F370" i="6"/>
  <c r="D369" i="6"/>
  <c r="F369" i="6"/>
  <c r="C369" i="6"/>
  <c r="E369" i="6"/>
  <c r="G369" i="6"/>
  <c r="F368" i="6"/>
  <c r="E368" i="6"/>
  <c r="D368" i="6"/>
  <c r="G368" i="6"/>
  <c r="C368" i="6"/>
  <c r="D367" i="6"/>
  <c r="E367" i="6"/>
  <c r="G367" i="6"/>
  <c r="C367" i="6"/>
  <c r="F367" i="6"/>
  <c r="C366" i="6"/>
  <c r="E366" i="6"/>
  <c r="D366" i="6"/>
  <c r="F366" i="6"/>
  <c r="G366" i="6"/>
  <c r="G365" i="6"/>
  <c r="D365" i="6"/>
  <c r="C365" i="6"/>
  <c r="E365" i="6"/>
  <c r="F365" i="6"/>
  <c r="E364" i="6"/>
  <c r="G364" i="6"/>
  <c r="D364" i="6"/>
  <c r="C364" i="6"/>
  <c r="F364" i="6"/>
  <c r="E363" i="6"/>
  <c r="D363" i="6"/>
  <c r="G363" i="6"/>
  <c r="C363" i="6"/>
  <c r="F363" i="6"/>
  <c r="F362" i="6"/>
  <c r="D362" i="6"/>
  <c r="E362" i="6"/>
  <c r="C362" i="6"/>
  <c r="G362" i="6"/>
  <c r="F361" i="6"/>
  <c r="D361" i="6"/>
  <c r="C361" i="6"/>
  <c r="G361" i="6"/>
  <c r="E361" i="6"/>
  <c r="G360" i="6"/>
  <c r="C360" i="6"/>
  <c r="E360" i="6"/>
  <c r="D360" i="6"/>
  <c r="F360" i="6"/>
  <c r="E359" i="6"/>
  <c r="F359" i="6"/>
  <c r="C359" i="6"/>
  <c r="D359" i="6"/>
  <c r="G359" i="6"/>
  <c r="C358" i="6"/>
  <c r="G358" i="6"/>
  <c r="F358" i="6"/>
  <c r="D358" i="6"/>
  <c r="E358" i="6"/>
  <c r="C357" i="6"/>
  <c r="G357" i="6"/>
  <c r="E357" i="6"/>
  <c r="F357" i="6"/>
  <c r="D357" i="6"/>
  <c r="F356" i="6"/>
  <c r="D356" i="6"/>
  <c r="G356" i="6"/>
  <c r="E356" i="6"/>
  <c r="C356" i="6"/>
  <c r="E355" i="6"/>
  <c r="D355" i="6"/>
  <c r="C355" i="6"/>
  <c r="F355" i="6"/>
  <c r="G355" i="6"/>
  <c r="E354" i="6"/>
  <c r="G354" i="6"/>
  <c r="F354" i="6"/>
  <c r="D354" i="6"/>
  <c r="C354" i="6"/>
  <c r="D353" i="6"/>
  <c r="F353" i="6"/>
  <c r="G353" i="6"/>
  <c r="E353" i="6"/>
  <c r="C353" i="6"/>
  <c r="F352" i="6"/>
  <c r="E352" i="6"/>
  <c r="C352" i="6"/>
  <c r="D352" i="6"/>
  <c r="G352" i="6"/>
  <c r="D351" i="6"/>
  <c r="E351" i="6"/>
  <c r="G351" i="6"/>
  <c r="C351" i="6"/>
  <c r="F351" i="6"/>
  <c r="C350" i="6"/>
  <c r="F350" i="6"/>
  <c r="G350" i="6"/>
  <c r="D350" i="6"/>
  <c r="E350" i="6"/>
  <c r="D349" i="6"/>
  <c r="C349" i="6"/>
  <c r="F349" i="6"/>
  <c r="E349" i="6"/>
  <c r="G349" i="6"/>
  <c r="F348" i="6"/>
  <c r="C348" i="6"/>
  <c r="D348" i="6"/>
  <c r="G348" i="6"/>
  <c r="E348" i="6"/>
  <c r="F347" i="6"/>
  <c r="C347" i="6"/>
  <c r="D347" i="6"/>
  <c r="E347" i="6"/>
  <c r="G347" i="6"/>
  <c r="E346" i="6"/>
  <c r="G346" i="6"/>
  <c r="D346" i="6"/>
  <c r="C346" i="6"/>
  <c r="F346" i="6"/>
  <c r="F345" i="6"/>
  <c r="E345" i="6"/>
  <c r="G345" i="6"/>
  <c r="D345" i="6"/>
  <c r="C345" i="6"/>
  <c r="E344" i="6"/>
  <c r="F344" i="6"/>
  <c r="D344" i="6"/>
  <c r="G344" i="6"/>
  <c r="C344" i="6"/>
  <c r="E343" i="6"/>
  <c r="C343" i="6"/>
  <c r="F343" i="6"/>
  <c r="D343" i="6"/>
  <c r="G343" i="6"/>
  <c r="F342" i="6"/>
  <c r="G342" i="6"/>
  <c r="E342" i="6"/>
  <c r="D342" i="6"/>
  <c r="C342" i="6"/>
  <c r="C341" i="6"/>
  <c r="F341" i="6"/>
  <c r="D341" i="6"/>
  <c r="G341" i="6"/>
  <c r="E341" i="6"/>
  <c r="G340" i="6"/>
  <c r="E340" i="6"/>
  <c r="F340" i="6"/>
  <c r="D340" i="6"/>
  <c r="C340" i="6"/>
  <c r="D339" i="6"/>
  <c r="E339" i="6"/>
  <c r="F339" i="6"/>
  <c r="G339" i="6"/>
  <c r="C339" i="6"/>
  <c r="D338" i="6"/>
  <c r="F338" i="6"/>
  <c r="C338" i="6"/>
  <c r="G338" i="6"/>
  <c r="E338" i="6"/>
  <c r="E337" i="6"/>
  <c r="G337" i="6"/>
  <c r="C337" i="6"/>
  <c r="D337" i="6"/>
  <c r="F337" i="6"/>
  <c r="F336" i="6"/>
  <c r="C336" i="6"/>
  <c r="E336" i="6"/>
  <c r="G336" i="6"/>
  <c r="D336" i="6"/>
  <c r="E335" i="6"/>
  <c r="G335" i="6"/>
  <c r="D335" i="6"/>
  <c r="F335" i="6"/>
  <c r="C335" i="6"/>
  <c r="F334" i="6"/>
  <c r="G334" i="6"/>
  <c r="E334" i="6"/>
  <c r="D334" i="6"/>
  <c r="C334" i="6"/>
  <c r="D333" i="6"/>
  <c r="F333" i="6"/>
  <c r="C333" i="6"/>
  <c r="G333" i="6"/>
  <c r="E333" i="6"/>
  <c r="E332" i="6"/>
  <c r="D332" i="6"/>
  <c r="F332" i="6"/>
  <c r="G332" i="6"/>
  <c r="C332" i="6"/>
  <c r="C331" i="6"/>
  <c r="F331" i="6"/>
  <c r="G331" i="6"/>
  <c r="E331" i="6"/>
  <c r="D331" i="6"/>
  <c r="E330" i="6"/>
  <c r="D330" i="6"/>
  <c r="G330" i="6"/>
  <c r="F330" i="6"/>
  <c r="C329" i="6"/>
  <c r="D329" i="6"/>
  <c r="G329" i="6"/>
  <c r="F329" i="6"/>
  <c r="E329" i="6"/>
  <c r="D328" i="6"/>
  <c r="E328" i="6"/>
  <c r="C328" i="6"/>
  <c r="F328" i="6"/>
  <c r="G328" i="6"/>
  <c r="C327" i="6"/>
  <c r="E327" i="6"/>
  <c r="D327" i="6"/>
  <c r="G327" i="6"/>
  <c r="F327" i="6"/>
  <c r="C326" i="6"/>
  <c r="D326" i="6"/>
  <c r="E326" i="6"/>
  <c r="G326" i="6"/>
  <c r="F326" i="6"/>
  <c r="F325" i="6"/>
  <c r="C325" i="6"/>
  <c r="D325" i="6"/>
  <c r="E325" i="6"/>
  <c r="G325" i="6"/>
  <c r="F324" i="6"/>
  <c r="G324" i="6"/>
  <c r="D324" i="6"/>
  <c r="E324" i="6"/>
  <c r="C324" i="6"/>
  <c r="C323" i="6"/>
  <c r="F323" i="6"/>
  <c r="D323" i="6"/>
  <c r="E323" i="6"/>
  <c r="G323" i="6"/>
  <c r="E322" i="6"/>
  <c r="G322" i="6"/>
  <c r="D322" i="6"/>
  <c r="F322" i="6"/>
  <c r="C322" i="6"/>
  <c r="D321" i="6"/>
  <c r="F321" i="6"/>
  <c r="C321" i="6"/>
  <c r="E321" i="6"/>
  <c r="G321" i="6"/>
  <c r="G320" i="6"/>
  <c r="E320" i="6"/>
  <c r="C320" i="6"/>
  <c r="F320" i="6"/>
  <c r="D320" i="6"/>
  <c r="G319" i="6"/>
  <c r="C319" i="6"/>
  <c r="D319" i="6"/>
  <c r="E319" i="6"/>
  <c r="F319" i="6"/>
  <c r="F318" i="6"/>
  <c r="D318" i="6"/>
  <c r="G318" i="6"/>
  <c r="C318" i="6"/>
  <c r="E318" i="6"/>
  <c r="E317" i="6"/>
  <c r="D317" i="6"/>
  <c r="F317" i="6"/>
  <c r="G317" i="6"/>
  <c r="C317" i="6"/>
  <c r="F316" i="6"/>
  <c r="D316" i="6"/>
  <c r="G316" i="6"/>
  <c r="C316" i="6"/>
  <c r="E316" i="6"/>
  <c r="G315" i="6"/>
  <c r="E315" i="6"/>
  <c r="C315" i="6"/>
  <c r="F315" i="6"/>
  <c r="D315" i="6"/>
  <c r="C314" i="6"/>
  <c r="G314" i="6"/>
  <c r="F314" i="6"/>
  <c r="E314" i="6"/>
  <c r="D314" i="6"/>
  <c r="C313" i="6"/>
  <c r="E313" i="6"/>
  <c r="D313" i="6"/>
  <c r="G313" i="6"/>
  <c r="F313" i="6"/>
  <c r="D312" i="6"/>
  <c r="F312" i="6"/>
  <c r="G312" i="6"/>
  <c r="C312" i="6"/>
  <c r="E312" i="6"/>
  <c r="F311" i="6"/>
  <c r="D311" i="6"/>
  <c r="E311" i="6"/>
  <c r="C311" i="6"/>
  <c r="G311" i="6"/>
  <c r="F310" i="6"/>
  <c r="G310" i="6"/>
  <c r="D310" i="6"/>
  <c r="E310" i="6"/>
  <c r="C310" i="6"/>
  <c r="E309" i="6"/>
  <c r="C309" i="6"/>
  <c r="G309" i="6"/>
  <c r="F309" i="6"/>
  <c r="D309" i="6"/>
  <c r="E308" i="6"/>
  <c r="F308" i="6"/>
  <c r="D308" i="6"/>
  <c r="C308" i="6"/>
  <c r="G308" i="6"/>
  <c r="C307" i="6"/>
  <c r="G307" i="6"/>
  <c r="D307" i="6"/>
  <c r="E307" i="6"/>
  <c r="F307" i="6"/>
  <c r="F306" i="6"/>
  <c r="G306" i="6"/>
  <c r="D306" i="6"/>
  <c r="E306" i="6"/>
  <c r="C306" i="6"/>
  <c r="D305" i="6"/>
  <c r="G305" i="6"/>
  <c r="E305" i="6"/>
  <c r="C305" i="6"/>
  <c r="F305" i="6"/>
  <c r="D304" i="6"/>
  <c r="F304" i="6"/>
  <c r="C304" i="6"/>
  <c r="G304" i="6"/>
  <c r="E304" i="6"/>
  <c r="G303" i="6"/>
  <c r="E303" i="6"/>
  <c r="D303" i="6"/>
  <c r="C303" i="6"/>
  <c r="F303" i="6"/>
  <c r="F302" i="6"/>
  <c r="D302" i="6"/>
  <c r="E302" i="6"/>
  <c r="C302" i="6"/>
  <c r="G302" i="6"/>
  <c r="D301" i="6"/>
  <c r="G301" i="6"/>
  <c r="C301" i="6"/>
  <c r="F301" i="6"/>
  <c r="E301" i="6"/>
  <c r="D300" i="6"/>
  <c r="G300" i="6"/>
  <c r="C300" i="6"/>
  <c r="E300" i="6"/>
  <c r="F300" i="6"/>
  <c r="C299" i="6"/>
  <c r="E299" i="6"/>
  <c r="G299" i="6"/>
  <c r="D299" i="6"/>
  <c r="F299" i="6"/>
  <c r="C298" i="6"/>
  <c r="G298" i="6"/>
  <c r="F298" i="6"/>
  <c r="E298" i="6"/>
  <c r="D298" i="6"/>
  <c r="C297" i="6"/>
  <c r="D297" i="6"/>
  <c r="G297" i="6"/>
  <c r="F297" i="6"/>
  <c r="E297" i="6"/>
  <c r="D296" i="6"/>
  <c r="G296" i="6"/>
  <c r="C296" i="6"/>
  <c r="F296" i="6"/>
  <c r="E296" i="6"/>
  <c r="G295" i="6"/>
  <c r="D295" i="6"/>
  <c r="C295" i="6"/>
  <c r="E295" i="6"/>
  <c r="F295" i="6"/>
  <c r="D294" i="6"/>
  <c r="E294" i="6"/>
  <c r="F294" i="6"/>
  <c r="G294" i="6"/>
  <c r="C294" i="6"/>
  <c r="D293" i="6"/>
  <c r="F293" i="6"/>
  <c r="C293" i="6"/>
  <c r="G293" i="6"/>
  <c r="E293" i="6"/>
  <c r="G292" i="6"/>
  <c r="D292" i="6"/>
  <c r="C292" i="6"/>
  <c r="F292" i="6"/>
  <c r="E292" i="6"/>
  <c r="C291" i="6"/>
  <c r="D291" i="6"/>
  <c r="G291" i="6"/>
  <c r="E291" i="6"/>
  <c r="F291" i="6"/>
  <c r="D290" i="6"/>
  <c r="G290" i="6"/>
  <c r="F290" i="6"/>
  <c r="C290" i="6"/>
  <c r="E290" i="6"/>
  <c r="F289" i="6"/>
  <c r="E289" i="6"/>
  <c r="C289" i="6"/>
  <c r="G289" i="6"/>
  <c r="D289" i="6"/>
  <c r="E288" i="6"/>
  <c r="F288" i="6"/>
  <c r="D288" i="6"/>
  <c r="C288" i="6"/>
  <c r="G288" i="6"/>
  <c r="F287" i="6"/>
  <c r="C287" i="6"/>
  <c r="G287" i="6"/>
  <c r="E287" i="6"/>
  <c r="D287" i="6"/>
  <c r="F286" i="6"/>
  <c r="G286" i="6"/>
  <c r="E286" i="6"/>
  <c r="D286" i="6"/>
  <c r="C286" i="6"/>
  <c r="E285" i="6"/>
  <c r="C285" i="6"/>
  <c r="F285" i="6"/>
  <c r="G285" i="6"/>
  <c r="D285" i="6"/>
  <c r="F284" i="6"/>
  <c r="E284" i="6"/>
  <c r="G284" i="6"/>
  <c r="D284" i="6"/>
  <c r="C283" i="6"/>
  <c r="G283" i="6"/>
  <c r="E283" i="6"/>
  <c r="D283" i="6"/>
  <c r="F283" i="6"/>
  <c r="F282" i="6"/>
  <c r="E282" i="6"/>
  <c r="C282" i="6"/>
  <c r="D282" i="6"/>
  <c r="G282" i="6"/>
  <c r="F281" i="6"/>
  <c r="D281" i="6"/>
  <c r="G281" i="6"/>
  <c r="E281" i="6"/>
  <c r="C281" i="6"/>
  <c r="C280" i="6"/>
  <c r="D280" i="6"/>
  <c r="G280" i="6"/>
  <c r="E280" i="6"/>
  <c r="F280" i="6"/>
  <c r="C279" i="6"/>
  <c r="F279" i="6"/>
  <c r="E279" i="6"/>
  <c r="G279" i="6"/>
  <c r="D279" i="6"/>
  <c r="G278" i="6"/>
  <c r="E278" i="6"/>
  <c r="F278" i="6"/>
  <c r="D278" i="6"/>
  <c r="C278" i="6"/>
  <c r="G277" i="6"/>
  <c r="D277" i="6"/>
  <c r="C277" i="6"/>
  <c r="E277" i="6"/>
  <c r="F277" i="6"/>
  <c r="F276" i="6"/>
  <c r="C276" i="6"/>
  <c r="G276" i="6"/>
  <c r="E276" i="6"/>
  <c r="D276" i="6"/>
  <c r="F275" i="6"/>
  <c r="E275" i="6"/>
  <c r="D275" i="6"/>
  <c r="G275" i="6"/>
  <c r="C275" i="6"/>
  <c r="F274" i="6"/>
  <c r="G274" i="6"/>
  <c r="D274" i="6"/>
  <c r="C274" i="6"/>
  <c r="E274" i="6"/>
  <c r="C273" i="6"/>
  <c r="F273" i="6"/>
  <c r="E273" i="6"/>
  <c r="G273" i="6"/>
  <c r="D273" i="6"/>
  <c r="D272" i="6"/>
  <c r="E272" i="6"/>
  <c r="G272" i="6"/>
  <c r="F272" i="6"/>
  <c r="C272" i="6"/>
  <c r="D271" i="6"/>
  <c r="E271" i="6"/>
  <c r="G271" i="6"/>
  <c r="F271" i="6"/>
  <c r="C271" i="6"/>
  <c r="F270" i="6"/>
  <c r="E270" i="6"/>
  <c r="D270" i="6"/>
  <c r="G270" i="6"/>
  <c r="C270" i="6"/>
  <c r="F269" i="6"/>
  <c r="C269" i="6"/>
  <c r="D269" i="6"/>
  <c r="E269" i="6"/>
  <c r="G269" i="6"/>
  <c r="F268" i="6"/>
  <c r="E268" i="6"/>
  <c r="C268" i="6"/>
  <c r="G268" i="6"/>
  <c r="D268" i="6"/>
  <c r="E267" i="6"/>
  <c r="C267" i="6"/>
  <c r="G267" i="6"/>
  <c r="F267" i="6"/>
  <c r="D267" i="6"/>
  <c r="E266" i="6"/>
  <c r="G266" i="6"/>
  <c r="F266" i="6"/>
  <c r="D266" i="6"/>
  <c r="D265" i="6"/>
  <c r="C265" i="6"/>
  <c r="F265" i="6"/>
  <c r="G265" i="6"/>
  <c r="E265" i="6"/>
  <c r="D264" i="6"/>
  <c r="G264" i="6"/>
  <c r="C264" i="6"/>
  <c r="E264" i="6"/>
  <c r="F264" i="6"/>
  <c r="G263" i="6"/>
  <c r="E263" i="6"/>
  <c r="C263" i="6"/>
  <c r="F263" i="6"/>
  <c r="D263" i="6"/>
  <c r="E262" i="6"/>
  <c r="G262" i="6"/>
  <c r="F262" i="6"/>
  <c r="D262" i="6"/>
  <c r="C262" i="6"/>
  <c r="D261" i="6"/>
  <c r="E261" i="6"/>
  <c r="C261" i="6"/>
  <c r="F261" i="6"/>
  <c r="G261" i="6"/>
  <c r="E260" i="6"/>
  <c r="D260" i="6"/>
  <c r="G260" i="6"/>
  <c r="F260" i="6"/>
  <c r="C260" i="6"/>
  <c r="C259" i="6"/>
  <c r="F259" i="6"/>
  <c r="D259" i="6"/>
  <c r="E259" i="6"/>
  <c r="G259" i="6"/>
  <c r="E258" i="6"/>
  <c r="F258" i="6"/>
  <c r="G258" i="6"/>
  <c r="D258" i="6"/>
  <c r="C258" i="6"/>
  <c r="C257" i="6"/>
  <c r="D257" i="6"/>
  <c r="G257" i="6"/>
  <c r="E257" i="6"/>
  <c r="F257" i="6"/>
  <c r="G256" i="6"/>
  <c r="F256" i="6"/>
  <c r="C256" i="6"/>
  <c r="D256" i="6"/>
  <c r="E256" i="6"/>
  <c r="C255" i="6"/>
  <c r="D255" i="6"/>
  <c r="F255" i="6"/>
  <c r="E255" i="6"/>
  <c r="G255" i="6"/>
  <c r="E254" i="6"/>
  <c r="F254" i="6"/>
  <c r="G254" i="6"/>
  <c r="C254" i="6"/>
  <c r="D254" i="6"/>
  <c r="F253" i="6"/>
  <c r="E253" i="6"/>
  <c r="D253" i="6"/>
  <c r="C253" i="6"/>
  <c r="G253" i="6"/>
  <c r="D252" i="6"/>
  <c r="F252" i="6"/>
  <c r="C252" i="6"/>
  <c r="E252" i="6"/>
  <c r="G252" i="6"/>
  <c r="F251" i="6"/>
  <c r="C251" i="6"/>
  <c r="G251" i="6"/>
  <c r="D251" i="6"/>
  <c r="E251" i="6"/>
  <c r="G250" i="6"/>
  <c r="E250" i="6"/>
  <c r="F250" i="6"/>
  <c r="C250" i="6"/>
  <c r="D250" i="6"/>
  <c r="G249" i="6"/>
  <c r="D249" i="6"/>
  <c r="F249" i="6"/>
  <c r="C249" i="6"/>
  <c r="E249" i="6"/>
  <c r="G248" i="6"/>
  <c r="F248" i="6"/>
  <c r="D248" i="6"/>
  <c r="E248" i="6"/>
  <c r="E247" i="6"/>
  <c r="C247" i="6"/>
  <c r="G247" i="6"/>
  <c r="F247" i="6"/>
  <c r="D247" i="6"/>
  <c r="F246" i="6"/>
  <c r="C246" i="6"/>
  <c r="E246" i="6"/>
  <c r="G246" i="6"/>
  <c r="D246" i="6"/>
  <c r="D245" i="6"/>
  <c r="G245" i="6"/>
  <c r="E245" i="6"/>
  <c r="C245" i="6"/>
  <c r="F245" i="6"/>
  <c r="D244" i="6"/>
  <c r="C244" i="6"/>
  <c r="E244" i="6"/>
  <c r="F244" i="6"/>
  <c r="G244" i="6"/>
  <c r="F243" i="6"/>
  <c r="E243" i="6"/>
  <c r="C243" i="6"/>
  <c r="G243" i="6"/>
  <c r="D243" i="6"/>
  <c r="G242" i="6"/>
  <c r="F242" i="6"/>
  <c r="E242" i="6"/>
  <c r="D242" i="6"/>
  <c r="C242" i="6"/>
  <c r="E241" i="6"/>
  <c r="F241" i="6"/>
  <c r="G241" i="6"/>
  <c r="C241" i="6"/>
  <c r="D241" i="6"/>
  <c r="C240" i="6"/>
  <c r="E240" i="6"/>
  <c r="G240" i="6"/>
  <c r="D240" i="6"/>
  <c r="F240" i="6"/>
  <c r="G239" i="6"/>
  <c r="F239" i="6"/>
  <c r="E239" i="6"/>
  <c r="D239" i="6"/>
  <c r="C239" i="6"/>
  <c r="F238" i="6"/>
  <c r="E238" i="6"/>
  <c r="D238" i="6"/>
  <c r="C238" i="6"/>
  <c r="G238" i="6"/>
  <c r="G237" i="6"/>
  <c r="F237" i="6"/>
  <c r="C237" i="6"/>
  <c r="E237" i="6"/>
  <c r="D237" i="6"/>
  <c r="G236" i="6"/>
  <c r="E236" i="6"/>
  <c r="F236" i="6"/>
  <c r="D236" i="6"/>
  <c r="C236" i="6"/>
  <c r="E235" i="6"/>
  <c r="D235" i="6"/>
  <c r="F235" i="6"/>
  <c r="G235" i="6"/>
  <c r="C235" i="6"/>
  <c r="C234" i="6"/>
  <c r="D234" i="6"/>
  <c r="E234" i="6"/>
  <c r="F234" i="6"/>
  <c r="G234" i="6"/>
  <c r="C233" i="6"/>
  <c r="D233" i="6"/>
  <c r="E233" i="6"/>
  <c r="G233" i="6"/>
  <c r="F233" i="6"/>
  <c r="F232" i="6"/>
  <c r="C232" i="6"/>
  <c r="D232" i="6"/>
  <c r="E232" i="6"/>
  <c r="G232" i="6"/>
  <c r="C231" i="6"/>
  <c r="G231" i="6"/>
  <c r="F231" i="6"/>
  <c r="E231" i="6"/>
  <c r="D231" i="6"/>
  <c r="C230" i="6"/>
  <c r="G230" i="6"/>
  <c r="F230" i="6"/>
  <c r="E230" i="6"/>
  <c r="D230" i="6"/>
  <c r="G229" i="6"/>
  <c r="E229" i="6"/>
  <c r="F229" i="6"/>
  <c r="C229" i="6"/>
  <c r="D229" i="6"/>
  <c r="D228" i="6"/>
  <c r="G228" i="6"/>
  <c r="F228" i="6"/>
  <c r="C228" i="6"/>
  <c r="E228" i="6"/>
  <c r="C227" i="6"/>
  <c r="D227" i="6"/>
  <c r="E227" i="6"/>
  <c r="F227" i="6"/>
  <c r="G227" i="6"/>
  <c r="D226" i="6"/>
  <c r="E226" i="6"/>
  <c r="F226" i="6"/>
  <c r="G226" i="6"/>
  <c r="C226" i="6"/>
  <c r="G225" i="6"/>
  <c r="F225" i="6"/>
  <c r="E225" i="6"/>
  <c r="D225" i="6"/>
  <c r="C225" i="6"/>
  <c r="E224" i="6"/>
  <c r="F224" i="6"/>
  <c r="C224" i="6"/>
  <c r="D224" i="6"/>
  <c r="G224" i="6"/>
  <c r="F223" i="6"/>
  <c r="E223" i="6"/>
  <c r="D223" i="6"/>
  <c r="C223" i="6"/>
  <c r="G223" i="6"/>
  <c r="G222" i="6"/>
  <c r="F222" i="6"/>
  <c r="E222" i="6"/>
  <c r="D222" i="6"/>
  <c r="C222" i="6"/>
  <c r="G221" i="6"/>
  <c r="C221" i="6"/>
  <c r="D221" i="6"/>
  <c r="E221" i="6"/>
  <c r="F221" i="6"/>
  <c r="F220" i="6"/>
  <c r="C220" i="6"/>
  <c r="D220" i="6"/>
  <c r="E220" i="6"/>
  <c r="G220" i="6"/>
  <c r="F219" i="6"/>
  <c r="E219" i="6"/>
  <c r="D219" i="6"/>
  <c r="C219" i="6"/>
  <c r="G219" i="6"/>
  <c r="G218" i="6"/>
  <c r="F218" i="6"/>
  <c r="E218" i="6"/>
  <c r="C218" i="6"/>
  <c r="D218" i="6"/>
  <c r="F217" i="6"/>
  <c r="E217" i="6"/>
  <c r="D217" i="6"/>
  <c r="C217" i="6"/>
  <c r="G217" i="6"/>
  <c r="G216" i="6"/>
  <c r="F216" i="6"/>
  <c r="E216" i="6"/>
  <c r="D216" i="6"/>
  <c r="C216" i="6"/>
  <c r="D215" i="6"/>
  <c r="E215" i="6"/>
  <c r="F215" i="6"/>
  <c r="G215" i="6"/>
  <c r="C215" i="6"/>
  <c r="C214" i="6"/>
  <c r="D214" i="6"/>
  <c r="E214" i="6"/>
  <c r="F214" i="6"/>
  <c r="G214" i="6"/>
  <c r="D213" i="6"/>
  <c r="E213" i="6"/>
  <c r="F213" i="6"/>
  <c r="C213" i="6"/>
  <c r="G213" i="6"/>
  <c r="C212" i="6"/>
  <c r="G212" i="6"/>
  <c r="F212" i="6"/>
  <c r="E212" i="6"/>
  <c r="D212" i="6"/>
  <c r="D211" i="6"/>
  <c r="C211" i="6"/>
  <c r="F211" i="6"/>
  <c r="E211" i="6"/>
  <c r="G211" i="6"/>
  <c r="G210" i="6"/>
  <c r="F210" i="6"/>
  <c r="E210" i="6"/>
  <c r="D210" i="6"/>
  <c r="C210" i="6"/>
  <c r="C209" i="6"/>
  <c r="F209" i="6"/>
  <c r="E209" i="6"/>
  <c r="D209" i="6"/>
  <c r="G209" i="6"/>
  <c r="C208" i="6"/>
  <c r="D208" i="6"/>
  <c r="G208" i="6"/>
  <c r="E208" i="6"/>
  <c r="F208" i="6"/>
  <c r="D207" i="6"/>
  <c r="C207" i="6"/>
  <c r="E207" i="6"/>
  <c r="F207" i="6"/>
  <c r="G207" i="6"/>
  <c r="E206" i="6"/>
  <c r="F206" i="6"/>
  <c r="G206" i="6"/>
  <c r="C206" i="6"/>
  <c r="D206" i="6"/>
  <c r="C205" i="6"/>
  <c r="D205" i="6"/>
  <c r="E205" i="6"/>
  <c r="F205" i="6"/>
  <c r="G205" i="6"/>
  <c r="G204" i="6"/>
  <c r="F204" i="6"/>
  <c r="D204" i="6"/>
  <c r="C204" i="6"/>
  <c r="E204" i="6"/>
  <c r="G203" i="6"/>
  <c r="F203" i="6"/>
  <c r="E203" i="6"/>
  <c r="D203" i="6"/>
  <c r="C203" i="6"/>
  <c r="G202" i="6"/>
  <c r="F202" i="6"/>
  <c r="E202" i="6"/>
  <c r="D202" i="6"/>
  <c r="C202" i="6"/>
  <c r="G201" i="6"/>
  <c r="F201" i="6"/>
  <c r="E201" i="6"/>
  <c r="D201" i="6"/>
  <c r="C201" i="6"/>
  <c r="G200" i="6"/>
  <c r="F200" i="6"/>
  <c r="E200" i="6"/>
  <c r="D200" i="6"/>
  <c r="C200" i="6"/>
  <c r="D199" i="6"/>
  <c r="G199" i="6"/>
  <c r="F199" i="6"/>
  <c r="E199" i="6"/>
  <c r="C199" i="6"/>
  <c r="F198" i="6"/>
  <c r="E198" i="6"/>
  <c r="D198" i="6"/>
  <c r="C198" i="6"/>
  <c r="G198" i="6"/>
  <c r="G197" i="6"/>
  <c r="C197" i="6"/>
  <c r="D197" i="6"/>
  <c r="E197" i="6"/>
  <c r="F197" i="6"/>
  <c r="G196" i="6"/>
  <c r="C196" i="6"/>
  <c r="D196" i="6"/>
  <c r="F196" i="6"/>
  <c r="E196" i="6"/>
  <c r="G195" i="6"/>
  <c r="F195" i="6"/>
  <c r="E195" i="6"/>
  <c r="D195" i="6"/>
  <c r="C195" i="6"/>
  <c r="C194" i="6"/>
  <c r="D194" i="6"/>
  <c r="E194" i="6"/>
  <c r="F194" i="6"/>
  <c r="G194" i="6"/>
  <c r="C193" i="6"/>
  <c r="D193" i="6"/>
  <c r="E193" i="6"/>
  <c r="F193" i="6"/>
  <c r="G193" i="6"/>
  <c r="F192" i="6"/>
  <c r="C192" i="6"/>
  <c r="E192" i="6"/>
  <c r="D192" i="6"/>
  <c r="G192" i="6"/>
  <c r="G191" i="6"/>
  <c r="E191" i="6"/>
  <c r="D191" i="6"/>
  <c r="C191" i="6"/>
  <c r="F191" i="6"/>
  <c r="C190" i="6"/>
  <c r="D190" i="6"/>
  <c r="F190" i="6"/>
  <c r="G190" i="6"/>
  <c r="E190" i="6"/>
  <c r="C189" i="6"/>
  <c r="G189" i="6"/>
  <c r="F189" i="6"/>
  <c r="E189" i="6"/>
  <c r="D189" i="6"/>
  <c r="C188" i="6"/>
  <c r="D188" i="6"/>
  <c r="E188" i="6"/>
  <c r="G188" i="6"/>
  <c r="F188" i="6"/>
  <c r="G187" i="6"/>
  <c r="C187" i="6"/>
  <c r="D187" i="6"/>
  <c r="E187" i="6"/>
  <c r="F187" i="6"/>
  <c r="C186" i="6"/>
  <c r="D186" i="6"/>
  <c r="E186" i="6"/>
  <c r="F186" i="6"/>
  <c r="G186" i="6"/>
  <c r="F185" i="6"/>
  <c r="C185" i="6"/>
  <c r="D185" i="6"/>
  <c r="E185" i="6"/>
  <c r="G185" i="6"/>
  <c r="C184" i="6"/>
  <c r="F184" i="6"/>
  <c r="G184" i="6"/>
  <c r="E184" i="6"/>
  <c r="D184" i="6"/>
  <c r="G183" i="6"/>
  <c r="F183" i="6"/>
  <c r="E183" i="6"/>
  <c r="D183" i="6"/>
  <c r="C183" i="6"/>
  <c r="D182" i="6"/>
  <c r="C182" i="6"/>
  <c r="E182" i="6"/>
  <c r="G182" i="6"/>
  <c r="F182" i="6"/>
  <c r="E181" i="6"/>
  <c r="C181" i="6"/>
  <c r="D181" i="6"/>
  <c r="F181" i="6"/>
  <c r="G181" i="6"/>
  <c r="D180" i="6"/>
  <c r="E180" i="6"/>
  <c r="F180" i="6"/>
  <c r="G180" i="6"/>
  <c r="C180" i="6"/>
  <c r="C179" i="6"/>
  <c r="D179" i="6"/>
  <c r="E179" i="6"/>
  <c r="F179" i="6"/>
  <c r="G179" i="6"/>
  <c r="C178" i="6"/>
  <c r="D178" i="6"/>
  <c r="E178" i="6"/>
  <c r="F178" i="6"/>
  <c r="G178" i="6"/>
  <c r="C177" i="6"/>
  <c r="G177" i="6"/>
  <c r="F177" i="6"/>
  <c r="E177" i="6"/>
  <c r="D177" i="6"/>
  <c r="G176" i="6"/>
  <c r="F176" i="6"/>
  <c r="E176" i="6"/>
  <c r="D176" i="6"/>
  <c r="C176" i="6"/>
  <c r="C175" i="6"/>
  <c r="G175" i="6"/>
  <c r="F175" i="6"/>
  <c r="E175" i="6"/>
  <c r="D175" i="6"/>
  <c r="F174" i="6"/>
  <c r="E174" i="6"/>
  <c r="D174" i="6"/>
  <c r="G174" i="6"/>
  <c r="C174" i="6"/>
  <c r="C173" i="6"/>
  <c r="E173" i="6"/>
  <c r="F173" i="6"/>
  <c r="D173" i="6"/>
  <c r="G173" i="6"/>
  <c r="C172" i="6"/>
  <c r="D172" i="6"/>
  <c r="E172" i="6"/>
  <c r="F172" i="6"/>
  <c r="G172" i="6"/>
  <c r="C171" i="6"/>
  <c r="G171" i="6"/>
  <c r="F171" i="6"/>
  <c r="E171" i="6"/>
  <c r="D171" i="6"/>
  <c r="E170" i="6"/>
  <c r="G170" i="6"/>
  <c r="F170" i="6"/>
  <c r="D170" i="6"/>
  <c r="C170" i="6"/>
  <c r="G169" i="6"/>
  <c r="F169" i="6"/>
  <c r="E169" i="6"/>
  <c r="D169" i="6"/>
  <c r="C169" i="6"/>
  <c r="F168" i="6"/>
  <c r="E168" i="6"/>
  <c r="D168" i="6"/>
  <c r="C168" i="6"/>
  <c r="G168" i="6"/>
  <c r="F167" i="6"/>
  <c r="E167" i="6"/>
  <c r="D167" i="6"/>
  <c r="C167" i="6"/>
  <c r="G167" i="6"/>
  <c r="G166" i="6"/>
  <c r="F166" i="6"/>
  <c r="E166" i="6"/>
  <c r="D166" i="6"/>
  <c r="C166" i="6"/>
  <c r="G165" i="6"/>
  <c r="F165" i="6"/>
  <c r="E165" i="6"/>
  <c r="D165" i="6"/>
  <c r="C165" i="6"/>
  <c r="F164" i="6"/>
  <c r="D164" i="6"/>
  <c r="C164" i="6"/>
  <c r="E164" i="6"/>
  <c r="G164" i="6"/>
  <c r="F163" i="6"/>
  <c r="G163" i="6"/>
  <c r="E163" i="6"/>
  <c r="D163" i="6"/>
  <c r="C163" i="6"/>
  <c r="G162" i="6"/>
  <c r="F162" i="6"/>
  <c r="E162" i="6"/>
  <c r="D162" i="6"/>
  <c r="C162" i="6"/>
  <c r="G161" i="6"/>
  <c r="F161" i="6"/>
  <c r="E161" i="6"/>
  <c r="D161" i="6"/>
  <c r="C161" i="6"/>
  <c r="G160" i="6"/>
  <c r="F160" i="6"/>
  <c r="E160" i="6"/>
  <c r="D160" i="6"/>
  <c r="C160" i="6"/>
  <c r="C159" i="6"/>
  <c r="F159" i="6"/>
  <c r="E159" i="6"/>
  <c r="D159" i="6"/>
  <c r="G159" i="6"/>
  <c r="F158" i="6"/>
  <c r="E158" i="6"/>
  <c r="D158" i="6"/>
  <c r="C158" i="6"/>
  <c r="G158" i="6"/>
  <c r="G157" i="6"/>
  <c r="F157" i="6"/>
  <c r="E157" i="6"/>
  <c r="D157" i="6"/>
  <c r="C157" i="6"/>
  <c r="E156" i="6"/>
  <c r="G156" i="6"/>
  <c r="F156" i="6"/>
  <c r="D156" i="6"/>
  <c r="C156" i="6"/>
  <c r="F155" i="6"/>
  <c r="E155" i="6"/>
  <c r="D155" i="6"/>
  <c r="C155" i="6"/>
  <c r="G155" i="6"/>
  <c r="F154" i="6"/>
  <c r="E154" i="6"/>
  <c r="C154" i="6"/>
  <c r="D154" i="6"/>
  <c r="G154" i="6"/>
  <c r="G153" i="6"/>
  <c r="F153" i="6"/>
  <c r="E153" i="6"/>
  <c r="D153" i="6"/>
  <c r="C153" i="6"/>
  <c r="G152" i="6"/>
  <c r="F152" i="6"/>
  <c r="E152" i="6"/>
  <c r="D152" i="6"/>
  <c r="C152" i="6"/>
  <c r="G151" i="6"/>
  <c r="F151" i="6"/>
  <c r="E151" i="6"/>
  <c r="D151" i="6"/>
  <c r="C151" i="6"/>
  <c r="F150" i="6"/>
  <c r="E150" i="6"/>
  <c r="D150" i="6"/>
  <c r="C150" i="6"/>
  <c r="G150" i="6"/>
  <c r="F149" i="6"/>
  <c r="E149" i="6"/>
  <c r="D149" i="6"/>
  <c r="C149" i="6"/>
  <c r="G149" i="6"/>
  <c r="F148" i="6"/>
  <c r="G148" i="6"/>
  <c r="E148" i="6"/>
  <c r="D148" i="6"/>
  <c r="C148" i="6"/>
  <c r="F147" i="6"/>
  <c r="G147" i="6"/>
  <c r="E147" i="6"/>
  <c r="D147" i="6"/>
  <c r="C147" i="6"/>
  <c r="F146" i="6"/>
  <c r="E146" i="6"/>
  <c r="D146" i="6"/>
  <c r="C146" i="6"/>
  <c r="G146" i="6"/>
  <c r="F145" i="6"/>
  <c r="E145" i="6"/>
  <c r="D145" i="6"/>
  <c r="C145" i="6"/>
  <c r="G145" i="6"/>
  <c r="G144" i="6"/>
  <c r="F144" i="6"/>
  <c r="E144" i="6"/>
  <c r="D144" i="6"/>
  <c r="C144" i="6"/>
  <c r="G143" i="6"/>
  <c r="F143" i="6"/>
  <c r="E143" i="6"/>
  <c r="D143" i="6"/>
  <c r="C143" i="6"/>
  <c r="G142" i="6"/>
  <c r="F142" i="6"/>
  <c r="E142" i="6"/>
  <c r="D142" i="6"/>
  <c r="C142" i="6"/>
  <c r="G141" i="6"/>
  <c r="F141" i="6"/>
  <c r="E141" i="6"/>
  <c r="D141" i="6"/>
  <c r="C141" i="6"/>
  <c r="D140" i="6"/>
  <c r="C140" i="6"/>
  <c r="F140" i="6"/>
  <c r="E140" i="6"/>
  <c r="G140" i="6"/>
  <c r="F139" i="6"/>
  <c r="E139" i="6"/>
  <c r="D139" i="6"/>
  <c r="C139" i="6"/>
  <c r="G139" i="6"/>
  <c r="G138" i="6"/>
  <c r="F138" i="6"/>
  <c r="E138" i="6"/>
  <c r="D138" i="6"/>
  <c r="C138" i="6"/>
  <c r="G137" i="6"/>
  <c r="F137" i="6"/>
  <c r="E137" i="6"/>
  <c r="D137" i="6"/>
  <c r="C137" i="6"/>
  <c r="G136" i="6"/>
  <c r="F136" i="6"/>
  <c r="E136" i="6"/>
  <c r="D136" i="6"/>
  <c r="C136" i="6"/>
  <c r="D135" i="6"/>
  <c r="G135" i="6"/>
  <c r="F135" i="6"/>
  <c r="E135" i="6"/>
  <c r="C135" i="6"/>
  <c r="G134" i="6"/>
  <c r="F134" i="6"/>
  <c r="E134" i="6"/>
  <c r="D134" i="6"/>
  <c r="C134" i="6"/>
  <c r="G133" i="6"/>
  <c r="F133" i="6"/>
  <c r="E133" i="6"/>
  <c r="C133" i="6"/>
  <c r="D133" i="6"/>
  <c r="F132" i="6"/>
  <c r="G132" i="6"/>
  <c r="E132" i="6"/>
  <c r="D132" i="6"/>
  <c r="C132" i="6"/>
  <c r="E131" i="6"/>
  <c r="D131" i="6"/>
  <c r="C131" i="6"/>
  <c r="G131" i="6"/>
  <c r="F131" i="6"/>
  <c r="E130" i="6"/>
  <c r="D130" i="6"/>
  <c r="G130" i="6"/>
  <c r="C130" i="6"/>
  <c r="F130" i="6"/>
  <c r="C129" i="6"/>
  <c r="D129" i="6"/>
  <c r="E129" i="6"/>
  <c r="F129" i="6"/>
  <c r="G129" i="6"/>
  <c r="C128" i="6"/>
  <c r="D128" i="6"/>
  <c r="E128" i="6"/>
  <c r="G128" i="6"/>
  <c r="F128" i="6"/>
  <c r="F127" i="6"/>
  <c r="G127" i="6"/>
  <c r="D127" i="6"/>
  <c r="C127" i="6"/>
  <c r="E127" i="6"/>
  <c r="G126" i="6"/>
  <c r="F126" i="6"/>
  <c r="E126" i="6"/>
  <c r="D126" i="6"/>
  <c r="C126" i="6"/>
  <c r="G125" i="6"/>
  <c r="F125" i="6"/>
  <c r="E125" i="6"/>
  <c r="D125" i="6"/>
  <c r="C125" i="6"/>
  <c r="G124" i="6"/>
  <c r="F124" i="6"/>
  <c r="E124" i="6"/>
  <c r="D124" i="6"/>
  <c r="C124" i="6"/>
  <c r="G123" i="6"/>
  <c r="F123" i="6"/>
  <c r="E123" i="6"/>
  <c r="D123" i="6"/>
  <c r="C123" i="6"/>
  <c r="G122" i="6"/>
  <c r="C122" i="6"/>
  <c r="D122" i="6"/>
  <c r="E122" i="6"/>
  <c r="F122" i="6"/>
  <c r="F121" i="6"/>
  <c r="G121" i="6"/>
  <c r="D121" i="6"/>
  <c r="E121" i="6"/>
  <c r="C121" i="6"/>
  <c r="C120" i="6"/>
  <c r="D120" i="6"/>
  <c r="E120" i="6"/>
  <c r="F120" i="6"/>
  <c r="G120" i="6"/>
  <c r="E119" i="6"/>
  <c r="F119" i="6"/>
  <c r="G119" i="6"/>
  <c r="D119" i="6"/>
  <c r="C119" i="6"/>
  <c r="G118" i="6"/>
  <c r="F118" i="6"/>
  <c r="E118" i="6"/>
  <c r="D118" i="6"/>
  <c r="C118" i="6"/>
  <c r="G117" i="6"/>
  <c r="F117" i="6"/>
  <c r="E117" i="6"/>
  <c r="D117" i="6"/>
  <c r="C117" i="6"/>
  <c r="C116" i="6"/>
  <c r="D116" i="6"/>
  <c r="E116" i="6"/>
  <c r="F116" i="6"/>
  <c r="G116" i="6"/>
  <c r="G115" i="6"/>
  <c r="E115" i="6"/>
  <c r="D115" i="6"/>
  <c r="C115" i="6"/>
  <c r="F115" i="6"/>
  <c r="G114" i="6"/>
  <c r="F114" i="6"/>
  <c r="E114" i="6"/>
  <c r="D114" i="6"/>
  <c r="C114" i="6"/>
  <c r="G113" i="6"/>
  <c r="F113" i="6"/>
  <c r="E113" i="6"/>
  <c r="D113" i="6"/>
  <c r="C113" i="6"/>
  <c r="G112" i="6"/>
  <c r="C112" i="6"/>
  <c r="D112" i="6"/>
  <c r="E112" i="6"/>
  <c r="F112" i="6"/>
  <c r="F111" i="6"/>
  <c r="E111" i="6"/>
  <c r="D111" i="6"/>
  <c r="C111" i="6"/>
  <c r="G111" i="6"/>
  <c r="E110" i="6"/>
  <c r="G110" i="6"/>
  <c r="F110" i="6"/>
  <c r="D110" i="6"/>
  <c r="C110" i="6"/>
  <c r="G109" i="6"/>
  <c r="F109" i="6"/>
  <c r="E109" i="6"/>
  <c r="D109" i="6"/>
  <c r="C109" i="6"/>
  <c r="G108" i="6"/>
  <c r="F108" i="6"/>
  <c r="E108" i="6"/>
  <c r="D108" i="6"/>
  <c r="C108" i="6"/>
  <c r="C107" i="6"/>
  <c r="D107" i="6"/>
  <c r="E107" i="6"/>
  <c r="G107" i="6"/>
  <c r="F107" i="6"/>
  <c r="G106" i="6"/>
  <c r="F106" i="6"/>
  <c r="E106" i="6"/>
  <c r="D106" i="6"/>
  <c r="C106" i="6"/>
  <c r="G105" i="6"/>
  <c r="F105" i="6"/>
  <c r="E105" i="6"/>
  <c r="D105" i="6"/>
  <c r="C105" i="6"/>
  <c r="G104" i="6"/>
  <c r="F104" i="6"/>
  <c r="D104" i="6"/>
  <c r="C104" i="6"/>
  <c r="E104" i="6"/>
  <c r="D103" i="6"/>
  <c r="C103" i="6"/>
  <c r="G103" i="6"/>
  <c r="F103" i="6"/>
  <c r="E103" i="6"/>
  <c r="G102" i="6"/>
  <c r="F102" i="6"/>
  <c r="E102" i="6"/>
  <c r="C102" i="6"/>
  <c r="D102" i="6"/>
  <c r="F101" i="6"/>
  <c r="E101" i="6"/>
  <c r="D101" i="6"/>
  <c r="C101" i="6"/>
  <c r="G101" i="6"/>
  <c r="D100" i="6"/>
  <c r="E100" i="6"/>
  <c r="F100" i="6"/>
  <c r="G100" i="6"/>
  <c r="C100" i="6"/>
  <c r="E99" i="6"/>
  <c r="F99" i="6"/>
  <c r="G99" i="6"/>
  <c r="C99" i="6"/>
  <c r="D99" i="6"/>
  <c r="F98" i="6"/>
  <c r="D98" i="6"/>
  <c r="C98" i="6"/>
  <c r="G98" i="6"/>
  <c r="E98" i="6"/>
  <c r="D97" i="6"/>
  <c r="G97" i="6"/>
  <c r="F97" i="6"/>
  <c r="C97" i="6"/>
  <c r="E97" i="6"/>
  <c r="F96" i="6"/>
  <c r="D96" i="6"/>
  <c r="E96" i="6"/>
  <c r="C96" i="6"/>
  <c r="G96" i="6"/>
  <c r="E95" i="6"/>
  <c r="G95" i="6"/>
  <c r="F95" i="6"/>
  <c r="D95" i="6"/>
  <c r="C95" i="6"/>
  <c r="E94" i="6"/>
  <c r="F94" i="6"/>
  <c r="G94" i="6"/>
  <c r="C94" i="6"/>
  <c r="D94" i="6"/>
  <c r="C93" i="6"/>
  <c r="D93" i="6"/>
  <c r="F93" i="6"/>
  <c r="E93" i="6"/>
  <c r="G93" i="6"/>
  <c r="G92" i="6"/>
  <c r="E92" i="6"/>
  <c r="D92" i="6"/>
  <c r="C92" i="6"/>
  <c r="F92" i="6"/>
  <c r="D91" i="6"/>
  <c r="F91" i="6"/>
  <c r="G91" i="6"/>
  <c r="E91" i="6"/>
  <c r="C91" i="6"/>
  <c r="C90" i="6"/>
  <c r="G90" i="6"/>
  <c r="F90" i="6"/>
  <c r="E90" i="6"/>
  <c r="D90" i="6"/>
  <c r="D89" i="6"/>
  <c r="E89" i="6"/>
  <c r="F89" i="6"/>
  <c r="G89" i="6"/>
  <c r="C89" i="6"/>
  <c r="D88" i="6"/>
  <c r="C88" i="6"/>
  <c r="E88" i="6"/>
  <c r="F88" i="6"/>
  <c r="G88" i="6"/>
  <c r="C87" i="6"/>
  <c r="G87" i="6"/>
  <c r="F87" i="6"/>
  <c r="E87" i="6"/>
  <c r="D87" i="6"/>
  <c r="G86" i="6"/>
  <c r="F86" i="6"/>
  <c r="E86" i="6"/>
  <c r="C86" i="6"/>
  <c r="D86" i="6"/>
  <c r="G85" i="6"/>
  <c r="F85" i="6"/>
  <c r="E85" i="6"/>
  <c r="D85" i="6"/>
  <c r="C85" i="6"/>
  <c r="F84" i="6"/>
  <c r="E84" i="6"/>
  <c r="D84" i="6"/>
  <c r="C84" i="6"/>
  <c r="G84" i="6"/>
  <c r="G83" i="6"/>
  <c r="F83" i="6"/>
  <c r="E83" i="6"/>
  <c r="D83" i="6"/>
  <c r="C83" i="6"/>
  <c r="F82" i="6"/>
  <c r="E82" i="6"/>
  <c r="D82" i="6"/>
  <c r="G82" i="6"/>
  <c r="C82" i="6"/>
  <c r="D81" i="6"/>
  <c r="G81" i="6"/>
  <c r="C81" i="6"/>
  <c r="E81" i="6"/>
  <c r="F81" i="6"/>
  <c r="C80" i="6"/>
  <c r="D80" i="6"/>
  <c r="G80" i="6"/>
  <c r="F80" i="6"/>
  <c r="E80" i="6"/>
  <c r="G79" i="6"/>
  <c r="F79" i="6"/>
  <c r="E79" i="6"/>
  <c r="D79" i="6"/>
  <c r="C79" i="6"/>
  <c r="G78" i="6"/>
  <c r="F78" i="6"/>
  <c r="C78" i="6"/>
  <c r="D78" i="6"/>
  <c r="E78" i="6"/>
  <c r="E77" i="6"/>
  <c r="C77" i="6"/>
  <c r="D77" i="6"/>
  <c r="F77" i="6"/>
  <c r="G77" i="6"/>
  <c r="E76" i="6"/>
  <c r="G76" i="6"/>
  <c r="F76" i="6"/>
  <c r="D76" i="6"/>
  <c r="C76" i="6"/>
  <c r="C75" i="6"/>
  <c r="D75" i="6"/>
  <c r="E75" i="6"/>
  <c r="G75" i="6"/>
  <c r="F75" i="6"/>
  <c r="C74" i="6"/>
  <c r="G74" i="6"/>
  <c r="D74" i="6"/>
  <c r="F74" i="6"/>
  <c r="E74" i="6"/>
  <c r="G73" i="6"/>
  <c r="D73" i="6"/>
  <c r="E73" i="6"/>
  <c r="F73" i="6"/>
  <c r="C73" i="6"/>
  <c r="C72" i="6"/>
  <c r="G72" i="6"/>
  <c r="F72" i="6"/>
  <c r="E72" i="6"/>
  <c r="D72" i="6"/>
  <c r="E71" i="6"/>
  <c r="C71" i="6"/>
  <c r="D71" i="6"/>
  <c r="G71" i="6"/>
  <c r="F71" i="6"/>
  <c r="G70" i="6"/>
  <c r="D70" i="6"/>
  <c r="C70" i="6"/>
  <c r="E70" i="6"/>
  <c r="F70" i="6"/>
  <c r="D69" i="6"/>
  <c r="C69" i="6"/>
  <c r="E69" i="6"/>
  <c r="F69" i="6"/>
  <c r="G69" i="6"/>
  <c r="C68" i="6"/>
  <c r="D68" i="6"/>
  <c r="E68" i="6"/>
  <c r="F68" i="6"/>
  <c r="G68" i="6"/>
  <c r="D67" i="6"/>
  <c r="G67" i="6"/>
  <c r="C67" i="6"/>
  <c r="F67" i="6"/>
  <c r="E67" i="6"/>
  <c r="G66" i="6"/>
  <c r="F66" i="6"/>
  <c r="E66" i="6"/>
  <c r="D66" i="6"/>
  <c r="C66" i="6"/>
  <c r="G65" i="6"/>
  <c r="F65" i="6"/>
  <c r="D65" i="6"/>
  <c r="C65" i="6"/>
  <c r="E65" i="6"/>
  <c r="G64" i="6"/>
  <c r="F64" i="6"/>
  <c r="E64" i="6"/>
  <c r="D64" i="6"/>
  <c r="C64" i="6"/>
  <c r="E63" i="6"/>
  <c r="C63" i="6"/>
  <c r="G63" i="6"/>
  <c r="F63" i="6"/>
  <c r="D63" i="6"/>
  <c r="C62" i="6"/>
  <c r="D62" i="6"/>
  <c r="E62" i="6"/>
  <c r="F62" i="6"/>
  <c r="G62" i="6"/>
  <c r="E61" i="6"/>
  <c r="C61" i="6"/>
  <c r="D61" i="6"/>
  <c r="F61" i="6"/>
  <c r="G61" i="6"/>
  <c r="E60" i="6"/>
  <c r="G60" i="6"/>
  <c r="F60" i="6"/>
  <c r="C60" i="6"/>
  <c r="D60" i="6"/>
  <c r="D59" i="6"/>
  <c r="C59" i="6"/>
  <c r="G59" i="6"/>
  <c r="F59" i="6"/>
  <c r="E59" i="6"/>
  <c r="G58" i="6"/>
  <c r="F58" i="6"/>
  <c r="E58" i="6"/>
  <c r="C58" i="6"/>
  <c r="D58" i="6"/>
  <c r="F57" i="6"/>
  <c r="C57" i="6"/>
  <c r="D57" i="6"/>
  <c r="E57" i="6"/>
  <c r="G57" i="6"/>
  <c r="G56" i="6"/>
  <c r="F56" i="6"/>
  <c r="E56" i="6"/>
  <c r="D56" i="6"/>
  <c r="C56" i="6"/>
  <c r="F55" i="6"/>
  <c r="G55" i="6"/>
  <c r="E55" i="6"/>
  <c r="D55" i="6"/>
  <c r="C55" i="6"/>
  <c r="G54" i="6"/>
  <c r="D54" i="6"/>
  <c r="C54" i="6"/>
  <c r="E54" i="6"/>
  <c r="F54" i="6"/>
  <c r="F53" i="6"/>
  <c r="E53" i="6"/>
  <c r="D53" i="6"/>
  <c r="C53" i="6"/>
  <c r="G53" i="6"/>
  <c r="G52" i="6"/>
  <c r="F52" i="6"/>
  <c r="E52" i="6"/>
  <c r="C52" i="6"/>
  <c r="D52" i="6"/>
  <c r="D51" i="6"/>
  <c r="C51" i="6"/>
  <c r="G51" i="6"/>
  <c r="F51" i="6"/>
  <c r="E51" i="6"/>
  <c r="D50" i="6"/>
  <c r="F50" i="6"/>
  <c r="C50" i="6"/>
  <c r="E50" i="6"/>
  <c r="G50" i="6"/>
  <c r="C49" i="6"/>
  <c r="D49" i="6"/>
  <c r="E49" i="6"/>
  <c r="F49" i="6"/>
  <c r="G49" i="6"/>
  <c r="C48" i="6"/>
  <c r="D48" i="6"/>
  <c r="E48" i="6"/>
  <c r="F48" i="6"/>
  <c r="G48" i="6"/>
  <c r="F47" i="6"/>
  <c r="E47" i="6"/>
  <c r="D47" i="6"/>
  <c r="G47" i="6"/>
  <c r="C47" i="6"/>
  <c r="C46" i="6"/>
  <c r="D46" i="6"/>
  <c r="E46" i="6"/>
  <c r="F46" i="6"/>
  <c r="G46" i="6"/>
  <c r="C45" i="6"/>
  <c r="D45" i="6"/>
  <c r="F45" i="6"/>
  <c r="G45" i="6"/>
  <c r="E45" i="6"/>
  <c r="F44" i="6"/>
  <c r="G44" i="6"/>
  <c r="E44" i="6"/>
  <c r="D44" i="6"/>
  <c r="C44" i="6"/>
  <c r="F43" i="6"/>
  <c r="C43" i="6"/>
  <c r="D43" i="6"/>
  <c r="E43" i="6"/>
  <c r="G43" i="6"/>
  <c r="G42" i="6"/>
  <c r="F42" i="6"/>
  <c r="E42" i="6"/>
  <c r="D42" i="6"/>
  <c r="C42" i="6"/>
  <c r="F41" i="6"/>
  <c r="E41" i="6"/>
  <c r="D41" i="6"/>
  <c r="C41" i="6"/>
  <c r="G41" i="6"/>
  <c r="F40" i="6"/>
  <c r="E40" i="6"/>
  <c r="D40" i="6"/>
  <c r="C40" i="6"/>
  <c r="G40" i="6"/>
  <c r="G39" i="6"/>
  <c r="E39" i="6"/>
  <c r="D39" i="6"/>
  <c r="F39" i="6"/>
  <c r="C39" i="6"/>
  <c r="G38" i="6"/>
  <c r="F38" i="6"/>
  <c r="E38" i="6"/>
  <c r="D38" i="6"/>
  <c r="C38" i="6"/>
  <c r="G37" i="6"/>
  <c r="F37" i="6"/>
  <c r="E37" i="6"/>
  <c r="D37" i="6"/>
  <c r="C37" i="6"/>
  <c r="C36" i="6"/>
  <c r="G36" i="6"/>
  <c r="F36" i="6"/>
  <c r="E36" i="6"/>
  <c r="D36" i="6"/>
  <c r="G35" i="6"/>
  <c r="F35" i="6"/>
  <c r="E35" i="6"/>
  <c r="D35" i="6"/>
  <c r="C35" i="6"/>
  <c r="C34" i="6"/>
  <c r="G34" i="6"/>
  <c r="F34" i="6"/>
  <c r="E34" i="6"/>
  <c r="D34" i="6"/>
  <c r="G33" i="6"/>
  <c r="E33" i="6"/>
  <c r="C33" i="6"/>
  <c r="D33" i="6"/>
  <c r="F33" i="6"/>
  <c r="C32" i="6"/>
  <c r="D32" i="6"/>
  <c r="E32" i="6"/>
  <c r="F32" i="6"/>
  <c r="G32" i="6"/>
  <c r="G31" i="6"/>
  <c r="C31" i="6"/>
  <c r="F31" i="6"/>
  <c r="E31" i="6"/>
  <c r="D31" i="6"/>
  <c r="F30" i="6"/>
  <c r="G30" i="6"/>
  <c r="D30" i="6"/>
  <c r="C30" i="6"/>
  <c r="E30" i="6"/>
  <c r="F29" i="6"/>
  <c r="G29" i="6"/>
  <c r="D29" i="6"/>
  <c r="C29" i="6"/>
  <c r="E29" i="6"/>
  <c r="C28" i="6"/>
  <c r="D28" i="6"/>
  <c r="E28" i="6"/>
  <c r="F28" i="6"/>
  <c r="G28" i="6"/>
  <c r="D27" i="6"/>
  <c r="F27" i="6"/>
  <c r="G27" i="6"/>
  <c r="C27" i="6"/>
  <c r="E27" i="6"/>
  <c r="C26" i="6"/>
  <c r="F26" i="6"/>
  <c r="G26" i="6"/>
  <c r="D26" i="6"/>
  <c r="E26" i="6"/>
  <c r="C25" i="6"/>
  <c r="G25" i="6"/>
  <c r="F25" i="6"/>
  <c r="E25" i="6"/>
  <c r="D25" i="6"/>
  <c r="C24" i="6"/>
  <c r="D24" i="6"/>
  <c r="G24" i="6"/>
  <c r="F24" i="6"/>
  <c r="E24" i="6"/>
  <c r="C23" i="6"/>
  <c r="D23" i="6"/>
  <c r="E23" i="6"/>
  <c r="F23" i="6"/>
  <c r="G23" i="6"/>
  <c r="E22" i="6"/>
  <c r="F22" i="6"/>
  <c r="G22" i="6"/>
  <c r="C22" i="6"/>
  <c r="D22" i="6"/>
  <c r="E21" i="6"/>
  <c r="C21" i="6"/>
  <c r="G21" i="6"/>
  <c r="F21" i="6"/>
  <c r="D21" i="6"/>
  <c r="G20" i="6"/>
  <c r="F20" i="6"/>
  <c r="E20" i="6"/>
  <c r="C20" i="6"/>
  <c r="D20" i="6"/>
  <c r="C19" i="6"/>
  <c r="G19" i="6"/>
  <c r="F19" i="6"/>
  <c r="E19" i="6"/>
  <c r="D19" i="6"/>
  <c r="G18" i="6"/>
  <c r="F18" i="6"/>
  <c r="C18" i="6"/>
  <c r="D18" i="6"/>
  <c r="E18" i="6"/>
  <c r="C17" i="6"/>
  <c r="D17" i="6"/>
  <c r="E17" i="6"/>
  <c r="F17" i="6"/>
  <c r="G17" i="6"/>
  <c r="D16" i="6"/>
  <c r="G16" i="6"/>
  <c r="E16" i="6"/>
  <c r="C16" i="6"/>
  <c r="F16" i="6"/>
  <c r="G15" i="6"/>
  <c r="F15" i="6"/>
  <c r="E15" i="6"/>
  <c r="D15" i="6"/>
  <c r="C15" i="6"/>
  <c r="C14" i="6"/>
  <c r="D14" i="6"/>
  <c r="G14" i="6"/>
  <c r="F14" i="6"/>
  <c r="E14" i="6"/>
  <c r="C13" i="6"/>
  <c r="E13" i="6"/>
  <c r="F13" i="6"/>
  <c r="G13" i="6"/>
  <c r="D13" i="6"/>
  <c r="C12" i="6"/>
  <c r="D12" i="6"/>
  <c r="E12" i="6"/>
  <c r="F12" i="6"/>
  <c r="G12" i="6"/>
  <c r="E11" i="6"/>
  <c r="D11" i="6"/>
  <c r="C11" i="6"/>
  <c r="G11" i="6"/>
  <c r="F11" i="6"/>
  <c r="C10" i="6"/>
  <c r="D10" i="6"/>
  <c r="E10" i="6"/>
  <c r="F10" i="6"/>
  <c r="G10" i="6"/>
  <c r="G9" i="6"/>
  <c r="E9" i="6"/>
  <c r="D9" i="6"/>
  <c r="C9" i="6"/>
  <c r="F9" i="6"/>
  <c r="I2" i="4"/>
  <c r="J327" i="10" l="1"/>
  <c r="J245" i="10"/>
  <c r="J84" i="10"/>
  <c r="J332" i="4"/>
  <c r="J331" i="4"/>
  <c r="J330" i="4"/>
  <c r="J328" i="4"/>
  <c r="J327" i="4"/>
  <c r="J326" i="4"/>
  <c r="J325" i="4"/>
  <c r="J329" i="4"/>
  <c r="J406" i="10"/>
  <c r="J83" i="10"/>
  <c r="J323" i="4"/>
  <c r="J319" i="4"/>
  <c r="J318" i="4"/>
  <c r="J322" i="4"/>
  <c r="J324" i="4"/>
  <c r="J321" i="4"/>
  <c r="J320" i="4"/>
  <c r="J3" i="10"/>
  <c r="J316" i="4"/>
  <c r="J313" i="4"/>
  <c r="J314" i="4"/>
  <c r="J311" i="4"/>
  <c r="J317" i="4"/>
  <c r="J312" i="4"/>
  <c r="J315" i="4"/>
  <c r="J88" i="10"/>
  <c r="J405" i="10"/>
  <c r="J6" i="10"/>
  <c r="J310" i="4"/>
  <c r="J309" i="4"/>
  <c r="J308" i="4"/>
  <c r="J307" i="4"/>
  <c r="J306" i="4"/>
  <c r="J305" i="4"/>
  <c r="J304" i="4"/>
  <c r="J303" i="4"/>
  <c r="J354" i="10"/>
  <c r="J353" i="10"/>
  <c r="J324" i="10"/>
  <c r="J85" i="10"/>
  <c r="J82" i="10"/>
  <c r="I220" i="4"/>
  <c r="H292" i="4"/>
  <c r="I292" i="4" s="1"/>
  <c r="I114" i="4"/>
  <c r="H300" i="4"/>
  <c r="I300" i="4" s="1"/>
  <c r="I94" i="4"/>
  <c r="H296" i="4"/>
  <c r="I296" i="4" s="1"/>
  <c r="J301" i="4"/>
  <c r="J290" i="4"/>
  <c r="J300" i="4"/>
  <c r="J298" i="4"/>
  <c r="J297" i="4"/>
  <c r="J296" i="4"/>
  <c r="J295" i="4"/>
  <c r="J294" i="4"/>
  <c r="J293" i="4"/>
  <c r="J292" i="4"/>
  <c r="J291" i="4"/>
  <c r="J302" i="4"/>
  <c r="J299" i="4"/>
  <c r="J95" i="10"/>
  <c r="I207" i="4"/>
  <c r="H279" i="4"/>
  <c r="I279" i="4" s="1"/>
  <c r="I206" i="4"/>
  <c r="H280" i="4"/>
  <c r="I280" i="4" s="1"/>
  <c r="I213" i="4"/>
  <c r="H284" i="4"/>
  <c r="I284" i="4" s="1"/>
  <c r="I209" i="4"/>
  <c r="H281" i="4"/>
  <c r="I281" i="4" s="1"/>
  <c r="I208" i="4"/>
  <c r="H282" i="4"/>
  <c r="I282" i="4" s="1"/>
  <c r="I181" i="4"/>
  <c r="H283" i="4"/>
  <c r="I283" i="4" s="1"/>
  <c r="J287" i="4"/>
  <c r="J289" i="4"/>
  <c r="J285" i="4"/>
  <c r="J282" i="4"/>
  <c r="J280" i="4"/>
  <c r="J278" i="4"/>
  <c r="J277" i="4"/>
  <c r="J274" i="4"/>
  <c r="J288" i="4"/>
  <c r="J286" i="4"/>
  <c r="J284" i="4"/>
  <c r="J283" i="4"/>
  <c r="J281" i="4"/>
  <c r="J279" i="4"/>
  <c r="J276" i="4"/>
  <c r="J275" i="4"/>
  <c r="J2" i="10"/>
  <c r="I192" i="4"/>
  <c r="H262" i="4"/>
  <c r="I262" i="4" s="1"/>
  <c r="J271" i="4"/>
  <c r="J262" i="4"/>
  <c r="J260" i="4"/>
  <c r="J259" i="4"/>
  <c r="J272" i="4"/>
  <c r="J273" i="4"/>
  <c r="J268" i="4"/>
  <c r="J261" i="4"/>
  <c r="J270" i="4"/>
  <c r="J269" i="4"/>
  <c r="J267" i="4"/>
  <c r="J266" i="4"/>
  <c r="J265" i="4"/>
  <c r="J264" i="4"/>
  <c r="J263" i="4"/>
  <c r="J12" i="10"/>
  <c r="J106" i="10"/>
  <c r="J89" i="10"/>
  <c r="I176" i="4"/>
  <c r="H248" i="4"/>
  <c r="I248" i="4" s="1"/>
  <c r="J254" i="4"/>
  <c r="J252" i="4"/>
  <c r="J250" i="4"/>
  <c r="J248" i="4"/>
  <c r="J257" i="4"/>
  <c r="J256" i="4"/>
  <c r="J255" i="4"/>
  <c r="J253" i="4"/>
  <c r="J251" i="4"/>
  <c r="J249" i="4"/>
  <c r="J246" i="4"/>
  <c r="J247" i="4"/>
  <c r="J258" i="4"/>
  <c r="J92" i="10"/>
  <c r="J244" i="4"/>
  <c r="J243" i="4"/>
  <c r="J241" i="4"/>
  <c r="J245" i="4"/>
  <c r="J242" i="4"/>
  <c r="J240" i="4"/>
  <c r="J239" i="4"/>
  <c r="J238" i="4"/>
  <c r="J237" i="4"/>
  <c r="J236" i="4"/>
  <c r="J235" i="4"/>
  <c r="J234" i="4"/>
  <c r="J233" i="4"/>
  <c r="J232" i="4"/>
  <c r="J231" i="4"/>
  <c r="J230" i="4"/>
  <c r="I146" i="4"/>
  <c r="H221" i="4"/>
  <c r="I221" i="4" s="1"/>
  <c r="J226" i="4"/>
  <c r="J224" i="4"/>
  <c r="J223" i="4"/>
  <c r="J228" i="4"/>
  <c r="J227" i="4"/>
  <c r="J229" i="4"/>
  <c r="J225" i="4"/>
  <c r="J222" i="4"/>
  <c r="J220" i="4"/>
  <c r="J219" i="4"/>
  <c r="J221" i="4"/>
  <c r="J218" i="4"/>
  <c r="H212" i="4"/>
  <c r="I212" i="4" s="1"/>
  <c r="I210" i="4"/>
  <c r="J10" i="10"/>
  <c r="J239" i="10"/>
  <c r="J112" i="10"/>
  <c r="J90" i="10"/>
  <c r="J214" i="4"/>
  <c r="J212" i="4"/>
  <c r="J217" i="4"/>
  <c r="J211" i="4"/>
  <c r="J208" i="4"/>
  <c r="J206" i="4"/>
  <c r="J216" i="4"/>
  <c r="J213" i="4"/>
  <c r="J209" i="4"/>
  <c r="J207" i="4"/>
  <c r="J205" i="4"/>
  <c r="J204" i="4"/>
  <c r="J215" i="4"/>
  <c r="J210" i="4"/>
  <c r="J410" i="10"/>
  <c r="J409" i="10"/>
  <c r="J398" i="10"/>
  <c r="J184" i="10"/>
  <c r="J79" i="10"/>
  <c r="J201" i="4"/>
  <c r="J200" i="4"/>
  <c r="J198" i="4"/>
  <c r="J197" i="4"/>
  <c r="J195" i="4"/>
  <c r="J193" i="4"/>
  <c r="J191" i="4"/>
  <c r="J189" i="4"/>
  <c r="J188" i="4"/>
  <c r="J203" i="4"/>
  <c r="J202" i="4"/>
  <c r="J199" i="4"/>
  <c r="J196" i="4"/>
  <c r="J194" i="4"/>
  <c r="J192" i="4"/>
  <c r="J190" i="4"/>
  <c r="J187" i="4"/>
  <c r="J329" i="10"/>
  <c r="J38" i="10"/>
  <c r="J184" i="4"/>
  <c r="J181" i="4"/>
  <c r="J179" i="4"/>
  <c r="J185" i="4"/>
  <c r="J182" i="4"/>
  <c r="J180" i="4"/>
  <c r="J177" i="4"/>
  <c r="J176" i="4"/>
  <c r="J175" i="4"/>
  <c r="J174" i="4"/>
  <c r="J173" i="4"/>
  <c r="J186" i="4"/>
  <c r="J183" i="4"/>
  <c r="J178" i="4"/>
  <c r="J401" i="10"/>
  <c r="J331" i="10"/>
  <c r="J411" i="10"/>
  <c r="J170" i="4"/>
  <c r="J168" i="4"/>
  <c r="J166" i="4"/>
  <c r="J164" i="4"/>
  <c r="J162" i="4"/>
  <c r="J160" i="4"/>
  <c r="J157" i="4"/>
  <c r="J156" i="4"/>
  <c r="J172" i="4"/>
  <c r="J167" i="4"/>
  <c r="J165" i="4"/>
  <c r="J163" i="4"/>
  <c r="J161" i="4"/>
  <c r="J159" i="4"/>
  <c r="J158" i="4"/>
  <c r="J171" i="4"/>
  <c r="J169" i="4"/>
  <c r="J413" i="10"/>
  <c r="J247" i="10"/>
  <c r="J246" i="10"/>
  <c r="J319" i="10"/>
  <c r="I96" i="4"/>
  <c r="H151" i="4"/>
  <c r="Z2" i="10"/>
  <c r="J154" i="4"/>
  <c r="J153" i="4"/>
  <c r="J150" i="4"/>
  <c r="J148" i="4"/>
  <c r="J146" i="4"/>
  <c r="J152" i="4"/>
  <c r="J149" i="4"/>
  <c r="J147" i="4"/>
  <c r="J145" i="4"/>
  <c r="J155" i="4"/>
  <c r="J151" i="4"/>
  <c r="J440" i="10"/>
  <c r="J438" i="10"/>
  <c r="J424" i="10"/>
  <c r="J423" i="10"/>
  <c r="J211" i="10"/>
  <c r="J144" i="4"/>
  <c r="J140" i="4"/>
  <c r="J139" i="4"/>
  <c r="J138" i="4"/>
  <c r="J137" i="4"/>
  <c r="J135" i="4"/>
  <c r="J134" i="4"/>
  <c r="J131" i="4"/>
  <c r="J141" i="4"/>
  <c r="J143" i="4"/>
  <c r="J136" i="4"/>
  <c r="J133" i="4"/>
  <c r="J132" i="4"/>
  <c r="J142" i="4"/>
  <c r="J238" i="10"/>
  <c r="J237" i="10"/>
  <c r="J121" i="10"/>
  <c r="J120" i="10"/>
  <c r="J119" i="10"/>
  <c r="J116" i="10"/>
  <c r="J120" i="4"/>
  <c r="J118" i="4"/>
  <c r="J119" i="4"/>
  <c r="J130" i="4"/>
  <c r="J129" i="4"/>
  <c r="J128" i="4"/>
  <c r="J127" i="4"/>
  <c r="J126" i="4"/>
  <c r="J125" i="4"/>
  <c r="J124" i="4"/>
  <c r="J123" i="4"/>
  <c r="J122" i="4"/>
  <c r="J121" i="4"/>
  <c r="J420" i="10"/>
  <c r="J402" i="10"/>
  <c r="J341" i="10"/>
  <c r="J115" i="10"/>
  <c r="J441" i="10"/>
  <c r="I93" i="4"/>
  <c r="J111" i="4"/>
  <c r="J117" i="4"/>
  <c r="J114" i="4"/>
  <c r="J110" i="4"/>
  <c r="J116" i="4"/>
  <c r="J115" i="4"/>
  <c r="J113" i="4"/>
  <c r="J112" i="4"/>
  <c r="J109" i="4"/>
  <c r="J504" i="10"/>
  <c r="J502" i="10"/>
  <c r="J432" i="10"/>
  <c r="J430" i="10"/>
  <c r="J426" i="10"/>
  <c r="J396" i="10"/>
  <c r="J187" i="10"/>
  <c r="J185" i="10"/>
  <c r="J181" i="10"/>
  <c r="J180" i="10"/>
  <c r="J177" i="10"/>
  <c r="J173" i="10"/>
  <c r="J172" i="10"/>
  <c r="J170" i="10"/>
  <c r="J169" i="10"/>
  <c r="J168" i="10"/>
  <c r="J167" i="10"/>
  <c r="J166" i="10"/>
  <c r="J80" i="10"/>
  <c r="J44" i="10"/>
  <c r="J32" i="10"/>
  <c r="J29" i="10"/>
  <c r="J28" i="10"/>
  <c r="J27" i="10"/>
  <c r="J24" i="10"/>
  <c r="J22" i="10"/>
  <c r="J21" i="10"/>
  <c r="J17" i="10"/>
  <c r="J11" i="10"/>
  <c r="J5" i="10"/>
  <c r="J106" i="4"/>
  <c r="J102" i="4"/>
  <c r="J108" i="4"/>
  <c r="J99" i="4"/>
  <c r="J107" i="4"/>
  <c r="J103" i="4"/>
  <c r="J100" i="4"/>
  <c r="J104" i="4"/>
  <c r="J98" i="4"/>
  <c r="J105" i="4"/>
  <c r="J101" i="4"/>
  <c r="J18" i="10"/>
  <c r="J171" i="10"/>
  <c r="J244" i="10"/>
  <c r="J339" i="10"/>
  <c r="J337" i="10"/>
  <c r="J336" i="10"/>
  <c r="J334" i="10"/>
  <c r="J328" i="10"/>
  <c r="J326" i="10"/>
  <c r="J325" i="10"/>
  <c r="J323" i="10"/>
  <c r="J322" i="10"/>
  <c r="J321" i="10"/>
  <c r="J279" i="10"/>
  <c r="J41" i="10"/>
  <c r="J98" i="10"/>
  <c r="J96" i="10"/>
  <c r="J93" i="10"/>
  <c r="J243" i="10"/>
  <c r="J178" i="10"/>
  <c r="J175" i="10"/>
  <c r="J174" i="10"/>
  <c r="J57" i="10"/>
  <c r="J249" i="10"/>
  <c r="J96" i="4"/>
  <c r="J83" i="4"/>
  <c r="J77" i="4"/>
  <c r="J72" i="4"/>
  <c r="J66" i="4"/>
  <c r="J40" i="4"/>
  <c r="J32" i="4"/>
  <c r="J28" i="4"/>
  <c r="J21" i="4"/>
  <c r="J16" i="4"/>
  <c r="J7" i="4"/>
  <c r="J94" i="4"/>
  <c r="J91" i="4"/>
  <c r="J90" i="4"/>
  <c r="J88" i="4"/>
  <c r="J81" i="4"/>
  <c r="J75" i="4"/>
  <c r="J73" i="4"/>
  <c r="J67" i="4"/>
  <c r="J63" i="4"/>
  <c r="J52" i="4"/>
  <c r="J50" i="4"/>
  <c r="J43" i="4"/>
  <c r="J33" i="4"/>
  <c r="J30" i="4"/>
  <c r="J26" i="4"/>
  <c r="J24" i="4"/>
  <c r="J13" i="4"/>
  <c r="J11" i="4"/>
  <c r="J8" i="4"/>
  <c r="J84" i="4"/>
  <c r="J71" i="4"/>
  <c r="J65" i="4"/>
  <c r="J60" i="4"/>
  <c r="J56" i="4"/>
  <c r="J54" i="4"/>
  <c r="J47" i="4"/>
  <c r="J45" i="4"/>
  <c r="J36" i="4"/>
  <c r="J31" i="4"/>
  <c r="J27" i="4"/>
  <c r="J22" i="4"/>
  <c r="J18" i="4"/>
  <c r="J15" i="4"/>
  <c r="J12" i="4"/>
  <c r="J6" i="4"/>
  <c r="J95" i="4"/>
  <c r="J93" i="4"/>
  <c r="J87" i="4"/>
  <c r="J85" i="4"/>
  <c r="J82" i="4"/>
  <c r="J78" i="4"/>
  <c r="J74" i="4"/>
  <c r="J69" i="4"/>
  <c r="J61" i="4"/>
  <c r="J58" i="4"/>
  <c r="J51" i="4"/>
  <c r="J44" i="4"/>
  <c r="J41" i="4"/>
  <c r="J38" i="4"/>
  <c r="J34" i="4"/>
  <c r="J14" i="4"/>
  <c r="J10" i="4"/>
  <c r="J4" i="4"/>
  <c r="J97" i="4"/>
  <c r="J92" i="4"/>
  <c r="J86" i="4"/>
  <c r="J80" i="4"/>
  <c r="J76" i="4"/>
  <c r="J68" i="4"/>
  <c r="J64" i="4"/>
  <c r="J59" i="4"/>
  <c r="J57" i="4"/>
  <c r="J53" i="4"/>
  <c r="J49" i="4"/>
  <c r="J46" i="4"/>
  <c r="J39" i="4"/>
  <c r="J35" i="4"/>
  <c r="J29" i="4"/>
  <c r="J23" i="4"/>
  <c r="J20" i="4"/>
  <c r="J17" i="4"/>
  <c r="J5" i="4"/>
  <c r="J2" i="4"/>
  <c r="J89" i="4"/>
  <c r="J79" i="4"/>
  <c r="J70" i="4"/>
  <c r="J62" i="4"/>
  <c r="J55" i="4"/>
  <c r="J48" i="4"/>
  <c r="J42" i="4"/>
  <c r="J37" i="4"/>
  <c r="J25" i="4"/>
  <c r="J19" i="4"/>
  <c r="J9" i="4"/>
  <c r="J3" i="4"/>
  <c r="J453" i="10"/>
  <c r="J304" i="10"/>
  <c r="J509" i="10"/>
  <c r="J508" i="10"/>
  <c r="J507" i="10"/>
  <c r="J501" i="10"/>
  <c r="J500" i="10"/>
  <c r="J499" i="10"/>
  <c r="J496" i="10"/>
  <c r="J494" i="10"/>
  <c r="J492" i="10"/>
  <c r="J491" i="10"/>
  <c r="J490" i="10"/>
  <c r="J489" i="10"/>
  <c r="J482" i="10"/>
  <c r="J481" i="10"/>
  <c r="J480" i="10"/>
  <c r="J478" i="10"/>
  <c r="J428" i="10"/>
  <c r="J422" i="10"/>
  <c r="J421" i="10"/>
  <c r="J407" i="10"/>
  <c r="J399" i="10"/>
  <c r="J517" i="10"/>
  <c r="J515" i="10"/>
  <c r="J514" i="10"/>
  <c r="J513" i="10"/>
  <c r="J510" i="10"/>
  <c r="J506" i="10"/>
  <c r="J505" i="10"/>
  <c r="J503" i="10"/>
  <c r="J475" i="10"/>
  <c r="J474" i="10"/>
  <c r="J473" i="10"/>
  <c r="J472" i="10"/>
  <c r="J471" i="10"/>
  <c r="J470" i="10"/>
  <c r="J469" i="10"/>
  <c r="J468" i="10"/>
  <c r="J467" i="10"/>
  <c r="J466" i="10"/>
  <c r="J465" i="10"/>
  <c r="J464" i="10"/>
  <c r="J463" i="10"/>
  <c r="J462" i="10"/>
  <c r="J461" i="10"/>
  <c r="J460" i="10"/>
  <c r="J459" i="10"/>
  <c r="J458" i="10"/>
  <c r="J457" i="10"/>
  <c r="J456" i="10"/>
  <c r="J455" i="10"/>
  <c r="J452" i="10"/>
  <c r="J451" i="10"/>
  <c r="J450" i="10"/>
  <c r="J449" i="10"/>
  <c r="J448" i="10"/>
  <c r="J447" i="10"/>
  <c r="J443" i="10"/>
  <c r="J442" i="10"/>
  <c r="J439" i="10"/>
  <c r="J437" i="10"/>
  <c r="J418" i="10"/>
  <c r="J393" i="10"/>
  <c r="J389" i="10"/>
  <c r="J386" i="10"/>
  <c r="J385" i="10"/>
  <c r="J382" i="10"/>
  <c r="J381" i="10"/>
  <c r="J379" i="10"/>
  <c r="J378" i="10"/>
  <c r="J377" i="10"/>
  <c r="J376" i="10"/>
  <c r="J375" i="10"/>
  <c r="J374" i="10"/>
  <c r="J373" i="10"/>
  <c r="J372" i="10"/>
  <c r="J371" i="10"/>
  <c r="J370" i="10"/>
  <c r="J369" i="10"/>
  <c r="J368" i="10"/>
  <c r="J367" i="10"/>
  <c r="J366" i="10"/>
  <c r="J365" i="10"/>
  <c r="J364" i="10"/>
  <c r="J363" i="10"/>
  <c r="J362" i="10"/>
  <c r="J361" i="10"/>
  <c r="J359" i="10"/>
  <c r="J358" i="10"/>
  <c r="J352" i="10"/>
  <c r="J351" i="10"/>
  <c r="J350" i="10"/>
  <c r="J349" i="10"/>
  <c r="J347" i="10"/>
  <c r="J345" i="10"/>
  <c r="J94" i="10"/>
  <c r="J320" i="10"/>
  <c r="J318" i="10"/>
  <c r="J314" i="10"/>
  <c r="J312" i="10"/>
  <c r="J310" i="10"/>
  <c r="J309" i="10"/>
  <c r="J306" i="10"/>
  <c r="J299" i="10"/>
  <c r="J297" i="10"/>
  <c r="J296" i="10"/>
  <c r="J294" i="10"/>
  <c r="J293" i="10"/>
  <c r="J291" i="10"/>
  <c r="J290" i="10"/>
  <c r="J288" i="10"/>
  <c r="J287" i="10"/>
  <c r="J286" i="10"/>
  <c r="J283" i="10"/>
  <c r="J278" i="10"/>
  <c r="J275" i="10"/>
  <c r="J272" i="10"/>
  <c r="J271" i="10"/>
  <c r="J270" i="10"/>
  <c r="J269" i="10"/>
  <c r="J268" i="10"/>
  <c r="J267" i="10"/>
  <c r="J266" i="10"/>
  <c r="J265" i="10"/>
  <c r="J264" i="10"/>
  <c r="J263" i="10"/>
  <c r="J262" i="10"/>
  <c r="J261" i="10"/>
  <c r="J260" i="10"/>
  <c r="J259" i="10"/>
  <c r="J258" i="10"/>
  <c r="J257" i="10"/>
  <c r="J256" i="10"/>
  <c r="J255" i="10"/>
  <c r="J254" i="10"/>
  <c r="J253" i="10"/>
  <c r="J242" i="10"/>
  <c r="J240" i="10"/>
  <c r="J233" i="10"/>
  <c r="J231" i="10"/>
  <c r="J230" i="10"/>
  <c r="J228" i="10"/>
  <c r="J227" i="10"/>
  <c r="J225" i="10"/>
  <c r="J224" i="10"/>
  <c r="J223" i="10"/>
  <c r="J221" i="10"/>
  <c r="J219" i="10"/>
  <c r="J217" i="10"/>
  <c r="J212" i="10"/>
  <c r="J208" i="10"/>
  <c r="J207" i="10"/>
  <c r="J206" i="10"/>
  <c r="J203" i="10"/>
  <c r="J199" i="10"/>
  <c r="J198" i="10"/>
  <c r="J197" i="10"/>
  <c r="J196" i="10"/>
  <c r="J192" i="10"/>
  <c r="J191" i="10"/>
  <c r="J190" i="10"/>
  <c r="J189" i="10"/>
  <c r="J188" i="10"/>
  <c r="J186" i="10"/>
  <c r="J165" i="10"/>
  <c r="J164" i="10"/>
  <c r="J163" i="10"/>
  <c r="J162" i="10"/>
  <c r="J161" i="10"/>
  <c r="J160" i="10"/>
  <c r="J159" i="10"/>
  <c r="J158" i="10"/>
  <c r="J157" i="10"/>
  <c r="J153" i="10"/>
  <c r="J151" i="10"/>
  <c r="J149" i="10"/>
  <c r="J147" i="10"/>
  <c r="J145" i="10"/>
  <c r="J144" i="10"/>
  <c r="J143" i="10"/>
  <c r="J142" i="10"/>
  <c r="J141" i="10"/>
  <c r="J140" i="10"/>
  <c r="J139" i="10"/>
  <c r="J138" i="10"/>
  <c r="J137" i="10"/>
  <c r="J136" i="10"/>
  <c r="J135" i="10"/>
  <c r="J132" i="10"/>
  <c r="J129" i="10"/>
  <c r="J124" i="10"/>
  <c r="J123" i="10"/>
  <c r="J114" i="10"/>
  <c r="J110" i="10"/>
  <c r="J109" i="10"/>
  <c r="J107" i="10"/>
  <c r="J101" i="10"/>
  <c r="J86" i="10"/>
  <c r="J81" i="10"/>
  <c r="J78" i="10"/>
  <c r="J77" i="10"/>
  <c r="J76" i="10"/>
  <c r="J73" i="10"/>
  <c r="J69" i="10"/>
  <c r="J67" i="10"/>
  <c r="J66" i="10"/>
  <c r="J65" i="10"/>
  <c r="J64" i="10"/>
  <c r="J63" i="10"/>
  <c r="J62" i="10"/>
  <c r="J59" i="10"/>
  <c r="J53" i="10"/>
  <c r="J47" i="10"/>
  <c r="J36" i="10"/>
  <c r="J13" i="10"/>
  <c r="J7" i="10"/>
  <c r="J498" i="10"/>
  <c r="J497" i="10"/>
  <c r="J495" i="10"/>
  <c r="J493" i="10"/>
  <c r="J488" i="10"/>
  <c r="J487" i="10"/>
  <c r="J486" i="10"/>
  <c r="J485" i="10"/>
  <c r="J484" i="10"/>
  <c r="J483" i="10"/>
  <c r="J479" i="10"/>
  <c r="J477" i="10"/>
  <c r="J476" i="10"/>
  <c r="J433" i="10"/>
  <c r="M601" i="10"/>
  <c r="N601" i="10"/>
  <c r="O601" i="10"/>
  <c r="P601" i="10"/>
  <c r="Q601" i="10"/>
  <c r="V601" i="10"/>
  <c r="W601" i="10"/>
  <c r="AC601" i="10"/>
  <c r="AD601" i="10"/>
  <c r="AF601" i="10"/>
  <c r="AK601" i="10"/>
  <c r="AR601" i="10" s="1"/>
  <c r="AS601" i="10"/>
  <c r="AT601" i="10"/>
  <c r="AV601" i="10"/>
  <c r="M600" i="10"/>
  <c r="N600" i="10"/>
  <c r="O600" i="10"/>
  <c r="P600" i="10"/>
  <c r="Q600" i="10"/>
  <c r="V600" i="10"/>
  <c r="W600" i="10"/>
  <c r="X600" i="10"/>
  <c r="AC600" i="10"/>
  <c r="AD600" i="10"/>
  <c r="AF600" i="10"/>
  <c r="AK600" i="10"/>
  <c r="AR600" i="10" s="1"/>
  <c r="AS600" i="10"/>
  <c r="AT600" i="10"/>
  <c r="AV600" i="10"/>
  <c r="M599" i="10"/>
  <c r="N599" i="10"/>
  <c r="O599" i="10"/>
  <c r="P599" i="10"/>
  <c r="Q599" i="10"/>
  <c r="V599" i="10"/>
  <c r="W599" i="10"/>
  <c r="AC599" i="10"/>
  <c r="AD599" i="10"/>
  <c r="AF599" i="10"/>
  <c r="AK599" i="10"/>
  <c r="AR599" i="10" s="1"/>
  <c r="AS599" i="10"/>
  <c r="AT599" i="10"/>
  <c r="AV599" i="10"/>
  <c r="M598" i="10"/>
  <c r="N598" i="10"/>
  <c r="O598" i="10"/>
  <c r="P598" i="10"/>
  <c r="Q598" i="10"/>
  <c r="V598" i="10"/>
  <c r="W598" i="10"/>
  <c r="X598" i="10"/>
  <c r="AC598" i="10"/>
  <c r="AD598" i="10"/>
  <c r="AF598" i="10"/>
  <c r="AK598" i="10"/>
  <c r="AR598" i="10" s="1"/>
  <c r="AS598" i="10"/>
  <c r="AT598" i="10"/>
  <c r="AV598" i="10"/>
  <c r="M597" i="10"/>
  <c r="N597" i="10"/>
  <c r="O597" i="10"/>
  <c r="P597" i="10"/>
  <c r="Q597" i="10"/>
  <c r="V597" i="10"/>
  <c r="W597" i="10"/>
  <c r="X597" i="10"/>
  <c r="AC597" i="10"/>
  <c r="AD597" i="10"/>
  <c r="AF597" i="10"/>
  <c r="AK597" i="10"/>
  <c r="AR597" i="10" s="1"/>
  <c r="AS597" i="10"/>
  <c r="AT597" i="10"/>
  <c r="AV597" i="10"/>
  <c r="M596" i="10"/>
  <c r="N596" i="10"/>
  <c r="O596" i="10"/>
  <c r="P596" i="10"/>
  <c r="Q596" i="10"/>
  <c r="V596" i="10"/>
  <c r="W596" i="10"/>
  <c r="X596" i="10"/>
  <c r="AC596" i="10"/>
  <c r="AD596" i="10"/>
  <c r="AF596" i="10"/>
  <c r="AK596" i="10"/>
  <c r="AR596" i="10" s="1"/>
  <c r="AS596" i="10"/>
  <c r="AT596" i="10"/>
  <c r="AV596" i="10"/>
  <c r="M595" i="10"/>
  <c r="N595" i="10"/>
  <c r="O595" i="10"/>
  <c r="P595" i="10"/>
  <c r="Q595" i="10"/>
  <c r="V595" i="10"/>
  <c r="W595" i="10"/>
  <c r="AC595" i="10"/>
  <c r="AD595" i="10"/>
  <c r="AF595" i="10"/>
  <c r="AK595" i="10"/>
  <c r="AR595" i="10" s="1"/>
  <c r="AS595" i="10"/>
  <c r="AT595" i="10"/>
  <c r="AV595" i="10"/>
  <c r="M594" i="10"/>
  <c r="N594" i="10"/>
  <c r="O594" i="10"/>
  <c r="P594" i="10"/>
  <c r="Q594" i="10"/>
  <c r="V594" i="10"/>
  <c r="W594" i="10"/>
  <c r="AC594" i="10"/>
  <c r="AD594" i="10"/>
  <c r="AF594" i="10"/>
  <c r="AK594" i="10"/>
  <c r="AR594" i="10" s="1"/>
  <c r="AS594" i="10"/>
  <c r="AT594" i="10"/>
  <c r="AV594" i="10"/>
  <c r="M593" i="10"/>
  <c r="N593" i="10"/>
  <c r="O593" i="10"/>
  <c r="P593" i="10"/>
  <c r="Q593" i="10"/>
  <c r="V593" i="10"/>
  <c r="W593" i="10"/>
  <c r="X593" i="10"/>
  <c r="AC593" i="10"/>
  <c r="AD593" i="10"/>
  <c r="AF593" i="10"/>
  <c r="AK593" i="10"/>
  <c r="AR593" i="10" s="1"/>
  <c r="AS593" i="10"/>
  <c r="AT593" i="10"/>
  <c r="AV593" i="10"/>
  <c r="M592" i="10"/>
  <c r="N592" i="10"/>
  <c r="O592" i="10"/>
  <c r="P592" i="10"/>
  <c r="Q592" i="10"/>
  <c r="V592" i="10"/>
  <c r="W592" i="10"/>
  <c r="AC592" i="10"/>
  <c r="AD592" i="10"/>
  <c r="AF592" i="10"/>
  <c r="AK592" i="10"/>
  <c r="AR592" i="10" s="1"/>
  <c r="AS592" i="10"/>
  <c r="AT592" i="10"/>
  <c r="AV592" i="10"/>
  <c r="M591" i="10"/>
  <c r="N591" i="10"/>
  <c r="O591" i="10"/>
  <c r="P591" i="10"/>
  <c r="Q591" i="10"/>
  <c r="V591" i="10"/>
  <c r="W591" i="10"/>
  <c r="X591" i="10"/>
  <c r="AC591" i="10"/>
  <c r="AD591" i="10"/>
  <c r="AF591" i="10"/>
  <c r="AK591" i="10"/>
  <c r="AR591" i="10" s="1"/>
  <c r="AS591" i="10"/>
  <c r="AT591" i="10"/>
  <c r="AV591" i="10"/>
  <c r="M590" i="10"/>
  <c r="N590" i="10"/>
  <c r="O590" i="10"/>
  <c r="P590" i="10"/>
  <c r="Q590" i="10"/>
  <c r="V590" i="10"/>
  <c r="W590" i="10"/>
  <c r="AC590" i="10"/>
  <c r="AD590" i="10"/>
  <c r="AF590" i="10"/>
  <c r="AK590" i="10"/>
  <c r="AR590" i="10" s="1"/>
  <c r="AS590" i="10"/>
  <c r="AT590" i="10"/>
  <c r="AV590" i="10"/>
  <c r="M589" i="10"/>
  <c r="N589" i="10"/>
  <c r="O589" i="10"/>
  <c r="P589" i="10"/>
  <c r="Q589" i="10"/>
  <c r="V589" i="10"/>
  <c r="W589" i="10"/>
  <c r="X589" i="10"/>
  <c r="AC589" i="10"/>
  <c r="AD589" i="10"/>
  <c r="AF589" i="10"/>
  <c r="AK589" i="10"/>
  <c r="AR589" i="10" s="1"/>
  <c r="AS589" i="10"/>
  <c r="AT589" i="10"/>
  <c r="AV589" i="10"/>
  <c r="M588" i="10"/>
  <c r="N588" i="10"/>
  <c r="O588" i="10"/>
  <c r="P588" i="10"/>
  <c r="Q588" i="10"/>
  <c r="V588" i="10"/>
  <c r="W588" i="10"/>
  <c r="AC588" i="10"/>
  <c r="AD588" i="10"/>
  <c r="AF588" i="10"/>
  <c r="AK588" i="10"/>
  <c r="AR588" i="10" s="1"/>
  <c r="AS588" i="10"/>
  <c r="AT588" i="10"/>
  <c r="AV588" i="10"/>
  <c r="M587" i="10"/>
  <c r="N587" i="10"/>
  <c r="O587" i="10"/>
  <c r="P587" i="10"/>
  <c r="Q587" i="10"/>
  <c r="V587" i="10"/>
  <c r="W587" i="10"/>
  <c r="AC587" i="10"/>
  <c r="AD587" i="10"/>
  <c r="AF587" i="10"/>
  <c r="AK587" i="10"/>
  <c r="AR587" i="10" s="1"/>
  <c r="AS587" i="10"/>
  <c r="AT587" i="10"/>
  <c r="AV587" i="10"/>
  <c r="M586" i="10"/>
  <c r="N586" i="10"/>
  <c r="O586" i="10"/>
  <c r="P586" i="10"/>
  <c r="Q586" i="10"/>
  <c r="V586" i="10"/>
  <c r="W586" i="10"/>
  <c r="X586" i="10"/>
  <c r="AC586" i="10"/>
  <c r="AD586" i="10"/>
  <c r="AF586" i="10"/>
  <c r="AK586" i="10"/>
  <c r="AR586" i="10" s="1"/>
  <c r="AS586" i="10"/>
  <c r="AT586" i="10"/>
  <c r="AV586" i="10"/>
  <c r="N585" i="10"/>
  <c r="M585" i="10"/>
  <c r="O585" i="10"/>
  <c r="P585" i="10"/>
  <c r="Q585" i="10"/>
  <c r="V585" i="10"/>
  <c r="W585" i="10"/>
  <c r="AC585" i="10"/>
  <c r="AD585" i="10"/>
  <c r="AF585" i="10"/>
  <c r="AK585" i="10"/>
  <c r="AR585" i="10" s="1"/>
  <c r="AS585" i="10"/>
  <c r="AT585" i="10"/>
  <c r="AV585" i="10"/>
  <c r="M584" i="10"/>
  <c r="N584" i="10"/>
  <c r="O584" i="10"/>
  <c r="P584" i="10"/>
  <c r="Q584" i="10"/>
  <c r="V584" i="10"/>
  <c r="W584" i="10"/>
  <c r="AC584" i="10"/>
  <c r="AD584" i="10"/>
  <c r="AF584" i="10"/>
  <c r="AT584" i="10"/>
  <c r="AV584" i="10"/>
  <c r="AK584" i="10"/>
  <c r="AR584" i="10" s="1"/>
  <c r="AS584" i="10"/>
  <c r="M583" i="10"/>
  <c r="N583" i="10"/>
  <c r="O583" i="10"/>
  <c r="P583" i="10"/>
  <c r="Q583" i="10"/>
  <c r="V583" i="10"/>
  <c r="W583" i="10"/>
  <c r="X583" i="10"/>
  <c r="AC583" i="10"/>
  <c r="AD583" i="10"/>
  <c r="AF583" i="10"/>
  <c r="AK583" i="10"/>
  <c r="AR583" i="10" s="1"/>
  <c r="AS583" i="10"/>
  <c r="AT583" i="10"/>
  <c r="AV583" i="10"/>
  <c r="M582" i="10"/>
  <c r="N582" i="10"/>
  <c r="O582" i="10"/>
  <c r="P582" i="10"/>
  <c r="Q582" i="10"/>
  <c r="V582" i="10"/>
  <c r="W582" i="10"/>
  <c r="X582" i="10"/>
  <c r="AC582" i="10"/>
  <c r="AD582" i="10"/>
  <c r="AF582" i="10"/>
  <c r="AK582" i="10"/>
  <c r="AR582" i="10" s="1"/>
  <c r="AS582" i="10"/>
  <c r="AT582" i="10"/>
  <c r="AV582" i="10"/>
  <c r="N581" i="10"/>
  <c r="P581" i="10"/>
  <c r="V581" i="10"/>
  <c r="M581" i="10"/>
  <c r="O581" i="10"/>
  <c r="Q581" i="10"/>
  <c r="W581" i="10"/>
  <c r="X581" i="10"/>
  <c r="AC581" i="10"/>
  <c r="AD581" i="10"/>
  <c r="AF581" i="10"/>
  <c r="AK581" i="10"/>
  <c r="AR581" i="10" s="1"/>
  <c r="AS581" i="10"/>
  <c r="AT581" i="10"/>
  <c r="AV581" i="10"/>
  <c r="O580" i="10"/>
  <c r="W580" i="10"/>
  <c r="AD580" i="10"/>
  <c r="AF580" i="10"/>
  <c r="AS580" i="10"/>
  <c r="AT580" i="10"/>
  <c r="AV580" i="10"/>
  <c r="M580" i="10"/>
  <c r="N580" i="10"/>
  <c r="P580" i="10"/>
  <c r="Q580" i="10"/>
  <c r="V580" i="10"/>
  <c r="AC580" i="10"/>
  <c r="AK580" i="10"/>
  <c r="AR580" i="10" s="1"/>
  <c r="N579" i="10"/>
  <c r="P579" i="10"/>
  <c r="Q579" i="10"/>
  <c r="W579" i="10"/>
  <c r="AC579" i="10"/>
  <c r="AF579" i="10"/>
  <c r="AT579" i="10"/>
  <c r="M579" i="10"/>
  <c r="O579" i="10"/>
  <c r="V579" i="10"/>
  <c r="AD579" i="10"/>
  <c r="AK579" i="10"/>
  <c r="AR579" i="10" s="1"/>
  <c r="AS579" i="10"/>
  <c r="AV579" i="10"/>
  <c r="M578" i="10"/>
  <c r="O578" i="10"/>
  <c r="Q578" i="10"/>
  <c r="W578" i="10"/>
  <c r="AC578" i="10"/>
  <c r="AF578" i="10"/>
  <c r="AK578" i="10"/>
  <c r="AR578" i="10" s="1"/>
  <c r="AS578" i="10"/>
  <c r="AT578" i="10"/>
  <c r="AV578" i="10"/>
  <c r="N578" i="10"/>
  <c r="P578" i="10"/>
  <c r="V578" i="10"/>
  <c r="AD578" i="10"/>
  <c r="N577" i="10"/>
  <c r="P577" i="10"/>
  <c r="W577" i="10"/>
  <c r="AD577" i="10"/>
  <c r="AK577" i="10"/>
  <c r="AR577" i="10" s="1"/>
  <c r="AS577" i="10"/>
  <c r="AV577" i="10"/>
  <c r="M577" i="10"/>
  <c r="O577" i="10"/>
  <c r="Q577" i="10"/>
  <c r="V577" i="10"/>
  <c r="X577" i="10"/>
  <c r="AC577" i="10"/>
  <c r="AF577" i="10"/>
  <c r="AT577" i="10"/>
  <c r="N576" i="10"/>
  <c r="O576" i="10"/>
  <c r="Q576" i="10"/>
  <c r="V576" i="10"/>
  <c r="AS576" i="10"/>
  <c r="AV576" i="10"/>
  <c r="M576" i="10"/>
  <c r="P576" i="10"/>
  <c r="W576" i="10"/>
  <c r="AC576" i="10"/>
  <c r="AD576" i="10"/>
  <c r="AF576" i="10"/>
  <c r="AK576" i="10"/>
  <c r="AR576" i="10" s="1"/>
  <c r="AT576" i="10"/>
  <c r="N575" i="10"/>
  <c r="O575" i="10"/>
  <c r="Q575" i="10"/>
  <c r="V575" i="10"/>
  <c r="W575" i="10"/>
  <c r="AC575" i="10"/>
  <c r="AD575" i="10"/>
  <c r="AF575" i="10"/>
  <c r="AK575" i="10"/>
  <c r="AR575" i="10" s="1"/>
  <c r="AT575" i="10"/>
  <c r="AV575" i="10"/>
  <c r="M575" i="10"/>
  <c r="P575" i="10"/>
  <c r="AS575" i="10"/>
  <c r="M574" i="10"/>
  <c r="N574" i="10"/>
  <c r="O574" i="10"/>
  <c r="P574" i="10"/>
  <c r="AD574" i="10"/>
  <c r="AK574" i="10"/>
  <c r="AR574" i="10" s="1"/>
  <c r="AS574" i="10"/>
  <c r="AT574" i="10"/>
  <c r="AV574" i="10"/>
  <c r="Q574" i="10"/>
  <c r="V574" i="10"/>
  <c r="W574" i="10"/>
  <c r="AC574" i="10"/>
  <c r="AF574" i="10"/>
  <c r="M573" i="10"/>
  <c r="N573" i="10"/>
  <c r="O573" i="10"/>
  <c r="P573" i="10"/>
  <c r="Q573" i="10"/>
  <c r="V573" i="10"/>
  <c r="W573" i="10"/>
  <c r="AC573" i="10"/>
  <c r="AD573" i="10"/>
  <c r="AF573" i="10"/>
  <c r="AK573" i="10"/>
  <c r="AR573" i="10" s="1"/>
  <c r="AS573" i="10"/>
  <c r="AT573" i="10"/>
  <c r="AV573" i="10"/>
  <c r="M572" i="10"/>
  <c r="N572" i="10"/>
  <c r="O572" i="10"/>
  <c r="P572" i="10"/>
  <c r="Q572" i="10"/>
  <c r="V572" i="10"/>
  <c r="W572" i="10"/>
  <c r="X572" i="10"/>
  <c r="AC572" i="10"/>
  <c r="AD572" i="10"/>
  <c r="AF572" i="10"/>
  <c r="AK572" i="10"/>
  <c r="AR572" i="10" s="1"/>
  <c r="AS572" i="10"/>
  <c r="AT572" i="10"/>
  <c r="AV572" i="10"/>
  <c r="N571" i="10"/>
  <c r="O571" i="10"/>
  <c r="Q571" i="10"/>
  <c r="W571" i="10"/>
  <c r="AC571" i="10"/>
  <c r="AD571" i="10"/>
  <c r="AF571" i="10"/>
  <c r="AK571" i="10"/>
  <c r="AR571" i="10" s="1"/>
  <c r="AS571" i="10"/>
  <c r="AT571" i="10"/>
  <c r="AV571" i="10"/>
  <c r="M571" i="10"/>
  <c r="P571" i="10"/>
  <c r="V571" i="10"/>
  <c r="N570" i="10"/>
  <c r="O570" i="10"/>
  <c r="Q570" i="10"/>
  <c r="AD570" i="10"/>
  <c r="AF570" i="10"/>
  <c r="AK570" i="10"/>
  <c r="AR570" i="10" s="1"/>
  <c r="M570" i="10"/>
  <c r="P570" i="10"/>
  <c r="V570" i="10"/>
  <c r="W570" i="10"/>
  <c r="AC570" i="10"/>
  <c r="AS570" i="10"/>
  <c r="AT570" i="10"/>
  <c r="AV570" i="10"/>
  <c r="N569" i="10"/>
  <c r="O569" i="10"/>
  <c r="Q569" i="10"/>
  <c r="V569" i="10"/>
  <c r="AD569" i="10"/>
  <c r="AK569" i="10"/>
  <c r="AR569" i="10" s="1"/>
  <c r="AS569" i="10"/>
  <c r="AT569" i="10"/>
  <c r="M569" i="10"/>
  <c r="P569" i="10"/>
  <c r="W569" i="10"/>
  <c r="AC569" i="10"/>
  <c r="AF569" i="10"/>
  <c r="AV569" i="10"/>
  <c r="N568" i="10"/>
  <c r="O568" i="10"/>
  <c r="P568" i="10"/>
  <c r="Q568" i="10"/>
  <c r="AC568" i="10"/>
  <c r="AF568" i="10"/>
  <c r="AS568" i="10"/>
  <c r="AT568" i="10"/>
  <c r="AV568" i="10"/>
  <c r="M568" i="10"/>
  <c r="V568" i="10"/>
  <c r="W568" i="10"/>
  <c r="AD568" i="10"/>
  <c r="AK568" i="10"/>
  <c r="AR568" i="10" s="1"/>
  <c r="N567" i="10"/>
  <c r="P567" i="10"/>
  <c r="W567" i="10"/>
  <c r="AD567" i="10"/>
  <c r="AK567" i="10"/>
  <c r="AR567" i="10" s="1"/>
  <c r="AS567" i="10"/>
  <c r="M567" i="10"/>
  <c r="O567" i="10"/>
  <c r="Q567" i="10"/>
  <c r="V567" i="10"/>
  <c r="AC567" i="10"/>
  <c r="AF567" i="10"/>
  <c r="AT567" i="10"/>
  <c r="AV567" i="10"/>
  <c r="N566" i="10"/>
  <c r="P566" i="10"/>
  <c r="Q566" i="10"/>
  <c r="W566" i="10"/>
  <c r="AS566" i="10"/>
  <c r="M566" i="10"/>
  <c r="O566" i="10"/>
  <c r="V566" i="10"/>
  <c r="X566" i="10"/>
  <c r="AC566" i="10"/>
  <c r="AD566" i="10"/>
  <c r="AF566" i="10"/>
  <c r="AK566" i="10"/>
  <c r="AR566" i="10" s="1"/>
  <c r="AT566" i="10"/>
  <c r="AV566" i="10"/>
  <c r="N565" i="10"/>
  <c r="P565" i="10"/>
  <c r="W565" i="10"/>
  <c r="AC565" i="10"/>
  <c r="AK565" i="10"/>
  <c r="AR565" i="10" s="1"/>
  <c r="M565" i="10"/>
  <c r="O565" i="10"/>
  <c r="Q565" i="10"/>
  <c r="V565" i="10"/>
  <c r="X565" i="10"/>
  <c r="AD565" i="10"/>
  <c r="AF565" i="10"/>
  <c r="AS565" i="10"/>
  <c r="AT565" i="10"/>
  <c r="AV565" i="10"/>
  <c r="V564" i="10"/>
  <c r="W564" i="10"/>
  <c r="AD564" i="10"/>
  <c r="M564" i="10"/>
  <c r="N564" i="10"/>
  <c r="O564" i="10"/>
  <c r="P564" i="10"/>
  <c r="Q564" i="10"/>
  <c r="AC564" i="10"/>
  <c r="AF564" i="10"/>
  <c r="AK564" i="10"/>
  <c r="AR564" i="10" s="1"/>
  <c r="AS564" i="10"/>
  <c r="AT564" i="10"/>
  <c r="AV564" i="10"/>
  <c r="N563" i="10"/>
  <c r="O563" i="10"/>
  <c r="W563" i="10"/>
  <c r="AD563" i="10"/>
  <c r="AF563" i="10"/>
  <c r="AK563" i="10"/>
  <c r="AR563" i="10" s="1"/>
  <c r="AS563" i="10"/>
  <c r="M563" i="10"/>
  <c r="P563" i="10"/>
  <c r="Q563" i="10"/>
  <c r="V563" i="10"/>
  <c r="X563" i="10"/>
  <c r="AC563" i="10"/>
  <c r="AT563" i="10"/>
  <c r="AV563" i="10"/>
  <c r="N562" i="10"/>
  <c r="P562" i="10"/>
  <c r="AC562" i="10"/>
  <c r="AD562" i="10"/>
  <c r="AK562" i="10"/>
  <c r="AR562" i="10" s="1"/>
  <c r="AT562" i="10"/>
  <c r="AV562" i="10"/>
  <c r="M562" i="10"/>
  <c r="O562" i="10"/>
  <c r="Q562" i="10"/>
  <c r="V562" i="10"/>
  <c r="W562" i="10"/>
  <c r="AF562" i="10"/>
  <c r="AS562" i="10"/>
  <c r="O561" i="10"/>
  <c r="W561" i="10"/>
  <c r="AC561" i="10"/>
  <c r="AV561" i="10"/>
  <c r="M561" i="10"/>
  <c r="N561" i="10"/>
  <c r="P561" i="10"/>
  <c r="Q561" i="10"/>
  <c r="V561" i="10"/>
  <c r="AD561" i="10"/>
  <c r="AF561" i="10"/>
  <c r="AK561" i="10"/>
  <c r="AR561" i="10" s="1"/>
  <c r="AS561" i="10"/>
  <c r="AT561" i="10"/>
  <c r="N560" i="10"/>
  <c r="Q560" i="10"/>
  <c r="V560" i="10"/>
  <c r="W560" i="10"/>
  <c r="AC560" i="10"/>
  <c r="AF560" i="10"/>
  <c r="AT560" i="10"/>
  <c r="M560" i="10"/>
  <c r="O560" i="10"/>
  <c r="P560" i="10"/>
  <c r="AD560" i="10"/>
  <c r="AK560" i="10"/>
  <c r="AR560" i="10" s="1"/>
  <c r="AS560" i="10"/>
  <c r="AV560" i="10"/>
  <c r="N559" i="10"/>
  <c r="P559" i="10"/>
  <c r="Q559" i="10"/>
  <c r="V559" i="10"/>
  <c r="AD559" i="10"/>
  <c r="AT559" i="10"/>
  <c r="AV559" i="10"/>
  <c r="M559" i="10"/>
  <c r="O559" i="10"/>
  <c r="W559" i="10"/>
  <c r="AC559" i="10"/>
  <c r="AF559" i="10"/>
  <c r="AK559" i="10"/>
  <c r="AR559" i="10" s="1"/>
  <c r="AS559" i="10"/>
  <c r="M558" i="10"/>
  <c r="O558" i="10"/>
  <c r="Q558" i="10"/>
  <c r="V558" i="10"/>
  <c r="AC558" i="10"/>
  <c r="AD558" i="10"/>
  <c r="N558" i="10"/>
  <c r="P558" i="10"/>
  <c r="W558" i="10"/>
  <c r="AF558" i="10"/>
  <c r="AK558" i="10"/>
  <c r="AR558" i="10" s="1"/>
  <c r="AS558" i="10"/>
  <c r="AT558" i="10"/>
  <c r="AV558" i="10"/>
  <c r="N557" i="10"/>
  <c r="P557" i="10"/>
  <c r="V557" i="10"/>
  <c r="AC557" i="10"/>
  <c r="AF557" i="10"/>
  <c r="AS557" i="10"/>
  <c r="AV557" i="10"/>
  <c r="M557" i="10"/>
  <c r="O557" i="10"/>
  <c r="Q557" i="10"/>
  <c r="W557" i="10"/>
  <c r="AD557" i="10"/>
  <c r="AK557" i="10"/>
  <c r="AR557" i="10" s="1"/>
  <c r="AT557" i="10"/>
  <c r="N556" i="10"/>
  <c r="O556" i="10"/>
  <c r="Q556" i="10"/>
  <c r="AF556" i="10"/>
  <c r="AK556" i="10"/>
  <c r="AR556" i="10" s="1"/>
  <c r="M556" i="10"/>
  <c r="P556" i="10"/>
  <c r="V556" i="10"/>
  <c r="W556" i="10"/>
  <c r="AC556" i="10"/>
  <c r="AD556" i="10"/>
  <c r="AS556" i="10"/>
  <c r="AT556" i="10"/>
  <c r="AV556" i="10"/>
  <c r="N555" i="10"/>
  <c r="P555" i="10"/>
  <c r="W555" i="10"/>
  <c r="AD555" i="10"/>
  <c r="AF555" i="10"/>
  <c r="AS555" i="10"/>
  <c r="M555" i="10"/>
  <c r="O555" i="10"/>
  <c r="Q555" i="10"/>
  <c r="V555" i="10"/>
  <c r="AC555" i="10"/>
  <c r="AK555" i="10"/>
  <c r="AR555" i="10" s="1"/>
  <c r="AT555" i="10"/>
  <c r="AV555" i="10"/>
  <c r="M554" i="10"/>
  <c r="O554" i="10"/>
  <c r="Q554" i="10"/>
  <c r="AT554" i="10"/>
  <c r="N554" i="10"/>
  <c r="P554" i="10"/>
  <c r="V554" i="10"/>
  <c r="W554" i="10"/>
  <c r="AC554" i="10"/>
  <c r="AD554" i="10"/>
  <c r="AF554" i="10"/>
  <c r="AK554" i="10"/>
  <c r="AR554" i="10" s="1"/>
  <c r="AS554" i="10"/>
  <c r="AV554" i="10"/>
  <c r="N553" i="10"/>
  <c r="O553" i="10"/>
  <c r="W553" i="10"/>
  <c r="AC553" i="10"/>
  <c r="AD553" i="10"/>
  <c r="AF553" i="10"/>
  <c r="AK553" i="10"/>
  <c r="AR553" i="10" s="1"/>
  <c r="M553" i="10"/>
  <c r="P553" i="10"/>
  <c r="Q553" i="10"/>
  <c r="V553" i="10"/>
  <c r="AS553" i="10"/>
  <c r="AT553" i="10"/>
  <c r="AV553" i="10"/>
  <c r="O552" i="10"/>
  <c r="Q552" i="10"/>
  <c r="AC552" i="10"/>
  <c r="AD552" i="10"/>
  <c r="AF552" i="10"/>
  <c r="AK552" i="10"/>
  <c r="AR552" i="10" s="1"/>
  <c r="AS552" i="10"/>
  <c r="M552" i="10"/>
  <c r="N552" i="10"/>
  <c r="P552" i="10"/>
  <c r="V552" i="10"/>
  <c r="W552" i="10"/>
  <c r="AT552" i="10"/>
  <c r="AV552" i="10"/>
  <c r="N551" i="10"/>
  <c r="W551" i="10"/>
  <c r="AF551" i="10"/>
  <c r="AK551" i="10"/>
  <c r="AR551" i="10" s="1"/>
  <c r="AT551" i="10"/>
  <c r="AV551" i="10"/>
  <c r="M551" i="10"/>
  <c r="O551" i="10"/>
  <c r="P551" i="10"/>
  <c r="Q551" i="10"/>
  <c r="V551" i="10"/>
  <c r="AC551" i="10"/>
  <c r="AD551" i="10"/>
  <c r="AS551" i="10"/>
  <c r="M550" i="10"/>
  <c r="N550" i="10"/>
  <c r="O550" i="10"/>
  <c r="P550" i="10"/>
  <c r="V550" i="10"/>
  <c r="AK550" i="10"/>
  <c r="AR550" i="10" s="1"/>
  <c r="Q550" i="10"/>
  <c r="W550" i="10"/>
  <c r="X550" i="10"/>
  <c r="AC550" i="10"/>
  <c r="AD550" i="10"/>
  <c r="AF550" i="10"/>
  <c r="AS550" i="10"/>
  <c r="AT550" i="10"/>
  <c r="AV550" i="10"/>
  <c r="N549" i="10"/>
  <c r="P549" i="10"/>
  <c r="Q549" i="10"/>
  <c r="AC549" i="10"/>
  <c r="AD549" i="10"/>
  <c r="AK549" i="10"/>
  <c r="AR549" i="10" s="1"/>
  <c r="AT549" i="10"/>
  <c r="AV549" i="10"/>
  <c r="M549" i="10"/>
  <c r="O549" i="10"/>
  <c r="V549" i="10"/>
  <c r="W549" i="10"/>
  <c r="AF549" i="10"/>
  <c r="AS549" i="10"/>
  <c r="N548" i="10"/>
  <c r="P548" i="10"/>
  <c r="AF548" i="10"/>
  <c r="AS548" i="10"/>
  <c r="M548" i="10"/>
  <c r="O548" i="10"/>
  <c r="Q548" i="10"/>
  <c r="V548" i="10"/>
  <c r="W548" i="10"/>
  <c r="AC548" i="10"/>
  <c r="AD548" i="10"/>
  <c r="AK548" i="10"/>
  <c r="AR548" i="10" s="1"/>
  <c r="AT548" i="10"/>
  <c r="AV548" i="10"/>
  <c r="M547" i="10"/>
  <c r="P547" i="10"/>
  <c r="W547" i="10"/>
  <c r="AC547" i="10"/>
  <c r="AT547" i="10"/>
  <c r="N547" i="10"/>
  <c r="O547" i="10"/>
  <c r="Q547" i="10"/>
  <c r="V547" i="10"/>
  <c r="X547" i="10"/>
  <c r="AD547" i="10"/>
  <c r="AF547" i="10"/>
  <c r="AK547" i="10"/>
  <c r="AR547" i="10" s="1"/>
  <c r="AS547" i="10"/>
  <c r="AV547" i="10"/>
  <c r="N546" i="10"/>
  <c r="O546" i="10"/>
  <c r="W546" i="10"/>
  <c r="AS546" i="10"/>
  <c r="AV546" i="10"/>
  <c r="M546" i="10"/>
  <c r="P546" i="10"/>
  <c r="Q546" i="10"/>
  <c r="V546" i="10"/>
  <c r="AC546" i="10"/>
  <c r="AD546" i="10"/>
  <c r="AF546" i="10"/>
  <c r="AK546" i="10"/>
  <c r="AR546" i="10" s="1"/>
  <c r="AT546" i="10"/>
  <c r="N545" i="10"/>
  <c r="P545" i="10"/>
  <c r="V545" i="10"/>
  <c r="AD545" i="10"/>
  <c r="AF545" i="10"/>
  <c r="AT545" i="10"/>
  <c r="M545" i="10"/>
  <c r="O545" i="10"/>
  <c r="Q545" i="10"/>
  <c r="W545" i="10"/>
  <c r="AC545" i="10"/>
  <c r="AK545" i="10"/>
  <c r="AR545" i="10" s="1"/>
  <c r="AS545" i="10"/>
  <c r="AV545" i="10"/>
  <c r="N544" i="10"/>
  <c r="P544" i="10"/>
  <c r="V544" i="10"/>
  <c r="AC544" i="10"/>
  <c r="AF544" i="10"/>
  <c r="AK544" i="10"/>
  <c r="AR544" i="10" s="1"/>
  <c r="AT544" i="10"/>
  <c r="AV544" i="10"/>
  <c r="M544" i="10"/>
  <c r="O544" i="10"/>
  <c r="Q544" i="10"/>
  <c r="W544" i="10"/>
  <c r="AD544" i="10"/>
  <c r="AS544" i="10"/>
  <c r="N543" i="10"/>
  <c r="O543" i="10"/>
  <c r="Q543" i="10"/>
  <c r="W543" i="10"/>
  <c r="M543" i="10"/>
  <c r="P543" i="10"/>
  <c r="V543" i="10"/>
  <c r="AC543" i="10"/>
  <c r="AD543" i="10"/>
  <c r="AF543" i="10"/>
  <c r="AK543" i="10"/>
  <c r="AR543" i="10" s="1"/>
  <c r="AS543" i="10"/>
  <c r="AT543" i="10"/>
  <c r="AV543" i="10"/>
  <c r="N542" i="10"/>
  <c r="P542" i="10"/>
  <c r="V542" i="10"/>
  <c r="W542" i="10"/>
  <c r="AC542" i="10"/>
  <c r="AD542" i="10"/>
  <c r="AF542" i="10"/>
  <c r="AK542" i="10"/>
  <c r="AR542" i="10" s="1"/>
  <c r="AS542" i="10"/>
  <c r="AT542" i="10"/>
  <c r="AV542" i="10"/>
  <c r="M542" i="10"/>
  <c r="O542" i="10"/>
  <c r="Q542" i="10"/>
  <c r="N541" i="10"/>
  <c r="P541" i="10"/>
  <c r="V541" i="10"/>
  <c r="W541" i="10"/>
  <c r="AC541" i="10"/>
  <c r="AD541" i="10"/>
  <c r="AF541" i="10"/>
  <c r="M541" i="10"/>
  <c r="O541" i="10"/>
  <c r="Q541" i="10"/>
  <c r="AK541" i="10"/>
  <c r="AR541" i="10" s="1"/>
  <c r="AS541" i="10"/>
  <c r="AT541" i="10"/>
  <c r="AV541" i="10"/>
  <c r="N540" i="10"/>
  <c r="P540" i="10"/>
  <c r="V540" i="10"/>
  <c r="AD540" i="10"/>
  <c r="AF540" i="10"/>
  <c r="AK540" i="10"/>
  <c r="AR540" i="10" s="1"/>
  <c r="AS540" i="10"/>
  <c r="AV540" i="10"/>
  <c r="M540" i="10"/>
  <c r="O540" i="10"/>
  <c r="Q540" i="10"/>
  <c r="W540" i="10"/>
  <c r="AC540" i="10"/>
  <c r="AT540" i="10"/>
  <c r="M539" i="10"/>
  <c r="N539" i="10"/>
  <c r="P539" i="10"/>
  <c r="Q539" i="10"/>
  <c r="V539" i="10"/>
  <c r="AK539" i="10"/>
  <c r="AR539" i="10" s="1"/>
  <c r="AT539" i="10"/>
  <c r="AV539" i="10"/>
  <c r="O539" i="10"/>
  <c r="W539" i="10"/>
  <c r="AC539" i="10"/>
  <c r="AD539" i="10"/>
  <c r="AF539" i="10"/>
  <c r="AS539" i="10"/>
  <c r="O538" i="10"/>
  <c r="W538" i="10"/>
  <c r="AC538" i="10"/>
  <c r="AK538" i="10"/>
  <c r="AR538" i="10" s="1"/>
  <c r="M538" i="10"/>
  <c r="P538" i="10"/>
  <c r="V538" i="10"/>
  <c r="AD538" i="10"/>
  <c r="AS538" i="10"/>
  <c r="N538" i="10"/>
  <c r="Q538" i="10"/>
  <c r="AF538" i="10"/>
  <c r="AT538" i="10"/>
  <c r="AV538" i="10"/>
  <c r="P537" i="10"/>
  <c r="V537" i="10"/>
  <c r="AC537" i="10"/>
  <c r="AF537" i="10"/>
  <c r="AT537" i="10"/>
  <c r="AV537" i="10"/>
  <c r="N537" i="10"/>
  <c r="AD537" i="10"/>
  <c r="AK537" i="10"/>
  <c r="AR537" i="10" s="1"/>
  <c r="AS537" i="10"/>
  <c r="M537" i="10"/>
  <c r="O537" i="10"/>
  <c r="Q537" i="10"/>
  <c r="W537" i="10"/>
  <c r="O536" i="10"/>
  <c r="AC536" i="10"/>
  <c r="AD536" i="10"/>
  <c r="AF536" i="10"/>
  <c r="AS536" i="10"/>
  <c r="AV536" i="10"/>
  <c r="N536" i="10"/>
  <c r="Q536" i="10"/>
  <c r="V536" i="10"/>
  <c r="M536" i="10"/>
  <c r="P536" i="10"/>
  <c r="W536" i="10"/>
  <c r="AK536" i="10"/>
  <c r="AR536" i="10" s="1"/>
  <c r="AT536" i="10"/>
  <c r="O535" i="10"/>
  <c r="Q535" i="10"/>
  <c r="V535" i="10"/>
  <c r="AD535" i="10"/>
  <c r="AT535" i="10"/>
  <c r="AV535" i="10"/>
  <c r="M535" i="10"/>
  <c r="N535" i="10"/>
  <c r="P535" i="10"/>
  <c r="W535" i="10"/>
  <c r="AC535" i="10"/>
  <c r="AF535" i="10"/>
  <c r="AK535" i="10"/>
  <c r="AR535" i="10" s="1"/>
  <c r="AS535" i="10"/>
  <c r="N534" i="10"/>
  <c r="O534" i="10"/>
  <c r="AD534" i="10"/>
  <c r="AS534" i="10"/>
  <c r="AT534" i="10"/>
  <c r="AV534" i="10"/>
  <c r="Q534" i="10"/>
  <c r="V534" i="10"/>
  <c r="W534" i="10"/>
  <c r="AC534" i="10"/>
  <c r="AF534" i="10"/>
  <c r="AK534" i="10"/>
  <c r="AR534" i="10" s="1"/>
  <c r="M534" i="10"/>
  <c r="P534" i="10"/>
  <c r="P533" i="10"/>
  <c r="W533" i="10"/>
  <c r="M533" i="10"/>
  <c r="O533" i="10"/>
  <c r="AD533" i="10"/>
  <c r="AF533" i="10"/>
  <c r="AK533" i="10"/>
  <c r="AR533" i="10" s="1"/>
  <c r="AS533" i="10"/>
  <c r="N533" i="10"/>
  <c r="Q533" i="10"/>
  <c r="V533" i="10"/>
  <c r="X533" i="10" s="1"/>
  <c r="AC533" i="10"/>
  <c r="AT533" i="10"/>
  <c r="AV533" i="10"/>
  <c r="O532" i="10"/>
  <c r="W532" i="10"/>
  <c r="AT532" i="10"/>
  <c r="AV532" i="10"/>
  <c r="N532" i="10"/>
  <c r="Q532" i="10"/>
  <c r="AC532" i="10"/>
  <c r="AF532" i="10"/>
  <c r="AK532" i="10"/>
  <c r="AR532" i="10" s="1"/>
  <c r="M532" i="10"/>
  <c r="P532" i="10"/>
  <c r="V532" i="10"/>
  <c r="AD532" i="10"/>
  <c r="AS532" i="10"/>
  <c r="O531" i="10"/>
  <c r="W531" i="10"/>
  <c r="AC531" i="10"/>
  <c r="AS531" i="10"/>
  <c r="M531" i="10"/>
  <c r="P531" i="10"/>
  <c r="AF531" i="10"/>
  <c r="AV531" i="10"/>
  <c r="N531" i="10"/>
  <c r="Q531" i="10"/>
  <c r="V531" i="10"/>
  <c r="AD531" i="10"/>
  <c r="AK531" i="10"/>
  <c r="AR531" i="10" s="1"/>
  <c r="AT531" i="10"/>
  <c r="O530" i="10"/>
  <c r="Q530" i="10"/>
  <c r="V530" i="10"/>
  <c r="AC530" i="10"/>
  <c r="AF530" i="10"/>
  <c r="AV530" i="10"/>
  <c r="N530" i="10"/>
  <c r="AD530" i="10"/>
  <c r="AK530" i="10"/>
  <c r="AR530" i="10" s="1"/>
  <c r="AS530" i="10"/>
  <c r="P530" i="10"/>
  <c r="AT530" i="10"/>
  <c r="M530" i="10"/>
  <c r="W530" i="10"/>
  <c r="O529" i="10"/>
  <c r="M529" i="10"/>
  <c r="P529" i="10"/>
  <c r="W529" i="10"/>
  <c r="AC529" i="10"/>
  <c r="AF529" i="10"/>
  <c r="AS529" i="10"/>
  <c r="AV529" i="10"/>
  <c r="AK529" i="10"/>
  <c r="AR529" i="10" s="1"/>
  <c r="AT529" i="10"/>
  <c r="N529" i="10"/>
  <c r="Q529" i="10"/>
  <c r="V529" i="10"/>
  <c r="AD529" i="10"/>
  <c r="O528" i="10"/>
  <c r="AS528" i="10"/>
  <c r="AV528" i="10"/>
  <c r="M528" i="10"/>
  <c r="P528" i="10"/>
  <c r="W528" i="10"/>
  <c r="AD528" i="10"/>
  <c r="N528" i="10"/>
  <c r="Q528" i="10"/>
  <c r="V528" i="10"/>
  <c r="AC528" i="10"/>
  <c r="X528" i="10"/>
  <c r="AF528" i="10"/>
  <c r="AK528" i="10"/>
  <c r="AR528" i="10" s="1"/>
  <c r="AT528" i="10"/>
  <c r="M527" i="10"/>
  <c r="N527" i="10"/>
  <c r="O527" i="10"/>
  <c r="P527" i="10"/>
  <c r="Q527" i="10"/>
  <c r="V527" i="10"/>
  <c r="W527" i="10"/>
  <c r="X527" i="10"/>
  <c r="AC527" i="10"/>
  <c r="AK527" i="10"/>
  <c r="AR527" i="10" s="1"/>
  <c r="AS527" i="10"/>
  <c r="AV527" i="10"/>
  <c r="AD527" i="10"/>
  <c r="AF527" i="10"/>
  <c r="AT527" i="10"/>
  <c r="M526" i="10"/>
  <c r="N526" i="10"/>
  <c r="O526" i="10"/>
  <c r="P526" i="10"/>
  <c r="Q526" i="10"/>
  <c r="V526" i="10"/>
  <c r="W526" i="10"/>
  <c r="X526" i="10"/>
  <c r="AC526" i="10"/>
  <c r="AD526" i="10"/>
  <c r="AF526" i="10"/>
  <c r="AK526" i="10"/>
  <c r="AR526" i="10" s="1"/>
  <c r="AS526" i="10"/>
  <c r="AT526" i="10"/>
  <c r="AV526" i="10"/>
  <c r="M525" i="10"/>
  <c r="N525" i="10"/>
  <c r="O525" i="10"/>
  <c r="P525" i="10"/>
  <c r="Q525" i="10"/>
  <c r="V525" i="10"/>
  <c r="X525" i="10" s="1"/>
  <c r="W525" i="10"/>
  <c r="AC525" i="10"/>
  <c r="AD525" i="10"/>
  <c r="AF525" i="10"/>
  <c r="AK525" i="10"/>
  <c r="AR525" i="10" s="1"/>
  <c r="AS525" i="10"/>
  <c r="AT525" i="10"/>
  <c r="AV525" i="10"/>
  <c r="M524" i="10"/>
  <c r="N524" i="10"/>
  <c r="O524" i="10"/>
  <c r="P524" i="10"/>
  <c r="Q524" i="10"/>
  <c r="V524" i="10"/>
  <c r="W524" i="10"/>
  <c r="X524" i="10"/>
  <c r="AC524" i="10"/>
  <c r="AD524" i="10"/>
  <c r="AF524" i="10"/>
  <c r="AK524" i="10"/>
  <c r="AR524" i="10" s="1"/>
  <c r="AS524" i="10"/>
  <c r="AT524" i="10"/>
  <c r="AV524" i="10"/>
  <c r="M523" i="10"/>
  <c r="N523" i="10"/>
  <c r="O523" i="10"/>
  <c r="P523" i="10"/>
  <c r="Q523" i="10"/>
  <c r="V523" i="10"/>
  <c r="W523" i="10"/>
  <c r="X523" i="10"/>
  <c r="AC523" i="10"/>
  <c r="AD523" i="10"/>
  <c r="AF523" i="10"/>
  <c r="AK523" i="10"/>
  <c r="AR523" i="10" s="1"/>
  <c r="AS523" i="10"/>
  <c r="AT523" i="10"/>
  <c r="AV523" i="10"/>
  <c r="M522" i="10"/>
  <c r="N522" i="10"/>
  <c r="O522" i="10"/>
  <c r="P522" i="10"/>
  <c r="Q522" i="10"/>
  <c r="V522" i="10"/>
  <c r="W522" i="10"/>
  <c r="X522" i="10"/>
  <c r="AC522" i="10"/>
  <c r="AD522" i="10"/>
  <c r="AF522" i="10"/>
  <c r="AK522" i="10"/>
  <c r="AR522" i="10" s="1"/>
  <c r="AS522" i="10"/>
  <c r="AT522" i="10"/>
  <c r="AV522" i="10"/>
  <c r="X584" i="10" l="1"/>
  <c r="Y584" i="10" s="1"/>
  <c r="X574" i="10"/>
  <c r="X553" i="10"/>
  <c r="X594" i="10"/>
  <c r="X556" i="10"/>
  <c r="X532" i="10"/>
  <c r="X601" i="10"/>
  <c r="X561" i="10"/>
  <c r="X541" i="10"/>
  <c r="X599" i="10"/>
  <c r="X551" i="10"/>
  <c r="X579" i="10"/>
  <c r="X570" i="10"/>
  <c r="X560" i="10"/>
  <c r="I151" i="4"/>
  <c r="B14" i="5"/>
  <c r="E31" i="5" s="1"/>
  <c r="D31" i="5" s="1"/>
  <c r="B31" i="5" s="1"/>
  <c r="X588" i="10"/>
  <c r="X531" i="10"/>
  <c r="X587" i="10"/>
  <c r="X578" i="10"/>
  <c r="X546" i="10"/>
  <c r="X595" i="10"/>
  <c r="X585" i="10"/>
  <c r="X557" i="10"/>
  <c r="X538" i="10"/>
  <c r="K449" i="10"/>
  <c r="L449" i="10" s="1"/>
  <c r="K452" i="10"/>
  <c r="L452" i="10" s="1"/>
  <c r="X567" i="10"/>
  <c r="K507" i="10"/>
  <c r="L507" i="10" s="1"/>
  <c r="K482" i="10"/>
  <c r="L482" i="10" s="1"/>
  <c r="K517" i="10"/>
  <c r="L517" i="10" s="1"/>
  <c r="K474" i="10"/>
  <c r="L474" i="10" s="1"/>
  <c r="K464" i="10"/>
  <c r="L464" i="10" s="1"/>
  <c r="K144" i="10"/>
  <c r="L144" i="10" s="1"/>
  <c r="K143" i="10"/>
  <c r="L143" i="10" s="1"/>
  <c r="K142" i="10"/>
  <c r="L142" i="10" s="1"/>
  <c r="K141" i="10"/>
  <c r="L141" i="10" s="1"/>
  <c r="K140" i="10"/>
  <c r="L140" i="10" s="1"/>
  <c r="K139" i="10"/>
  <c r="L139" i="10" s="1"/>
  <c r="K138" i="10"/>
  <c r="K496" i="10"/>
  <c r="K407" i="10"/>
  <c r="L407" i="10" s="1"/>
  <c r="K471" i="10"/>
  <c r="L471" i="10" s="1"/>
  <c r="K460" i="10"/>
  <c r="L460" i="10" s="1"/>
  <c r="K336" i="10"/>
  <c r="L336" i="10" s="1"/>
  <c r="K96" i="10"/>
  <c r="L96" i="10" s="1"/>
  <c r="K501" i="10"/>
  <c r="L501" i="10" s="1"/>
  <c r="K478" i="10"/>
  <c r="L478" i="10" s="1"/>
  <c r="K506" i="10"/>
  <c r="L506" i="10" s="1"/>
  <c r="K466" i="10"/>
  <c r="L466" i="10" s="1"/>
  <c r="K451" i="10"/>
  <c r="L451" i="10" s="1"/>
  <c r="X590" i="10"/>
  <c r="K337" i="10"/>
  <c r="L337" i="10" s="1"/>
  <c r="K326" i="10"/>
  <c r="L326" i="10" s="1"/>
  <c r="K243" i="10"/>
  <c r="L243" i="10" s="1"/>
  <c r="K500" i="10"/>
  <c r="L500" i="10" s="1"/>
  <c r="K480" i="10"/>
  <c r="L480" i="10" s="1"/>
  <c r="K514" i="10"/>
  <c r="L514" i="10" s="1"/>
  <c r="K472" i="10"/>
  <c r="L472" i="10" s="1"/>
  <c r="K463" i="10"/>
  <c r="L463" i="10" s="1"/>
  <c r="K450" i="10"/>
  <c r="L450" i="10" s="1"/>
  <c r="K325" i="10"/>
  <c r="L325" i="10" s="1"/>
  <c r="K175" i="10"/>
  <c r="L175" i="10" s="1"/>
  <c r="K494" i="10"/>
  <c r="L494" i="10" s="1"/>
  <c r="K428" i="10"/>
  <c r="L428" i="10" s="1"/>
  <c r="K505" i="10"/>
  <c r="L505" i="10" s="1"/>
  <c r="K467" i="10"/>
  <c r="L467" i="10" s="1"/>
  <c r="K458" i="10"/>
  <c r="L458" i="10" s="1"/>
  <c r="K339" i="10"/>
  <c r="L339" i="10" s="1"/>
  <c r="K323" i="10"/>
  <c r="L323" i="10" s="1"/>
  <c r="K174" i="10"/>
  <c r="L174" i="10" s="1"/>
  <c r="K508" i="10"/>
  <c r="L508" i="10" s="1"/>
  <c r="K481" i="10"/>
  <c r="L481" i="10" s="1"/>
  <c r="K510" i="10"/>
  <c r="L510" i="10" s="1"/>
  <c r="K469" i="10"/>
  <c r="L469" i="10" s="1"/>
  <c r="K456" i="10"/>
  <c r="L456" i="10" s="1"/>
  <c r="K171" i="10"/>
  <c r="L171" i="10" s="1"/>
  <c r="K321" i="10"/>
  <c r="L321" i="10" s="1"/>
  <c r="K57" i="10"/>
  <c r="L57" i="10" s="1"/>
  <c r="K492" i="10"/>
  <c r="L492" i="10" s="1"/>
  <c r="K399" i="10"/>
  <c r="L399" i="10" s="1"/>
  <c r="K473" i="10"/>
  <c r="L473" i="10" s="1"/>
  <c r="K461" i="10"/>
  <c r="L461" i="10" s="1"/>
  <c r="K244" i="10"/>
  <c r="L244" i="10" s="1"/>
  <c r="K279" i="10"/>
  <c r="L279" i="10" s="1"/>
  <c r="K249" i="10"/>
  <c r="L249" i="10" s="1"/>
  <c r="K490" i="10"/>
  <c r="L490" i="10" s="1"/>
  <c r="K515" i="10"/>
  <c r="L515" i="10" s="1"/>
  <c r="K470" i="10"/>
  <c r="L470" i="10" s="1"/>
  <c r="K459" i="10"/>
  <c r="L459" i="10" s="1"/>
  <c r="K98" i="10"/>
  <c r="L98" i="10" s="1"/>
  <c r="K499" i="10"/>
  <c r="L499" i="10" s="1"/>
  <c r="K422" i="10"/>
  <c r="L422" i="10" s="1"/>
  <c r="K475" i="10"/>
  <c r="L475" i="10" s="1"/>
  <c r="K462" i="10"/>
  <c r="L462" i="10" s="1"/>
  <c r="X539" i="10"/>
  <c r="K41" i="10"/>
  <c r="L41" i="10" s="1"/>
  <c r="K489" i="10"/>
  <c r="L489" i="10" s="1"/>
  <c r="K513" i="10"/>
  <c r="L513" i="10" s="1"/>
  <c r="K468" i="10"/>
  <c r="L468" i="10" s="1"/>
  <c r="K455" i="10"/>
  <c r="L455" i="10" s="1"/>
  <c r="X530" i="10"/>
  <c r="K328" i="10"/>
  <c r="L328" i="10" s="1"/>
  <c r="K178" i="10"/>
  <c r="L178" i="10" s="1"/>
  <c r="K509" i="10"/>
  <c r="L509" i="10" s="1"/>
  <c r="K491" i="10"/>
  <c r="L491" i="10" s="1"/>
  <c r="K421" i="10"/>
  <c r="L421" i="10" s="1"/>
  <c r="K503" i="10"/>
  <c r="L503" i="10" s="1"/>
  <c r="K465" i="10"/>
  <c r="L465" i="10" s="1"/>
  <c r="K457" i="10"/>
  <c r="L457" i="10" s="1"/>
  <c r="K358" i="10"/>
  <c r="L358" i="10" s="1"/>
  <c r="X573" i="10"/>
  <c r="X545" i="10"/>
  <c r="X544" i="10"/>
  <c r="X543" i="10"/>
  <c r="X542" i="10"/>
  <c r="X540" i="10"/>
  <c r="X537" i="10"/>
  <c r="X536" i="10"/>
  <c r="X535" i="10"/>
  <c r="X534" i="10"/>
  <c r="K194" i="10"/>
  <c r="L194" i="10" s="1"/>
  <c r="K187" i="10"/>
  <c r="L187" i="10" s="1"/>
  <c r="K152" i="10"/>
  <c r="L152" i="10" s="1"/>
  <c r="K116" i="10"/>
  <c r="L116" i="10" s="1"/>
  <c r="K412" i="10"/>
  <c r="L412" i="10" s="1"/>
  <c r="K319" i="10"/>
  <c r="L319" i="10" s="1"/>
  <c r="K341" i="10"/>
  <c r="L341" i="10" s="1"/>
  <c r="K387" i="10"/>
  <c r="L387" i="10" s="1"/>
  <c r="K200" i="10"/>
  <c r="L200" i="10" s="1"/>
  <c r="K134" i="10"/>
  <c r="L134" i="10" s="1"/>
  <c r="K454" i="10"/>
  <c r="L454" i="10" s="1"/>
  <c r="K363" i="10"/>
  <c r="L363" i="10" s="1"/>
  <c r="K254" i="10"/>
  <c r="L254" i="10" s="1"/>
  <c r="K111" i="10"/>
  <c r="L111" i="10" s="1"/>
  <c r="K502" i="10"/>
  <c r="L502" i="10" s="1"/>
  <c r="K415" i="10"/>
  <c r="L415" i="10" s="1"/>
  <c r="K286" i="10"/>
  <c r="L286" i="10" s="1"/>
  <c r="K177" i="10"/>
  <c r="L177" i="10" s="1"/>
  <c r="K385" i="10"/>
  <c r="L385" i="10" s="1"/>
  <c r="K376" i="10"/>
  <c r="L376" i="10" s="1"/>
  <c r="K369" i="10"/>
  <c r="K247" i="10"/>
  <c r="L247" i="10" s="1"/>
  <c r="K44" i="10"/>
  <c r="L44" i="10" s="1"/>
  <c r="K312" i="10"/>
  <c r="L312" i="10" s="1"/>
  <c r="K302" i="10"/>
  <c r="L302" i="10" s="1"/>
  <c r="K294" i="10"/>
  <c r="L294" i="10" s="1"/>
  <c r="K258" i="10"/>
  <c r="L258" i="10" s="1"/>
  <c r="K58" i="10"/>
  <c r="L58" i="10" s="1"/>
  <c r="K239" i="10"/>
  <c r="L239" i="10" s="1"/>
  <c r="K233" i="10"/>
  <c r="L233" i="10" s="1"/>
  <c r="K225" i="10"/>
  <c r="K217" i="10"/>
  <c r="L217" i="10" s="1"/>
  <c r="K105" i="10"/>
  <c r="L105" i="10" s="1"/>
  <c r="K165" i="10"/>
  <c r="L165" i="10" s="1"/>
  <c r="K156" i="10"/>
  <c r="L156" i="10" s="1"/>
  <c r="K145" i="10"/>
  <c r="L145" i="10" s="1"/>
  <c r="K13" i="10"/>
  <c r="L13" i="10" s="1"/>
  <c r="K3" i="10"/>
  <c r="L3" i="10" s="1"/>
  <c r="K262" i="10"/>
  <c r="L262" i="10" s="1"/>
  <c r="K51" i="10"/>
  <c r="L51" i="10" s="1"/>
  <c r="K414" i="10"/>
  <c r="L414" i="10" s="1"/>
  <c r="K86" i="10"/>
  <c r="L86" i="10" s="1"/>
  <c r="K97" i="10"/>
  <c r="L97" i="10" s="1"/>
  <c r="K85" i="10"/>
  <c r="L85" i="10" s="1"/>
  <c r="K84" i="10"/>
  <c r="L84" i="10" s="1"/>
  <c r="K433" i="10"/>
  <c r="L433" i="10" s="1"/>
  <c r="K82" i="10"/>
  <c r="L82" i="10" s="1"/>
  <c r="K265" i="10"/>
  <c r="L265" i="10" s="1"/>
  <c r="K27" i="10"/>
  <c r="L27" i="10" s="1"/>
  <c r="K403" i="10"/>
  <c r="L403" i="10" s="1"/>
  <c r="K81" i="10"/>
  <c r="L81" i="10" s="1"/>
  <c r="K190" i="10"/>
  <c r="L190" i="10" s="1"/>
  <c r="K80" i="10"/>
  <c r="L80" i="10" s="1"/>
  <c r="K78" i="10"/>
  <c r="L78" i="10" s="1"/>
  <c r="K88" i="10"/>
  <c r="L88" i="10" s="1"/>
  <c r="K281" i="10"/>
  <c r="L281" i="10" s="1"/>
  <c r="K440" i="10"/>
  <c r="L440" i="10" s="1"/>
  <c r="K131" i="10"/>
  <c r="L131" i="10" s="1"/>
  <c r="K127" i="10"/>
  <c r="L127" i="10" s="1"/>
  <c r="K512" i="10"/>
  <c r="L512" i="10" s="1"/>
  <c r="K2" i="10"/>
  <c r="L2" i="10" s="1"/>
  <c r="K327" i="10"/>
  <c r="L327" i="10" s="1"/>
  <c r="K121" i="10"/>
  <c r="L121" i="10" s="1"/>
  <c r="K406" i="10"/>
  <c r="L406" i="10" s="1"/>
  <c r="K77" i="10"/>
  <c r="L77" i="10" s="1"/>
  <c r="K76" i="10"/>
  <c r="L76" i="10" s="1"/>
  <c r="K75" i="10"/>
  <c r="L75" i="10" s="1"/>
  <c r="K74" i="10"/>
  <c r="L74" i="10" s="1"/>
  <c r="K73" i="10"/>
  <c r="L73" i="10" s="1"/>
  <c r="K476" i="10"/>
  <c r="L476" i="10" s="1"/>
  <c r="K418" i="10"/>
  <c r="L418" i="10" s="1"/>
  <c r="K335" i="10"/>
  <c r="L335" i="10" s="1"/>
  <c r="K203" i="10"/>
  <c r="L203" i="10" s="1"/>
  <c r="K29" i="10"/>
  <c r="L29" i="10" s="1"/>
  <c r="K72" i="10"/>
  <c r="L72" i="10" s="1"/>
  <c r="K71" i="10"/>
  <c r="L71" i="10" s="1"/>
  <c r="K430" i="10"/>
  <c r="L430" i="10" s="1"/>
  <c r="K343" i="10"/>
  <c r="L343" i="10" s="1"/>
  <c r="K211" i="10"/>
  <c r="L211" i="10" s="1"/>
  <c r="K391" i="10"/>
  <c r="L391" i="10" s="1"/>
  <c r="K381" i="10"/>
  <c r="K375" i="10"/>
  <c r="L375" i="10" s="1"/>
  <c r="K364" i="10"/>
  <c r="L364" i="10" s="1"/>
  <c r="K256" i="10"/>
  <c r="L256" i="10" s="1"/>
  <c r="K102" i="10"/>
  <c r="L102" i="10" s="1"/>
  <c r="K316" i="10"/>
  <c r="L316" i="10" s="1"/>
  <c r="K308" i="10"/>
  <c r="L308" i="10" s="1"/>
  <c r="K299" i="10"/>
  <c r="L299" i="10" s="1"/>
  <c r="K291" i="10"/>
  <c r="L291" i="10" s="1"/>
  <c r="K248" i="10"/>
  <c r="L248" i="10" s="1"/>
  <c r="K103" i="10"/>
  <c r="L103" i="10" s="1"/>
  <c r="K242" i="10"/>
  <c r="L242" i="10" s="1"/>
  <c r="K235" i="10"/>
  <c r="L235" i="10" s="1"/>
  <c r="K228" i="10"/>
  <c r="L228" i="10" s="1"/>
  <c r="K221" i="10"/>
  <c r="L221" i="10" s="1"/>
  <c r="K208" i="10"/>
  <c r="L208" i="10" s="1"/>
  <c r="K32" i="10"/>
  <c r="L32" i="10" s="1"/>
  <c r="K163" i="10"/>
  <c r="L163" i="10" s="1"/>
  <c r="K23" i="10"/>
  <c r="L23" i="10" s="1"/>
  <c r="K198" i="10"/>
  <c r="L198" i="10" s="1"/>
  <c r="K351" i="10"/>
  <c r="L351" i="10" s="1"/>
  <c r="K126" i="10"/>
  <c r="L126" i="10" s="1"/>
  <c r="K483" i="10"/>
  <c r="L483" i="10" s="1"/>
  <c r="K409" i="10"/>
  <c r="L409" i="10" s="1"/>
  <c r="K213" i="10"/>
  <c r="L213" i="10" s="1"/>
  <c r="K518" i="10"/>
  <c r="L518" i="10" s="1"/>
  <c r="K420" i="10"/>
  <c r="L420" i="10" s="1"/>
  <c r="K259" i="10"/>
  <c r="L259" i="10" s="1"/>
  <c r="K30" i="10"/>
  <c r="L30" i="10" s="1"/>
  <c r="K70" i="10"/>
  <c r="L70" i="10" s="1"/>
  <c r="K438" i="10"/>
  <c r="L438" i="10" s="1"/>
  <c r="K120" i="10"/>
  <c r="L120" i="10" s="1"/>
  <c r="K5" i="10"/>
  <c r="L5" i="10" s="1"/>
  <c r="K315" i="10"/>
  <c r="L315" i="10" s="1"/>
  <c r="K346" i="10"/>
  <c r="L346" i="10" s="1"/>
  <c r="K205" i="10"/>
  <c r="L205" i="10" s="1"/>
  <c r="K388" i="10"/>
  <c r="L388" i="10" s="1"/>
  <c r="K35" i="10"/>
  <c r="L35" i="10" s="1"/>
  <c r="K119" i="10"/>
  <c r="L119" i="10" s="1"/>
  <c r="K69" i="10"/>
  <c r="L69" i="10" s="1"/>
  <c r="K441" i="10"/>
  <c r="L441" i="10" s="1"/>
  <c r="K404" i="10"/>
  <c r="L404" i="10" s="1"/>
  <c r="K285" i="10"/>
  <c r="L285" i="10" s="1"/>
  <c r="K191" i="10"/>
  <c r="K43" i="10"/>
  <c r="L43" i="10" s="1"/>
  <c r="K68" i="10"/>
  <c r="L68" i="10" s="1"/>
  <c r="K67" i="10"/>
  <c r="L67" i="10" s="1"/>
  <c r="K442" i="10"/>
  <c r="L442" i="10" s="1"/>
  <c r="K353" i="10"/>
  <c r="L353" i="10" s="1"/>
  <c r="K261" i="10"/>
  <c r="L261" i="10" s="1"/>
  <c r="K128" i="10"/>
  <c r="L128" i="10" s="1"/>
  <c r="K384" i="10"/>
  <c r="L384" i="10" s="1"/>
  <c r="K377" i="10"/>
  <c r="L377" i="10" s="1"/>
  <c r="K370" i="10"/>
  <c r="L370" i="10" s="1"/>
  <c r="K264" i="10"/>
  <c r="L264" i="10" s="1"/>
  <c r="K135" i="10"/>
  <c r="L135" i="10" s="1"/>
  <c r="K317" i="10"/>
  <c r="L317" i="10" s="1"/>
  <c r="K309" i="10"/>
  <c r="L309" i="10" s="1"/>
  <c r="K301" i="10"/>
  <c r="K293" i="10"/>
  <c r="L293" i="10" s="1"/>
  <c r="K66" i="10"/>
  <c r="L66" i="10" s="1"/>
  <c r="K266" i="10"/>
  <c r="L266" i="10" s="1"/>
  <c r="K113" i="10"/>
  <c r="L113" i="10" s="1"/>
  <c r="K245" i="10"/>
  <c r="L245" i="10" s="1"/>
  <c r="K236" i="10"/>
  <c r="L236" i="10" s="1"/>
  <c r="K227" i="10"/>
  <c r="L227" i="10" s="1"/>
  <c r="K220" i="10"/>
  <c r="L220" i="10" s="1"/>
  <c r="K197" i="10"/>
  <c r="K170" i="10"/>
  <c r="L170" i="10" s="1"/>
  <c r="K162" i="10"/>
  <c r="L162" i="10" s="1"/>
  <c r="K157" i="10"/>
  <c r="K147" i="10"/>
  <c r="L147" i="10" s="1"/>
  <c r="K16" i="10"/>
  <c r="L16" i="10" s="1"/>
  <c r="K10" i="10"/>
  <c r="L10" i="10" s="1"/>
  <c r="K368" i="10"/>
  <c r="L368" i="10" s="1"/>
  <c r="K253" i="10"/>
  <c r="L253" i="10" s="1"/>
  <c r="K38" i="10"/>
  <c r="L38" i="10" s="1"/>
  <c r="K397" i="10"/>
  <c r="L397" i="10" s="1"/>
  <c r="K209" i="10"/>
  <c r="L209" i="10" s="1"/>
  <c r="K65" i="10"/>
  <c r="L65" i="10" s="1"/>
  <c r="K493" i="10"/>
  <c r="L493" i="10" s="1"/>
  <c r="K416" i="10"/>
  <c r="L416" i="10" s="1"/>
  <c r="K255" i="10"/>
  <c r="L255" i="10" s="1"/>
  <c r="K64" i="10"/>
  <c r="L64" i="10" s="1"/>
  <c r="K63" i="10"/>
  <c r="L63" i="10" s="1"/>
  <c r="K62" i="10"/>
  <c r="L62" i="10" s="1"/>
  <c r="K61" i="10"/>
  <c r="L61" i="10" s="1"/>
  <c r="K479" i="10"/>
  <c r="L479" i="10" s="1"/>
  <c r="K367" i="10"/>
  <c r="L367" i="10" s="1"/>
  <c r="K206" i="10"/>
  <c r="L206" i="10" s="1"/>
  <c r="K60" i="10"/>
  <c r="L60" i="10" s="1"/>
  <c r="K176" i="10"/>
  <c r="L176" i="10" s="1"/>
  <c r="K282" i="10"/>
  <c r="L282" i="10" s="1"/>
  <c r="K446" i="10"/>
  <c r="K182" i="10"/>
  <c r="L182" i="10" s="1"/>
  <c r="K305" i="10"/>
  <c r="L305" i="10" s="1"/>
  <c r="K338" i="10"/>
  <c r="L338" i="10" s="1"/>
  <c r="K130" i="10"/>
  <c r="L130" i="10" s="1"/>
  <c r="K276" i="10"/>
  <c r="L276" i="10" s="1"/>
  <c r="K394" i="10"/>
  <c r="L394" i="10" s="1"/>
  <c r="K429" i="10"/>
  <c r="L429" i="10" s="1"/>
  <c r="K52" i="10"/>
  <c r="L52" i="10" s="1"/>
  <c r="K40" i="10"/>
  <c r="L40" i="10" s="1"/>
  <c r="K395" i="10"/>
  <c r="L395" i="10" s="1"/>
  <c r="K448" i="10"/>
  <c r="L448" i="10" s="1"/>
  <c r="K18" i="10"/>
  <c r="L18" i="10" s="1"/>
  <c r="K354" i="10"/>
  <c r="L354" i="10" s="1"/>
  <c r="K263" i="10"/>
  <c r="L263" i="10" s="1"/>
  <c r="K14" i="10"/>
  <c r="L14" i="10" s="1"/>
  <c r="K100" i="10"/>
  <c r="L100" i="10" s="1"/>
  <c r="K7" i="10"/>
  <c r="L7" i="10" s="1"/>
  <c r="K497" i="10"/>
  <c r="L497" i="10" s="1"/>
  <c r="K270" i="10"/>
  <c r="L270" i="10" s="1"/>
  <c r="K408" i="10"/>
  <c r="L408" i="10" s="1"/>
  <c r="K329" i="10"/>
  <c r="L329" i="10" s="1"/>
  <c r="K195" i="10"/>
  <c r="L195" i="10" s="1"/>
  <c r="K386" i="10"/>
  <c r="K378" i="10"/>
  <c r="L378" i="10" s="1"/>
  <c r="K371" i="10"/>
  <c r="L371" i="10" s="1"/>
  <c r="K99" i="10"/>
  <c r="L99" i="10" s="1"/>
  <c r="K287" i="10"/>
  <c r="L287" i="10" s="1"/>
  <c r="K181" i="10"/>
  <c r="L181" i="10" s="1"/>
  <c r="K31" i="10"/>
  <c r="L31" i="10" s="1"/>
  <c r="K311" i="10"/>
  <c r="L311" i="10" s="1"/>
  <c r="K303" i="10"/>
  <c r="L303" i="10" s="1"/>
  <c r="K296" i="10"/>
  <c r="L296" i="10" s="1"/>
  <c r="K288" i="10"/>
  <c r="L288" i="10" s="1"/>
  <c r="K183" i="10"/>
  <c r="L183" i="10" s="1"/>
  <c r="K24" i="10"/>
  <c r="L24" i="10" s="1"/>
  <c r="K237" i="10"/>
  <c r="L237" i="10" s="1"/>
  <c r="K232" i="10"/>
  <c r="L232" i="10" s="1"/>
  <c r="K226" i="10"/>
  <c r="L226" i="10" s="1"/>
  <c r="K218" i="10"/>
  <c r="L218" i="10" s="1"/>
  <c r="K115" i="10"/>
  <c r="L115" i="10" s="1"/>
  <c r="K168" i="10"/>
  <c r="L168" i="10" s="1"/>
  <c r="K160" i="10"/>
  <c r="L160" i="10" s="1"/>
  <c r="K153" i="10"/>
  <c r="L153" i="10" s="1"/>
  <c r="K21" i="10"/>
  <c r="L21" i="10" s="1"/>
  <c r="K12" i="10"/>
  <c r="L12" i="10" s="1"/>
  <c r="K4" i="10"/>
  <c r="L4" i="10" s="1"/>
  <c r="K320" i="10"/>
  <c r="L320" i="10" s="1"/>
  <c r="K129" i="10"/>
  <c r="L129" i="10" s="1"/>
  <c r="K405" i="10"/>
  <c r="L405" i="10" s="1"/>
  <c r="K193" i="10"/>
  <c r="L193" i="10" s="1"/>
  <c r="K444" i="10"/>
  <c r="L444" i="10" s="1"/>
  <c r="K332" i="10"/>
  <c r="L332" i="10" s="1"/>
  <c r="K427" i="10"/>
  <c r="L427" i="10" s="1"/>
  <c r="K53" i="10"/>
  <c r="L53" i="10" s="1"/>
  <c r="K250" i="10"/>
  <c r="L250" i="10" s="1"/>
  <c r="K49" i="10"/>
  <c r="L49" i="10" s="1"/>
  <c r="K423" i="10"/>
  <c r="L423" i="10" s="1"/>
  <c r="K278" i="10"/>
  <c r="L278" i="10" s="1"/>
  <c r="K101" i="10"/>
  <c r="L101" i="10" s="1"/>
  <c r="K426" i="10"/>
  <c r="L426" i="10" s="1"/>
  <c r="K445" i="10"/>
  <c r="L445" i="10" s="1"/>
  <c r="K324" i="10"/>
  <c r="L324" i="10" s="1"/>
  <c r="K268" i="10"/>
  <c r="L268" i="10" s="1"/>
  <c r="K106" i="10"/>
  <c r="L106" i="10" s="1"/>
  <c r="K46" i="10"/>
  <c r="L46" i="10" s="1"/>
  <c r="K133" i="10"/>
  <c r="L133" i="10" s="1"/>
  <c r="K277" i="10"/>
  <c r="L277" i="10" s="1"/>
  <c r="K33" i="10"/>
  <c r="L33" i="10" s="1"/>
  <c r="K392" i="10"/>
  <c r="L392" i="10" s="1"/>
  <c r="K83" i="10"/>
  <c r="L83" i="10" s="1"/>
  <c r="K486" i="10"/>
  <c r="L486" i="10" s="1"/>
  <c r="K331" i="10"/>
  <c r="L331" i="10" s="1"/>
  <c r="K519" i="10"/>
  <c r="L519" i="10" s="1"/>
  <c r="K185" i="10"/>
  <c r="L185" i="10" s="1"/>
  <c r="K521" i="10"/>
  <c r="L521" i="10" s="1"/>
  <c r="K424" i="10"/>
  <c r="L424" i="10" s="1"/>
  <c r="K347" i="10"/>
  <c r="L347" i="10" s="1"/>
  <c r="K214" i="10"/>
  <c r="K54" i="10"/>
  <c r="L54" i="10" s="1"/>
  <c r="K477" i="10"/>
  <c r="L477" i="10" s="1"/>
  <c r="K362" i="10"/>
  <c r="L362" i="10" s="1"/>
  <c r="K252" i="10"/>
  <c r="L252" i="10" s="1"/>
  <c r="K390" i="10"/>
  <c r="L390" i="10" s="1"/>
  <c r="K380" i="10"/>
  <c r="L380" i="10" s="1"/>
  <c r="K372" i="10"/>
  <c r="L372" i="10" s="1"/>
  <c r="K275" i="10"/>
  <c r="L275" i="10" s="1"/>
  <c r="K112" i="10"/>
  <c r="L112" i="10" s="1"/>
  <c r="K314" i="10"/>
  <c r="L314" i="10" s="1"/>
  <c r="K306" i="10"/>
  <c r="L306" i="10" s="1"/>
  <c r="K297" i="10"/>
  <c r="L297" i="10" s="1"/>
  <c r="K289" i="10"/>
  <c r="L289" i="10" s="1"/>
  <c r="K136" i="10"/>
  <c r="L136" i="10" s="1"/>
  <c r="K241" i="10"/>
  <c r="L241" i="10" s="1"/>
  <c r="K229" i="10"/>
  <c r="L229" i="10" s="1"/>
  <c r="K219" i="10"/>
  <c r="L219" i="10" s="1"/>
  <c r="K137" i="10"/>
  <c r="L137" i="10" s="1"/>
  <c r="K166" i="10"/>
  <c r="L166" i="10" s="1"/>
  <c r="K158" i="10"/>
  <c r="L158" i="10" s="1"/>
  <c r="K150" i="10"/>
  <c r="L150" i="10" s="1"/>
  <c r="K19" i="10"/>
  <c r="L19" i="10" s="1"/>
  <c r="K9" i="10"/>
  <c r="L9" i="10" s="1"/>
  <c r="K352" i="10"/>
  <c r="L352" i="10" s="1"/>
  <c r="K180" i="10"/>
  <c r="K485" i="10"/>
  <c r="L485" i="10" s="1"/>
  <c r="K284" i="10"/>
  <c r="L284" i="10" s="1"/>
  <c r="K488" i="10"/>
  <c r="L488" i="10" s="1"/>
  <c r="K345" i="10"/>
  <c r="L345" i="10" s="1"/>
  <c r="K114" i="10"/>
  <c r="L114" i="10" s="1"/>
  <c r="K437" i="10"/>
  <c r="L437" i="10" s="1"/>
  <c r="K283" i="10"/>
  <c r="L283" i="10" s="1"/>
  <c r="K273" i="10"/>
  <c r="L273" i="10" s="1"/>
  <c r="K201" i="10"/>
  <c r="L201" i="10" s="1"/>
  <c r="K15" i="10"/>
  <c r="L15" i="10" s="1"/>
  <c r="K435" i="10"/>
  <c r="L435" i="10" s="1"/>
  <c r="K295" i="10"/>
  <c r="L295" i="10" s="1"/>
  <c r="K357" i="10"/>
  <c r="L357" i="10" s="1"/>
  <c r="K79" i="10"/>
  <c r="L79" i="10" s="1"/>
  <c r="K383" i="10"/>
  <c r="L383" i="10" s="1"/>
  <c r="K146" i="10"/>
  <c r="L146" i="10" s="1"/>
  <c r="K432" i="10"/>
  <c r="L432" i="10" s="1"/>
  <c r="K411" i="10"/>
  <c r="L411" i="10" s="1"/>
  <c r="K271" i="10"/>
  <c r="L271" i="10" s="1"/>
  <c r="K132" i="10"/>
  <c r="L132" i="10" s="1"/>
  <c r="K487" i="10"/>
  <c r="L487" i="10" s="1"/>
  <c r="K398" i="10"/>
  <c r="L398" i="10" s="1"/>
  <c r="K272" i="10"/>
  <c r="L272" i="10" s="1"/>
  <c r="K109" i="10"/>
  <c r="L109" i="10" s="1"/>
  <c r="K382" i="10"/>
  <c r="L382" i="10" s="1"/>
  <c r="K374" i="10"/>
  <c r="L374" i="10" s="1"/>
  <c r="K349" i="10"/>
  <c r="L349" i="10" s="1"/>
  <c r="K192" i="10"/>
  <c r="L192" i="10" s="1"/>
  <c r="K318" i="10"/>
  <c r="L318" i="10" s="1"/>
  <c r="K310" i="10"/>
  <c r="L310" i="10" s="1"/>
  <c r="K300" i="10"/>
  <c r="L300" i="10" s="1"/>
  <c r="K292" i="10"/>
  <c r="L292" i="10" s="1"/>
  <c r="K207" i="10"/>
  <c r="L207" i="10" s="1"/>
  <c r="K34" i="10"/>
  <c r="L34" i="10" s="1"/>
  <c r="K238" i="10"/>
  <c r="L238" i="10" s="1"/>
  <c r="K231" i="10"/>
  <c r="L231" i="10" s="1"/>
  <c r="K224" i="10"/>
  <c r="L224" i="10" s="1"/>
  <c r="K215" i="10"/>
  <c r="L215" i="10" s="1"/>
  <c r="K169" i="10"/>
  <c r="L169" i="10" s="1"/>
  <c r="K161" i="10"/>
  <c r="L161" i="10" s="1"/>
  <c r="K151" i="10"/>
  <c r="L151" i="10" s="1"/>
  <c r="K20" i="10"/>
  <c r="L20" i="10" s="1"/>
  <c r="K11" i="10"/>
  <c r="L11" i="10" s="1"/>
  <c r="K360" i="10"/>
  <c r="K212" i="10"/>
  <c r="L212" i="10" s="1"/>
  <c r="K439" i="10"/>
  <c r="L439" i="10" s="1"/>
  <c r="K260" i="10"/>
  <c r="L260" i="10" s="1"/>
  <c r="K504" i="10"/>
  <c r="L504" i="10" s="1"/>
  <c r="K355" i="10"/>
  <c r="L355" i="10" s="1"/>
  <c r="K172" i="10"/>
  <c r="L172" i="10" s="1"/>
  <c r="K484" i="10"/>
  <c r="L484" i="10" s="1"/>
  <c r="K359" i="10"/>
  <c r="K124" i="10"/>
  <c r="L124" i="10" s="1"/>
  <c r="K230" i="10"/>
  <c r="L230" i="10" s="1"/>
  <c r="K222" i="10"/>
  <c r="L222" i="10" s="1"/>
  <c r="K186" i="10"/>
  <c r="L186" i="10" s="1"/>
  <c r="K167" i="10"/>
  <c r="L167" i="10" s="1"/>
  <c r="K159" i="10"/>
  <c r="L159" i="10" s="1"/>
  <c r="K149" i="10"/>
  <c r="L149" i="10" s="1"/>
  <c r="K17" i="10"/>
  <c r="L17" i="10" s="1"/>
  <c r="K8" i="10"/>
  <c r="L8" i="10" s="1"/>
  <c r="K342" i="10"/>
  <c r="K110" i="10"/>
  <c r="L110" i="10" s="1"/>
  <c r="K447" i="10"/>
  <c r="K269" i="10"/>
  <c r="L269" i="10" s="1"/>
  <c r="K37" i="10"/>
  <c r="L37" i="10" s="1"/>
  <c r="K401" i="10"/>
  <c r="L401" i="10" s="1"/>
  <c r="K188" i="10"/>
  <c r="L188" i="10" s="1"/>
  <c r="K495" i="10"/>
  <c r="L495" i="10" s="1"/>
  <c r="K350" i="10"/>
  <c r="L350" i="10" s="1"/>
  <c r="K443" i="10"/>
  <c r="L443" i="10" s="1"/>
  <c r="K431" i="10"/>
  <c r="L431" i="10" s="1"/>
  <c r="K425" i="10"/>
  <c r="L425" i="10" s="1"/>
  <c r="K417" i="10"/>
  <c r="L417" i="10" s="1"/>
  <c r="K410" i="10"/>
  <c r="L410" i="10" s="1"/>
  <c r="K402" i="10"/>
  <c r="L402" i="10" s="1"/>
  <c r="K366" i="10"/>
  <c r="L366" i="10" s="1"/>
  <c r="K267" i="10"/>
  <c r="L267" i="10" s="1"/>
  <c r="K257" i="10"/>
  <c r="L257" i="10" s="1"/>
  <c r="K246" i="10"/>
  <c r="L246" i="10" s="1"/>
  <c r="K202" i="10"/>
  <c r="L202" i="10" s="1"/>
  <c r="K189" i="10"/>
  <c r="L189" i="10" s="1"/>
  <c r="K173" i="10"/>
  <c r="L173" i="10" s="1"/>
  <c r="K123" i="10"/>
  <c r="L123" i="10" s="1"/>
  <c r="K104" i="10"/>
  <c r="L104" i="10" s="1"/>
  <c r="K55" i="10"/>
  <c r="L55" i="10" s="1"/>
  <c r="K42" i="10"/>
  <c r="L42" i="10" s="1"/>
  <c r="K28" i="10"/>
  <c r="L28" i="10" s="1"/>
  <c r="K393" i="10"/>
  <c r="L393" i="10" s="1"/>
  <c r="K389" i="10"/>
  <c r="L389" i="10" s="1"/>
  <c r="K379" i="10"/>
  <c r="L379" i="10" s="1"/>
  <c r="K373" i="10"/>
  <c r="K356" i="10"/>
  <c r="L356" i="10" s="1"/>
  <c r="K204" i="10"/>
  <c r="L204" i="10" s="1"/>
  <c r="K56" i="10"/>
  <c r="L56" i="10" s="1"/>
  <c r="K313" i="10"/>
  <c r="L313" i="10" s="1"/>
  <c r="K307" i="10"/>
  <c r="L307" i="10" s="1"/>
  <c r="K298" i="10"/>
  <c r="L298" i="10" s="1"/>
  <c r="K290" i="10"/>
  <c r="L290" i="10" s="1"/>
  <c r="K196" i="10"/>
  <c r="L196" i="10" s="1"/>
  <c r="K45" i="10"/>
  <c r="L45" i="10" s="1"/>
  <c r="K240" i="10"/>
  <c r="L240" i="10" s="1"/>
  <c r="K234" i="10"/>
  <c r="L234" i="10" s="1"/>
  <c r="K223" i="10"/>
  <c r="L223" i="10" s="1"/>
  <c r="K216" i="10"/>
  <c r="K47" i="10"/>
  <c r="L47" i="10" s="1"/>
  <c r="K164" i="10"/>
  <c r="L164" i="10" s="1"/>
  <c r="K361" i="10"/>
  <c r="L361" i="10" s="1"/>
  <c r="K108" i="10"/>
  <c r="L108" i="10" s="1"/>
  <c r="K498" i="10"/>
  <c r="L498" i="10" s="1"/>
  <c r="K365" i="10"/>
  <c r="L365" i="10" s="1"/>
  <c r="K199" i="10"/>
  <c r="L199" i="10" s="1"/>
  <c r="K511" i="10"/>
  <c r="L511" i="10" s="1"/>
  <c r="K413" i="10"/>
  <c r="L413" i="10" s="1"/>
  <c r="K59" i="10"/>
  <c r="L59" i="10" s="1"/>
  <c r="K107" i="10"/>
  <c r="L107" i="10" s="1"/>
  <c r="K48" i="10"/>
  <c r="L48" i="10" s="1"/>
  <c r="K36" i="10"/>
  <c r="L36" i="10" s="1"/>
  <c r="K87" i="10"/>
  <c r="L87" i="10" s="1"/>
  <c r="K50" i="10"/>
  <c r="K179" i="10"/>
  <c r="L179" i="10" s="1"/>
  <c r="K26" i="10"/>
  <c r="L26" i="10" s="1"/>
  <c r="K117" i="10"/>
  <c r="L117" i="10" s="1"/>
  <c r="K210" i="10"/>
  <c r="L210" i="10" s="1"/>
  <c r="K39" i="10"/>
  <c r="L39" i="10" s="1"/>
  <c r="K344" i="10"/>
  <c r="L344" i="10" s="1"/>
  <c r="K125" i="10"/>
  <c r="L125" i="10" s="1"/>
  <c r="K330" i="10"/>
  <c r="L330" i="10" s="1"/>
  <c r="K22" i="10"/>
  <c r="L22" i="10" s="1"/>
  <c r="X592" i="10"/>
  <c r="X580" i="10"/>
  <c r="X576" i="10"/>
  <c r="X575" i="10"/>
  <c r="X548" i="10"/>
  <c r="X571" i="10"/>
  <c r="X569" i="10"/>
  <c r="X568" i="10"/>
  <c r="X564" i="10"/>
  <c r="X552" i="10"/>
  <c r="X549" i="10"/>
  <c r="X562" i="10"/>
  <c r="X559" i="10"/>
  <c r="X558" i="10"/>
  <c r="X555" i="10"/>
  <c r="X554" i="10"/>
  <c r="X529" i="10"/>
  <c r="K184" i="10"/>
  <c r="L184" i="10" s="1"/>
  <c r="K304" i="10"/>
  <c r="L304" i="10" s="1"/>
  <c r="K340" i="10"/>
  <c r="L340" i="10" s="1"/>
  <c r="K280" i="10"/>
  <c r="L280" i="10" s="1"/>
  <c r="K94" i="10"/>
  <c r="L94" i="10" s="1"/>
  <c r="K453" i="10"/>
  <c r="L453" i="10" s="1"/>
  <c r="K25" i="10"/>
  <c r="L25" i="10" s="1"/>
  <c r="K92" i="10"/>
  <c r="L92" i="10" s="1"/>
  <c r="K400" i="10"/>
  <c r="L400" i="10" s="1"/>
  <c r="K154" i="10"/>
  <c r="L154" i="10" s="1"/>
  <c r="K91" i="10"/>
  <c r="L91" i="10" s="1"/>
  <c r="K155" i="10"/>
  <c r="L155" i="10" s="1"/>
  <c r="K333" i="10"/>
  <c r="L333" i="10" s="1"/>
  <c r="K118" i="10"/>
  <c r="L118" i="10" s="1"/>
  <c r="K90" i="10"/>
  <c r="L90" i="10" s="1"/>
  <c r="K434" i="10"/>
  <c r="L434" i="10" s="1"/>
  <c r="K89" i="10"/>
  <c r="L89" i="10" s="1"/>
  <c r="K274" i="10"/>
  <c r="L274" i="10" s="1"/>
  <c r="K520" i="10"/>
  <c r="L520" i="10" s="1"/>
  <c r="K251" i="10"/>
  <c r="L251" i="10" s="1"/>
  <c r="K148" i="10"/>
  <c r="L148" i="10" s="1"/>
  <c r="K334" i="10"/>
  <c r="L334" i="10" s="1"/>
  <c r="K322" i="10"/>
  <c r="L322" i="10" s="1"/>
  <c r="K436" i="10"/>
  <c r="L436" i="10" s="1"/>
  <c r="K419" i="10"/>
  <c r="L419" i="10" s="1"/>
  <c r="K396" i="10"/>
  <c r="L396" i="10" s="1"/>
  <c r="K122" i="10"/>
  <c r="L122" i="10" s="1"/>
  <c r="K95" i="10"/>
  <c r="L95" i="10" s="1"/>
  <c r="K93" i="10"/>
  <c r="L93" i="10" s="1"/>
  <c r="K6" i="10"/>
  <c r="K348" i="10"/>
  <c r="L348" i="10" s="1"/>
  <c r="K516" i="10"/>
  <c r="L516" i="10" s="1"/>
  <c r="AM601" i="10"/>
  <c r="AN601" i="10"/>
  <c r="AO601" i="10"/>
  <c r="AP601" i="10"/>
  <c r="R601" i="10"/>
  <c r="S601" i="10"/>
  <c r="T601" i="10" s="1"/>
  <c r="U601" i="10"/>
  <c r="Y601" i="10"/>
  <c r="AA601" i="10"/>
  <c r="AB601" i="10"/>
  <c r="AE601" i="10"/>
  <c r="AJ601" i="10"/>
  <c r="AU601" i="10"/>
  <c r="AM600" i="10"/>
  <c r="AN600" i="10"/>
  <c r="AO600" i="10"/>
  <c r="AP600" i="10"/>
  <c r="R600" i="10"/>
  <c r="S600" i="10"/>
  <c r="T600" i="10" s="1"/>
  <c r="U600" i="10"/>
  <c r="Y600" i="10"/>
  <c r="AA600" i="10"/>
  <c r="AB600" i="10"/>
  <c r="AE600" i="10"/>
  <c r="AJ600" i="10"/>
  <c r="AU600" i="10"/>
  <c r="AM599" i="10"/>
  <c r="AN599" i="10"/>
  <c r="AO599" i="10" s="1"/>
  <c r="AP599" i="10"/>
  <c r="R599" i="10"/>
  <c r="S599" i="10"/>
  <c r="T599" i="10" s="1"/>
  <c r="U599" i="10"/>
  <c r="Y599" i="10"/>
  <c r="AA599" i="10"/>
  <c r="AB599" i="10"/>
  <c r="AE599" i="10"/>
  <c r="AJ599" i="10"/>
  <c r="AU599" i="10"/>
  <c r="AM598" i="10"/>
  <c r="AN598" i="10"/>
  <c r="AO598" i="10" s="1"/>
  <c r="AP598" i="10"/>
  <c r="R598" i="10"/>
  <c r="S598" i="10"/>
  <c r="T598" i="10" s="1"/>
  <c r="U598" i="10"/>
  <c r="Y598" i="10" s="1"/>
  <c r="AA598" i="10"/>
  <c r="AB598" i="10"/>
  <c r="AE598" i="10"/>
  <c r="AJ598" i="10"/>
  <c r="AU598" i="10"/>
  <c r="AM597" i="10"/>
  <c r="AN597" i="10"/>
  <c r="AO597" i="10" s="1"/>
  <c r="AP597" i="10"/>
  <c r="R597" i="10"/>
  <c r="S597" i="10"/>
  <c r="T597" i="10" s="1"/>
  <c r="U597" i="10"/>
  <c r="Y597" i="10"/>
  <c r="AA597" i="10"/>
  <c r="AB597" i="10"/>
  <c r="AE597" i="10"/>
  <c r="AJ597" i="10"/>
  <c r="AU597" i="10"/>
  <c r="AM596" i="10"/>
  <c r="AN596" i="10"/>
  <c r="AO596" i="10"/>
  <c r="AP596" i="10"/>
  <c r="R596" i="10"/>
  <c r="S596" i="10"/>
  <c r="T596" i="10" s="1"/>
  <c r="U596" i="10"/>
  <c r="Y596" i="10" s="1"/>
  <c r="AA596" i="10"/>
  <c r="AB596" i="10"/>
  <c r="AE596" i="10"/>
  <c r="AJ596" i="10"/>
  <c r="AU596" i="10"/>
  <c r="AM595" i="10"/>
  <c r="AN595" i="10"/>
  <c r="AO595" i="10"/>
  <c r="AP595" i="10"/>
  <c r="R595" i="10"/>
  <c r="S595" i="10"/>
  <c r="T595" i="10" s="1"/>
  <c r="U595" i="10"/>
  <c r="AM594" i="10"/>
  <c r="AN594" i="10"/>
  <c r="AO594" i="10"/>
  <c r="AP594" i="10"/>
  <c r="R594" i="10"/>
  <c r="S594" i="10"/>
  <c r="T594" i="10" s="1"/>
  <c r="U594" i="10"/>
  <c r="AM593" i="10"/>
  <c r="AN593" i="10"/>
  <c r="AO593" i="10" s="1"/>
  <c r="AP593" i="10"/>
  <c r="R593" i="10"/>
  <c r="S593" i="10"/>
  <c r="T593" i="10" s="1"/>
  <c r="U593" i="10"/>
  <c r="Y593" i="10"/>
  <c r="AA593" i="10"/>
  <c r="AB593" i="10"/>
  <c r="AE593" i="10"/>
  <c r="AJ593" i="10"/>
  <c r="AU593" i="10"/>
  <c r="AM592" i="10"/>
  <c r="AN592" i="10"/>
  <c r="AO592" i="10" s="1"/>
  <c r="AP592" i="10"/>
  <c r="R592" i="10"/>
  <c r="S592" i="10"/>
  <c r="T592" i="10" s="1"/>
  <c r="U592" i="10"/>
  <c r="AM591" i="10"/>
  <c r="AN591" i="10"/>
  <c r="AO591" i="10"/>
  <c r="AP591" i="10"/>
  <c r="R591" i="10"/>
  <c r="S591" i="10"/>
  <c r="T591" i="10" s="1"/>
  <c r="U591" i="10"/>
  <c r="Y591" i="10"/>
  <c r="AA591" i="10"/>
  <c r="AB591" i="10"/>
  <c r="AE591" i="10"/>
  <c r="AJ591" i="10"/>
  <c r="AU591" i="10"/>
  <c r="AM590" i="10"/>
  <c r="AN590" i="10"/>
  <c r="AO590" i="10"/>
  <c r="AP590" i="10"/>
  <c r="R590" i="10"/>
  <c r="S590" i="10"/>
  <c r="T590" i="10" s="1"/>
  <c r="U590" i="10"/>
  <c r="AM589" i="10"/>
  <c r="AN589" i="10"/>
  <c r="AO589" i="10"/>
  <c r="AP589" i="10"/>
  <c r="R589" i="10"/>
  <c r="S589" i="10"/>
  <c r="T589" i="10" s="1"/>
  <c r="U589" i="10"/>
  <c r="Y589" i="10"/>
  <c r="AA589" i="10"/>
  <c r="AB589" i="10"/>
  <c r="AE589" i="10"/>
  <c r="AJ589" i="10"/>
  <c r="AU589" i="10"/>
  <c r="AM588" i="10"/>
  <c r="AN588" i="10"/>
  <c r="AO588" i="10"/>
  <c r="AP588" i="10"/>
  <c r="R588" i="10"/>
  <c r="S588" i="10"/>
  <c r="T588" i="10" s="1"/>
  <c r="U588" i="10"/>
  <c r="AM587" i="10"/>
  <c r="AN587" i="10"/>
  <c r="AO587" i="10"/>
  <c r="AP587" i="10"/>
  <c r="R587" i="10"/>
  <c r="S587" i="10"/>
  <c r="T587" i="10" s="1"/>
  <c r="U587" i="10"/>
  <c r="AM586" i="10"/>
  <c r="AN586" i="10"/>
  <c r="AO586" i="10"/>
  <c r="AP586" i="10"/>
  <c r="R586" i="10"/>
  <c r="S586" i="10"/>
  <c r="T586" i="10" s="1"/>
  <c r="U586" i="10"/>
  <c r="Y586" i="10"/>
  <c r="AA586" i="10"/>
  <c r="AB586" i="10"/>
  <c r="AE586" i="10"/>
  <c r="AJ586" i="10"/>
  <c r="AU586" i="10"/>
  <c r="AM585" i="10"/>
  <c r="AN585" i="10"/>
  <c r="AO585" i="10"/>
  <c r="AP585" i="10"/>
  <c r="R585" i="10"/>
  <c r="S585" i="10"/>
  <c r="T585" i="10" s="1"/>
  <c r="U585" i="10"/>
  <c r="AN584" i="10"/>
  <c r="AP584" i="10"/>
  <c r="AM584" i="10"/>
  <c r="AO584" i="10"/>
  <c r="R584" i="10"/>
  <c r="S584" i="10"/>
  <c r="T584" i="10" s="1"/>
  <c r="U584" i="10"/>
  <c r="AM583" i="10"/>
  <c r="AN583" i="10"/>
  <c r="AO583" i="10"/>
  <c r="AP583" i="10"/>
  <c r="R583" i="10"/>
  <c r="S583" i="10"/>
  <c r="T583" i="10" s="1"/>
  <c r="U583" i="10"/>
  <c r="Y583" i="10" s="1"/>
  <c r="AA583" i="10"/>
  <c r="AB583" i="10"/>
  <c r="AE583" i="10"/>
  <c r="AJ583" i="10"/>
  <c r="AU583" i="10"/>
  <c r="AM582" i="10"/>
  <c r="AN582" i="10"/>
  <c r="AO582" i="10"/>
  <c r="AP582" i="10"/>
  <c r="R582" i="10"/>
  <c r="S582" i="10"/>
  <c r="T582" i="10" s="1"/>
  <c r="U582" i="10"/>
  <c r="Y582" i="10"/>
  <c r="AA582" i="10"/>
  <c r="AB582" i="10"/>
  <c r="AE582" i="10"/>
  <c r="AJ582" i="10"/>
  <c r="AU582" i="10"/>
  <c r="AM581" i="10"/>
  <c r="AN581" i="10"/>
  <c r="AO581" i="10"/>
  <c r="AP581" i="10"/>
  <c r="S581" i="10"/>
  <c r="T581" i="10" s="1"/>
  <c r="R581" i="10"/>
  <c r="U581" i="10"/>
  <c r="Y581" i="10" s="1"/>
  <c r="AA581" i="10"/>
  <c r="AB581" i="10"/>
  <c r="AE581" i="10"/>
  <c r="AJ581" i="10"/>
  <c r="AU581" i="10"/>
  <c r="AM580" i="10"/>
  <c r="AN580" i="10"/>
  <c r="AO580" i="10" s="1"/>
  <c r="AP580" i="10"/>
  <c r="R580" i="10"/>
  <c r="S580" i="10"/>
  <c r="T580" i="10" s="1"/>
  <c r="U580" i="10"/>
  <c r="R579" i="10"/>
  <c r="U579" i="10"/>
  <c r="S579" i="10"/>
  <c r="T579" i="10" s="1"/>
  <c r="AM579" i="10"/>
  <c r="AP579" i="10"/>
  <c r="AN579" i="10"/>
  <c r="AO579" i="10" s="1"/>
  <c r="AM578" i="10"/>
  <c r="AN578" i="10"/>
  <c r="AP578" i="10"/>
  <c r="AO578" i="10"/>
  <c r="U578" i="10"/>
  <c r="R578" i="10"/>
  <c r="S578" i="10"/>
  <c r="T578" i="10" s="1"/>
  <c r="AM577" i="10"/>
  <c r="AN577" i="10"/>
  <c r="AO577" i="10" s="1"/>
  <c r="AP577" i="10"/>
  <c r="R577" i="10"/>
  <c r="S577" i="10"/>
  <c r="T577" i="10" s="1"/>
  <c r="U577" i="10"/>
  <c r="Y577" i="10"/>
  <c r="AA577" i="10"/>
  <c r="AE577" i="10"/>
  <c r="AJ577" i="10"/>
  <c r="AB577" i="10"/>
  <c r="AU577" i="10"/>
  <c r="R576" i="10"/>
  <c r="S576" i="10"/>
  <c r="T576" i="10" s="1"/>
  <c r="U576" i="10"/>
  <c r="AN576" i="10"/>
  <c r="AM576" i="10"/>
  <c r="AO576" i="10"/>
  <c r="AP576" i="10"/>
  <c r="U575" i="10"/>
  <c r="R575" i="10"/>
  <c r="S575" i="10"/>
  <c r="T575" i="10" s="1"/>
  <c r="AP575" i="10"/>
  <c r="AM575" i="10"/>
  <c r="AN575" i="10"/>
  <c r="AO575" i="10" s="1"/>
  <c r="AM574" i="10"/>
  <c r="AN574" i="10"/>
  <c r="AO574" i="10" s="1"/>
  <c r="AP574" i="10"/>
  <c r="R574" i="10"/>
  <c r="S574" i="10"/>
  <c r="T574" i="10" s="1"/>
  <c r="U574" i="10"/>
  <c r="AM573" i="10"/>
  <c r="AN573" i="10"/>
  <c r="AO573" i="10" s="1"/>
  <c r="AP573" i="10"/>
  <c r="R573" i="10"/>
  <c r="S573" i="10"/>
  <c r="T573" i="10" s="1"/>
  <c r="U573" i="10"/>
  <c r="AM572" i="10"/>
  <c r="AN572" i="10"/>
  <c r="AO572" i="10" s="1"/>
  <c r="AP572" i="10"/>
  <c r="R572" i="10"/>
  <c r="S572" i="10"/>
  <c r="T572" i="10" s="1"/>
  <c r="U572" i="10"/>
  <c r="Y572" i="10"/>
  <c r="AA572" i="10"/>
  <c r="AB572" i="10"/>
  <c r="AE572" i="10"/>
  <c r="AJ572" i="10"/>
  <c r="AU572" i="10"/>
  <c r="R571" i="10"/>
  <c r="U571" i="10"/>
  <c r="S571" i="10"/>
  <c r="T571" i="10" s="1"/>
  <c r="AM571" i="10"/>
  <c r="AN571" i="10"/>
  <c r="AO571" i="10" s="1"/>
  <c r="AP571" i="10"/>
  <c r="S570" i="10"/>
  <c r="T570" i="10" s="1"/>
  <c r="U570" i="10"/>
  <c r="R570" i="10"/>
  <c r="AN570" i="10"/>
  <c r="AO570" i="10" s="1"/>
  <c r="AP570" i="10"/>
  <c r="AM570" i="10"/>
  <c r="S569" i="10"/>
  <c r="T569" i="10" s="1"/>
  <c r="R569" i="10"/>
  <c r="U569" i="10"/>
  <c r="AM569" i="10"/>
  <c r="AN569" i="10"/>
  <c r="AO569" i="10" s="1"/>
  <c r="AP569" i="10"/>
  <c r="U568" i="10"/>
  <c r="R568" i="10"/>
  <c r="S568" i="10"/>
  <c r="T568" i="10" s="1"/>
  <c r="AM568" i="10"/>
  <c r="AP568" i="10"/>
  <c r="AN568" i="10"/>
  <c r="AO568" i="10" s="1"/>
  <c r="AN567" i="10"/>
  <c r="AO567" i="10" s="1"/>
  <c r="AP567" i="10"/>
  <c r="AM567" i="10"/>
  <c r="R567" i="10"/>
  <c r="S567" i="10"/>
  <c r="T567" i="10" s="1"/>
  <c r="U567" i="10"/>
  <c r="S566" i="10"/>
  <c r="T566" i="10" s="1"/>
  <c r="U566" i="10"/>
  <c r="Y566" i="10" s="1"/>
  <c r="R566" i="10"/>
  <c r="AM566" i="10"/>
  <c r="AP566" i="10"/>
  <c r="AN566" i="10"/>
  <c r="AO566" i="10" s="1"/>
  <c r="AB566" i="10"/>
  <c r="AJ566" i="10"/>
  <c r="AU566" i="10"/>
  <c r="AA566" i="10"/>
  <c r="AE566" i="10"/>
  <c r="AM565" i="10"/>
  <c r="AP565" i="10"/>
  <c r="AN565" i="10"/>
  <c r="AO565" i="10" s="1"/>
  <c r="R565" i="10"/>
  <c r="S565" i="10"/>
  <c r="T565" i="10" s="1"/>
  <c r="U565" i="10"/>
  <c r="Y565" i="10" s="1"/>
  <c r="AB565" i="10"/>
  <c r="AJ565" i="10"/>
  <c r="AU565" i="10"/>
  <c r="AA565" i="10"/>
  <c r="AE565" i="10"/>
  <c r="AM564" i="10"/>
  <c r="AP564" i="10"/>
  <c r="AN564" i="10"/>
  <c r="AO564" i="10" s="1"/>
  <c r="R564" i="10"/>
  <c r="S564" i="10"/>
  <c r="T564" i="10" s="1"/>
  <c r="U564" i="10"/>
  <c r="AM563" i="10"/>
  <c r="AN563" i="10"/>
  <c r="AO563" i="10" s="1"/>
  <c r="AP563" i="10"/>
  <c r="R563" i="10"/>
  <c r="S563" i="10"/>
  <c r="T563" i="10" s="1"/>
  <c r="U563" i="10"/>
  <c r="AE563" i="10"/>
  <c r="AJ563" i="10"/>
  <c r="AU563" i="10"/>
  <c r="Y563" i="10"/>
  <c r="AA563" i="10"/>
  <c r="AB563" i="10"/>
  <c r="AN562" i="10"/>
  <c r="AP562" i="10"/>
  <c r="AM562" i="10"/>
  <c r="AO562" i="10"/>
  <c r="S562" i="10"/>
  <c r="T562" i="10" s="1"/>
  <c r="R562" i="10"/>
  <c r="U562" i="10"/>
  <c r="AP561" i="10"/>
  <c r="AM561" i="10"/>
  <c r="AN561" i="10"/>
  <c r="AO561" i="10" s="1"/>
  <c r="S561" i="10"/>
  <c r="T561" i="10" s="1"/>
  <c r="R561" i="10"/>
  <c r="U561" i="10"/>
  <c r="S560" i="10"/>
  <c r="T560" i="10" s="1"/>
  <c r="R560" i="10"/>
  <c r="U560" i="10"/>
  <c r="AM560" i="10"/>
  <c r="AP560" i="10"/>
  <c r="AN560" i="10"/>
  <c r="AO560" i="10" s="1"/>
  <c r="S559" i="10"/>
  <c r="T559" i="10" s="1"/>
  <c r="R559" i="10"/>
  <c r="U559" i="10"/>
  <c r="AM559" i="10"/>
  <c r="AN559" i="10"/>
  <c r="AO559" i="10" s="1"/>
  <c r="AP559" i="10"/>
  <c r="AN558" i="10"/>
  <c r="AM558" i="10"/>
  <c r="AO558" i="10"/>
  <c r="AP558" i="10"/>
  <c r="R558" i="10"/>
  <c r="S558" i="10"/>
  <c r="T558" i="10" s="1"/>
  <c r="U558" i="10"/>
  <c r="AM557" i="10"/>
  <c r="AP557" i="10"/>
  <c r="AN557" i="10"/>
  <c r="AO557" i="10" s="1"/>
  <c r="S557" i="10"/>
  <c r="T557" i="10" s="1"/>
  <c r="U557" i="10"/>
  <c r="R557" i="10"/>
  <c r="R556" i="10"/>
  <c r="S556" i="10"/>
  <c r="T556" i="10" s="1"/>
  <c r="U556" i="10"/>
  <c r="AM556" i="10"/>
  <c r="AN556" i="10"/>
  <c r="AO556" i="10" s="1"/>
  <c r="AP556" i="10"/>
  <c r="AM555" i="10"/>
  <c r="AN555" i="10"/>
  <c r="AO555" i="10" s="1"/>
  <c r="AP555" i="10"/>
  <c r="S555" i="10"/>
  <c r="T555" i="10" s="1"/>
  <c r="R555" i="10"/>
  <c r="U555" i="10"/>
  <c r="AN554" i="10"/>
  <c r="AP554" i="10"/>
  <c r="AM554" i="10"/>
  <c r="AO554" i="10"/>
  <c r="S554" i="10"/>
  <c r="T554" i="10" s="1"/>
  <c r="R554" i="10"/>
  <c r="U554" i="10"/>
  <c r="AN553" i="10"/>
  <c r="AP553" i="10"/>
  <c r="AM553" i="10"/>
  <c r="AO553" i="10"/>
  <c r="R553" i="10"/>
  <c r="S553" i="10"/>
  <c r="T553" i="10" s="1"/>
  <c r="U553" i="10"/>
  <c r="R552" i="10"/>
  <c r="S552" i="10"/>
  <c r="T552" i="10" s="1"/>
  <c r="U552" i="10"/>
  <c r="AM552" i="10"/>
  <c r="AP552" i="10"/>
  <c r="AN552" i="10"/>
  <c r="AO552" i="10" s="1"/>
  <c r="AN551" i="10"/>
  <c r="AO551" i="10" s="1"/>
  <c r="AM551" i="10"/>
  <c r="AP551" i="10"/>
  <c r="R551" i="10"/>
  <c r="S551" i="10"/>
  <c r="T551" i="10" s="1"/>
  <c r="U551" i="10"/>
  <c r="AM550" i="10"/>
  <c r="AN550" i="10"/>
  <c r="AO550" i="10" s="1"/>
  <c r="AP550" i="10"/>
  <c r="S550" i="10"/>
  <c r="T550" i="10" s="1"/>
  <c r="U550" i="10"/>
  <c r="R550" i="10"/>
  <c r="AB550" i="10"/>
  <c r="AE550" i="10"/>
  <c r="AU550" i="10"/>
  <c r="Y550" i="10"/>
  <c r="AG550" i="10" s="1"/>
  <c r="AH550" i="10" s="1"/>
  <c r="AI550" i="10" s="1"/>
  <c r="AA550" i="10"/>
  <c r="AJ550" i="10"/>
  <c r="S549" i="10"/>
  <c r="T549" i="10" s="1"/>
  <c r="U549" i="10"/>
  <c r="R549" i="10"/>
  <c r="AM549" i="10"/>
  <c r="AN549" i="10"/>
  <c r="AO549" i="10" s="1"/>
  <c r="AP549" i="10"/>
  <c r="AM548" i="10"/>
  <c r="AN548" i="10"/>
  <c r="AO548" i="10" s="1"/>
  <c r="AP548" i="10"/>
  <c r="R548" i="10"/>
  <c r="S548" i="10"/>
  <c r="T548" i="10" s="1"/>
  <c r="U548" i="10"/>
  <c r="AN547" i="10"/>
  <c r="AO547" i="10" s="1"/>
  <c r="AM547" i="10"/>
  <c r="AP547" i="10"/>
  <c r="S547" i="10"/>
  <c r="T547" i="10" s="1"/>
  <c r="R547" i="10"/>
  <c r="U547" i="10"/>
  <c r="AB547" i="10"/>
  <c r="AU547" i="10"/>
  <c r="Y547" i="10"/>
  <c r="AG547" i="10" s="1"/>
  <c r="AH547" i="10" s="1"/>
  <c r="AI547" i="10" s="1"/>
  <c r="AA547" i="10"/>
  <c r="AE547" i="10"/>
  <c r="AJ547" i="10"/>
  <c r="AM546" i="10"/>
  <c r="AN546" i="10"/>
  <c r="AP546" i="10"/>
  <c r="AO546" i="10"/>
  <c r="R546" i="10"/>
  <c r="S546" i="10"/>
  <c r="T546" i="10" s="1"/>
  <c r="U546" i="10"/>
  <c r="AM545" i="10"/>
  <c r="AP545" i="10"/>
  <c r="AN545" i="10"/>
  <c r="AO545" i="10" s="1"/>
  <c r="S545" i="10"/>
  <c r="T545" i="10" s="1"/>
  <c r="U545" i="10"/>
  <c r="R545" i="10"/>
  <c r="AN544" i="10"/>
  <c r="AO544" i="10" s="1"/>
  <c r="AM544" i="10"/>
  <c r="AP544" i="10"/>
  <c r="R544" i="10"/>
  <c r="S544" i="10"/>
  <c r="T544" i="10" s="1"/>
  <c r="U544" i="10"/>
  <c r="R543" i="10"/>
  <c r="U543" i="10"/>
  <c r="S543" i="10"/>
  <c r="T543" i="10" s="1"/>
  <c r="AM543" i="10"/>
  <c r="AN543" i="10"/>
  <c r="AO543" i="10" s="1"/>
  <c r="AP543" i="10"/>
  <c r="AP542" i="10"/>
  <c r="AM542" i="10"/>
  <c r="AN542" i="10"/>
  <c r="AO542" i="10" s="1"/>
  <c r="U542" i="10"/>
  <c r="R542" i="10"/>
  <c r="S542" i="10"/>
  <c r="T542" i="10" s="1"/>
  <c r="AM541" i="10"/>
  <c r="AN541" i="10"/>
  <c r="AP541" i="10"/>
  <c r="AO541" i="10"/>
  <c r="U541" i="10"/>
  <c r="R541" i="10"/>
  <c r="S541" i="10"/>
  <c r="T541" i="10" s="1"/>
  <c r="AM540" i="10"/>
  <c r="AN540" i="10"/>
  <c r="AO540" i="10" s="1"/>
  <c r="AP540" i="10"/>
  <c r="S540" i="10"/>
  <c r="T540" i="10" s="1"/>
  <c r="U540" i="10"/>
  <c r="R540" i="10"/>
  <c r="AN539" i="10"/>
  <c r="AO539" i="10" s="1"/>
  <c r="AM539" i="10"/>
  <c r="AP539" i="10"/>
  <c r="R539" i="10"/>
  <c r="S539" i="10"/>
  <c r="T539" i="10" s="1"/>
  <c r="U539" i="10"/>
  <c r="AM538" i="10"/>
  <c r="AP538" i="10"/>
  <c r="AN538" i="10"/>
  <c r="AO538" i="10" s="1"/>
  <c r="R538" i="10"/>
  <c r="U538" i="10"/>
  <c r="S538" i="10"/>
  <c r="T538" i="10" s="1"/>
  <c r="AN537" i="10"/>
  <c r="AM537" i="10"/>
  <c r="AP537" i="10"/>
  <c r="AO537" i="10"/>
  <c r="S537" i="10"/>
  <c r="T537" i="10" s="1"/>
  <c r="R537" i="10"/>
  <c r="U537" i="10"/>
  <c r="S536" i="10"/>
  <c r="T536" i="10" s="1"/>
  <c r="R536" i="10"/>
  <c r="U536" i="10"/>
  <c r="AM536" i="10"/>
  <c r="AN536" i="10"/>
  <c r="AO536" i="10" s="1"/>
  <c r="AP536" i="10"/>
  <c r="R535" i="10"/>
  <c r="S535" i="10"/>
  <c r="T535" i="10" s="1"/>
  <c r="U535" i="10"/>
  <c r="AM535" i="10"/>
  <c r="AN535" i="10"/>
  <c r="AO535" i="10" s="1"/>
  <c r="AP535" i="10"/>
  <c r="S534" i="10"/>
  <c r="T534" i="10" s="1"/>
  <c r="R534" i="10"/>
  <c r="U534" i="10"/>
  <c r="AN534" i="10"/>
  <c r="AO534" i="10" s="1"/>
  <c r="AM534" i="10"/>
  <c r="AP534" i="10"/>
  <c r="AN533" i="10"/>
  <c r="AP533" i="10"/>
  <c r="AM533" i="10"/>
  <c r="AO533" i="10"/>
  <c r="S533" i="10"/>
  <c r="T533" i="10" s="1"/>
  <c r="R533" i="10"/>
  <c r="U533" i="10"/>
  <c r="AE533" i="10"/>
  <c r="AA533" i="10"/>
  <c r="AJ533" i="10"/>
  <c r="Y533" i="10"/>
  <c r="AB533" i="10"/>
  <c r="AU533" i="10"/>
  <c r="R532" i="10"/>
  <c r="S532" i="10"/>
  <c r="T532" i="10" s="1"/>
  <c r="U532" i="10"/>
  <c r="AM532" i="10"/>
  <c r="AP532" i="10"/>
  <c r="AN532" i="10"/>
  <c r="AO532" i="10" s="1"/>
  <c r="AM531" i="10"/>
  <c r="AN531" i="10"/>
  <c r="AO531" i="10" s="1"/>
  <c r="AP531" i="10"/>
  <c r="R531" i="10"/>
  <c r="U531" i="10"/>
  <c r="S531" i="10"/>
  <c r="T531" i="10" s="1"/>
  <c r="R530" i="10"/>
  <c r="S530" i="10"/>
  <c r="T530" i="10" s="1"/>
  <c r="U530" i="10"/>
  <c r="AM530" i="10"/>
  <c r="AP530" i="10"/>
  <c r="AN530" i="10"/>
  <c r="AO530" i="10" s="1"/>
  <c r="AM529" i="10"/>
  <c r="AN529" i="10"/>
  <c r="AO529" i="10" s="1"/>
  <c r="AP529" i="10"/>
  <c r="S529" i="10"/>
  <c r="T529" i="10" s="1"/>
  <c r="R529" i="10"/>
  <c r="U529" i="10"/>
  <c r="AN528" i="10"/>
  <c r="AO528" i="10" s="1"/>
  <c r="AP528" i="10"/>
  <c r="AM528" i="10"/>
  <c r="R528" i="10"/>
  <c r="S528" i="10"/>
  <c r="T528" i="10" s="1"/>
  <c r="U528" i="10"/>
  <c r="AB528" i="10"/>
  <c r="AE528" i="10"/>
  <c r="AJ528" i="10"/>
  <c r="Y528" i="10"/>
  <c r="AG528" i="10" s="1"/>
  <c r="AH528" i="10" s="1"/>
  <c r="AI528" i="10" s="1"/>
  <c r="AA528" i="10"/>
  <c r="AU528" i="10"/>
  <c r="AM527" i="10"/>
  <c r="AN527" i="10"/>
  <c r="AO527" i="10" s="1"/>
  <c r="AP527" i="10"/>
  <c r="R527" i="10"/>
  <c r="S527" i="10"/>
  <c r="T527" i="10" s="1"/>
  <c r="U527" i="10"/>
  <c r="Y527" i="10"/>
  <c r="AU527" i="10"/>
  <c r="AB527" i="10"/>
  <c r="AE527" i="10"/>
  <c r="AJ527" i="10"/>
  <c r="AA527" i="10"/>
  <c r="AM526" i="10"/>
  <c r="AN526" i="10"/>
  <c r="AO526" i="10" s="1"/>
  <c r="AP526" i="10"/>
  <c r="R526" i="10"/>
  <c r="S526" i="10"/>
  <c r="T526" i="10" s="1"/>
  <c r="U526" i="10"/>
  <c r="Y526" i="10" s="1"/>
  <c r="AA526" i="10"/>
  <c r="AB526" i="10"/>
  <c r="AE526" i="10"/>
  <c r="AJ526" i="10"/>
  <c r="AU526" i="10"/>
  <c r="AM525" i="10"/>
  <c r="AN525" i="10"/>
  <c r="AO525" i="10" s="1"/>
  <c r="AP525" i="10"/>
  <c r="R525" i="10"/>
  <c r="S525" i="10"/>
  <c r="T525" i="10" s="1"/>
  <c r="U525" i="10"/>
  <c r="Y525" i="10" s="1"/>
  <c r="AA525" i="10"/>
  <c r="AB525" i="10"/>
  <c r="AE525" i="10"/>
  <c r="AJ525" i="10"/>
  <c r="AU525" i="10"/>
  <c r="AM524" i="10"/>
  <c r="AN524" i="10"/>
  <c r="AO524" i="10" s="1"/>
  <c r="AP524" i="10"/>
  <c r="R524" i="10"/>
  <c r="S524" i="10"/>
  <c r="T524" i="10" s="1"/>
  <c r="U524" i="10"/>
  <c r="Y524" i="10"/>
  <c r="AA524" i="10"/>
  <c r="AB524" i="10"/>
  <c r="AE524" i="10"/>
  <c r="AJ524" i="10"/>
  <c r="AU524" i="10"/>
  <c r="AM523" i="10"/>
  <c r="AN523" i="10"/>
  <c r="AO523" i="10" s="1"/>
  <c r="AP523" i="10"/>
  <c r="R523" i="10"/>
  <c r="S523" i="10"/>
  <c r="T523" i="10" s="1"/>
  <c r="U523" i="10"/>
  <c r="Y523" i="10"/>
  <c r="AA523" i="10"/>
  <c r="AB523" i="10"/>
  <c r="AE523" i="10"/>
  <c r="AJ523" i="10"/>
  <c r="AU523" i="10"/>
  <c r="AM522" i="10"/>
  <c r="AN522" i="10"/>
  <c r="AO522" i="10" s="1"/>
  <c r="AP522" i="10"/>
  <c r="R522" i="10"/>
  <c r="S522" i="10"/>
  <c r="T522" i="10" s="1"/>
  <c r="U522" i="10"/>
  <c r="Y522" i="10"/>
  <c r="AA522" i="10"/>
  <c r="AB522" i="10"/>
  <c r="AE522" i="10"/>
  <c r="AJ522" i="10"/>
  <c r="AU522" i="10"/>
  <c r="AA584" i="10" l="1"/>
  <c r="AB584" i="10"/>
  <c r="AE584" i="10"/>
  <c r="AJ584" i="10"/>
  <c r="AU584" i="10"/>
  <c r="AE574" i="10"/>
  <c r="Y574" i="10"/>
  <c r="AA574" i="10"/>
  <c r="AB574" i="10"/>
  <c r="AJ574" i="10"/>
  <c r="AU574" i="10"/>
  <c r="Y553" i="10"/>
  <c r="AB553" i="10"/>
  <c r="AE553" i="10"/>
  <c r="AU553" i="10"/>
  <c r="AA553" i="10"/>
  <c r="AJ553" i="10"/>
  <c r="Y594" i="10"/>
  <c r="AA594" i="10"/>
  <c r="AB594" i="10"/>
  <c r="AE594" i="10"/>
  <c r="AJ594" i="10"/>
  <c r="AU594" i="10"/>
  <c r="Y556" i="10"/>
  <c r="AA556" i="10"/>
  <c r="AB556" i="10"/>
  <c r="AE556" i="10"/>
  <c r="AU556" i="10"/>
  <c r="AJ556" i="10"/>
  <c r="Y532" i="10"/>
  <c r="AA532" i="10"/>
  <c r="AU532" i="10"/>
  <c r="AB532" i="10"/>
  <c r="AE532" i="10"/>
  <c r="AJ532" i="10"/>
  <c r="Y579" i="10"/>
  <c r="AA579" i="10"/>
  <c r="AB579" i="10"/>
  <c r="AU579" i="10"/>
  <c r="AE579" i="10"/>
  <c r="AJ579" i="10"/>
  <c r="Y570" i="10"/>
  <c r="AA570" i="10"/>
  <c r="AE570" i="10"/>
  <c r="AJ570" i="10"/>
  <c r="AU570" i="10"/>
  <c r="AB570" i="10"/>
  <c r="E33" i="5"/>
  <c r="D33" i="5" s="1"/>
  <c r="B33" i="5" s="1"/>
  <c r="C43" i="5" s="1"/>
  <c r="E32" i="5"/>
  <c r="D32" i="5" s="1"/>
  <c r="B32" i="5" s="1"/>
  <c r="C42" i="5" s="1"/>
  <c r="E34" i="5"/>
  <c r="D34" i="5" s="1"/>
  <c r="B34" i="5" s="1"/>
  <c r="C44" i="5" s="1"/>
  <c r="AU561" i="10"/>
  <c r="Y561" i="10"/>
  <c r="AA561" i="10"/>
  <c r="AB561" i="10"/>
  <c r="AE561" i="10"/>
  <c r="AJ561" i="10"/>
  <c r="AB541" i="10"/>
  <c r="AE541" i="10"/>
  <c r="AU541" i="10"/>
  <c r="Y541" i="10"/>
  <c r="AG541" i="10" s="1"/>
  <c r="AH541" i="10" s="1"/>
  <c r="AI541" i="10" s="1"/>
  <c r="AA541" i="10"/>
  <c r="AJ541" i="10"/>
  <c r="AB560" i="10"/>
  <c r="AU560" i="10"/>
  <c r="Y560" i="10"/>
  <c r="AG560" i="10" s="1"/>
  <c r="AH560" i="10" s="1"/>
  <c r="AI560" i="10" s="1"/>
  <c r="AA560" i="10"/>
  <c r="AE560" i="10"/>
  <c r="AJ560" i="10"/>
  <c r="Y578" i="10"/>
  <c r="AA578" i="10"/>
  <c r="AE578" i="10"/>
  <c r="AJ578" i="10"/>
  <c r="AB578" i="10"/>
  <c r="AU578" i="10"/>
  <c r="AB557" i="10"/>
  <c r="AJ557" i="10"/>
  <c r="Y557" i="10"/>
  <c r="AG557" i="10" s="1"/>
  <c r="AH557" i="10" s="1"/>
  <c r="AI557" i="10" s="1"/>
  <c r="AA557" i="10"/>
  <c r="AE557" i="10"/>
  <c r="AU557" i="10"/>
  <c r="AA551" i="10"/>
  <c r="AU551" i="10"/>
  <c r="Y551" i="10"/>
  <c r="AB551" i="10"/>
  <c r="AE551" i="10"/>
  <c r="AJ551" i="10"/>
  <c r="Y595" i="10"/>
  <c r="AA595" i="10"/>
  <c r="AB595" i="10"/>
  <c r="AE595" i="10"/>
  <c r="AJ595" i="10"/>
  <c r="AU595" i="10"/>
  <c r="AE538" i="10"/>
  <c r="Y538" i="10"/>
  <c r="AA538" i="10"/>
  <c r="AB538" i="10"/>
  <c r="AJ538" i="10"/>
  <c r="AU538" i="10"/>
  <c r="AG581" i="10"/>
  <c r="AH581" i="10" s="1"/>
  <c r="AI581" i="10" s="1"/>
  <c r="Y588" i="10"/>
  <c r="AA588" i="10"/>
  <c r="AB588" i="10"/>
  <c r="AE588" i="10"/>
  <c r="AJ588" i="10"/>
  <c r="AU588" i="10"/>
  <c r="AA531" i="10"/>
  <c r="AU531" i="10"/>
  <c r="AJ531" i="10"/>
  <c r="Y531" i="10"/>
  <c r="AB531" i="10"/>
  <c r="AE531" i="10"/>
  <c r="Y587" i="10"/>
  <c r="AA587" i="10"/>
  <c r="AB587" i="10"/>
  <c r="AE587" i="10"/>
  <c r="AJ587" i="10"/>
  <c r="AU587" i="10"/>
  <c r="Y546" i="10"/>
  <c r="AA546" i="10"/>
  <c r="AB546" i="10"/>
  <c r="AE546" i="10"/>
  <c r="AJ546" i="10"/>
  <c r="AU546" i="10"/>
  <c r="Y585" i="10"/>
  <c r="AA585" i="10"/>
  <c r="AB585" i="10"/>
  <c r="AE585" i="10"/>
  <c r="AJ585" i="10"/>
  <c r="AU585" i="10"/>
  <c r="AG565" i="10"/>
  <c r="AH565" i="10" s="1"/>
  <c r="AI565" i="10" s="1"/>
  <c r="Y567" i="10"/>
  <c r="AE567" i="10"/>
  <c r="AJ567" i="10"/>
  <c r="AU567" i="10"/>
  <c r="AA567" i="10"/>
  <c r="AB567" i="10"/>
  <c r="AG574" i="10"/>
  <c r="AH574" i="10" s="1"/>
  <c r="AI574" i="10" s="1"/>
  <c r="L138" i="10"/>
  <c r="AL138" i="10"/>
  <c r="L496" i="10"/>
  <c r="AL496" i="10"/>
  <c r="AA590" i="10"/>
  <c r="AB590" i="10"/>
  <c r="AE590" i="10"/>
  <c r="AJ590" i="10"/>
  <c r="AU590" i="10"/>
  <c r="Y590" i="10"/>
  <c r="AJ539" i="10"/>
  <c r="AA539" i="10"/>
  <c r="Y539" i="10"/>
  <c r="AU539" i="10"/>
  <c r="AE539" i="10"/>
  <c r="AB539" i="10"/>
  <c r="AJ530" i="10"/>
  <c r="AA530" i="10"/>
  <c r="Y530" i="10"/>
  <c r="AE530" i="10"/>
  <c r="AB530" i="10"/>
  <c r="AU530" i="10"/>
  <c r="AJ545" i="10"/>
  <c r="AA545" i="10"/>
  <c r="AE545" i="10"/>
  <c r="AU545" i="10"/>
  <c r="AB545" i="10"/>
  <c r="AG579" i="10"/>
  <c r="AH579" i="10" s="1"/>
  <c r="AI579" i="10" s="1"/>
  <c r="AG578" i="10"/>
  <c r="AH578" i="10" s="1"/>
  <c r="AI578" i="10" s="1"/>
  <c r="AG556" i="10"/>
  <c r="AH556" i="10" s="1"/>
  <c r="AI556" i="10" s="1"/>
  <c r="Y545" i="10"/>
  <c r="AG545" i="10" s="1"/>
  <c r="AH545" i="10" s="1"/>
  <c r="AI545" i="10" s="1"/>
  <c r="Y544" i="10"/>
  <c r="Y542" i="10"/>
  <c r="Y540" i="10"/>
  <c r="Y537" i="10"/>
  <c r="Y536" i="10"/>
  <c r="AG526" i="10"/>
  <c r="AH526" i="10" s="1"/>
  <c r="AI526" i="10" s="1"/>
  <c r="Y534" i="10"/>
  <c r="AJ573" i="10"/>
  <c r="Y573" i="10"/>
  <c r="AA573" i="10"/>
  <c r="AB573" i="10"/>
  <c r="AE573" i="10"/>
  <c r="AU573" i="10"/>
  <c r="AB544" i="10"/>
  <c r="AJ544" i="10"/>
  <c r="AU544" i="10"/>
  <c r="AA544" i="10"/>
  <c r="AE544" i="10"/>
  <c r="AA543" i="10"/>
  <c r="AB543" i="10"/>
  <c r="AE543" i="10"/>
  <c r="AJ543" i="10"/>
  <c r="Y543" i="10"/>
  <c r="AG543" i="10" s="1"/>
  <c r="AH543" i="10" s="1"/>
  <c r="AI543" i="10" s="1"/>
  <c r="AU543" i="10"/>
  <c r="AA542" i="10"/>
  <c r="AB542" i="10"/>
  <c r="AE542" i="10"/>
  <c r="AJ542" i="10"/>
  <c r="AU542" i="10"/>
  <c r="AB540" i="10"/>
  <c r="AU540" i="10"/>
  <c r="AA540" i="10"/>
  <c r="AE540" i="10"/>
  <c r="AJ540" i="10"/>
  <c r="AA537" i="10"/>
  <c r="AU537" i="10"/>
  <c r="AB537" i="10"/>
  <c r="AE537" i="10"/>
  <c r="AJ537" i="10"/>
  <c r="AJ536" i="10"/>
  <c r="AA536" i="10"/>
  <c r="AB536" i="10"/>
  <c r="AE536" i="10"/>
  <c r="AU536" i="10"/>
  <c r="AB535" i="10"/>
  <c r="AJ535" i="10"/>
  <c r="AU535" i="10"/>
  <c r="Y535" i="10"/>
  <c r="AG535" i="10" s="1"/>
  <c r="AH535" i="10" s="1"/>
  <c r="AI535" i="10" s="1"/>
  <c r="AA535" i="10"/>
  <c r="AE535" i="10"/>
  <c r="AE534" i="10"/>
  <c r="AU534" i="10"/>
  <c r="AJ534" i="10"/>
  <c r="AB534" i="10"/>
  <c r="AA534" i="10"/>
  <c r="AL369" i="10"/>
  <c r="L369" i="10"/>
  <c r="AL225" i="10"/>
  <c r="L225" i="10"/>
  <c r="L381" i="10"/>
  <c r="AL381" i="10"/>
  <c r="L191" i="10"/>
  <c r="AL191" i="10"/>
  <c r="L301" i="10"/>
  <c r="AL301" i="10"/>
  <c r="L197" i="10"/>
  <c r="AL197" i="10"/>
  <c r="AL157" i="10"/>
  <c r="L157" i="10"/>
  <c r="AL446" i="10"/>
  <c r="L446" i="10"/>
  <c r="L386" i="10"/>
  <c r="AL386" i="10"/>
  <c r="AL214" i="10"/>
  <c r="L214" i="10"/>
  <c r="L180" i="10"/>
  <c r="AL180" i="10"/>
  <c r="L360" i="10"/>
  <c r="AL360" i="10"/>
  <c r="AL359" i="10"/>
  <c r="L359" i="10"/>
  <c r="F14" i="7" s="1"/>
  <c r="AL342" i="10"/>
  <c r="L342" i="10"/>
  <c r="AL447" i="10"/>
  <c r="L447" i="10"/>
  <c r="L373" i="10"/>
  <c r="F5" i="7" s="1"/>
  <c r="AL373" i="10"/>
  <c r="L216" i="10"/>
  <c r="AL216" i="10"/>
  <c r="AL50" i="10"/>
  <c r="L50" i="10"/>
  <c r="Y529" i="10"/>
  <c r="Y580" i="10"/>
  <c r="AG573" i="10"/>
  <c r="AH573" i="10" s="1"/>
  <c r="AI573" i="10" s="1"/>
  <c r="AG572" i="10"/>
  <c r="AH572" i="10" s="1"/>
  <c r="AI572" i="10" s="1"/>
  <c r="AG570" i="10"/>
  <c r="AH570" i="10" s="1"/>
  <c r="AI570" i="10" s="1"/>
  <c r="AG567" i="10"/>
  <c r="AH567" i="10" s="1"/>
  <c r="AI567" i="10" s="1"/>
  <c r="AG566" i="10"/>
  <c r="AH566" i="10" s="1"/>
  <c r="AI566" i="10" s="1"/>
  <c r="Y564" i="10"/>
  <c r="Y562" i="10"/>
  <c r="Y555" i="10"/>
  <c r="Y548" i="10"/>
  <c r="AG525" i="10"/>
  <c r="AH525" i="10" s="1"/>
  <c r="AI525" i="10" s="1"/>
  <c r="AG524" i="10"/>
  <c r="AH524" i="10" s="1"/>
  <c r="AI524" i="10" s="1"/>
  <c r="AG523" i="10"/>
  <c r="AH523" i="10" s="1"/>
  <c r="AI523" i="10" s="1"/>
  <c r="AG522" i="10"/>
  <c r="AH522" i="10" s="1"/>
  <c r="AI522" i="10" s="1"/>
  <c r="AS22" i="10"/>
  <c r="N22" i="10"/>
  <c r="M22" i="10"/>
  <c r="P22" i="10"/>
  <c r="Q22" i="10"/>
  <c r="V22" i="10"/>
  <c r="W22" i="10" s="1"/>
  <c r="AC22" i="10"/>
  <c r="AD22" i="10"/>
  <c r="AF22" i="10"/>
  <c r="AK22" i="10"/>
  <c r="AT22" i="10"/>
  <c r="O22" i="10" s="1"/>
  <c r="AV22" i="10"/>
  <c r="Y592" i="10"/>
  <c r="AA592" i="10"/>
  <c r="AB592" i="10"/>
  <c r="AE592" i="10"/>
  <c r="AJ592" i="10"/>
  <c r="AU592" i="10"/>
  <c r="AB580" i="10"/>
  <c r="AU580" i="10"/>
  <c r="AA580" i="10"/>
  <c r="AE580" i="10"/>
  <c r="AJ580" i="10"/>
  <c r="AJ576" i="10"/>
  <c r="AB576" i="10"/>
  <c r="AE576" i="10"/>
  <c r="AU576" i="10"/>
  <c r="Y576" i="10"/>
  <c r="AG576" i="10" s="1"/>
  <c r="AH576" i="10" s="1"/>
  <c r="AI576" i="10" s="1"/>
  <c r="AA576" i="10"/>
  <c r="AU575" i="10"/>
  <c r="Y575" i="10"/>
  <c r="AB575" i="10"/>
  <c r="AE575" i="10"/>
  <c r="AJ575" i="10"/>
  <c r="AA575" i="10"/>
  <c r="AE548" i="10"/>
  <c r="AA548" i="10"/>
  <c r="AB548" i="10"/>
  <c r="AU548" i="10"/>
  <c r="AJ548" i="10"/>
  <c r="AE571" i="10"/>
  <c r="AJ571" i="10"/>
  <c r="AU571" i="10"/>
  <c r="Y571" i="10"/>
  <c r="AB571" i="10"/>
  <c r="AA571" i="10"/>
  <c r="AA569" i="10"/>
  <c r="AB569" i="10"/>
  <c r="AU569" i="10"/>
  <c r="AJ569" i="10"/>
  <c r="Y569" i="10"/>
  <c r="AG569" i="10" s="1"/>
  <c r="AH569" i="10" s="1"/>
  <c r="AI569" i="10" s="1"/>
  <c r="AE569" i="10"/>
  <c r="AJ568" i="10"/>
  <c r="AU568" i="10"/>
  <c r="Y568" i="10"/>
  <c r="AB568" i="10"/>
  <c r="AA568" i="10"/>
  <c r="AE568" i="10"/>
  <c r="AU564" i="10"/>
  <c r="AA564" i="10"/>
  <c r="AB564" i="10"/>
  <c r="AE564" i="10"/>
  <c r="AJ564" i="10"/>
  <c r="AB552" i="10"/>
  <c r="AU552" i="10"/>
  <c r="Y552" i="10"/>
  <c r="AG552" i="10" s="1"/>
  <c r="AH552" i="10" s="1"/>
  <c r="AI552" i="10" s="1"/>
  <c r="AA552" i="10"/>
  <c r="AE552" i="10"/>
  <c r="AJ552" i="10"/>
  <c r="Y549" i="10"/>
  <c r="AB549" i="10"/>
  <c r="AU549" i="10"/>
  <c r="AA549" i="10"/>
  <c r="AE549" i="10"/>
  <c r="AJ549" i="10"/>
  <c r="AB562" i="10"/>
  <c r="AE562" i="10"/>
  <c r="AA562" i="10"/>
  <c r="AJ562" i="10"/>
  <c r="AU562" i="10"/>
  <c r="AA559" i="10"/>
  <c r="AJ559" i="10"/>
  <c r="AU559" i="10"/>
  <c r="AB559" i="10"/>
  <c r="AE559" i="10"/>
  <c r="Y559" i="10"/>
  <c r="AB558" i="10"/>
  <c r="AE558" i="10"/>
  <c r="AU558" i="10"/>
  <c r="AJ558" i="10"/>
  <c r="Y558" i="10"/>
  <c r="AG558" i="10" s="1"/>
  <c r="AH558" i="10" s="1"/>
  <c r="AI558" i="10" s="1"/>
  <c r="AA558" i="10"/>
  <c r="AB555" i="10"/>
  <c r="AA555" i="10"/>
  <c r="AU555" i="10"/>
  <c r="AJ555" i="10"/>
  <c r="AE555" i="10"/>
  <c r="AJ554" i="10"/>
  <c r="AU554" i="10"/>
  <c r="AE554" i="10"/>
  <c r="AB554" i="10"/>
  <c r="AA554" i="10"/>
  <c r="Y554" i="10"/>
  <c r="AJ529" i="10"/>
  <c r="AB529" i="10"/>
  <c r="AE529" i="10"/>
  <c r="AU529" i="10"/>
  <c r="AA529" i="10"/>
  <c r="L6" i="10"/>
  <c r="B6" i="5" s="1"/>
  <c r="B7" i="5"/>
  <c r="M6" i="10"/>
  <c r="N6" i="10"/>
  <c r="P6" i="10"/>
  <c r="Q6" i="10"/>
  <c r="V6" i="10"/>
  <c r="W6" i="10"/>
  <c r="AC6" i="10"/>
  <c r="AD6" i="10"/>
  <c r="AF6" i="10"/>
  <c r="F26" i="7"/>
  <c r="AK6" i="10"/>
  <c r="AS6" i="10"/>
  <c r="AT6" i="10"/>
  <c r="O6" i="10" s="1"/>
  <c r="X6" i="10" s="1"/>
  <c r="AV6" i="10"/>
  <c r="Q155" i="10"/>
  <c r="AC155" i="10"/>
  <c r="AF155" i="10"/>
  <c r="AK155" i="10"/>
  <c r="AS155" i="10"/>
  <c r="AT155" i="10"/>
  <c r="AV155" i="10"/>
  <c r="M155" i="10"/>
  <c r="N155" i="10"/>
  <c r="O155" i="10"/>
  <c r="P155" i="10"/>
  <c r="V155" i="10"/>
  <c r="W155" i="10" s="1"/>
  <c r="AD155" i="10"/>
  <c r="M304" i="10"/>
  <c r="N304" i="10"/>
  <c r="P304" i="10"/>
  <c r="Q304" i="10"/>
  <c r="V304" i="10"/>
  <c r="W304" i="10"/>
  <c r="AC304" i="10"/>
  <c r="AD304" i="10"/>
  <c r="AF304" i="10"/>
  <c r="AK304" i="10"/>
  <c r="AS304" i="10"/>
  <c r="AT304" i="10"/>
  <c r="O304" i="10" s="1"/>
  <c r="X304" i="10" s="1"/>
  <c r="AV304" i="10"/>
  <c r="N453" i="10"/>
  <c r="Q453" i="10"/>
  <c r="M453" i="10"/>
  <c r="P453" i="10"/>
  <c r="V453" i="10"/>
  <c r="AC453" i="10"/>
  <c r="AD453" i="10"/>
  <c r="AF453" i="10"/>
  <c r="AK453" i="10"/>
  <c r="AS453" i="10"/>
  <c r="AT453" i="10"/>
  <c r="AV453" i="10"/>
  <c r="W453" i="10"/>
  <c r="O453" i="10"/>
  <c r="R22" i="10"/>
  <c r="S22" i="10"/>
  <c r="T22" i="10" s="1"/>
  <c r="U22" i="10"/>
  <c r="AM22" i="10"/>
  <c r="AN22" i="10"/>
  <c r="AO22" i="10"/>
  <c r="AP22" i="10"/>
  <c r="AV333" i="10"/>
  <c r="AT333" i="10"/>
  <c r="AS333" i="10"/>
  <c r="AK333" i="10"/>
  <c r="AR333" i="10" s="1"/>
  <c r="AF333" i="10"/>
  <c r="AD333" i="10"/>
  <c r="AC333" i="10"/>
  <c r="V333" i="10"/>
  <c r="W333" i="10" s="1"/>
  <c r="Q333" i="10"/>
  <c r="P333" i="10"/>
  <c r="O333" i="10"/>
  <c r="N333" i="10"/>
  <c r="M333" i="10"/>
  <c r="X333" i="10" s="1"/>
  <c r="AV400" i="10"/>
  <c r="AT400" i="10"/>
  <c r="AS400" i="10"/>
  <c r="AK400" i="10"/>
  <c r="AF400" i="10"/>
  <c r="AD400" i="10"/>
  <c r="AC400" i="10"/>
  <c r="V400" i="10"/>
  <c r="W400" i="10" s="1"/>
  <c r="Q400" i="10"/>
  <c r="P400" i="10"/>
  <c r="O400" i="10"/>
  <c r="N400" i="10"/>
  <c r="M400" i="10"/>
  <c r="X400" i="10" s="1"/>
  <c r="AV434" i="10"/>
  <c r="AT434" i="10"/>
  <c r="AS434" i="10"/>
  <c r="AK434" i="10"/>
  <c r="AF434" i="10"/>
  <c r="AD434" i="10"/>
  <c r="AC434" i="10"/>
  <c r="V434" i="10"/>
  <c r="W434" i="10" s="1"/>
  <c r="Q434" i="10"/>
  <c r="P434" i="10"/>
  <c r="O434" i="10"/>
  <c r="N434" i="10"/>
  <c r="M434" i="10"/>
  <c r="X434" i="10" s="1"/>
  <c r="AV516" i="10"/>
  <c r="AT516" i="10"/>
  <c r="AS516" i="10"/>
  <c r="AK516" i="10"/>
  <c r="AF516" i="10"/>
  <c r="AD516" i="10"/>
  <c r="AC516" i="10"/>
  <c r="V516" i="10"/>
  <c r="W516" i="10" s="1"/>
  <c r="Q516" i="10"/>
  <c r="P516" i="10"/>
  <c r="O516" i="10"/>
  <c r="N516" i="10"/>
  <c r="M516" i="10"/>
  <c r="X516" i="10" s="1"/>
  <c r="AV274" i="10"/>
  <c r="AT274" i="10"/>
  <c r="AS274" i="10"/>
  <c r="AK274" i="10"/>
  <c r="AF274" i="10"/>
  <c r="AD274" i="10"/>
  <c r="AC274" i="10"/>
  <c r="V274" i="10"/>
  <c r="W274" i="10" s="1"/>
  <c r="Q274" i="10"/>
  <c r="P274" i="10"/>
  <c r="O274" i="10"/>
  <c r="N274" i="10"/>
  <c r="M274" i="10"/>
  <c r="X274" i="10" s="1"/>
  <c r="AV520" i="10"/>
  <c r="AT520" i="10"/>
  <c r="AS520" i="10"/>
  <c r="AK520" i="10"/>
  <c r="AF520" i="10"/>
  <c r="AD520" i="10"/>
  <c r="AC520" i="10"/>
  <c r="V520" i="10"/>
  <c r="W520" i="10" s="1"/>
  <c r="Q520" i="10"/>
  <c r="P520" i="10"/>
  <c r="O520" i="10"/>
  <c r="N520" i="10"/>
  <c r="M520" i="10"/>
  <c r="X520" i="10" s="1"/>
  <c r="AV251" i="10"/>
  <c r="AT251" i="10"/>
  <c r="AS251" i="10"/>
  <c r="AK251" i="10"/>
  <c r="AF251" i="10"/>
  <c r="AD251" i="10"/>
  <c r="AC251" i="10"/>
  <c r="V251" i="10"/>
  <c r="W251" i="10" s="1"/>
  <c r="Q251" i="10"/>
  <c r="P251" i="10"/>
  <c r="O251" i="10"/>
  <c r="N251" i="10"/>
  <c r="M251" i="10"/>
  <c r="X251" i="10" s="1"/>
  <c r="AV118" i="10"/>
  <c r="AT118" i="10"/>
  <c r="AS118" i="10"/>
  <c r="AK118" i="10"/>
  <c r="AF118" i="10"/>
  <c r="AD118" i="10"/>
  <c r="AC118" i="10"/>
  <c r="V118" i="10"/>
  <c r="W118" i="10" s="1"/>
  <c r="Q118" i="10"/>
  <c r="P118" i="10"/>
  <c r="O118" i="10"/>
  <c r="N118" i="10"/>
  <c r="M118" i="10"/>
  <c r="X118" i="10" s="1"/>
  <c r="AV154" i="10"/>
  <c r="AT154" i="10"/>
  <c r="AS154" i="10"/>
  <c r="AK154" i="10"/>
  <c r="AF154" i="10"/>
  <c r="AD154" i="10"/>
  <c r="AC154" i="10"/>
  <c r="V154" i="10"/>
  <c r="W154" i="10" s="1"/>
  <c r="Q154" i="10"/>
  <c r="P154" i="10"/>
  <c r="O154" i="10"/>
  <c r="N154" i="10"/>
  <c r="M154" i="10"/>
  <c r="X154" i="10" s="1"/>
  <c r="AV25" i="10"/>
  <c r="AT25" i="10"/>
  <c r="AS25" i="10"/>
  <c r="AK25" i="10"/>
  <c r="AF25" i="10"/>
  <c r="AD25" i="10"/>
  <c r="AC25" i="10"/>
  <c r="V25" i="10"/>
  <c r="W25" i="10" s="1"/>
  <c r="Q25" i="10"/>
  <c r="P25" i="10"/>
  <c r="O25" i="10"/>
  <c r="N25" i="10"/>
  <c r="M25" i="10"/>
  <c r="X25" i="10" s="1"/>
  <c r="F72" i="7"/>
  <c r="AV340" i="10"/>
  <c r="AT340" i="10"/>
  <c r="O340" i="10" s="1"/>
  <c r="AS340" i="10"/>
  <c r="AK340" i="10"/>
  <c r="AR340" i="10" s="1"/>
  <c r="AF340" i="10"/>
  <c r="AD340" i="10"/>
  <c r="AC340" i="10"/>
  <c r="V340" i="10"/>
  <c r="W340" i="10" s="1"/>
  <c r="Q340" i="10"/>
  <c r="P340" i="10"/>
  <c r="N340" i="10"/>
  <c r="M340" i="10"/>
  <c r="AV184" i="10"/>
  <c r="AT184" i="10"/>
  <c r="AS184" i="10"/>
  <c r="AK184" i="10"/>
  <c r="AF184" i="10"/>
  <c r="AD184" i="10"/>
  <c r="AC184" i="10"/>
  <c r="V184" i="10"/>
  <c r="W184" i="10" s="1"/>
  <c r="Q184" i="10"/>
  <c r="P184" i="10"/>
  <c r="O184" i="10"/>
  <c r="N184" i="10"/>
  <c r="M184" i="10"/>
  <c r="X184" i="10" s="1"/>
  <c r="AV148" i="10"/>
  <c r="AT148" i="10"/>
  <c r="AS148" i="10"/>
  <c r="AK148" i="10"/>
  <c r="AF148" i="10"/>
  <c r="AD148" i="10"/>
  <c r="AC148" i="10"/>
  <c r="V148" i="10"/>
  <c r="W148" i="10" s="1"/>
  <c r="Q148" i="10"/>
  <c r="P148" i="10"/>
  <c r="O148" i="10"/>
  <c r="N148" i="10"/>
  <c r="M148" i="10"/>
  <c r="X148" i="10" s="1"/>
  <c r="AV95" i="10"/>
  <c r="AT95" i="10"/>
  <c r="AS95" i="10"/>
  <c r="AK95" i="10"/>
  <c r="AF95" i="10"/>
  <c r="AD95" i="10"/>
  <c r="AC95" i="10"/>
  <c r="V95" i="10"/>
  <c r="W95" i="10" s="1"/>
  <c r="Q95" i="10"/>
  <c r="P95" i="10"/>
  <c r="O95" i="10"/>
  <c r="N95" i="10"/>
  <c r="M95" i="10"/>
  <c r="AV122" i="10"/>
  <c r="AT122" i="10"/>
  <c r="AS122" i="10"/>
  <c r="AK122" i="10"/>
  <c r="AF122" i="10"/>
  <c r="AD122" i="10"/>
  <c r="AC122" i="10"/>
  <c r="V122" i="10"/>
  <c r="W122" i="10" s="1"/>
  <c r="Q122" i="10"/>
  <c r="P122" i="10"/>
  <c r="O122" i="10"/>
  <c r="N122" i="10"/>
  <c r="M122" i="10"/>
  <c r="AV396" i="10"/>
  <c r="AT396" i="10"/>
  <c r="AS396" i="10"/>
  <c r="AK396" i="10"/>
  <c r="AF396" i="10"/>
  <c r="AD396" i="10"/>
  <c r="AC396" i="10"/>
  <c r="V396" i="10"/>
  <c r="W396" i="10" s="1"/>
  <c r="Q396" i="10"/>
  <c r="P396" i="10"/>
  <c r="O396" i="10"/>
  <c r="N396" i="10"/>
  <c r="M396" i="10"/>
  <c r="X396" i="10" s="1"/>
  <c r="AV419" i="10"/>
  <c r="AT419" i="10"/>
  <c r="O419" i="10" s="1"/>
  <c r="AS419" i="10"/>
  <c r="AK419" i="10"/>
  <c r="AF419" i="10"/>
  <c r="AD419" i="10"/>
  <c r="AC419" i="10"/>
  <c r="V419" i="10"/>
  <c r="W419" i="10" s="1"/>
  <c r="Q419" i="10"/>
  <c r="P419" i="10"/>
  <c r="N419" i="10"/>
  <c r="M419" i="10"/>
  <c r="AV436" i="10"/>
  <c r="AT436" i="10"/>
  <c r="O436" i="10" s="1"/>
  <c r="AS436" i="10"/>
  <c r="AK436" i="10"/>
  <c r="AF436" i="10"/>
  <c r="AD436" i="10"/>
  <c r="AC436" i="10"/>
  <c r="V436" i="10"/>
  <c r="W436" i="10" s="1"/>
  <c r="Q436" i="10"/>
  <c r="P436" i="10"/>
  <c r="N436" i="10"/>
  <c r="M436" i="10"/>
  <c r="AV210" i="10"/>
  <c r="AT210" i="10"/>
  <c r="O210" i="10" s="1"/>
  <c r="AS210" i="10"/>
  <c r="AK210" i="10"/>
  <c r="AF210" i="10"/>
  <c r="AD210" i="10"/>
  <c r="AC210" i="10"/>
  <c r="V210" i="10"/>
  <c r="W210" i="10" s="1"/>
  <c r="Q210" i="10"/>
  <c r="P210" i="10"/>
  <c r="N210" i="10"/>
  <c r="M210" i="10"/>
  <c r="AV179" i="10"/>
  <c r="AT179" i="10"/>
  <c r="AS179" i="10"/>
  <c r="AK179" i="10"/>
  <c r="AF179" i="10"/>
  <c r="AD179" i="10"/>
  <c r="AC179" i="10"/>
  <c r="V179" i="10"/>
  <c r="W179" i="10" s="1"/>
  <c r="Q179" i="10"/>
  <c r="P179" i="10"/>
  <c r="O179" i="10"/>
  <c r="N179" i="10"/>
  <c r="M179" i="10"/>
  <c r="X179" i="10" s="1"/>
  <c r="AV344" i="10"/>
  <c r="AT344" i="10"/>
  <c r="O344" i="10" s="1"/>
  <c r="AS344" i="10"/>
  <c r="AK344" i="10"/>
  <c r="AF344" i="10"/>
  <c r="AD344" i="10"/>
  <c r="AC344" i="10"/>
  <c r="V344" i="10"/>
  <c r="W344" i="10" s="1"/>
  <c r="Q344" i="10"/>
  <c r="P344" i="10"/>
  <c r="N344" i="10"/>
  <c r="M344" i="10"/>
  <c r="AV330" i="10"/>
  <c r="AT330" i="10"/>
  <c r="O330" i="10" s="1"/>
  <c r="AS330" i="10"/>
  <c r="AK330" i="10"/>
  <c r="AF330" i="10"/>
  <c r="AD330" i="10"/>
  <c r="AC330" i="10"/>
  <c r="V330" i="10"/>
  <c r="W330" i="10" s="1"/>
  <c r="Q330" i="10"/>
  <c r="P330" i="10"/>
  <c r="N330" i="10"/>
  <c r="M330" i="10"/>
  <c r="AV117" i="10"/>
  <c r="AT117" i="10"/>
  <c r="O117" i="10" s="1"/>
  <c r="AS117" i="10"/>
  <c r="AK117" i="10"/>
  <c r="AF117" i="10"/>
  <c r="AD117" i="10"/>
  <c r="AC117" i="10"/>
  <c r="V117" i="10"/>
  <c r="W117" i="10" s="1"/>
  <c r="Q117" i="10"/>
  <c r="P117" i="10"/>
  <c r="N117" i="10"/>
  <c r="M117" i="10"/>
  <c r="AV133" i="10"/>
  <c r="AT133" i="10"/>
  <c r="AS133" i="10"/>
  <c r="AK133" i="10"/>
  <c r="AF133" i="10"/>
  <c r="AD133" i="10"/>
  <c r="AC133" i="10"/>
  <c r="V133" i="10"/>
  <c r="W133" i="10" s="1"/>
  <c r="Q133" i="10"/>
  <c r="P133" i="10"/>
  <c r="O133" i="10"/>
  <c r="N133" i="10"/>
  <c r="M133" i="10"/>
  <c r="X133" i="10" s="1"/>
  <c r="AV176" i="10"/>
  <c r="AT176" i="10"/>
  <c r="AS176" i="10"/>
  <c r="AK176" i="10"/>
  <c r="AR176" i="10" s="1"/>
  <c r="AF176" i="10"/>
  <c r="AD176" i="10"/>
  <c r="AC176" i="10"/>
  <c r="V176" i="10"/>
  <c r="W176" i="10" s="1"/>
  <c r="Q176" i="10"/>
  <c r="P176" i="10"/>
  <c r="O176" i="10"/>
  <c r="N176" i="10"/>
  <c r="M176" i="10"/>
  <c r="X176" i="10" s="1"/>
  <c r="AV273" i="10"/>
  <c r="AT273" i="10"/>
  <c r="AS273" i="10"/>
  <c r="AK273" i="10"/>
  <c r="AF273" i="10"/>
  <c r="AD273" i="10"/>
  <c r="AC273" i="10"/>
  <c r="V273" i="10"/>
  <c r="W273" i="10" s="1"/>
  <c r="Q273" i="10"/>
  <c r="P273" i="10"/>
  <c r="O273" i="10"/>
  <c r="N273" i="10"/>
  <c r="M273" i="10"/>
  <c r="X273" i="10" s="1"/>
  <c r="AV194" i="10"/>
  <c r="AT194" i="10"/>
  <c r="AS194" i="10"/>
  <c r="AK194" i="10"/>
  <c r="AF194" i="10"/>
  <c r="AD194" i="10"/>
  <c r="AC194" i="10"/>
  <c r="V194" i="10"/>
  <c r="W194" i="10" s="1"/>
  <c r="Q194" i="10"/>
  <c r="P194" i="10"/>
  <c r="O194" i="10"/>
  <c r="N194" i="10"/>
  <c r="M194" i="10"/>
  <c r="X194" i="10" s="1"/>
  <c r="AV88" i="10"/>
  <c r="AT88" i="10"/>
  <c r="AS88" i="10"/>
  <c r="AK88" i="10"/>
  <c r="AF88" i="10"/>
  <c r="AD88" i="10"/>
  <c r="AC88" i="10"/>
  <c r="V88" i="10"/>
  <c r="W88" i="10" s="1"/>
  <c r="Q88" i="10"/>
  <c r="P88" i="10"/>
  <c r="O88" i="10"/>
  <c r="N88" i="10"/>
  <c r="M88" i="10"/>
  <c r="X88" i="10" s="1"/>
  <c r="AV201" i="10"/>
  <c r="AT201" i="10"/>
  <c r="O201" i="10" s="1"/>
  <c r="AS201" i="10"/>
  <c r="AK201" i="10"/>
  <c r="AF201" i="10"/>
  <c r="AD201" i="10"/>
  <c r="AC201" i="10"/>
  <c r="V201" i="10"/>
  <c r="W201" i="10" s="1"/>
  <c r="Q201" i="10"/>
  <c r="P201" i="10"/>
  <c r="N201" i="10"/>
  <c r="M201" i="10"/>
  <c r="AV187" i="10"/>
  <c r="AT187" i="10"/>
  <c r="AS187" i="10"/>
  <c r="AK187" i="10"/>
  <c r="AR187" i="10" s="1"/>
  <c r="AF187" i="10"/>
  <c r="AD187" i="10"/>
  <c r="AC187" i="10"/>
  <c r="V187" i="10"/>
  <c r="W187" i="10" s="1"/>
  <c r="Q187" i="10"/>
  <c r="P187" i="10"/>
  <c r="O187" i="10"/>
  <c r="N187" i="10"/>
  <c r="M187" i="10"/>
  <c r="X187" i="10" s="1"/>
  <c r="AV277" i="10"/>
  <c r="AT277" i="10"/>
  <c r="AS277" i="10"/>
  <c r="AK277" i="10"/>
  <c r="AF277" i="10"/>
  <c r="AD277" i="10"/>
  <c r="AC277" i="10"/>
  <c r="V277" i="10"/>
  <c r="W277" i="10" s="1"/>
  <c r="Q277" i="10"/>
  <c r="P277" i="10"/>
  <c r="O277" i="10"/>
  <c r="N277" i="10"/>
  <c r="M277" i="10"/>
  <c r="X277" i="10" s="1"/>
  <c r="AV281" i="10"/>
  <c r="AT281" i="10"/>
  <c r="AS281" i="10"/>
  <c r="AK281" i="10"/>
  <c r="AF281" i="10"/>
  <c r="AD281" i="10"/>
  <c r="AC281" i="10"/>
  <c r="V281" i="10"/>
  <c r="W281" i="10" s="1"/>
  <c r="Q281" i="10"/>
  <c r="P281" i="10"/>
  <c r="O281" i="10"/>
  <c r="N281" i="10"/>
  <c r="M281" i="10"/>
  <c r="F55" i="7"/>
  <c r="AV282" i="10"/>
  <c r="AT282" i="10"/>
  <c r="AS282" i="10"/>
  <c r="AK282" i="10"/>
  <c r="AF282" i="10"/>
  <c r="AD282" i="10"/>
  <c r="AC282" i="10"/>
  <c r="V282" i="10"/>
  <c r="W282" i="10" s="1"/>
  <c r="Q282" i="10"/>
  <c r="P282" i="10"/>
  <c r="O282" i="10"/>
  <c r="N282" i="10"/>
  <c r="M282" i="10"/>
  <c r="X282" i="10" s="1"/>
  <c r="AV15" i="10"/>
  <c r="AT15" i="10"/>
  <c r="AS15" i="10"/>
  <c r="AK15" i="10"/>
  <c r="AF15" i="10"/>
  <c r="AD15" i="10"/>
  <c r="AC15" i="10"/>
  <c r="V15" i="10"/>
  <c r="W15" i="10" s="1"/>
  <c r="Q15" i="10"/>
  <c r="P15" i="10"/>
  <c r="O15" i="10"/>
  <c r="N15" i="10"/>
  <c r="M15" i="10"/>
  <c r="F82" i="7"/>
  <c r="AV152" i="10"/>
  <c r="AT152" i="10"/>
  <c r="AS152" i="10"/>
  <c r="AK152" i="10"/>
  <c r="AF152" i="10"/>
  <c r="AD152" i="10"/>
  <c r="AC152" i="10"/>
  <c r="V152" i="10"/>
  <c r="W152" i="10" s="1"/>
  <c r="Q152" i="10"/>
  <c r="P152" i="10"/>
  <c r="O152" i="10"/>
  <c r="N152" i="10"/>
  <c r="M152" i="10"/>
  <c r="F19" i="7"/>
  <c r="AV33" i="10"/>
  <c r="AT33" i="10"/>
  <c r="AS33" i="10"/>
  <c r="AK33" i="10"/>
  <c r="AF33" i="10"/>
  <c r="AD33" i="10"/>
  <c r="AC33" i="10"/>
  <c r="V33" i="10"/>
  <c r="W33" i="10" s="1"/>
  <c r="Q33" i="10"/>
  <c r="P33" i="10"/>
  <c r="O33" i="10"/>
  <c r="N33" i="10"/>
  <c r="M33" i="10"/>
  <c r="AV440" i="10"/>
  <c r="AT440" i="10"/>
  <c r="AS440" i="10"/>
  <c r="AK440" i="10"/>
  <c r="AF440" i="10"/>
  <c r="AD440" i="10"/>
  <c r="AC440" i="10"/>
  <c r="V440" i="10"/>
  <c r="W440" i="10" s="1"/>
  <c r="Q440" i="10"/>
  <c r="P440" i="10"/>
  <c r="O440" i="10"/>
  <c r="N440" i="10"/>
  <c r="M440" i="10"/>
  <c r="F85" i="7"/>
  <c r="AV438" i="10"/>
  <c r="AT438" i="10"/>
  <c r="AS438" i="10"/>
  <c r="AK438" i="10"/>
  <c r="AF438" i="10"/>
  <c r="AD438" i="10"/>
  <c r="AC438" i="10"/>
  <c r="V438" i="10"/>
  <c r="W438" i="10" s="1"/>
  <c r="Q438" i="10"/>
  <c r="P438" i="10"/>
  <c r="O438" i="10"/>
  <c r="N438" i="10"/>
  <c r="M438" i="10"/>
  <c r="X438" i="10" s="1"/>
  <c r="AV446" i="10"/>
  <c r="AT446" i="10"/>
  <c r="AS446" i="10"/>
  <c r="AK446" i="10"/>
  <c r="AR446" i="10" s="1"/>
  <c r="AF446" i="10"/>
  <c r="AD446" i="10"/>
  <c r="AC446" i="10"/>
  <c r="W446" i="10"/>
  <c r="V446" i="10"/>
  <c r="Q446" i="10"/>
  <c r="P446" i="10"/>
  <c r="O446" i="10"/>
  <c r="N446" i="10"/>
  <c r="M446" i="10"/>
  <c r="AV435" i="10"/>
  <c r="AT435" i="10"/>
  <c r="AS435" i="10"/>
  <c r="AK435" i="10"/>
  <c r="AF435" i="10"/>
  <c r="AD435" i="10"/>
  <c r="AC435" i="10"/>
  <c r="V435" i="10"/>
  <c r="W435" i="10" s="1"/>
  <c r="Q435" i="10"/>
  <c r="P435" i="10"/>
  <c r="O435" i="10"/>
  <c r="N435" i="10"/>
  <c r="M435" i="10"/>
  <c r="X435" i="10" s="1"/>
  <c r="AV116" i="10"/>
  <c r="AT116" i="10"/>
  <c r="AS116" i="10"/>
  <c r="AK116" i="10"/>
  <c r="AF116" i="10"/>
  <c r="AD116" i="10"/>
  <c r="AC116" i="10"/>
  <c r="V116" i="10"/>
  <c r="W116" i="10" s="1"/>
  <c r="Q116" i="10"/>
  <c r="P116" i="10"/>
  <c r="O116" i="10"/>
  <c r="N116" i="10"/>
  <c r="M116" i="10"/>
  <c r="X116" i="10" s="1"/>
  <c r="AV131" i="10"/>
  <c r="AT131" i="10"/>
  <c r="AS131" i="10"/>
  <c r="AK131" i="10"/>
  <c r="AF131" i="10"/>
  <c r="AD131" i="10"/>
  <c r="AC131" i="10"/>
  <c r="V131" i="10"/>
  <c r="W131" i="10" s="1"/>
  <c r="Q131" i="10"/>
  <c r="P131" i="10"/>
  <c r="O131" i="10"/>
  <c r="N131" i="10"/>
  <c r="M131" i="10"/>
  <c r="AV120" i="10"/>
  <c r="AT120" i="10"/>
  <c r="AS120" i="10"/>
  <c r="AK120" i="10"/>
  <c r="AF120" i="10"/>
  <c r="AD120" i="10"/>
  <c r="AC120" i="10"/>
  <c r="V120" i="10"/>
  <c r="W120" i="10" s="1"/>
  <c r="Q120" i="10"/>
  <c r="P120" i="10"/>
  <c r="O120" i="10"/>
  <c r="N120" i="10"/>
  <c r="M120" i="10"/>
  <c r="X120" i="10" s="1"/>
  <c r="AV392" i="10"/>
  <c r="AT392" i="10"/>
  <c r="AS392" i="10"/>
  <c r="AK392" i="10"/>
  <c r="AR392" i="10" s="1"/>
  <c r="AF392" i="10"/>
  <c r="AD392" i="10"/>
  <c r="AC392" i="10"/>
  <c r="V392" i="10"/>
  <c r="W392" i="10" s="1"/>
  <c r="Q392" i="10"/>
  <c r="P392" i="10"/>
  <c r="O392" i="10"/>
  <c r="N392" i="10"/>
  <c r="M392" i="10"/>
  <c r="X392" i="10" s="1"/>
  <c r="AV182" i="10"/>
  <c r="AT182" i="10"/>
  <c r="AS182" i="10"/>
  <c r="AK182" i="10"/>
  <c r="AR182" i="10" s="1"/>
  <c r="AF182" i="10"/>
  <c r="AD182" i="10"/>
  <c r="AC182" i="10"/>
  <c r="V182" i="10"/>
  <c r="W182" i="10" s="1"/>
  <c r="Q182" i="10"/>
  <c r="P182" i="10"/>
  <c r="O182" i="10"/>
  <c r="N182" i="10"/>
  <c r="M182" i="10"/>
  <c r="AV295" i="10"/>
  <c r="AT295" i="10"/>
  <c r="AS295" i="10"/>
  <c r="AK295" i="10"/>
  <c r="AF295" i="10"/>
  <c r="AD295" i="10"/>
  <c r="AC295" i="10"/>
  <c r="V295" i="10"/>
  <c r="W295" i="10" s="1"/>
  <c r="Q295" i="10"/>
  <c r="P295" i="10"/>
  <c r="O295" i="10"/>
  <c r="N295" i="10"/>
  <c r="M295" i="10"/>
  <c r="AV5" i="10"/>
  <c r="AT5" i="10"/>
  <c r="AS5" i="10"/>
  <c r="AK5" i="10"/>
  <c r="AF5" i="10"/>
  <c r="AD5" i="10"/>
  <c r="AC5" i="10"/>
  <c r="V5" i="10"/>
  <c r="W5" i="10" s="1"/>
  <c r="Q5" i="10"/>
  <c r="P5" i="10"/>
  <c r="O5" i="10"/>
  <c r="N5" i="10"/>
  <c r="M5" i="10"/>
  <c r="AV127" i="10"/>
  <c r="AT127" i="10"/>
  <c r="AS127" i="10"/>
  <c r="AK127" i="10"/>
  <c r="AF127" i="10"/>
  <c r="AD127" i="10"/>
  <c r="AC127" i="10"/>
  <c r="V127" i="10"/>
  <c r="W127" i="10" s="1"/>
  <c r="Q127" i="10"/>
  <c r="P127" i="10"/>
  <c r="O127" i="10"/>
  <c r="N127" i="10"/>
  <c r="M127" i="10"/>
  <c r="AV412" i="10"/>
  <c r="AT412" i="10"/>
  <c r="AS412" i="10"/>
  <c r="AK412" i="10"/>
  <c r="AR412" i="10" s="1"/>
  <c r="AF412" i="10"/>
  <c r="AD412" i="10"/>
  <c r="AC412" i="10"/>
  <c r="V412" i="10"/>
  <c r="W412" i="10" s="1"/>
  <c r="Q412" i="10"/>
  <c r="P412" i="10"/>
  <c r="O412" i="10"/>
  <c r="N412" i="10"/>
  <c r="M412" i="10"/>
  <c r="X412" i="10" s="1"/>
  <c r="F11" i="7"/>
  <c r="AV83" i="10"/>
  <c r="AT83" i="10"/>
  <c r="AS83" i="10"/>
  <c r="AK83" i="10"/>
  <c r="AF83" i="10"/>
  <c r="AD83" i="10"/>
  <c r="AC83" i="10"/>
  <c r="V83" i="10"/>
  <c r="W83" i="10" s="1"/>
  <c r="Q83" i="10"/>
  <c r="P83" i="10"/>
  <c r="O83" i="10"/>
  <c r="N83" i="10"/>
  <c r="M83" i="10"/>
  <c r="AV305" i="10"/>
  <c r="AT305" i="10"/>
  <c r="AS305" i="10"/>
  <c r="AK305" i="10"/>
  <c r="AF305" i="10"/>
  <c r="AD305" i="10"/>
  <c r="AC305" i="10"/>
  <c r="V305" i="10"/>
  <c r="W305" i="10" s="1"/>
  <c r="Q305" i="10"/>
  <c r="P305" i="10"/>
  <c r="O305" i="10"/>
  <c r="N305" i="10"/>
  <c r="M305" i="10"/>
  <c r="AV315" i="10"/>
  <c r="AT315" i="10"/>
  <c r="AS315" i="10"/>
  <c r="AK315" i="10"/>
  <c r="AF315" i="10"/>
  <c r="AD315" i="10"/>
  <c r="AC315" i="10"/>
  <c r="V315" i="10"/>
  <c r="W315" i="10" s="1"/>
  <c r="Q315" i="10"/>
  <c r="P315" i="10"/>
  <c r="O315" i="10"/>
  <c r="N315" i="10"/>
  <c r="M315" i="10"/>
  <c r="X315" i="10" s="1"/>
  <c r="AV357" i="10"/>
  <c r="AT357" i="10"/>
  <c r="AS357" i="10"/>
  <c r="AK357" i="10"/>
  <c r="AF357" i="10"/>
  <c r="AD357" i="10"/>
  <c r="AC357" i="10"/>
  <c r="V357" i="10"/>
  <c r="W357" i="10" s="1"/>
  <c r="Q357" i="10"/>
  <c r="P357" i="10"/>
  <c r="O357" i="10"/>
  <c r="N357" i="10"/>
  <c r="M357" i="10"/>
  <c r="AV512" i="10"/>
  <c r="AT512" i="10"/>
  <c r="AS512" i="10"/>
  <c r="AK512" i="10"/>
  <c r="AF512" i="10"/>
  <c r="AD512" i="10"/>
  <c r="AC512" i="10"/>
  <c r="V512" i="10"/>
  <c r="W512" i="10" s="1"/>
  <c r="Q512" i="10"/>
  <c r="P512" i="10"/>
  <c r="O512" i="10"/>
  <c r="N512" i="10"/>
  <c r="M512" i="10"/>
  <c r="AV319" i="10"/>
  <c r="AT319" i="10"/>
  <c r="AS319" i="10"/>
  <c r="AK319" i="10"/>
  <c r="AF319" i="10"/>
  <c r="AD319" i="10"/>
  <c r="AC319" i="10"/>
  <c r="V319" i="10"/>
  <c r="W319" i="10" s="1"/>
  <c r="Q319" i="10"/>
  <c r="P319" i="10"/>
  <c r="O319" i="10"/>
  <c r="N319" i="10"/>
  <c r="M319" i="10"/>
  <c r="AV338" i="10"/>
  <c r="AT338" i="10"/>
  <c r="AS338" i="10"/>
  <c r="AK338" i="10"/>
  <c r="AR338" i="10" s="1"/>
  <c r="AF338" i="10"/>
  <c r="AD338" i="10"/>
  <c r="AC338" i="10"/>
  <c r="V338" i="10"/>
  <c r="W338" i="10" s="1"/>
  <c r="Q338" i="10"/>
  <c r="P338" i="10"/>
  <c r="O338" i="10"/>
  <c r="N338" i="10"/>
  <c r="M338" i="10"/>
  <c r="AV395" i="10"/>
  <c r="AT395" i="10"/>
  <c r="AS395" i="10"/>
  <c r="AK395" i="10"/>
  <c r="AR395" i="10" s="1"/>
  <c r="AF395" i="10"/>
  <c r="AD395" i="10"/>
  <c r="AC395" i="10"/>
  <c r="V395" i="10"/>
  <c r="W395" i="10" s="1"/>
  <c r="Q395" i="10"/>
  <c r="P395" i="10"/>
  <c r="O395" i="10"/>
  <c r="N395" i="10"/>
  <c r="M395" i="10"/>
  <c r="X395" i="10" s="1"/>
  <c r="AV346" i="10"/>
  <c r="AT346" i="10"/>
  <c r="O346" i="10" s="1"/>
  <c r="X346" i="10" s="1"/>
  <c r="AS346" i="10"/>
  <c r="AK346" i="10"/>
  <c r="AF346" i="10"/>
  <c r="AD346" i="10"/>
  <c r="AC346" i="10"/>
  <c r="V346" i="10"/>
  <c r="W346" i="10" s="1"/>
  <c r="Q346" i="10"/>
  <c r="P346" i="10"/>
  <c r="N346" i="10"/>
  <c r="M346" i="10"/>
  <c r="F40" i="7"/>
  <c r="AV2" i="10"/>
  <c r="AT2" i="10"/>
  <c r="AS2" i="10"/>
  <c r="AK2" i="10"/>
  <c r="AF2" i="10"/>
  <c r="AD2" i="10"/>
  <c r="AC2" i="10"/>
  <c r="V2" i="10"/>
  <c r="W2" i="10" s="1"/>
  <c r="Q2" i="10"/>
  <c r="P2" i="10"/>
  <c r="O2" i="10"/>
  <c r="N2" i="10"/>
  <c r="M2" i="10"/>
  <c r="X2" i="10" s="1"/>
  <c r="AV79" i="10"/>
  <c r="AT79" i="10"/>
  <c r="O79" i="10" s="1"/>
  <c r="AS79" i="10"/>
  <c r="AK79" i="10"/>
  <c r="AF79" i="10"/>
  <c r="AD79" i="10"/>
  <c r="AC79" i="10"/>
  <c r="V79" i="10"/>
  <c r="W79" i="10" s="1"/>
  <c r="Q79" i="10"/>
  <c r="P79" i="10"/>
  <c r="N79" i="10"/>
  <c r="M79" i="10"/>
  <c r="F81" i="7"/>
  <c r="AV341" i="10"/>
  <c r="AT341" i="10"/>
  <c r="O341" i="10" s="1"/>
  <c r="AS341" i="10"/>
  <c r="AK341" i="10"/>
  <c r="AR341" i="10" s="1"/>
  <c r="AF341" i="10"/>
  <c r="AD341" i="10"/>
  <c r="AC341" i="10"/>
  <c r="V341" i="10"/>
  <c r="W341" i="10" s="1"/>
  <c r="Q341" i="10"/>
  <c r="P341" i="10"/>
  <c r="N341" i="10"/>
  <c r="M341" i="10"/>
  <c r="AV130" i="10"/>
  <c r="AT130" i="10"/>
  <c r="AS130" i="10"/>
  <c r="AK130" i="10"/>
  <c r="AF130" i="10"/>
  <c r="AD130" i="10"/>
  <c r="AC130" i="10"/>
  <c r="V130" i="10"/>
  <c r="W130" i="10" s="1"/>
  <c r="Q130" i="10"/>
  <c r="P130" i="10"/>
  <c r="O130" i="10"/>
  <c r="N130" i="10"/>
  <c r="M130" i="10"/>
  <c r="F75" i="7"/>
  <c r="AV331" i="10"/>
  <c r="AT331" i="10"/>
  <c r="O331" i="10" s="1"/>
  <c r="AS331" i="10"/>
  <c r="AK331" i="10"/>
  <c r="AF331" i="10"/>
  <c r="AD331" i="10"/>
  <c r="AC331" i="10"/>
  <c r="V331" i="10"/>
  <c r="W331" i="10" s="1"/>
  <c r="Q331" i="10"/>
  <c r="P331" i="10"/>
  <c r="N331" i="10"/>
  <c r="M331" i="10"/>
  <c r="AV205" i="10"/>
  <c r="AT205" i="10"/>
  <c r="AS205" i="10"/>
  <c r="AK205" i="10"/>
  <c r="AF205" i="10"/>
  <c r="AD205" i="10"/>
  <c r="AC205" i="10"/>
  <c r="V205" i="10"/>
  <c r="W205" i="10" s="1"/>
  <c r="Q205" i="10"/>
  <c r="P205" i="10"/>
  <c r="O205" i="10"/>
  <c r="N205" i="10"/>
  <c r="M205" i="10"/>
  <c r="AV327" i="10"/>
  <c r="AT327" i="10"/>
  <c r="O327" i="10" s="1"/>
  <c r="AS327" i="10"/>
  <c r="AK327" i="10"/>
  <c r="AF327" i="10"/>
  <c r="AD327" i="10"/>
  <c r="AC327" i="10"/>
  <c r="V327" i="10"/>
  <c r="W327" i="10" s="1"/>
  <c r="Q327" i="10"/>
  <c r="P327" i="10"/>
  <c r="N327" i="10"/>
  <c r="M327" i="10"/>
  <c r="AV383" i="10"/>
  <c r="AT383" i="10"/>
  <c r="AS383" i="10"/>
  <c r="AK383" i="10"/>
  <c r="AR383" i="10" s="1"/>
  <c r="AF383" i="10"/>
  <c r="AD383" i="10"/>
  <c r="AC383" i="10"/>
  <c r="V383" i="10"/>
  <c r="W383" i="10" s="1"/>
  <c r="Q383" i="10"/>
  <c r="P383" i="10"/>
  <c r="O383" i="10"/>
  <c r="N383" i="10"/>
  <c r="M383" i="10"/>
  <c r="AV387" i="10"/>
  <c r="AT387" i="10"/>
  <c r="O387" i="10" s="1"/>
  <c r="AS387" i="10"/>
  <c r="AK387" i="10"/>
  <c r="AF387" i="10"/>
  <c r="AD387" i="10"/>
  <c r="AC387" i="10"/>
  <c r="V387" i="10"/>
  <c r="W387" i="10" s="1"/>
  <c r="Q387" i="10"/>
  <c r="P387" i="10"/>
  <c r="N387" i="10"/>
  <c r="M387" i="10"/>
  <c r="AV276" i="10"/>
  <c r="AT276" i="10"/>
  <c r="O276" i="10" s="1"/>
  <c r="AS276" i="10"/>
  <c r="AK276" i="10"/>
  <c r="AF276" i="10"/>
  <c r="AD276" i="10"/>
  <c r="AC276" i="10"/>
  <c r="V276" i="10"/>
  <c r="W276" i="10" s="1"/>
  <c r="Q276" i="10"/>
  <c r="P276" i="10"/>
  <c r="N276" i="10"/>
  <c r="M276" i="10"/>
  <c r="F62" i="7"/>
  <c r="AV519" i="10"/>
  <c r="AT519" i="10"/>
  <c r="AS519" i="10"/>
  <c r="AK519" i="10"/>
  <c r="AF519" i="10"/>
  <c r="AD519" i="10"/>
  <c r="AC519" i="10"/>
  <c r="V519" i="10"/>
  <c r="W519" i="10" s="1"/>
  <c r="Q519" i="10"/>
  <c r="P519" i="10"/>
  <c r="O519" i="10"/>
  <c r="N519" i="10"/>
  <c r="M519" i="10"/>
  <c r="X519" i="10" s="1"/>
  <c r="AV388" i="10"/>
  <c r="AT388" i="10"/>
  <c r="AS388" i="10"/>
  <c r="AK388" i="10"/>
  <c r="AF388" i="10"/>
  <c r="AD388" i="10"/>
  <c r="AC388" i="10"/>
  <c r="V388" i="10"/>
  <c r="W388" i="10" s="1"/>
  <c r="Q388" i="10"/>
  <c r="P388" i="10"/>
  <c r="O388" i="10"/>
  <c r="N388" i="10"/>
  <c r="M388" i="10"/>
  <c r="X388" i="10" s="1"/>
  <c r="AV121" i="10"/>
  <c r="AT121" i="10"/>
  <c r="AS121" i="10"/>
  <c r="AK121" i="10"/>
  <c r="AF121" i="10"/>
  <c r="AD121" i="10"/>
  <c r="AC121" i="10"/>
  <c r="V121" i="10"/>
  <c r="W121" i="10" s="1"/>
  <c r="Q121" i="10"/>
  <c r="P121" i="10"/>
  <c r="O121" i="10"/>
  <c r="N121" i="10"/>
  <c r="M121" i="10"/>
  <c r="X121" i="10" s="1"/>
  <c r="AV146" i="10"/>
  <c r="AT146" i="10"/>
  <c r="AS146" i="10"/>
  <c r="AK146" i="10"/>
  <c r="AF146" i="10"/>
  <c r="AD146" i="10"/>
  <c r="AC146" i="10"/>
  <c r="V146" i="10"/>
  <c r="W146" i="10" s="1"/>
  <c r="Q146" i="10"/>
  <c r="P146" i="10"/>
  <c r="O146" i="10"/>
  <c r="N146" i="10"/>
  <c r="M146" i="10"/>
  <c r="X146" i="10" s="1"/>
  <c r="AV394" i="10"/>
  <c r="AT394" i="10"/>
  <c r="AS394" i="10"/>
  <c r="AK394" i="10"/>
  <c r="AF394" i="10"/>
  <c r="AD394" i="10"/>
  <c r="AC394" i="10"/>
  <c r="V394" i="10"/>
  <c r="W394" i="10" s="1"/>
  <c r="Q394" i="10"/>
  <c r="P394" i="10"/>
  <c r="O394" i="10"/>
  <c r="N394" i="10"/>
  <c r="M394" i="10"/>
  <c r="AV200" i="10"/>
  <c r="AT200" i="10"/>
  <c r="AS200" i="10"/>
  <c r="AK200" i="10"/>
  <c r="AF200" i="10"/>
  <c r="AD200" i="10"/>
  <c r="AC200" i="10"/>
  <c r="V200" i="10"/>
  <c r="W200" i="10" s="1"/>
  <c r="Q200" i="10"/>
  <c r="P200" i="10"/>
  <c r="O200" i="10"/>
  <c r="N200" i="10"/>
  <c r="M200" i="10"/>
  <c r="X200" i="10" s="1"/>
  <c r="F31" i="7"/>
  <c r="AV185" i="10"/>
  <c r="AT185" i="10"/>
  <c r="AS185" i="10"/>
  <c r="AK185" i="10"/>
  <c r="AF185" i="10"/>
  <c r="AD185" i="10"/>
  <c r="AC185" i="10"/>
  <c r="V185" i="10"/>
  <c r="W185" i="10" s="1"/>
  <c r="Q185" i="10"/>
  <c r="P185" i="10"/>
  <c r="O185" i="10"/>
  <c r="N185" i="10"/>
  <c r="M185" i="10"/>
  <c r="X185" i="10" s="1"/>
  <c r="AV35" i="10"/>
  <c r="AT35" i="10"/>
  <c r="AS35" i="10"/>
  <c r="AK35" i="10"/>
  <c r="AF35" i="10"/>
  <c r="AD35" i="10"/>
  <c r="AC35" i="10"/>
  <c r="V35" i="10"/>
  <c r="W35" i="10" s="1"/>
  <c r="Q35" i="10"/>
  <c r="P35" i="10"/>
  <c r="O35" i="10"/>
  <c r="N35" i="10"/>
  <c r="M35" i="10"/>
  <c r="X35" i="10" s="1"/>
  <c r="AV406" i="10"/>
  <c r="AT406" i="10"/>
  <c r="AS406" i="10"/>
  <c r="AK406" i="10"/>
  <c r="AR406" i="10" s="1"/>
  <c r="AF406" i="10"/>
  <c r="AD406" i="10"/>
  <c r="AC406" i="10"/>
  <c r="V406" i="10"/>
  <c r="W406" i="10" s="1"/>
  <c r="Q406" i="10"/>
  <c r="P406" i="10"/>
  <c r="O406" i="10"/>
  <c r="N406" i="10"/>
  <c r="M406" i="10"/>
  <c r="X406" i="10" s="1"/>
  <c r="AV432" i="10"/>
  <c r="AT432" i="10"/>
  <c r="AS432" i="10"/>
  <c r="AK432" i="10"/>
  <c r="AF432" i="10"/>
  <c r="AD432" i="10"/>
  <c r="AC432" i="10"/>
  <c r="V432" i="10"/>
  <c r="W432" i="10" s="1"/>
  <c r="Q432" i="10"/>
  <c r="P432" i="10"/>
  <c r="O432" i="10"/>
  <c r="N432" i="10"/>
  <c r="M432" i="10"/>
  <c r="X432" i="10" s="1"/>
  <c r="F56" i="7"/>
  <c r="AV429" i="10"/>
  <c r="AT429" i="10"/>
  <c r="AS429" i="10"/>
  <c r="AK429" i="10"/>
  <c r="AF429" i="10"/>
  <c r="AD429" i="10"/>
  <c r="AC429" i="10"/>
  <c r="V429" i="10"/>
  <c r="W429" i="10" s="1"/>
  <c r="Q429" i="10"/>
  <c r="P429" i="10"/>
  <c r="O429" i="10"/>
  <c r="N429" i="10"/>
  <c r="M429" i="10"/>
  <c r="X429" i="10" s="1"/>
  <c r="AV134" i="10"/>
  <c r="AT134" i="10"/>
  <c r="AS134" i="10"/>
  <c r="AK134" i="10"/>
  <c r="AF134" i="10"/>
  <c r="AD134" i="10"/>
  <c r="AC134" i="10"/>
  <c r="V134" i="10"/>
  <c r="W134" i="10" s="1"/>
  <c r="Q134" i="10"/>
  <c r="P134" i="10"/>
  <c r="O134" i="10"/>
  <c r="N134" i="10"/>
  <c r="M134" i="10"/>
  <c r="X134" i="10" s="1"/>
  <c r="AV119" i="10"/>
  <c r="AT119" i="10"/>
  <c r="AS119" i="10"/>
  <c r="AK119" i="10"/>
  <c r="AF119" i="10"/>
  <c r="AD119" i="10"/>
  <c r="AC119" i="10"/>
  <c r="V119" i="10"/>
  <c r="W119" i="10" s="1"/>
  <c r="Q119" i="10"/>
  <c r="P119" i="10"/>
  <c r="O119" i="10"/>
  <c r="N119" i="10"/>
  <c r="M119" i="10"/>
  <c r="X119" i="10" s="1"/>
  <c r="AV521" i="10"/>
  <c r="AT521" i="10"/>
  <c r="AS521" i="10"/>
  <c r="AK521" i="10"/>
  <c r="AF521" i="10"/>
  <c r="AD521" i="10"/>
  <c r="AC521" i="10"/>
  <c r="V521" i="10"/>
  <c r="W521" i="10" s="1"/>
  <c r="Q521" i="10"/>
  <c r="P521" i="10"/>
  <c r="O521" i="10"/>
  <c r="N521" i="10"/>
  <c r="M521" i="10"/>
  <c r="X521" i="10" s="1"/>
  <c r="AV513" i="10"/>
  <c r="AT513" i="10"/>
  <c r="O513" i="10" s="1"/>
  <c r="AS513" i="10"/>
  <c r="AK513" i="10"/>
  <c r="AR513" i="10" s="1"/>
  <c r="AF513" i="10"/>
  <c r="AD513" i="10"/>
  <c r="AC513" i="10"/>
  <c r="V513" i="10"/>
  <c r="W513" i="10" s="1"/>
  <c r="Q513" i="10"/>
  <c r="P513" i="10"/>
  <c r="N513" i="10"/>
  <c r="M513" i="10"/>
  <c r="AV507" i="10"/>
  <c r="AT507" i="10"/>
  <c r="AS507" i="10"/>
  <c r="AK507" i="10"/>
  <c r="AR507" i="10" s="1"/>
  <c r="AF507" i="10"/>
  <c r="AD507" i="10"/>
  <c r="AC507" i="10"/>
  <c r="V507" i="10"/>
  <c r="W507" i="10" s="1"/>
  <c r="Q507" i="10"/>
  <c r="P507" i="10"/>
  <c r="O507" i="10"/>
  <c r="N507" i="10"/>
  <c r="M507" i="10"/>
  <c r="X507" i="10" s="1"/>
  <c r="AV503" i="10"/>
  <c r="AT503" i="10"/>
  <c r="AS503" i="10"/>
  <c r="AK503" i="10"/>
  <c r="AF503" i="10"/>
  <c r="AD503" i="10"/>
  <c r="AC503" i="10"/>
  <c r="V503" i="10"/>
  <c r="W503" i="10" s="1"/>
  <c r="Q503" i="10"/>
  <c r="P503" i="10"/>
  <c r="O503" i="10"/>
  <c r="N503" i="10"/>
  <c r="M503" i="10"/>
  <c r="X503" i="10" s="1"/>
  <c r="AV499" i="10"/>
  <c r="AT499" i="10"/>
  <c r="AS499" i="10"/>
  <c r="AK499" i="10"/>
  <c r="AR499" i="10" s="1"/>
  <c r="AF499" i="10"/>
  <c r="AD499" i="10"/>
  <c r="AC499" i="10"/>
  <c r="V499" i="10"/>
  <c r="W499" i="10" s="1"/>
  <c r="Q499" i="10"/>
  <c r="P499" i="10"/>
  <c r="O499" i="10"/>
  <c r="N499" i="10"/>
  <c r="M499" i="10"/>
  <c r="X499" i="10" s="1"/>
  <c r="AV494" i="10"/>
  <c r="AT494" i="10"/>
  <c r="AS494" i="10"/>
  <c r="AK494" i="10"/>
  <c r="AF494" i="10"/>
  <c r="AD494" i="10"/>
  <c r="AC494" i="10"/>
  <c r="V494" i="10"/>
  <c r="W494" i="10" s="1"/>
  <c r="Q494" i="10"/>
  <c r="P494" i="10"/>
  <c r="O494" i="10"/>
  <c r="N494" i="10"/>
  <c r="M494" i="10"/>
  <c r="X494" i="10" s="1"/>
  <c r="AV491" i="10"/>
  <c r="AT491" i="10"/>
  <c r="AS491" i="10"/>
  <c r="AK491" i="10"/>
  <c r="AF491" i="10"/>
  <c r="AD491" i="10"/>
  <c r="AC491" i="10"/>
  <c r="V491" i="10"/>
  <c r="W491" i="10" s="1"/>
  <c r="Q491" i="10"/>
  <c r="P491" i="10"/>
  <c r="O491" i="10"/>
  <c r="N491" i="10"/>
  <c r="M491" i="10"/>
  <c r="X491" i="10" s="1"/>
  <c r="AV486" i="10"/>
  <c r="AT486" i="10"/>
  <c r="AS486" i="10"/>
  <c r="AK486" i="10"/>
  <c r="AF486" i="10"/>
  <c r="AD486" i="10"/>
  <c r="AC486" i="10"/>
  <c r="V486" i="10"/>
  <c r="W486" i="10" s="1"/>
  <c r="Q486" i="10"/>
  <c r="P486" i="10"/>
  <c r="O486" i="10"/>
  <c r="N486" i="10"/>
  <c r="M486" i="10"/>
  <c r="F76" i="7"/>
  <c r="AV481" i="10"/>
  <c r="AT481" i="10"/>
  <c r="AS481" i="10"/>
  <c r="AK481" i="10"/>
  <c r="AF481" i="10"/>
  <c r="AD481" i="10"/>
  <c r="AC481" i="10"/>
  <c r="V481" i="10"/>
  <c r="W481" i="10" s="1"/>
  <c r="Q481" i="10"/>
  <c r="P481" i="10"/>
  <c r="O481" i="10"/>
  <c r="N481" i="10"/>
  <c r="M481" i="10"/>
  <c r="X481" i="10" s="1"/>
  <c r="AV476" i="10"/>
  <c r="AT476" i="10"/>
  <c r="AS476" i="10"/>
  <c r="AK476" i="10"/>
  <c r="AR476" i="10" s="1"/>
  <c r="AF476" i="10"/>
  <c r="AD476" i="10"/>
  <c r="AC476" i="10"/>
  <c r="V476" i="10"/>
  <c r="W476" i="10" s="1"/>
  <c r="Q476" i="10"/>
  <c r="P476" i="10"/>
  <c r="O476" i="10"/>
  <c r="N476" i="10"/>
  <c r="M476" i="10"/>
  <c r="X476" i="10" s="1"/>
  <c r="F61" i="7"/>
  <c r="AV472" i="10"/>
  <c r="AT472" i="10"/>
  <c r="AS472" i="10"/>
  <c r="AK472" i="10"/>
  <c r="AF472" i="10"/>
  <c r="AD472" i="10"/>
  <c r="AC472" i="10"/>
  <c r="V472" i="10"/>
  <c r="W472" i="10" s="1"/>
  <c r="Q472" i="10"/>
  <c r="P472" i="10"/>
  <c r="O472" i="10"/>
  <c r="N472" i="10"/>
  <c r="M472" i="10"/>
  <c r="X472" i="10" s="1"/>
  <c r="AV459" i="10"/>
  <c r="AT459" i="10"/>
  <c r="AS459" i="10"/>
  <c r="AK459" i="10"/>
  <c r="AF459" i="10"/>
  <c r="AD459" i="10"/>
  <c r="AC459" i="10"/>
  <c r="V459" i="10"/>
  <c r="W459" i="10" s="1"/>
  <c r="Q459" i="10"/>
  <c r="P459" i="10"/>
  <c r="O459" i="10"/>
  <c r="N459" i="10"/>
  <c r="M459" i="10"/>
  <c r="AV454" i="10"/>
  <c r="AT454" i="10"/>
  <c r="AS454" i="10"/>
  <c r="AK454" i="10"/>
  <c r="AR454" i="10" s="1"/>
  <c r="AF454" i="10"/>
  <c r="AD454" i="10"/>
  <c r="AC454" i="10"/>
  <c r="V454" i="10"/>
  <c r="W454" i="10" s="1"/>
  <c r="Q454" i="10"/>
  <c r="P454" i="10"/>
  <c r="O454" i="10"/>
  <c r="N454" i="10"/>
  <c r="M454" i="10"/>
  <c r="AV448" i="10"/>
  <c r="AT448" i="10"/>
  <c r="AS448" i="10"/>
  <c r="AK448" i="10"/>
  <c r="AF448" i="10"/>
  <c r="AD448" i="10"/>
  <c r="AC448" i="10"/>
  <c r="V448" i="10"/>
  <c r="W448" i="10" s="1"/>
  <c r="Q448" i="10"/>
  <c r="P448" i="10"/>
  <c r="O448" i="10"/>
  <c r="N448" i="10"/>
  <c r="M448" i="10"/>
  <c r="AV441" i="10"/>
  <c r="AT441" i="10"/>
  <c r="AS441" i="10"/>
  <c r="AK441" i="10"/>
  <c r="AF441" i="10"/>
  <c r="AD441" i="10"/>
  <c r="AC441" i="10"/>
  <c r="V441" i="10"/>
  <c r="W441" i="10" s="1"/>
  <c r="Q441" i="10"/>
  <c r="P441" i="10"/>
  <c r="O441" i="10"/>
  <c r="N441" i="10"/>
  <c r="M441" i="10"/>
  <c r="AV428" i="10"/>
  <c r="AT428" i="10"/>
  <c r="AS428" i="10"/>
  <c r="AK428" i="10"/>
  <c r="AF428" i="10"/>
  <c r="AD428" i="10"/>
  <c r="AC428" i="10"/>
  <c r="V428" i="10"/>
  <c r="W428" i="10" s="1"/>
  <c r="Q428" i="10"/>
  <c r="P428" i="10"/>
  <c r="O428" i="10"/>
  <c r="N428" i="10"/>
  <c r="M428" i="10"/>
  <c r="AV424" i="10"/>
  <c r="AT424" i="10"/>
  <c r="AS424" i="10"/>
  <c r="AK424" i="10"/>
  <c r="AF424" i="10"/>
  <c r="AD424" i="10"/>
  <c r="AC424" i="10"/>
  <c r="V424" i="10"/>
  <c r="W424" i="10" s="1"/>
  <c r="Q424" i="10"/>
  <c r="P424" i="10"/>
  <c r="O424" i="10"/>
  <c r="N424" i="10"/>
  <c r="M424" i="10"/>
  <c r="AV418" i="10"/>
  <c r="AT418" i="10"/>
  <c r="AS418" i="10"/>
  <c r="AK418" i="10"/>
  <c r="AF418" i="10"/>
  <c r="AD418" i="10"/>
  <c r="AC418" i="10"/>
  <c r="V418" i="10"/>
  <c r="W418" i="10" s="1"/>
  <c r="Q418" i="10"/>
  <c r="P418" i="10"/>
  <c r="O418" i="10"/>
  <c r="N418" i="10"/>
  <c r="M418" i="10"/>
  <c r="AV411" i="10"/>
  <c r="AT411" i="10"/>
  <c r="AS411" i="10"/>
  <c r="AK411" i="10"/>
  <c r="AF411" i="10"/>
  <c r="AD411" i="10"/>
  <c r="AC411" i="10"/>
  <c r="V411" i="10"/>
  <c r="W411" i="10" s="1"/>
  <c r="Q411" i="10"/>
  <c r="P411" i="10"/>
  <c r="O411" i="10"/>
  <c r="N411" i="10"/>
  <c r="M411" i="10"/>
  <c r="AV404" i="10"/>
  <c r="AT404" i="10"/>
  <c r="AS404" i="10"/>
  <c r="AK404" i="10"/>
  <c r="AF404" i="10"/>
  <c r="AD404" i="10"/>
  <c r="AC404" i="10"/>
  <c r="V404" i="10"/>
  <c r="W404" i="10" s="1"/>
  <c r="Q404" i="10"/>
  <c r="P404" i="10"/>
  <c r="O404" i="10"/>
  <c r="N404" i="10"/>
  <c r="M404" i="10"/>
  <c r="AV399" i="10"/>
  <c r="AT399" i="10"/>
  <c r="AS399" i="10"/>
  <c r="AK399" i="10"/>
  <c r="AF399" i="10"/>
  <c r="AD399" i="10"/>
  <c r="AC399" i="10"/>
  <c r="V399" i="10"/>
  <c r="W399" i="10" s="1"/>
  <c r="Q399" i="10"/>
  <c r="P399" i="10"/>
  <c r="O399" i="10"/>
  <c r="N399" i="10"/>
  <c r="M399" i="10"/>
  <c r="AV363" i="10"/>
  <c r="AT363" i="10"/>
  <c r="AS363" i="10"/>
  <c r="AK363" i="10"/>
  <c r="AR363" i="10" s="1"/>
  <c r="AF363" i="10"/>
  <c r="AD363" i="10"/>
  <c r="AC363" i="10"/>
  <c r="V363" i="10"/>
  <c r="W363" i="10" s="1"/>
  <c r="Q363" i="10"/>
  <c r="P363" i="10"/>
  <c r="O363" i="10"/>
  <c r="N363" i="10"/>
  <c r="M363" i="10"/>
  <c r="AV354" i="10"/>
  <c r="AT354" i="10"/>
  <c r="AS354" i="10"/>
  <c r="AK354" i="10"/>
  <c r="AF354" i="10"/>
  <c r="AD354" i="10"/>
  <c r="AC354" i="10"/>
  <c r="V354" i="10"/>
  <c r="W354" i="10" s="1"/>
  <c r="Q354" i="10"/>
  <c r="P354" i="10"/>
  <c r="O354" i="10"/>
  <c r="N354" i="10"/>
  <c r="M354" i="10"/>
  <c r="AV347" i="10"/>
  <c r="AT347" i="10"/>
  <c r="O347" i="10" s="1"/>
  <c r="AS347" i="10"/>
  <c r="AK347" i="10"/>
  <c r="AR347" i="10" s="1"/>
  <c r="AF347" i="10"/>
  <c r="AD347" i="10"/>
  <c r="AC347" i="10"/>
  <c r="V347" i="10"/>
  <c r="W347" i="10" s="1"/>
  <c r="Q347" i="10"/>
  <c r="P347" i="10"/>
  <c r="N347" i="10"/>
  <c r="M347" i="10"/>
  <c r="AV335" i="10"/>
  <c r="AT335" i="10"/>
  <c r="AS335" i="10"/>
  <c r="AK335" i="10"/>
  <c r="AF335" i="10"/>
  <c r="AD335" i="10"/>
  <c r="AC335" i="10"/>
  <c r="V335" i="10"/>
  <c r="W335" i="10" s="1"/>
  <c r="Q335" i="10"/>
  <c r="P335" i="10"/>
  <c r="O335" i="10"/>
  <c r="N335" i="10"/>
  <c r="M335" i="10"/>
  <c r="AV323" i="10"/>
  <c r="AT323" i="10"/>
  <c r="O323" i="10" s="1"/>
  <c r="AS323" i="10"/>
  <c r="AK323" i="10"/>
  <c r="AF323" i="10"/>
  <c r="AD323" i="10"/>
  <c r="AC323" i="10"/>
  <c r="V323" i="10"/>
  <c r="W323" i="10" s="1"/>
  <c r="Q323" i="10"/>
  <c r="P323" i="10"/>
  <c r="N323" i="10"/>
  <c r="M323" i="10"/>
  <c r="F43" i="7"/>
  <c r="AV285" i="10"/>
  <c r="AT285" i="10"/>
  <c r="O285" i="10" s="1"/>
  <c r="AS285" i="10"/>
  <c r="AK285" i="10"/>
  <c r="AF285" i="10"/>
  <c r="AD285" i="10"/>
  <c r="AC285" i="10"/>
  <c r="V285" i="10"/>
  <c r="W285" i="10" s="1"/>
  <c r="Q285" i="10"/>
  <c r="P285" i="10"/>
  <c r="N285" i="10"/>
  <c r="M285" i="10"/>
  <c r="AV271" i="10"/>
  <c r="AT271" i="10"/>
  <c r="O271" i="10" s="1"/>
  <c r="AS271" i="10"/>
  <c r="AK271" i="10"/>
  <c r="AF271" i="10"/>
  <c r="AD271" i="10"/>
  <c r="AC271" i="10"/>
  <c r="V271" i="10"/>
  <c r="W271" i="10" s="1"/>
  <c r="Q271" i="10"/>
  <c r="P271" i="10"/>
  <c r="N271" i="10"/>
  <c r="M271" i="10"/>
  <c r="AV263" i="10"/>
  <c r="AT263" i="10"/>
  <c r="O263" i="10" s="1"/>
  <c r="AS263" i="10"/>
  <c r="AK263" i="10"/>
  <c r="AF263" i="10"/>
  <c r="AD263" i="10"/>
  <c r="AC263" i="10"/>
  <c r="V263" i="10"/>
  <c r="W263" i="10" s="1"/>
  <c r="Q263" i="10"/>
  <c r="P263" i="10"/>
  <c r="N263" i="10"/>
  <c r="M263" i="10"/>
  <c r="AV254" i="10"/>
  <c r="AT254" i="10"/>
  <c r="O254" i="10" s="1"/>
  <c r="AS254" i="10"/>
  <c r="AK254" i="10"/>
  <c r="AF254" i="10"/>
  <c r="AD254" i="10"/>
  <c r="AC254" i="10"/>
  <c r="V254" i="10"/>
  <c r="W254" i="10" s="1"/>
  <c r="Q254" i="10"/>
  <c r="P254" i="10"/>
  <c r="N254" i="10"/>
  <c r="M254" i="10"/>
  <c r="AV214" i="10"/>
  <c r="AT214" i="10"/>
  <c r="AS214" i="10"/>
  <c r="AK214" i="10"/>
  <c r="AR214" i="10" s="1"/>
  <c r="AF214" i="10"/>
  <c r="AD214" i="10"/>
  <c r="AC214" i="10"/>
  <c r="W214" i="10"/>
  <c r="V214" i="10"/>
  <c r="Q214" i="10"/>
  <c r="AV203" i="10"/>
  <c r="AT203" i="10"/>
  <c r="O203" i="10" s="1"/>
  <c r="AS203" i="10"/>
  <c r="AK203" i="10"/>
  <c r="AR203" i="10" s="1"/>
  <c r="AF203" i="10"/>
  <c r="AD203" i="10"/>
  <c r="AC203" i="10"/>
  <c r="V203" i="10"/>
  <c r="W203" i="10" s="1"/>
  <c r="Q203" i="10"/>
  <c r="P203" i="10"/>
  <c r="N203" i="10"/>
  <c r="M203" i="10"/>
  <c r="F70" i="7"/>
  <c r="AV191" i="10"/>
  <c r="AT191" i="10"/>
  <c r="AS191" i="10"/>
  <c r="AK191" i="10"/>
  <c r="AR191" i="10" s="1"/>
  <c r="AF191" i="10"/>
  <c r="AD191" i="10"/>
  <c r="AC191" i="10"/>
  <c r="W191" i="10"/>
  <c r="V191" i="10"/>
  <c r="Q191" i="10"/>
  <c r="P191" i="10"/>
  <c r="O191" i="10"/>
  <c r="N191" i="10"/>
  <c r="M191" i="10"/>
  <c r="X191" i="10" s="1"/>
  <c r="AV178" i="10"/>
  <c r="AT178" i="10"/>
  <c r="AS178" i="10"/>
  <c r="AK178" i="10"/>
  <c r="AF178" i="10"/>
  <c r="AD178" i="10"/>
  <c r="AC178" i="10"/>
  <c r="V178" i="10"/>
  <c r="W178" i="10" s="1"/>
  <c r="Q178" i="10"/>
  <c r="P178" i="10"/>
  <c r="O178" i="10"/>
  <c r="N178" i="10"/>
  <c r="M178" i="10"/>
  <c r="F20" i="7"/>
  <c r="AV132" i="10"/>
  <c r="AT132" i="10"/>
  <c r="AS132" i="10"/>
  <c r="AK132" i="10"/>
  <c r="AF132" i="10"/>
  <c r="AD132" i="10"/>
  <c r="AC132" i="10"/>
  <c r="V132" i="10"/>
  <c r="W132" i="10" s="1"/>
  <c r="Q132" i="10"/>
  <c r="P132" i="10"/>
  <c r="O132" i="10"/>
  <c r="N132" i="10"/>
  <c r="M132" i="10"/>
  <c r="X132" i="10" s="1"/>
  <c r="AV111" i="10"/>
  <c r="AT111" i="10"/>
  <c r="AS111" i="10"/>
  <c r="AK111" i="10"/>
  <c r="AF111" i="10"/>
  <c r="AD111" i="10"/>
  <c r="AC111" i="10"/>
  <c r="V111" i="10"/>
  <c r="W111" i="10" s="1"/>
  <c r="Q111" i="10"/>
  <c r="P111" i="10"/>
  <c r="O111" i="10"/>
  <c r="N111" i="10"/>
  <c r="M111" i="10"/>
  <c r="AV100" i="10"/>
  <c r="AT100" i="10"/>
  <c r="O100" i="10" s="1"/>
  <c r="AS100" i="10"/>
  <c r="AK100" i="10"/>
  <c r="AF100" i="10"/>
  <c r="AD100" i="10"/>
  <c r="AC100" i="10"/>
  <c r="V100" i="10"/>
  <c r="W100" i="10" s="1"/>
  <c r="Q100" i="10"/>
  <c r="P100" i="10"/>
  <c r="N100" i="10"/>
  <c r="M100" i="10"/>
  <c r="AV54" i="10"/>
  <c r="AT54" i="10"/>
  <c r="AS54" i="10"/>
  <c r="AK54" i="10"/>
  <c r="AF54" i="10"/>
  <c r="AD54" i="10"/>
  <c r="AC54" i="10"/>
  <c r="V54" i="10"/>
  <c r="W54" i="10" s="1"/>
  <c r="Q54" i="10"/>
  <c r="P54" i="10"/>
  <c r="O54" i="10"/>
  <c r="N54" i="10"/>
  <c r="M54" i="10"/>
  <c r="X54" i="10" s="1"/>
  <c r="AV43" i="10"/>
  <c r="AT43" i="10"/>
  <c r="AS43" i="10"/>
  <c r="AK43" i="10"/>
  <c r="AF43" i="10"/>
  <c r="AD43" i="10"/>
  <c r="AC43" i="10"/>
  <c r="V43" i="10"/>
  <c r="W43" i="10" s="1"/>
  <c r="Q43" i="10"/>
  <c r="P43" i="10"/>
  <c r="O43" i="10"/>
  <c r="N43" i="10"/>
  <c r="M43" i="10"/>
  <c r="X43" i="10" s="1"/>
  <c r="AV29" i="10"/>
  <c r="AT29" i="10"/>
  <c r="AS29" i="10"/>
  <c r="AK29" i="10"/>
  <c r="AF29" i="10"/>
  <c r="AD29" i="10"/>
  <c r="AC29" i="10"/>
  <c r="V29" i="10"/>
  <c r="W29" i="10" s="1"/>
  <c r="Q29" i="10"/>
  <c r="P29" i="10"/>
  <c r="O29" i="10"/>
  <c r="N29" i="10"/>
  <c r="M29" i="10"/>
  <c r="X29" i="10" s="1"/>
  <c r="AV514" i="10"/>
  <c r="AT514" i="10"/>
  <c r="AS514" i="10"/>
  <c r="AK514" i="10"/>
  <c r="AF514" i="10"/>
  <c r="AD514" i="10"/>
  <c r="AC514" i="10"/>
  <c r="V514" i="10"/>
  <c r="W514" i="10" s="1"/>
  <c r="Q514" i="10"/>
  <c r="P514" i="10"/>
  <c r="O514" i="10"/>
  <c r="N514" i="10"/>
  <c r="M514" i="10"/>
  <c r="X514" i="10" s="1"/>
  <c r="F51" i="7"/>
  <c r="AV508" i="10"/>
  <c r="AT508" i="10"/>
  <c r="AS508" i="10"/>
  <c r="AK508" i="10"/>
  <c r="AF508" i="10"/>
  <c r="AD508" i="10"/>
  <c r="AC508" i="10"/>
  <c r="V508" i="10"/>
  <c r="W508" i="10" s="1"/>
  <c r="Q508" i="10"/>
  <c r="P508" i="10"/>
  <c r="O508" i="10"/>
  <c r="N508" i="10"/>
  <c r="M508" i="10"/>
  <c r="AV502" i="10"/>
  <c r="AT502" i="10"/>
  <c r="AS502" i="10"/>
  <c r="AK502" i="10"/>
  <c r="AR502" i="10" s="1"/>
  <c r="AF502" i="10"/>
  <c r="AD502" i="10"/>
  <c r="AC502" i="10"/>
  <c r="V502" i="10"/>
  <c r="W502" i="10" s="1"/>
  <c r="Q502" i="10"/>
  <c r="P502" i="10"/>
  <c r="O502" i="10"/>
  <c r="N502" i="10"/>
  <c r="M502" i="10"/>
  <c r="AV497" i="10"/>
  <c r="AT497" i="10"/>
  <c r="AS497" i="10"/>
  <c r="AK497" i="10"/>
  <c r="AF497" i="10"/>
  <c r="AD497" i="10"/>
  <c r="AC497" i="10"/>
  <c r="V497" i="10"/>
  <c r="W497" i="10" s="1"/>
  <c r="Q497" i="10"/>
  <c r="P497" i="10"/>
  <c r="O497" i="10"/>
  <c r="N497" i="10"/>
  <c r="M497" i="10"/>
  <c r="X497" i="10" s="1"/>
  <c r="AV492" i="10"/>
  <c r="AT492" i="10"/>
  <c r="AS492" i="10"/>
  <c r="AK492" i="10"/>
  <c r="AF492" i="10"/>
  <c r="AD492" i="10"/>
  <c r="AC492" i="10"/>
  <c r="V492" i="10"/>
  <c r="W492" i="10" s="1"/>
  <c r="Q492" i="10"/>
  <c r="P492" i="10"/>
  <c r="O492" i="10"/>
  <c r="N492" i="10"/>
  <c r="M492" i="10"/>
  <c r="AV487" i="10"/>
  <c r="AT487" i="10"/>
  <c r="O487" i="10" s="1"/>
  <c r="AS487" i="10"/>
  <c r="AK487" i="10"/>
  <c r="AF487" i="10"/>
  <c r="AD487" i="10"/>
  <c r="AC487" i="10"/>
  <c r="V487" i="10"/>
  <c r="W487" i="10" s="1"/>
  <c r="Q487" i="10"/>
  <c r="P487" i="10"/>
  <c r="N487" i="10"/>
  <c r="M487" i="10"/>
  <c r="AV482" i="10"/>
  <c r="AT482" i="10"/>
  <c r="AS482" i="10"/>
  <c r="AK482" i="10"/>
  <c r="AF482" i="10"/>
  <c r="AD482" i="10"/>
  <c r="AC482" i="10"/>
  <c r="V482" i="10"/>
  <c r="W482" i="10" s="1"/>
  <c r="Q482" i="10"/>
  <c r="P482" i="10"/>
  <c r="O482" i="10"/>
  <c r="N482" i="10"/>
  <c r="M482" i="10"/>
  <c r="X482" i="10" s="1"/>
  <c r="F73" i="7"/>
  <c r="AV477" i="10"/>
  <c r="AT477" i="10"/>
  <c r="AS477" i="10"/>
  <c r="AK477" i="10"/>
  <c r="AF477" i="10"/>
  <c r="AD477" i="10"/>
  <c r="AC477" i="10"/>
  <c r="V477" i="10"/>
  <c r="W477" i="10" s="1"/>
  <c r="Q477" i="10"/>
  <c r="P477" i="10"/>
  <c r="O477" i="10"/>
  <c r="N477" i="10"/>
  <c r="M477" i="10"/>
  <c r="X477" i="10" s="1"/>
  <c r="AV471" i="10"/>
  <c r="AT471" i="10"/>
  <c r="AS471" i="10"/>
  <c r="AK471" i="10"/>
  <c r="AF471" i="10"/>
  <c r="AD471" i="10"/>
  <c r="AC471" i="10"/>
  <c r="V471" i="10"/>
  <c r="W471" i="10" s="1"/>
  <c r="Q471" i="10"/>
  <c r="P471" i="10"/>
  <c r="O471" i="10"/>
  <c r="N471" i="10"/>
  <c r="M471" i="10"/>
  <c r="X471" i="10" s="1"/>
  <c r="AV456" i="10"/>
  <c r="AT456" i="10"/>
  <c r="AS456" i="10"/>
  <c r="AK456" i="10"/>
  <c r="AF456" i="10"/>
  <c r="AD456" i="10"/>
  <c r="AC456" i="10"/>
  <c r="V456" i="10"/>
  <c r="W456" i="10" s="1"/>
  <c r="Q456" i="10"/>
  <c r="P456" i="10"/>
  <c r="O456" i="10"/>
  <c r="N456" i="10"/>
  <c r="M456" i="10"/>
  <c r="AV449" i="10"/>
  <c r="AT449" i="10"/>
  <c r="AS449" i="10"/>
  <c r="AK449" i="10"/>
  <c r="AR449" i="10" s="1"/>
  <c r="AF449" i="10"/>
  <c r="AD449" i="10"/>
  <c r="AC449" i="10"/>
  <c r="V449" i="10"/>
  <c r="W449" i="10" s="1"/>
  <c r="Q449" i="10"/>
  <c r="P449" i="10"/>
  <c r="O449" i="10"/>
  <c r="N449" i="10"/>
  <c r="M449" i="10"/>
  <c r="X449" i="10" s="1"/>
  <c r="AV442" i="10"/>
  <c r="AT442" i="10"/>
  <c r="AS442" i="10"/>
  <c r="AK442" i="10"/>
  <c r="AF442" i="10"/>
  <c r="AD442" i="10"/>
  <c r="AC442" i="10"/>
  <c r="V442" i="10"/>
  <c r="W442" i="10" s="1"/>
  <c r="Q442" i="10"/>
  <c r="P442" i="10"/>
  <c r="O442" i="10"/>
  <c r="N442" i="10"/>
  <c r="M442" i="10"/>
  <c r="X442" i="10" s="1"/>
  <c r="AV430" i="10"/>
  <c r="AT430" i="10"/>
  <c r="AS430" i="10"/>
  <c r="AK430" i="10"/>
  <c r="AF430" i="10"/>
  <c r="AD430" i="10"/>
  <c r="AC430" i="10"/>
  <c r="V430" i="10"/>
  <c r="W430" i="10" s="1"/>
  <c r="Q430" i="10"/>
  <c r="P430" i="10"/>
  <c r="O430" i="10"/>
  <c r="N430" i="10"/>
  <c r="M430" i="10"/>
  <c r="AV422" i="10"/>
  <c r="AT422" i="10"/>
  <c r="AS422" i="10"/>
  <c r="AK422" i="10"/>
  <c r="AF422" i="10"/>
  <c r="AD422" i="10"/>
  <c r="AC422" i="10"/>
  <c r="V422" i="10"/>
  <c r="W422" i="10" s="1"/>
  <c r="Q422" i="10"/>
  <c r="P422" i="10"/>
  <c r="O422" i="10"/>
  <c r="N422" i="10"/>
  <c r="M422" i="10"/>
  <c r="X422" i="10" s="1"/>
  <c r="AV415" i="10"/>
  <c r="AT415" i="10"/>
  <c r="AS415" i="10"/>
  <c r="AK415" i="10"/>
  <c r="AF415" i="10"/>
  <c r="AD415" i="10"/>
  <c r="AC415" i="10"/>
  <c r="V415" i="10"/>
  <c r="W415" i="10" s="1"/>
  <c r="Q415" i="10"/>
  <c r="P415" i="10"/>
  <c r="O415" i="10"/>
  <c r="N415" i="10"/>
  <c r="M415" i="10"/>
  <c r="X415" i="10" s="1"/>
  <c r="AV408" i="10"/>
  <c r="AT408" i="10"/>
  <c r="AS408" i="10"/>
  <c r="AK408" i="10"/>
  <c r="AF408" i="10"/>
  <c r="AD408" i="10"/>
  <c r="AC408" i="10"/>
  <c r="V408" i="10"/>
  <c r="W408" i="10" s="1"/>
  <c r="Q408" i="10"/>
  <c r="P408" i="10"/>
  <c r="O408" i="10"/>
  <c r="N408" i="10"/>
  <c r="M408" i="10"/>
  <c r="X408" i="10" s="1"/>
  <c r="F48" i="7"/>
  <c r="AV398" i="10"/>
  <c r="AT398" i="10"/>
  <c r="AS398" i="10"/>
  <c r="AK398" i="10"/>
  <c r="AF398" i="10"/>
  <c r="AD398" i="10"/>
  <c r="AC398" i="10"/>
  <c r="V398" i="10"/>
  <c r="W398" i="10" s="1"/>
  <c r="Q398" i="10"/>
  <c r="P398" i="10"/>
  <c r="O398" i="10"/>
  <c r="N398" i="10"/>
  <c r="M398" i="10"/>
  <c r="X398" i="10" s="1"/>
  <c r="AV362" i="10"/>
  <c r="AT362" i="10"/>
  <c r="AS362" i="10"/>
  <c r="AK362" i="10"/>
  <c r="AF362" i="10"/>
  <c r="AD362" i="10"/>
  <c r="AC362" i="10"/>
  <c r="V362" i="10"/>
  <c r="W362" i="10" s="1"/>
  <c r="Q362" i="10"/>
  <c r="P362" i="10"/>
  <c r="O362" i="10"/>
  <c r="N362" i="10"/>
  <c r="M362" i="10"/>
  <c r="X362" i="10" s="1"/>
  <c r="AV353" i="10"/>
  <c r="AT353" i="10"/>
  <c r="AS353" i="10"/>
  <c r="AK353" i="10"/>
  <c r="AR353" i="10" s="1"/>
  <c r="AF353" i="10"/>
  <c r="AD353" i="10"/>
  <c r="AC353" i="10"/>
  <c r="V353" i="10"/>
  <c r="W353" i="10" s="1"/>
  <c r="Q353" i="10"/>
  <c r="P353" i="10"/>
  <c r="O353" i="10"/>
  <c r="N353" i="10"/>
  <c r="M353" i="10"/>
  <c r="X353" i="10" s="1"/>
  <c r="AV343" i="10"/>
  <c r="AT343" i="10"/>
  <c r="AS343" i="10"/>
  <c r="AK343" i="10"/>
  <c r="AR343" i="10" s="1"/>
  <c r="AF343" i="10"/>
  <c r="AD343" i="10"/>
  <c r="AC343" i="10"/>
  <c r="V343" i="10"/>
  <c r="W343" i="10" s="1"/>
  <c r="Q343" i="10"/>
  <c r="P343" i="10"/>
  <c r="O343" i="10"/>
  <c r="N343" i="10"/>
  <c r="M343" i="10"/>
  <c r="X343" i="10" s="1"/>
  <c r="AV329" i="10"/>
  <c r="AT329" i="10"/>
  <c r="AS329" i="10"/>
  <c r="AK329" i="10"/>
  <c r="AF329" i="10"/>
  <c r="AD329" i="10"/>
  <c r="AC329" i="10"/>
  <c r="V329" i="10"/>
  <c r="W329" i="10" s="1"/>
  <c r="Q329" i="10"/>
  <c r="P329" i="10"/>
  <c r="O329" i="10"/>
  <c r="N329" i="10"/>
  <c r="M329" i="10"/>
  <c r="AV286" i="10"/>
  <c r="AT286" i="10"/>
  <c r="AS286" i="10"/>
  <c r="AK286" i="10"/>
  <c r="AF286" i="10"/>
  <c r="AD286" i="10"/>
  <c r="AC286" i="10"/>
  <c r="V286" i="10"/>
  <c r="W286" i="10" s="1"/>
  <c r="Q286" i="10"/>
  <c r="P286" i="10"/>
  <c r="O286" i="10"/>
  <c r="N286" i="10"/>
  <c r="M286" i="10"/>
  <c r="AV272" i="10"/>
  <c r="AT272" i="10"/>
  <c r="AS272" i="10"/>
  <c r="AK272" i="10"/>
  <c r="AF272" i="10"/>
  <c r="AD272" i="10"/>
  <c r="AC272" i="10"/>
  <c r="V272" i="10"/>
  <c r="W272" i="10" s="1"/>
  <c r="Q272" i="10"/>
  <c r="P272" i="10"/>
  <c r="O272" i="10"/>
  <c r="N272" i="10"/>
  <c r="M272" i="10"/>
  <c r="AV261" i="10"/>
  <c r="AT261" i="10"/>
  <c r="AS261" i="10"/>
  <c r="AK261" i="10"/>
  <c r="AF261" i="10"/>
  <c r="AD261" i="10"/>
  <c r="AC261" i="10"/>
  <c r="V261" i="10"/>
  <c r="W261" i="10" s="1"/>
  <c r="Q261" i="10"/>
  <c r="P261" i="10"/>
  <c r="O261" i="10"/>
  <c r="N261" i="10"/>
  <c r="M261" i="10"/>
  <c r="X261" i="10" s="1"/>
  <c r="AV252" i="10"/>
  <c r="AT252" i="10"/>
  <c r="AS252" i="10"/>
  <c r="AK252" i="10"/>
  <c r="AR252" i="10" s="1"/>
  <c r="AF252" i="10"/>
  <c r="AD252" i="10"/>
  <c r="AC252" i="10"/>
  <c r="V252" i="10"/>
  <c r="W252" i="10" s="1"/>
  <c r="Q252" i="10"/>
  <c r="P252" i="10"/>
  <c r="O252" i="10"/>
  <c r="N252" i="10"/>
  <c r="M252" i="10"/>
  <c r="AV211" i="10"/>
  <c r="AT211" i="10"/>
  <c r="AS211" i="10"/>
  <c r="AK211" i="10"/>
  <c r="AF211" i="10"/>
  <c r="AD211" i="10"/>
  <c r="AC211" i="10"/>
  <c r="V211" i="10"/>
  <c r="W211" i="10" s="1"/>
  <c r="Q211" i="10"/>
  <c r="P211" i="10"/>
  <c r="O211" i="10"/>
  <c r="N211" i="10"/>
  <c r="M211" i="10"/>
  <c r="AV195" i="10"/>
  <c r="AT195" i="10"/>
  <c r="AS195" i="10"/>
  <c r="AK195" i="10"/>
  <c r="AF195" i="10"/>
  <c r="AD195" i="10"/>
  <c r="AC195" i="10"/>
  <c r="V195" i="10"/>
  <c r="W195" i="10" s="1"/>
  <c r="Q195" i="10"/>
  <c r="P195" i="10"/>
  <c r="O195" i="10"/>
  <c r="N195" i="10"/>
  <c r="M195" i="10"/>
  <c r="AV177" i="10"/>
  <c r="AT177" i="10"/>
  <c r="AS177" i="10"/>
  <c r="AK177" i="10"/>
  <c r="AF177" i="10"/>
  <c r="AD177" i="10"/>
  <c r="AC177" i="10"/>
  <c r="V177" i="10"/>
  <c r="W177" i="10" s="1"/>
  <c r="Q177" i="10"/>
  <c r="P177" i="10"/>
  <c r="O177" i="10"/>
  <c r="N177" i="10"/>
  <c r="M177" i="10"/>
  <c r="F59" i="7"/>
  <c r="AV128" i="10"/>
  <c r="AT128" i="10"/>
  <c r="AS128" i="10"/>
  <c r="AK128" i="10"/>
  <c r="AR128" i="10" s="1"/>
  <c r="AF128" i="10"/>
  <c r="AD128" i="10"/>
  <c r="AC128" i="10"/>
  <c r="V128" i="10"/>
  <c r="W128" i="10" s="1"/>
  <c r="Q128" i="10"/>
  <c r="P128" i="10"/>
  <c r="O128" i="10"/>
  <c r="N128" i="10"/>
  <c r="M128" i="10"/>
  <c r="F79" i="7"/>
  <c r="AV109" i="10"/>
  <c r="AT109" i="10"/>
  <c r="AS109" i="10"/>
  <c r="AK109" i="10"/>
  <c r="AF109" i="10"/>
  <c r="AD109" i="10"/>
  <c r="AC109" i="10"/>
  <c r="V109" i="10"/>
  <c r="W109" i="10" s="1"/>
  <c r="Q109" i="10"/>
  <c r="P109" i="10"/>
  <c r="O109" i="10"/>
  <c r="N109" i="10"/>
  <c r="M109" i="10"/>
  <c r="AV98" i="10"/>
  <c r="AT98" i="10"/>
  <c r="O98" i="10" s="1"/>
  <c r="AS98" i="10"/>
  <c r="AK98" i="10"/>
  <c r="AF98" i="10"/>
  <c r="AD98" i="10"/>
  <c r="AC98" i="10"/>
  <c r="V98" i="10"/>
  <c r="W98" i="10" s="1"/>
  <c r="Q98" i="10"/>
  <c r="P98" i="10"/>
  <c r="N98" i="10"/>
  <c r="M98" i="10"/>
  <c r="F78" i="7"/>
  <c r="AV39" i="10"/>
  <c r="AT39" i="10"/>
  <c r="AS39" i="10"/>
  <c r="AK39" i="10"/>
  <c r="AF39" i="10"/>
  <c r="AD39" i="10"/>
  <c r="AC39" i="10"/>
  <c r="V39" i="10"/>
  <c r="W39" i="10" s="1"/>
  <c r="Q39" i="10"/>
  <c r="P39" i="10"/>
  <c r="O39" i="10"/>
  <c r="N39" i="10"/>
  <c r="M39" i="10"/>
  <c r="AV26" i="10"/>
  <c r="AT26" i="10"/>
  <c r="O26" i="10" s="1"/>
  <c r="AS26" i="10"/>
  <c r="AK26" i="10"/>
  <c r="AF26" i="10"/>
  <c r="AD26" i="10"/>
  <c r="AC26" i="10"/>
  <c r="V26" i="10"/>
  <c r="W26" i="10" s="1"/>
  <c r="Q26" i="10"/>
  <c r="P26" i="10"/>
  <c r="N26" i="10"/>
  <c r="M26" i="10"/>
  <c r="AV469" i="10"/>
  <c r="AT469" i="10"/>
  <c r="O469" i="10" s="1"/>
  <c r="AS469" i="10"/>
  <c r="AK469" i="10"/>
  <c r="AR469" i="10" s="1"/>
  <c r="AF469" i="10"/>
  <c r="AD469" i="10"/>
  <c r="AC469" i="10"/>
  <c r="V469" i="10"/>
  <c r="W469" i="10" s="1"/>
  <c r="Q469" i="10"/>
  <c r="P469" i="10"/>
  <c r="N469" i="10"/>
  <c r="M469" i="10"/>
  <c r="AV468" i="10"/>
  <c r="AT468" i="10"/>
  <c r="AS468" i="10"/>
  <c r="AK468" i="10"/>
  <c r="AF468" i="10"/>
  <c r="AD468" i="10"/>
  <c r="AC468" i="10"/>
  <c r="V468" i="10"/>
  <c r="W468" i="10" s="1"/>
  <c r="Q468" i="10"/>
  <c r="P468" i="10"/>
  <c r="O468" i="10"/>
  <c r="N468" i="10"/>
  <c r="M468" i="10"/>
  <c r="AV467" i="10"/>
  <c r="AT467" i="10"/>
  <c r="O467" i="10" s="1"/>
  <c r="AS467" i="10"/>
  <c r="AK467" i="10"/>
  <c r="AF467" i="10"/>
  <c r="AD467" i="10"/>
  <c r="AC467" i="10"/>
  <c r="V467" i="10"/>
  <c r="W467" i="10" s="1"/>
  <c r="Q467" i="10"/>
  <c r="P467" i="10"/>
  <c r="N467" i="10"/>
  <c r="M467" i="10"/>
  <c r="AV466" i="10"/>
  <c r="AT466" i="10"/>
  <c r="O466" i="10" s="1"/>
  <c r="AS466" i="10"/>
  <c r="AK466" i="10"/>
  <c r="AF466" i="10"/>
  <c r="AD466" i="10"/>
  <c r="AC466" i="10"/>
  <c r="V466" i="10"/>
  <c r="W466" i="10" s="1"/>
  <c r="Q466" i="10"/>
  <c r="P466" i="10"/>
  <c r="N466" i="10"/>
  <c r="M466" i="10"/>
  <c r="AV465" i="10"/>
  <c r="AT465" i="10"/>
  <c r="AS465" i="10"/>
  <c r="AK465" i="10"/>
  <c r="AF465" i="10"/>
  <c r="AD465" i="10"/>
  <c r="AC465" i="10"/>
  <c r="V465" i="10"/>
  <c r="W465" i="10" s="1"/>
  <c r="Q465" i="10"/>
  <c r="P465" i="10"/>
  <c r="O465" i="10"/>
  <c r="N465" i="10"/>
  <c r="M465" i="10"/>
  <c r="X465" i="10" s="1"/>
  <c r="AV464" i="10"/>
  <c r="AT464" i="10"/>
  <c r="AS464" i="10"/>
  <c r="AK464" i="10"/>
  <c r="AF464" i="10"/>
  <c r="AD464" i="10"/>
  <c r="AC464" i="10"/>
  <c r="V464" i="10"/>
  <c r="W464" i="10" s="1"/>
  <c r="Q464" i="10"/>
  <c r="P464" i="10"/>
  <c r="O464" i="10"/>
  <c r="N464" i="10"/>
  <c r="M464" i="10"/>
  <c r="X464" i="10" s="1"/>
  <c r="AV463" i="10"/>
  <c r="AT463" i="10"/>
  <c r="AS463" i="10"/>
  <c r="AK463" i="10"/>
  <c r="AF463" i="10"/>
  <c r="AD463" i="10"/>
  <c r="AC463" i="10"/>
  <c r="V463" i="10"/>
  <c r="W463" i="10" s="1"/>
  <c r="Q463" i="10"/>
  <c r="P463" i="10"/>
  <c r="O463" i="10"/>
  <c r="N463" i="10"/>
  <c r="M463" i="10"/>
  <c r="X463" i="10" s="1"/>
  <c r="AV462" i="10"/>
  <c r="AT462" i="10"/>
  <c r="O462" i="10" s="1"/>
  <c r="AS462" i="10"/>
  <c r="AK462" i="10"/>
  <c r="AR462" i="10" s="1"/>
  <c r="AF462" i="10"/>
  <c r="AD462" i="10"/>
  <c r="AC462" i="10"/>
  <c r="V462" i="10"/>
  <c r="W462" i="10" s="1"/>
  <c r="Q462" i="10"/>
  <c r="P462" i="10"/>
  <c r="N462" i="10"/>
  <c r="M462" i="10"/>
  <c r="AV461" i="10"/>
  <c r="AT461" i="10"/>
  <c r="AS461" i="10"/>
  <c r="AK461" i="10"/>
  <c r="AR461" i="10" s="1"/>
  <c r="AF461" i="10"/>
  <c r="AD461" i="10"/>
  <c r="AC461" i="10"/>
  <c r="V461" i="10"/>
  <c r="W461" i="10" s="1"/>
  <c r="Q461" i="10"/>
  <c r="P461" i="10"/>
  <c r="O461" i="10"/>
  <c r="N461" i="10"/>
  <c r="M461" i="10"/>
  <c r="X461" i="10" s="1"/>
  <c r="AV457" i="10"/>
  <c r="AT457" i="10"/>
  <c r="AS457" i="10"/>
  <c r="AK457" i="10"/>
  <c r="AF457" i="10"/>
  <c r="AD457" i="10"/>
  <c r="AC457" i="10"/>
  <c r="V457" i="10"/>
  <c r="W457" i="10" s="1"/>
  <c r="Q457" i="10"/>
  <c r="P457" i="10"/>
  <c r="O457" i="10"/>
  <c r="N457" i="10"/>
  <c r="M457" i="10"/>
  <c r="X457" i="10" s="1"/>
  <c r="AV450" i="10"/>
  <c r="AT450" i="10"/>
  <c r="AS450" i="10"/>
  <c r="AK450" i="10"/>
  <c r="AF450" i="10"/>
  <c r="AD450" i="10"/>
  <c r="AC450" i="10"/>
  <c r="V450" i="10"/>
  <c r="W450" i="10" s="1"/>
  <c r="Q450" i="10"/>
  <c r="P450" i="10"/>
  <c r="O450" i="10"/>
  <c r="N450" i="10"/>
  <c r="M450" i="10"/>
  <c r="X450" i="10" s="1"/>
  <c r="AV443" i="10"/>
  <c r="AT443" i="10"/>
  <c r="AS443" i="10"/>
  <c r="AK443" i="10"/>
  <c r="AF443" i="10"/>
  <c r="AD443" i="10"/>
  <c r="AC443" i="10"/>
  <c r="V443" i="10"/>
  <c r="W443" i="10" s="1"/>
  <c r="Q443" i="10"/>
  <c r="P443" i="10"/>
  <c r="O443" i="10"/>
  <c r="N443" i="10"/>
  <c r="M443" i="10"/>
  <c r="X443" i="10" s="1"/>
  <c r="AV431" i="10"/>
  <c r="AT431" i="10"/>
  <c r="AS431" i="10"/>
  <c r="AK431" i="10"/>
  <c r="AF431" i="10"/>
  <c r="AD431" i="10"/>
  <c r="AC431" i="10"/>
  <c r="V431" i="10"/>
  <c r="W431" i="10" s="1"/>
  <c r="Q431" i="10"/>
  <c r="P431" i="10"/>
  <c r="O431" i="10"/>
  <c r="N431" i="10"/>
  <c r="M431" i="10"/>
  <c r="AV425" i="10"/>
  <c r="AT425" i="10"/>
  <c r="AS425" i="10"/>
  <c r="AK425" i="10"/>
  <c r="AF425" i="10"/>
  <c r="AD425" i="10"/>
  <c r="AC425" i="10"/>
  <c r="V425" i="10"/>
  <c r="W425" i="10" s="1"/>
  <c r="Q425" i="10"/>
  <c r="P425" i="10"/>
  <c r="O425" i="10"/>
  <c r="N425" i="10"/>
  <c r="M425" i="10"/>
  <c r="AV417" i="10"/>
  <c r="AT417" i="10"/>
  <c r="AS417" i="10"/>
  <c r="AK417" i="10"/>
  <c r="AF417" i="10"/>
  <c r="AD417" i="10"/>
  <c r="AC417" i="10"/>
  <c r="V417" i="10"/>
  <c r="W417" i="10" s="1"/>
  <c r="Q417" i="10"/>
  <c r="P417" i="10"/>
  <c r="O417" i="10"/>
  <c r="N417" i="10"/>
  <c r="M417" i="10"/>
  <c r="X417" i="10" s="1"/>
  <c r="AV410" i="10"/>
  <c r="AT410" i="10"/>
  <c r="O410" i="10" s="1"/>
  <c r="AS410" i="10"/>
  <c r="AK410" i="10"/>
  <c r="AF410" i="10"/>
  <c r="AD410" i="10"/>
  <c r="AC410" i="10"/>
  <c r="V410" i="10"/>
  <c r="W410" i="10" s="1"/>
  <c r="Q410" i="10"/>
  <c r="P410" i="10"/>
  <c r="N410" i="10"/>
  <c r="M410" i="10"/>
  <c r="AV402" i="10"/>
  <c r="AT402" i="10"/>
  <c r="AS402" i="10"/>
  <c r="AK402" i="10"/>
  <c r="AF402" i="10"/>
  <c r="AD402" i="10"/>
  <c r="AC402" i="10"/>
  <c r="V402" i="10"/>
  <c r="W402" i="10" s="1"/>
  <c r="Q402" i="10"/>
  <c r="P402" i="10"/>
  <c r="O402" i="10"/>
  <c r="N402" i="10"/>
  <c r="M402" i="10"/>
  <c r="X402" i="10" s="1"/>
  <c r="AV366" i="10"/>
  <c r="AT366" i="10"/>
  <c r="AS366" i="10"/>
  <c r="AK366" i="10"/>
  <c r="AF366" i="10"/>
  <c r="AD366" i="10"/>
  <c r="AC366" i="10"/>
  <c r="V366" i="10"/>
  <c r="W366" i="10" s="1"/>
  <c r="Q366" i="10"/>
  <c r="P366" i="10"/>
  <c r="O366" i="10"/>
  <c r="N366" i="10"/>
  <c r="M366" i="10"/>
  <c r="AV358" i="10"/>
  <c r="AT358" i="10"/>
  <c r="AS358" i="10"/>
  <c r="AK358" i="10"/>
  <c r="AF358" i="10"/>
  <c r="AD358" i="10"/>
  <c r="AC358" i="10"/>
  <c r="V358" i="10"/>
  <c r="W358" i="10" s="1"/>
  <c r="Q358" i="10"/>
  <c r="P358" i="10"/>
  <c r="O358" i="10"/>
  <c r="N358" i="10"/>
  <c r="M358" i="10"/>
  <c r="X358" i="10" s="1"/>
  <c r="AV348" i="10"/>
  <c r="AT348" i="10"/>
  <c r="AS348" i="10"/>
  <c r="AK348" i="10"/>
  <c r="AF348" i="10"/>
  <c r="AD348" i="10"/>
  <c r="AC348" i="10"/>
  <c r="V348" i="10"/>
  <c r="W348" i="10" s="1"/>
  <c r="Q348" i="10"/>
  <c r="P348" i="10"/>
  <c r="O348" i="10"/>
  <c r="N348" i="10"/>
  <c r="M348" i="10"/>
  <c r="X348" i="10" s="1"/>
  <c r="F87" i="7"/>
  <c r="AV334" i="10"/>
  <c r="AT334" i="10"/>
  <c r="AS334" i="10"/>
  <c r="AK334" i="10"/>
  <c r="AF334" i="10"/>
  <c r="AD334" i="10"/>
  <c r="AC334" i="10"/>
  <c r="V334" i="10"/>
  <c r="W334" i="10" s="1"/>
  <c r="Q334" i="10"/>
  <c r="P334" i="10"/>
  <c r="O334" i="10"/>
  <c r="N334" i="10"/>
  <c r="M334" i="10"/>
  <c r="X334" i="10" s="1"/>
  <c r="AV322" i="10"/>
  <c r="AT322" i="10"/>
  <c r="AS322" i="10"/>
  <c r="AK322" i="10"/>
  <c r="AF322" i="10"/>
  <c r="AD322" i="10"/>
  <c r="AC322" i="10"/>
  <c r="V322" i="10"/>
  <c r="W322" i="10" s="1"/>
  <c r="Q322" i="10"/>
  <c r="P322" i="10"/>
  <c r="O322" i="10"/>
  <c r="N322" i="10"/>
  <c r="M322" i="10"/>
  <c r="X322" i="10" s="1"/>
  <c r="AV280" i="10"/>
  <c r="AT280" i="10"/>
  <c r="AS280" i="10"/>
  <c r="AK280" i="10"/>
  <c r="AR280" i="10" s="1"/>
  <c r="AF280" i="10"/>
  <c r="AD280" i="10"/>
  <c r="AC280" i="10"/>
  <c r="V280" i="10"/>
  <c r="W280" i="10" s="1"/>
  <c r="Q280" i="10"/>
  <c r="P280" i="10"/>
  <c r="O280" i="10"/>
  <c r="N280" i="10"/>
  <c r="M280" i="10"/>
  <c r="X280" i="10" s="1"/>
  <c r="AV267" i="10"/>
  <c r="AT267" i="10"/>
  <c r="AS267" i="10"/>
  <c r="AK267" i="10"/>
  <c r="AF267" i="10"/>
  <c r="AD267" i="10"/>
  <c r="AC267" i="10"/>
  <c r="V267" i="10"/>
  <c r="W267" i="10" s="1"/>
  <c r="Q267" i="10"/>
  <c r="P267" i="10"/>
  <c r="O267" i="10"/>
  <c r="N267" i="10"/>
  <c r="M267" i="10"/>
  <c r="X267" i="10" s="1"/>
  <c r="AV257" i="10"/>
  <c r="AT257" i="10"/>
  <c r="AS257" i="10"/>
  <c r="AK257" i="10"/>
  <c r="AF257" i="10"/>
  <c r="AD257" i="10"/>
  <c r="AC257" i="10"/>
  <c r="V257" i="10"/>
  <c r="W257" i="10" s="1"/>
  <c r="Q257" i="10"/>
  <c r="P257" i="10"/>
  <c r="O257" i="10"/>
  <c r="N257" i="10"/>
  <c r="M257" i="10"/>
  <c r="AF246" i="10"/>
  <c r="V246" i="10"/>
  <c r="W246" i="10" s="1"/>
  <c r="Q246" i="10"/>
  <c r="M246" i="10"/>
  <c r="AV246" i="10"/>
  <c r="AT246" i="10"/>
  <c r="O246" i="10" s="1"/>
  <c r="AS246" i="10"/>
  <c r="AK246" i="10"/>
  <c r="AD246" i="10"/>
  <c r="AC246" i="10"/>
  <c r="P246" i="10"/>
  <c r="N246" i="10"/>
  <c r="X246" i="10" s="1"/>
  <c r="AV202" i="10"/>
  <c r="AT202" i="10"/>
  <c r="AS202" i="10"/>
  <c r="AK202" i="10"/>
  <c r="AF202" i="10"/>
  <c r="AD202" i="10"/>
  <c r="AC202" i="10"/>
  <c r="V202" i="10"/>
  <c r="W202" i="10" s="1"/>
  <c r="Q202" i="10"/>
  <c r="P202" i="10"/>
  <c r="O202" i="10"/>
  <c r="N202" i="10"/>
  <c r="M202" i="10"/>
  <c r="X202" i="10" s="1"/>
  <c r="AV189" i="10"/>
  <c r="AT189" i="10"/>
  <c r="AS189" i="10"/>
  <c r="AK189" i="10"/>
  <c r="AR189" i="10" s="1"/>
  <c r="AF189" i="10"/>
  <c r="AD189" i="10"/>
  <c r="AC189" i="10"/>
  <c r="V189" i="10"/>
  <c r="W189" i="10" s="1"/>
  <c r="Q189" i="10"/>
  <c r="P189" i="10"/>
  <c r="O189" i="10"/>
  <c r="N189" i="10"/>
  <c r="M189" i="10"/>
  <c r="AV173" i="10"/>
  <c r="AT173" i="10"/>
  <c r="AS173" i="10"/>
  <c r="AK173" i="10"/>
  <c r="AF173" i="10"/>
  <c r="AD173" i="10"/>
  <c r="AC173" i="10"/>
  <c r="V173" i="10"/>
  <c r="W173" i="10" s="1"/>
  <c r="Q173" i="10"/>
  <c r="P173" i="10"/>
  <c r="O173" i="10"/>
  <c r="N173" i="10"/>
  <c r="M173" i="10"/>
  <c r="X173" i="10" s="1"/>
  <c r="AV123" i="10"/>
  <c r="AT123" i="10"/>
  <c r="AS123" i="10"/>
  <c r="AK123" i="10"/>
  <c r="AF123" i="10"/>
  <c r="AD123" i="10"/>
  <c r="AC123" i="10"/>
  <c r="V123" i="10"/>
  <c r="W123" i="10" s="1"/>
  <c r="Q123" i="10"/>
  <c r="P123" i="10"/>
  <c r="O123" i="10"/>
  <c r="N123" i="10"/>
  <c r="M123" i="10"/>
  <c r="AV104" i="10"/>
  <c r="AT104" i="10"/>
  <c r="AS104" i="10"/>
  <c r="AK104" i="10"/>
  <c r="AF104" i="10"/>
  <c r="AD104" i="10"/>
  <c r="AC104" i="10"/>
  <c r="V104" i="10"/>
  <c r="W104" i="10" s="1"/>
  <c r="Q104" i="10"/>
  <c r="P104" i="10"/>
  <c r="O104" i="10"/>
  <c r="N104" i="10"/>
  <c r="M104" i="10"/>
  <c r="AV55" i="10"/>
  <c r="AT55" i="10"/>
  <c r="AS55" i="10"/>
  <c r="AK55" i="10"/>
  <c r="AF55" i="10"/>
  <c r="AD55" i="10"/>
  <c r="AC55" i="10"/>
  <c r="V55" i="10"/>
  <c r="W55" i="10" s="1"/>
  <c r="Q55" i="10"/>
  <c r="P55" i="10"/>
  <c r="O55" i="10"/>
  <c r="N55" i="10"/>
  <c r="M55" i="10"/>
  <c r="X55" i="10" s="1"/>
  <c r="AV42" i="10"/>
  <c r="AT42" i="10"/>
  <c r="AS42" i="10"/>
  <c r="AK42" i="10"/>
  <c r="AF42" i="10"/>
  <c r="AD42" i="10"/>
  <c r="AC42" i="10"/>
  <c r="V42" i="10"/>
  <c r="W42" i="10" s="1"/>
  <c r="Q42" i="10"/>
  <c r="P42" i="10"/>
  <c r="O42" i="10"/>
  <c r="N42" i="10"/>
  <c r="M42" i="10"/>
  <c r="F7" i="7"/>
  <c r="AV28" i="10"/>
  <c r="AT28" i="10"/>
  <c r="AS28" i="10"/>
  <c r="AK28" i="10"/>
  <c r="AF28" i="10"/>
  <c r="AD28" i="10"/>
  <c r="AC28" i="10"/>
  <c r="V28" i="10"/>
  <c r="W28" i="10" s="1"/>
  <c r="Q28" i="10"/>
  <c r="P28" i="10"/>
  <c r="O28" i="10"/>
  <c r="N28" i="10"/>
  <c r="M28" i="10"/>
  <c r="X28" i="10" s="1"/>
  <c r="AV393" i="10"/>
  <c r="AT393" i="10"/>
  <c r="AS393" i="10"/>
  <c r="AK393" i="10"/>
  <c r="AF393" i="10"/>
  <c r="AD393" i="10"/>
  <c r="AC393" i="10"/>
  <c r="V393" i="10"/>
  <c r="W393" i="10" s="1"/>
  <c r="Q393" i="10"/>
  <c r="P393" i="10"/>
  <c r="O393" i="10"/>
  <c r="N393" i="10"/>
  <c r="M393" i="10"/>
  <c r="AV391" i="10"/>
  <c r="AT391" i="10"/>
  <c r="AS391" i="10"/>
  <c r="AK391" i="10"/>
  <c r="AF391" i="10"/>
  <c r="AD391" i="10"/>
  <c r="AC391" i="10"/>
  <c r="V391" i="10"/>
  <c r="W391" i="10" s="1"/>
  <c r="Q391" i="10"/>
  <c r="P391" i="10"/>
  <c r="O391" i="10"/>
  <c r="N391" i="10"/>
  <c r="M391" i="10"/>
  <c r="AV390" i="10"/>
  <c r="AT390" i="10"/>
  <c r="AS390" i="10"/>
  <c r="AK390" i="10"/>
  <c r="AF390" i="10"/>
  <c r="AD390" i="10"/>
  <c r="AC390" i="10"/>
  <c r="V390" i="10"/>
  <c r="W390" i="10" s="1"/>
  <c r="Q390" i="10"/>
  <c r="P390" i="10"/>
  <c r="O390" i="10"/>
  <c r="N390" i="10"/>
  <c r="M390" i="10"/>
  <c r="AV389" i="10"/>
  <c r="AT389" i="10"/>
  <c r="AS389" i="10"/>
  <c r="AK389" i="10"/>
  <c r="AF389" i="10"/>
  <c r="AD389" i="10"/>
  <c r="AC389" i="10"/>
  <c r="V389" i="10"/>
  <c r="W389" i="10" s="1"/>
  <c r="Q389" i="10"/>
  <c r="P389" i="10"/>
  <c r="O389" i="10"/>
  <c r="N389" i="10"/>
  <c r="M389" i="10"/>
  <c r="X389" i="10" s="1"/>
  <c r="AV386" i="10"/>
  <c r="AT386" i="10"/>
  <c r="AS386" i="10"/>
  <c r="AK386" i="10"/>
  <c r="AR386" i="10" s="1"/>
  <c r="AF386" i="10"/>
  <c r="AD386" i="10"/>
  <c r="AC386" i="10"/>
  <c r="W386" i="10"/>
  <c r="V386" i="10"/>
  <c r="Q386" i="10"/>
  <c r="P386" i="10"/>
  <c r="O386" i="10"/>
  <c r="N386" i="10"/>
  <c r="M386" i="10"/>
  <c r="X386" i="10" s="1"/>
  <c r="AV385" i="10"/>
  <c r="AT385" i="10"/>
  <c r="AS385" i="10"/>
  <c r="AK385" i="10"/>
  <c r="AR385" i="10" s="1"/>
  <c r="AF385" i="10"/>
  <c r="AD385" i="10"/>
  <c r="AC385" i="10"/>
  <c r="V385" i="10"/>
  <c r="W385" i="10" s="1"/>
  <c r="Q385" i="10"/>
  <c r="P385" i="10"/>
  <c r="O385" i="10"/>
  <c r="N385" i="10"/>
  <c r="M385" i="10"/>
  <c r="AV384" i="10"/>
  <c r="AT384" i="10"/>
  <c r="AS384" i="10"/>
  <c r="AK384" i="10"/>
  <c r="AF384" i="10"/>
  <c r="AD384" i="10"/>
  <c r="AC384" i="10"/>
  <c r="V384" i="10"/>
  <c r="W384" i="10" s="1"/>
  <c r="Q384" i="10"/>
  <c r="P384" i="10"/>
  <c r="O384" i="10"/>
  <c r="N384" i="10"/>
  <c r="M384" i="10"/>
  <c r="AV382" i="10"/>
  <c r="AT382" i="10"/>
  <c r="AS382" i="10"/>
  <c r="AK382" i="10"/>
  <c r="AF382" i="10"/>
  <c r="AD382" i="10"/>
  <c r="AC382" i="10"/>
  <c r="V382" i="10"/>
  <c r="W382" i="10" s="1"/>
  <c r="Q382" i="10"/>
  <c r="P382" i="10"/>
  <c r="O382" i="10"/>
  <c r="N382" i="10"/>
  <c r="M382" i="10"/>
  <c r="AV381" i="10"/>
  <c r="AT381" i="10"/>
  <c r="AS381" i="10"/>
  <c r="AK381" i="10"/>
  <c r="AR381" i="10" s="1"/>
  <c r="AF381" i="10"/>
  <c r="AD381" i="10"/>
  <c r="AC381" i="10"/>
  <c r="W381" i="10"/>
  <c r="V381" i="10"/>
  <c r="Q381" i="10"/>
  <c r="P381" i="10"/>
  <c r="O381" i="10"/>
  <c r="N381" i="10"/>
  <c r="M381" i="10"/>
  <c r="X381" i="10" s="1"/>
  <c r="AV380" i="10"/>
  <c r="AT380" i="10"/>
  <c r="O380" i="10" s="1"/>
  <c r="AS380" i="10"/>
  <c r="AK380" i="10"/>
  <c r="AF380" i="10"/>
  <c r="AD380" i="10"/>
  <c r="AC380" i="10"/>
  <c r="V380" i="10"/>
  <c r="W380" i="10" s="1"/>
  <c r="Q380" i="10"/>
  <c r="P380" i="10"/>
  <c r="N380" i="10"/>
  <c r="M380" i="10"/>
  <c r="AV379" i="10"/>
  <c r="AT379" i="10"/>
  <c r="AS379" i="10"/>
  <c r="AK379" i="10"/>
  <c r="AF379" i="10"/>
  <c r="AD379" i="10"/>
  <c r="AC379" i="10"/>
  <c r="V379" i="10"/>
  <c r="W379" i="10" s="1"/>
  <c r="Q379" i="10"/>
  <c r="P379" i="10"/>
  <c r="O379" i="10"/>
  <c r="N379" i="10"/>
  <c r="M379" i="10"/>
  <c r="AV378" i="10"/>
  <c r="AT378" i="10"/>
  <c r="O378" i="10" s="1"/>
  <c r="AS378" i="10"/>
  <c r="AK378" i="10"/>
  <c r="AR378" i="10" s="1"/>
  <c r="AF378" i="10"/>
  <c r="AD378" i="10"/>
  <c r="AC378" i="10"/>
  <c r="V378" i="10"/>
  <c r="W378" i="10" s="1"/>
  <c r="Q378" i="10"/>
  <c r="P378" i="10"/>
  <c r="N378" i="10"/>
  <c r="M378" i="10"/>
  <c r="F32" i="7"/>
  <c r="AV377" i="10"/>
  <c r="AT377" i="10"/>
  <c r="O377" i="10" s="1"/>
  <c r="AS377" i="10"/>
  <c r="AK377" i="10"/>
  <c r="AF377" i="10"/>
  <c r="AD377" i="10"/>
  <c r="AC377" i="10"/>
  <c r="V377" i="10"/>
  <c r="W377" i="10" s="1"/>
  <c r="Q377" i="10"/>
  <c r="P377" i="10"/>
  <c r="N377" i="10"/>
  <c r="M377" i="10"/>
  <c r="F42" i="7"/>
  <c r="AV376" i="10"/>
  <c r="AT376" i="10"/>
  <c r="O376" i="10" s="1"/>
  <c r="AS376" i="10"/>
  <c r="AK376" i="10"/>
  <c r="AR376" i="10" s="1"/>
  <c r="AF376" i="10"/>
  <c r="AD376" i="10"/>
  <c r="AC376" i="10"/>
  <c r="V376" i="10"/>
  <c r="W376" i="10" s="1"/>
  <c r="Q376" i="10"/>
  <c r="P376" i="10"/>
  <c r="N376" i="10"/>
  <c r="M376" i="10"/>
  <c r="AV375" i="10"/>
  <c r="AT375" i="10"/>
  <c r="O375" i="10" s="1"/>
  <c r="AS375" i="10"/>
  <c r="AK375" i="10"/>
  <c r="AF375" i="10"/>
  <c r="AD375" i="10"/>
  <c r="AC375" i="10"/>
  <c r="V375" i="10"/>
  <c r="W375" i="10" s="1"/>
  <c r="Q375" i="10"/>
  <c r="P375" i="10"/>
  <c r="N375" i="10"/>
  <c r="M375" i="10"/>
  <c r="AV374" i="10"/>
  <c r="AT374" i="10"/>
  <c r="O374" i="10" s="1"/>
  <c r="AS374" i="10"/>
  <c r="AK374" i="10"/>
  <c r="AF374" i="10"/>
  <c r="AD374" i="10"/>
  <c r="AC374" i="10"/>
  <c r="V374" i="10"/>
  <c r="W374" i="10" s="1"/>
  <c r="Q374" i="10"/>
  <c r="P374" i="10"/>
  <c r="N374" i="10"/>
  <c r="M374" i="10"/>
  <c r="AV373" i="10"/>
  <c r="AT373" i="10"/>
  <c r="AS373" i="10"/>
  <c r="AK373" i="10"/>
  <c r="AR373" i="10" s="1"/>
  <c r="AF373" i="10"/>
  <c r="AD373" i="10"/>
  <c r="AC373" i="10"/>
  <c r="W373" i="10"/>
  <c r="V373" i="10"/>
  <c r="Q373" i="10"/>
  <c r="P373" i="10"/>
  <c r="O373" i="10"/>
  <c r="N373" i="10"/>
  <c r="M373" i="10"/>
  <c r="X373" i="10" s="1"/>
  <c r="AV372" i="10"/>
  <c r="AT372" i="10"/>
  <c r="AS372" i="10"/>
  <c r="AK372" i="10"/>
  <c r="AR372" i="10" s="1"/>
  <c r="AF372" i="10"/>
  <c r="AD372" i="10"/>
  <c r="AC372" i="10"/>
  <c r="V372" i="10"/>
  <c r="W372" i="10" s="1"/>
  <c r="Q372" i="10"/>
  <c r="P372" i="10"/>
  <c r="O372" i="10"/>
  <c r="N372" i="10"/>
  <c r="M372" i="10"/>
  <c r="X372" i="10" s="1"/>
  <c r="F86" i="7"/>
  <c r="AV371" i="10"/>
  <c r="AT371" i="10"/>
  <c r="O371" i="10" s="1"/>
  <c r="AS371" i="10"/>
  <c r="AK371" i="10"/>
  <c r="AF371" i="10"/>
  <c r="AD371" i="10"/>
  <c r="AC371" i="10"/>
  <c r="V371" i="10"/>
  <c r="W371" i="10" s="1"/>
  <c r="Q371" i="10"/>
  <c r="P371" i="10"/>
  <c r="N371" i="10"/>
  <c r="M371" i="10"/>
  <c r="AV370" i="10"/>
  <c r="AT370" i="10"/>
  <c r="AS370" i="10"/>
  <c r="AK370" i="10"/>
  <c r="AF370" i="10"/>
  <c r="AD370" i="10"/>
  <c r="AC370" i="10"/>
  <c r="V370" i="10"/>
  <c r="W370" i="10" s="1"/>
  <c r="Q370" i="10"/>
  <c r="P370" i="10"/>
  <c r="O370" i="10"/>
  <c r="N370" i="10"/>
  <c r="M370" i="10"/>
  <c r="X370" i="10" s="1"/>
  <c r="AV369" i="10"/>
  <c r="AT369" i="10"/>
  <c r="AS369" i="10"/>
  <c r="AK369" i="10"/>
  <c r="AR369" i="10" s="1"/>
  <c r="AF369" i="10"/>
  <c r="AD369" i="10"/>
  <c r="AC369" i="10"/>
  <c r="W369" i="10"/>
  <c r="V369" i="10"/>
  <c r="Q369" i="10"/>
  <c r="P369" i="10"/>
  <c r="O369" i="10"/>
  <c r="N369" i="10"/>
  <c r="M369" i="10"/>
  <c r="X369" i="10" s="1"/>
  <c r="AV364" i="10"/>
  <c r="AT364" i="10"/>
  <c r="AS364" i="10"/>
  <c r="AK364" i="10"/>
  <c r="AR364" i="10" s="1"/>
  <c r="AF364" i="10"/>
  <c r="AD364" i="10"/>
  <c r="AC364" i="10"/>
  <c r="V364" i="10"/>
  <c r="W364" i="10" s="1"/>
  <c r="Q364" i="10"/>
  <c r="P364" i="10"/>
  <c r="O364" i="10"/>
  <c r="N364" i="10"/>
  <c r="M364" i="10"/>
  <c r="X364" i="10" s="1"/>
  <c r="AV356" i="10"/>
  <c r="AT356" i="10"/>
  <c r="AS356" i="10"/>
  <c r="AK356" i="10"/>
  <c r="AF356" i="10"/>
  <c r="AD356" i="10"/>
  <c r="AC356" i="10"/>
  <c r="V356" i="10"/>
  <c r="W356" i="10" s="1"/>
  <c r="Q356" i="10"/>
  <c r="P356" i="10"/>
  <c r="O356" i="10"/>
  <c r="N356" i="10"/>
  <c r="M356" i="10"/>
  <c r="X356" i="10" s="1"/>
  <c r="AV349" i="10"/>
  <c r="AT349" i="10"/>
  <c r="AS349" i="10"/>
  <c r="AK349" i="10"/>
  <c r="AF349" i="10"/>
  <c r="AD349" i="10"/>
  <c r="AC349" i="10"/>
  <c r="V349" i="10"/>
  <c r="W349" i="10" s="1"/>
  <c r="Q349" i="10"/>
  <c r="P349" i="10"/>
  <c r="O349" i="10"/>
  <c r="N349" i="10"/>
  <c r="M349" i="10"/>
  <c r="X349" i="10" s="1"/>
  <c r="AV337" i="10"/>
  <c r="AT337" i="10"/>
  <c r="AS337" i="10"/>
  <c r="AK337" i="10"/>
  <c r="AF337" i="10"/>
  <c r="AD337" i="10"/>
  <c r="AC337" i="10"/>
  <c r="V337" i="10"/>
  <c r="W337" i="10" s="1"/>
  <c r="Q337" i="10"/>
  <c r="P337" i="10"/>
  <c r="O337" i="10"/>
  <c r="N337" i="10"/>
  <c r="M337" i="10"/>
  <c r="X337" i="10" s="1"/>
  <c r="AV325" i="10"/>
  <c r="AT325" i="10"/>
  <c r="AS325" i="10"/>
  <c r="AK325" i="10"/>
  <c r="AR325" i="10" s="1"/>
  <c r="AF325" i="10"/>
  <c r="AD325" i="10"/>
  <c r="AC325" i="10"/>
  <c r="V325" i="10"/>
  <c r="W325" i="10" s="1"/>
  <c r="Q325" i="10"/>
  <c r="P325" i="10"/>
  <c r="O325" i="10"/>
  <c r="N325" i="10"/>
  <c r="M325" i="10"/>
  <c r="AV287" i="10"/>
  <c r="AT287" i="10"/>
  <c r="AS287" i="10"/>
  <c r="AK287" i="10"/>
  <c r="AF287" i="10"/>
  <c r="AD287" i="10"/>
  <c r="AC287" i="10"/>
  <c r="V287" i="10"/>
  <c r="W287" i="10" s="1"/>
  <c r="Q287" i="10"/>
  <c r="P287" i="10"/>
  <c r="O287" i="10"/>
  <c r="N287" i="10"/>
  <c r="M287" i="10"/>
  <c r="X287" i="10" s="1"/>
  <c r="AV275" i="10"/>
  <c r="AT275" i="10"/>
  <c r="AS275" i="10"/>
  <c r="AK275" i="10"/>
  <c r="AF275" i="10"/>
  <c r="AD275" i="10"/>
  <c r="AC275" i="10"/>
  <c r="V275" i="10"/>
  <c r="W275" i="10" s="1"/>
  <c r="Q275" i="10"/>
  <c r="P275" i="10"/>
  <c r="O275" i="10"/>
  <c r="N275" i="10"/>
  <c r="M275" i="10"/>
  <c r="X275" i="10" s="1"/>
  <c r="AV264" i="10"/>
  <c r="AT264" i="10"/>
  <c r="AS264" i="10"/>
  <c r="AK264" i="10"/>
  <c r="AR264" i="10" s="1"/>
  <c r="AF264" i="10"/>
  <c r="AD264" i="10"/>
  <c r="AC264" i="10"/>
  <c r="V264" i="10"/>
  <c r="W264" i="10" s="1"/>
  <c r="Q264" i="10"/>
  <c r="P264" i="10"/>
  <c r="O264" i="10"/>
  <c r="N264" i="10"/>
  <c r="M264" i="10"/>
  <c r="X264" i="10" s="1"/>
  <c r="AV256" i="10"/>
  <c r="AT256" i="10"/>
  <c r="AS256" i="10"/>
  <c r="AK256" i="10"/>
  <c r="AF256" i="10"/>
  <c r="AD256" i="10"/>
  <c r="AC256" i="10"/>
  <c r="V256" i="10"/>
  <c r="W256" i="10" s="1"/>
  <c r="Q256" i="10"/>
  <c r="P256" i="10"/>
  <c r="O256" i="10"/>
  <c r="N256" i="10"/>
  <c r="M256" i="10"/>
  <c r="X256" i="10" s="1"/>
  <c r="AV247" i="10"/>
  <c r="AT247" i="10"/>
  <c r="AS247" i="10"/>
  <c r="AF247" i="10"/>
  <c r="AD247" i="10"/>
  <c r="Q247" i="10"/>
  <c r="O247" i="10"/>
  <c r="M247" i="10"/>
  <c r="AK247" i="10"/>
  <c r="AC247" i="10"/>
  <c r="V247" i="10"/>
  <c r="W247" i="10" s="1"/>
  <c r="P247" i="10"/>
  <c r="N247" i="10"/>
  <c r="AV204" i="10"/>
  <c r="AT204" i="10"/>
  <c r="AS204" i="10"/>
  <c r="AK204" i="10"/>
  <c r="AF204" i="10"/>
  <c r="AD204" i="10"/>
  <c r="AC204" i="10"/>
  <c r="V204" i="10"/>
  <c r="W204" i="10" s="1"/>
  <c r="Q204" i="10"/>
  <c r="P204" i="10"/>
  <c r="O204" i="10"/>
  <c r="N204" i="10"/>
  <c r="M204" i="10"/>
  <c r="X204" i="10" s="1"/>
  <c r="AV192" i="10"/>
  <c r="AT192" i="10"/>
  <c r="AS192" i="10"/>
  <c r="AK192" i="10"/>
  <c r="AF192" i="10"/>
  <c r="AD192" i="10"/>
  <c r="AC192" i="10"/>
  <c r="V192" i="10"/>
  <c r="W192" i="10" s="1"/>
  <c r="Q192" i="10"/>
  <c r="P192" i="10"/>
  <c r="O192" i="10"/>
  <c r="N192" i="10"/>
  <c r="M192" i="10"/>
  <c r="X192" i="10" s="1"/>
  <c r="AV181" i="10"/>
  <c r="AT181" i="10"/>
  <c r="AS181" i="10"/>
  <c r="AK181" i="10"/>
  <c r="AF181" i="10"/>
  <c r="AD181" i="10"/>
  <c r="AC181" i="10"/>
  <c r="V181" i="10"/>
  <c r="W181" i="10" s="1"/>
  <c r="Q181" i="10"/>
  <c r="P181" i="10"/>
  <c r="O181" i="10"/>
  <c r="N181" i="10"/>
  <c r="M181" i="10"/>
  <c r="X181" i="10" s="1"/>
  <c r="AV135" i="10"/>
  <c r="AT135" i="10"/>
  <c r="AS135" i="10"/>
  <c r="AK135" i="10"/>
  <c r="AR135" i="10" s="1"/>
  <c r="AF135" i="10"/>
  <c r="AD135" i="10"/>
  <c r="AC135" i="10"/>
  <c r="V135" i="10"/>
  <c r="W135" i="10" s="1"/>
  <c r="Q135" i="10"/>
  <c r="P135" i="10"/>
  <c r="O135" i="10"/>
  <c r="N135" i="10"/>
  <c r="M135" i="10"/>
  <c r="X135" i="10" s="1"/>
  <c r="AV112" i="10"/>
  <c r="AT112" i="10"/>
  <c r="AS112" i="10"/>
  <c r="AK112" i="10"/>
  <c r="AF112" i="10"/>
  <c r="AD112" i="10"/>
  <c r="AC112" i="10"/>
  <c r="V112" i="10"/>
  <c r="W112" i="10" s="1"/>
  <c r="Q112" i="10"/>
  <c r="P112" i="10"/>
  <c r="O112" i="10"/>
  <c r="N112" i="10"/>
  <c r="M112" i="10"/>
  <c r="X112" i="10" s="1"/>
  <c r="AV102" i="10"/>
  <c r="AT102" i="10"/>
  <c r="AS102" i="10"/>
  <c r="AK102" i="10"/>
  <c r="AF102" i="10"/>
  <c r="AD102" i="10"/>
  <c r="AC102" i="10"/>
  <c r="V102" i="10"/>
  <c r="W102" i="10" s="1"/>
  <c r="Q102" i="10"/>
  <c r="P102" i="10"/>
  <c r="O102" i="10"/>
  <c r="N102" i="10"/>
  <c r="M102" i="10"/>
  <c r="X102" i="10" s="1"/>
  <c r="AV56" i="10"/>
  <c r="AT56" i="10"/>
  <c r="AS56" i="10"/>
  <c r="AK56" i="10"/>
  <c r="AF56" i="10"/>
  <c r="AD56" i="10"/>
  <c r="AC56" i="10"/>
  <c r="V56" i="10"/>
  <c r="W56" i="10" s="1"/>
  <c r="Q56" i="10"/>
  <c r="P56" i="10"/>
  <c r="O56" i="10"/>
  <c r="N56" i="10"/>
  <c r="M56" i="10"/>
  <c r="X56" i="10" s="1"/>
  <c r="AV44" i="10"/>
  <c r="AT44" i="10"/>
  <c r="AS44" i="10"/>
  <c r="AK44" i="10"/>
  <c r="AF44" i="10"/>
  <c r="AD44" i="10"/>
  <c r="AC44" i="10"/>
  <c r="V44" i="10"/>
  <c r="W44" i="10" s="1"/>
  <c r="Q44" i="10"/>
  <c r="P44" i="10"/>
  <c r="O44" i="10"/>
  <c r="N44" i="10"/>
  <c r="M44" i="10"/>
  <c r="AV31" i="10"/>
  <c r="AT31" i="10"/>
  <c r="AS31" i="10"/>
  <c r="AK31" i="10"/>
  <c r="AF31" i="10"/>
  <c r="AD31" i="10"/>
  <c r="AC31" i="10"/>
  <c r="V31" i="10"/>
  <c r="W31" i="10" s="1"/>
  <c r="Q31" i="10"/>
  <c r="P31" i="10"/>
  <c r="O31" i="10"/>
  <c r="N31" i="10"/>
  <c r="M31" i="10"/>
  <c r="AV318" i="10"/>
  <c r="AT318" i="10"/>
  <c r="AS318" i="10"/>
  <c r="AK318" i="10"/>
  <c r="AF318" i="10"/>
  <c r="AD318" i="10"/>
  <c r="AC318" i="10"/>
  <c r="V318" i="10"/>
  <c r="W318" i="10" s="1"/>
  <c r="Q318" i="10"/>
  <c r="P318" i="10"/>
  <c r="O318" i="10"/>
  <c r="N318" i="10"/>
  <c r="M318" i="10"/>
  <c r="X318" i="10" s="1"/>
  <c r="AV317" i="10"/>
  <c r="AT317" i="10"/>
  <c r="AS317" i="10"/>
  <c r="AK317" i="10"/>
  <c r="AF317" i="10"/>
  <c r="AD317" i="10"/>
  <c r="AC317" i="10"/>
  <c r="V317" i="10"/>
  <c r="W317" i="10" s="1"/>
  <c r="Q317" i="10"/>
  <c r="P317" i="10"/>
  <c r="O317" i="10"/>
  <c r="N317" i="10"/>
  <c r="M317" i="10"/>
  <c r="X317" i="10" s="1"/>
  <c r="AV316" i="10"/>
  <c r="AT316" i="10"/>
  <c r="AS316" i="10"/>
  <c r="AK316" i="10"/>
  <c r="AF316" i="10"/>
  <c r="AD316" i="10"/>
  <c r="AC316" i="10"/>
  <c r="V316" i="10"/>
  <c r="W316" i="10" s="1"/>
  <c r="Q316" i="10"/>
  <c r="P316" i="10"/>
  <c r="O316" i="10"/>
  <c r="N316" i="10"/>
  <c r="M316" i="10"/>
  <c r="AV314" i="10"/>
  <c r="AT314" i="10"/>
  <c r="AS314" i="10"/>
  <c r="AK314" i="10"/>
  <c r="AF314" i="10"/>
  <c r="AD314" i="10"/>
  <c r="AC314" i="10"/>
  <c r="V314" i="10"/>
  <c r="W314" i="10" s="1"/>
  <c r="Q314" i="10"/>
  <c r="P314" i="10"/>
  <c r="O314" i="10"/>
  <c r="N314" i="10"/>
  <c r="M314" i="10"/>
  <c r="AV313" i="10"/>
  <c r="AT313" i="10"/>
  <c r="AS313" i="10"/>
  <c r="AK313" i="10"/>
  <c r="AF313" i="10"/>
  <c r="AD313" i="10"/>
  <c r="AC313" i="10"/>
  <c r="V313" i="10"/>
  <c r="W313" i="10" s="1"/>
  <c r="Q313" i="10"/>
  <c r="P313" i="10"/>
  <c r="O313" i="10"/>
  <c r="N313" i="10"/>
  <c r="M313" i="10"/>
  <c r="X313" i="10" s="1"/>
  <c r="AV312" i="10"/>
  <c r="AT312" i="10"/>
  <c r="AS312" i="10"/>
  <c r="AK312" i="10"/>
  <c r="AF312" i="10"/>
  <c r="AD312" i="10"/>
  <c r="AC312" i="10"/>
  <c r="V312" i="10"/>
  <c r="W312" i="10" s="1"/>
  <c r="Q312" i="10"/>
  <c r="P312" i="10"/>
  <c r="O312" i="10"/>
  <c r="N312" i="10"/>
  <c r="M312" i="10"/>
  <c r="AV311" i="10"/>
  <c r="AT311" i="10"/>
  <c r="AS311" i="10"/>
  <c r="AK311" i="10"/>
  <c r="AF311" i="10"/>
  <c r="AD311" i="10"/>
  <c r="AC311" i="10"/>
  <c r="V311" i="10"/>
  <c r="W311" i="10" s="1"/>
  <c r="Q311" i="10"/>
  <c r="P311" i="10"/>
  <c r="O311" i="10"/>
  <c r="N311" i="10"/>
  <c r="M311" i="10"/>
  <c r="X311" i="10" s="1"/>
  <c r="AV310" i="10"/>
  <c r="AT310" i="10"/>
  <c r="AS310" i="10"/>
  <c r="AK310" i="10"/>
  <c r="AR310" i="10" s="1"/>
  <c r="AF310" i="10"/>
  <c r="AD310" i="10"/>
  <c r="AC310" i="10"/>
  <c r="V310" i="10"/>
  <c r="W310" i="10" s="1"/>
  <c r="Q310" i="10"/>
  <c r="P310" i="10"/>
  <c r="O310" i="10"/>
  <c r="N310" i="10"/>
  <c r="M310" i="10"/>
  <c r="AV309" i="10"/>
  <c r="AT309" i="10"/>
  <c r="AS309" i="10"/>
  <c r="AK309" i="10"/>
  <c r="AR309" i="10" s="1"/>
  <c r="AF309" i="10"/>
  <c r="AD309" i="10"/>
  <c r="AC309" i="10"/>
  <c r="V309" i="10"/>
  <c r="W309" i="10" s="1"/>
  <c r="Q309" i="10"/>
  <c r="P309" i="10"/>
  <c r="O309" i="10"/>
  <c r="N309" i="10"/>
  <c r="M309" i="10"/>
  <c r="AV308" i="10"/>
  <c r="AT308" i="10"/>
  <c r="AS308" i="10"/>
  <c r="AK308" i="10"/>
  <c r="AF308" i="10"/>
  <c r="AD308" i="10"/>
  <c r="AC308" i="10"/>
  <c r="V308" i="10"/>
  <c r="W308" i="10" s="1"/>
  <c r="Q308" i="10"/>
  <c r="P308" i="10"/>
  <c r="O308" i="10"/>
  <c r="N308" i="10"/>
  <c r="M308" i="10"/>
  <c r="AV307" i="10"/>
  <c r="AT307" i="10"/>
  <c r="AS307" i="10"/>
  <c r="AK307" i="10"/>
  <c r="AF307" i="10"/>
  <c r="AD307" i="10"/>
  <c r="AC307" i="10"/>
  <c r="V307" i="10"/>
  <c r="W307" i="10" s="1"/>
  <c r="Q307" i="10"/>
  <c r="P307" i="10"/>
  <c r="O307" i="10"/>
  <c r="N307" i="10"/>
  <c r="M307" i="10"/>
  <c r="X307" i="10" s="1"/>
  <c r="AV306" i="10"/>
  <c r="AT306" i="10"/>
  <c r="AS306" i="10"/>
  <c r="AK306" i="10"/>
  <c r="AF306" i="10"/>
  <c r="AD306" i="10"/>
  <c r="AC306" i="10"/>
  <c r="V306" i="10"/>
  <c r="W306" i="10" s="1"/>
  <c r="Q306" i="10"/>
  <c r="P306" i="10"/>
  <c r="O306" i="10"/>
  <c r="N306" i="10"/>
  <c r="M306" i="10"/>
  <c r="AV303" i="10"/>
  <c r="AT303" i="10"/>
  <c r="AS303" i="10"/>
  <c r="AK303" i="10"/>
  <c r="AF303" i="10"/>
  <c r="AD303" i="10"/>
  <c r="AC303" i="10"/>
  <c r="V303" i="10"/>
  <c r="W303" i="10" s="1"/>
  <c r="Q303" i="10"/>
  <c r="P303" i="10"/>
  <c r="O303" i="10"/>
  <c r="N303" i="10"/>
  <c r="M303" i="10"/>
  <c r="AV302" i="10"/>
  <c r="AT302" i="10"/>
  <c r="AS302" i="10"/>
  <c r="AK302" i="10"/>
  <c r="AF302" i="10"/>
  <c r="AD302" i="10"/>
  <c r="AC302" i="10"/>
  <c r="V302" i="10"/>
  <c r="W302" i="10" s="1"/>
  <c r="Q302" i="10"/>
  <c r="P302" i="10"/>
  <c r="O302" i="10"/>
  <c r="N302" i="10"/>
  <c r="M302" i="10"/>
  <c r="AV301" i="10"/>
  <c r="AT301" i="10"/>
  <c r="AS301" i="10"/>
  <c r="AK301" i="10"/>
  <c r="AR301" i="10" s="1"/>
  <c r="AF301" i="10"/>
  <c r="AD301" i="10"/>
  <c r="AC301" i="10"/>
  <c r="W301" i="10"/>
  <c r="V301" i="10"/>
  <c r="Q301" i="10"/>
  <c r="P301" i="10"/>
  <c r="O301" i="10"/>
  <c r="N301" i="10"/>
  <c r="M301" i="10"/>
  <c r="X301" i="10" s="1"/>
  <c r="AV300" i="10"/>
  <c r="AT300" i="10"/>
  <c r="AS300" i="10"/>
  <c r="AK300" i="10"/>
  <c r="AF300" i="10"/>
  <c r="AD300" i="10"/>
  <c r="AC300" i="10"/>
  <c r="V300" i="10"/>
  <c r="W300" i="10" s="1"/>
  <c r="Q300" i="10"/>
  <c r="P300" i="10"/>
  <c r="O300" i="10"/>
  <c r="N300" i="10"/>
  <c r="M300" i="10"/>
  <c r="AV299" i="10"/>
  <c r="AT299" i="10"/>
  <c r="O299" i="10" s="1"/>
  <c r="AS299" i="10"/>
  <c r="AK299" i="10"/>
  <c r="AF299" i="10"/>
  <c r="AD299" i="10"/>
  <c r="AC299" i="10"/>
  <c r="V299" i="10"/>
  <c r="W299" i="10" s="1"/>
  <c r="Q299" i="10"/>
  <c r="P299" i="10"/>
  <c r="N299" i="10"/>
  <c r="M299" i="10"/>
  <c r="AV298" i="10"/>
  <c r="AT298" i="10"/>
  <c r="O298" i="10" s="1"/>
  <c r="AS298" i="10"/>
  <c r="AK298" i="10"/>
  <c r="AF298" i="10"/>
  <c r="AD298" i="10"/>
  <c r="AC298" i="10"/>
  <c r="V298" i="10"/>
  <c r="W298" i="10" s="1"/>
  <c r="Q298" i="10"/>
  <c r="P298" i="10"/>
  <c r="N298" i="10"/>
  <c r="M298" i="10"/>
  <c r="F66" i="7"/>
  <c r="AV297" i="10"/>
  <c r="AT297" i="10"/>
  <c r="O297" i="10" s="1"/>
  <c r="AS297" i="10"/>
  <c r="AK297" i="10"/>
  <c r="AF297" i="10"/>
  <c r="AD297" i="10"/>
  <c r="AC297" i="10"/>
  <c r="V297" i="10"/>
  <c r="W297" i="10" s="1"/>
  <c r="Q297" i="10"/>
  <c r="P297" i="10"/>
  <c r="N297" i="10"/>
  <c r="M297" i="10"/>
  <c r="AV296" i="10"/>
  <c r="AT296" i="10"/>
  <c r="O296" i="10" s="1"/>
  <c r="AS296" i="10"/>
  <c r="AK296" i="10"/>
  <c r="AF296" i="10"/>
  <c r="AD296" i="10"/>
  <c r="AC296" i="10"/>
  <c r="V296" i="10"/>
  <c r="W296" i="10" s="1"/>
  <c r="Q296" i="10"/>
  <c r="P296" i="10"/>
  <c r="N296" i="10"/>
  <c r="M296" i="10"/>
  <c r="AV294" i="10"/>
  <c r="AT294" i="10"/>
  <c r="O294" i="10" s="1"/>
  <c r="AS294" i="10"/>
  <c r="AK294" i="10"/>
  <c r="AF294" i="10"/>
  <c r="AD294" i="10"/>
  <c r="AC294" i="10"/>
  <c r="V294" i="10"/>
  <c r="W294" i="10" s="1"/>
  <c r="Q294" i="10"/>
  <c r="P294" i="10"/>
  <c r="N294" i="10"/>
  <c r="M294" i="10"/>
  <c r="AV293" i="10"/>
  <c r="AT293" i="10"/>
  <c r="AS293" i="10"/>
  <c r="AK293" i="10"/>
  <c r="AF293" i="10"/>
  <c r="AD293" i="10"/>
  <c r="AC293" i="10"/>
  <c r="V293" i="10"/>
  <c r="W293" i="10" s="1"/>
  <c r="Q293" i="10"/>
  <c r="P293" i="10"/>
  <c r="O293" i="10"/>
  <c r="N293" i="10"/>
  <c r="M293" i="10"/>
  <c r="X293" i="10" s="1"/>
  <c r="AV292" i="10"/>
  <c r="AT292" i="10"/>
  <c r="AS292" i="10"/>
  <c r="AK292" i="10"/>
  <c r="AF292" i="10"/>
  <c r="AD292" i="10"/>
  <c r="AC292" i="10"/>
  <c r="V292" i="10"/>
  <c r="W292" i="10" s="1"/>
  <c r="Q292" i="10"/>
  <c r="P292" i="10"/>
  <c r="O292" i="10"/>
  <c r="N292" i="10"/>
  <c r="M292" i="10"/>
  <c r="X292" i="10" s="1"/>
  <c r="AV291" i="10"/>
  <c r="AT291" i="10"/>
  <c r="AS291" i="10"/>
  <c r="AK291" i="10"/>
  <c r="AF291" i="10"/>
  <c r="AD291" i="10"/>
  <c r="AC291" i="10"/>
  <c r="V291" i="10"/>
  <c r="W291" i="10" s="1"/>
  <c r="Q291" i="10"/>
  <c r="P291" i="10"/>
  <c r="O291" i="10"/>
  <c r="N291" i="10"/>
  <c r="M291" i="10"/>
  <c r="AV290" i="10"/>
  <c r="AT290" i="10"/>
  <c r="AS290" i="10"/>
  <c r="AK290" i="10"/>
  <c r="AF290" i="10"/>
  <c r="AD290" i="10"/>
  <c r="AC290" i="10"/>
  <c r="V290" i="10"/>
  <c r="W290" i="10" s="1"/>
  <c r="Q290" i="10"/>
  <c r="P290" i="10"/>
  <c r="O290" i="10"/>
  <c r="N290" i="10"/>
  <c r="M290" i="10"/>
  <c r="X290" i="10" s="1"/>
  <c r="AV289" i="10"/>
  <c r="AT289" i="10"/>
  <c r="AS289" i="10"/>
  <c r="AK289" i="10"/>
  <c r="AF289" i="10"/>
  <c r="AD289" i="10"/>
  <c r="AC289" i="10"/>
  <c r="V289" i="10"/>
  <c r="W289" i="10" s="1"/>
  <c r="Q289" i="10"/>
  <c r="P289" i="10"/>
  <c r="O289" i="10"/>
  <c r="N289" i="10"/>
  <c r="M289" i="10"/>
  <c r="X289" i="10" s="1"/>
  <c r="AV288" i="10"/>
  <c r="AT288" i="10"/>
  <c r="AS288" i="10"/>
  <c r="AK288" i="10"/>
  <c r="AF288" i="10"/>
  <c r="AD288" i="10"/>
  <c r="AC288" i="10"/>
  <c r="V288" i="10"/>
  <c r="W288" i="10" s="1"/>
  <c r="Q288" i="10"/>
  <c r="P288" i="10"/>
  <c r="O288" i="10"/>
  <c r="N288" i="10"/>
  <c r="M288" i="10"/>
  <c r="X288" i="10" s="1"/>
  <c r="AV279" i="10"/>
  <c r="AT279" i="10"/>
  <c r="AS279" i="10"/>
  <c r="AK279" i="10"/>
  <c r="AF279" i="10"/>
  <c r="AD279" i="10"/>
  <c r="AC279" i="10"/>
  <c r="V279" i="10"/>
  <c r="W279" i="10" s="1"/>
  <c r="Q279" i="10"/>
  <c r="P279" i="10"/>
  <c r="O279" i="10"/>
  <c r="N279" i="10"/>
  <c r="M279" i="10"/>
  <c r="X279" i="10" s="1"/>
  <c r="AV266" i="10"/>
  <c r="AT266" i="10"/>
  <c r="AS266" i="10"/>
  <c r="AK266" i="10"/>
  <c r="AF266" i="10"/>
  <c r="AD266" i="10"/>
  <c r="AC266" i="10"/>
  <c r="V266" i="10"/>
  <c r="W266" i="10" s="1"/>
  <c r="Q266" i="10"/>
  <c r="P266" i="10"/>
  <c r="O266" i="10"/>
  <c r="N266" i="10"/>
  <c r="M266" i="10"/>
  <c r="X266" i="10" s="1"/>
  <c r="AV258" i="10"/>
  <c r="AT258" i="10"/>
  <c r="AS258" i="10"/>
  <c r="AK258" i="10"/>
  <c r="AF258" i="10"/>
  <c r="AD258" i="10"/>
  <c r="AC258" i="10"/>
  <c r="V258" i="10"/>
  <c r="W258" i="10" s="1"/>
  <c r="Q258" i="10"/>
  <c r="P258" i="10"/>
  <c r="O258" i="10"/>
  <c r="N258" i="10"/>
  <c r="M258" i="10"/>
  <c r="N248" i="10"/>
  <c r="AV248" i="10"/>
  <c r="AT248" i="10"/>
  <c r="O248" i="10" s="1"/>
  <c r="AS248" i="10"/>
  <c r="AK248" i="10"/>
  <c r="AF248" i="10"/>
  <c r="AD248" i="10"/>
  <c r="AC248" i="10"/>
  <c r="V248" i="10"/>
  <c r="W248" i="10" s="1"/>
  <c r="Q248" i="10"/>
  <c r="P248" i="10"/>
  <c r="M248" i="10"/>
  <c r="X248" i="10" s="1"/>
  <c r="AV207" i="10"/>
  <c r="AT207" i="10"/>
  <c r="AS207" i="10"/>
  <c r="AK207" i="10"/>
  <c r="AF207" i="10"/>
  <c r="AD207" i="10"/>
  <c r="AC207" i="10"/>
  <c r="V207" i="10"/>
  <c r="W207" i="10" s="1"/>
  <c r="Q207" i="10"/>
  <c r="P207" i="10"/>
  <c r="O207" i="10"/>
  <c r="N207" i="10"/>
  <c r="M207" i="10"/>
  <c r="X207" i="10" s="1"/>
  <c r="F21" i="7"/>
  <c r="AV196" i="10"/>
  <c r="AT196" i="10"/>
  <c r="AS196" i="10"/>
  <c r="AK196" i="10"/>
  <c r="AF196" i="10"/>
  <c r="AD196" i="10"/>
  <c r="AC196" i="10"/>
  <c r="V196" i="10"/>
  <c r="W196" i="10" s="1"/>
  <c r="Q196" i="10"/>
  <c r="P196" i="10"/>
  <c r="O196" i="10"/>
  <c r="N196" i="10"/>
  <c r="M196" i="10"/>
  <c r="X196" i="10" s="1"/>
  <c r="AV183" i="10"/>
  <c r="AT183" i="10"/>
  <c r="AS183" i="10"/>
  <c r="AK183" i="10"/>
  <c r="AF183" i="10"/>
  <c r="AD183" i="10"/>
  <c r="AC183" i="10"/>
  <c r="V183" i="10"/>
  <c r="W183" i="10" s="1"/>
  <c r="Q183" i="10"/>
  <c r="P183" i="10"/>
  <c r="O183" i="10"/>
  <c r="N183" i="10"/>
  <c r="M183" i="10"/>
  <c r="AV136" i="10"/>
  <c r="AT136" i="10"/>
  <c r="AS136" i="10"/>
  <c r="AK136" i="10"/>
  <c r="AF136" i="10"/>
  <c r="AD136" i="10"/>
  <c r="AC136" i="10"/>
  <c r="V136" i="10"/>
  <c r="W136" i="10" s="1"/>
  <c r="Q136" i="10"/>
  <c r="P136" i="10"/>
  <c r="O136" i="10"/>
  <c r="N136" i="10"/>
  <c r="M136" i="10"/>
  <c r="X136" i="10" s="1"/>
  <c r="AV113" i="10"/>
  <c r="AT113" i="10"/>
  <c r="AS113" i="10"/>
  <c r="AK113" i="10"/>
  <c r="AF113" i="10"/>
  <c r="AD113" i="10"/>
  <c r="AC113" i="10"/>
  <c r="V113" i="10"/>
  <c r="W113" i="10" s="1"/>
  <c r="Q113" i="10"/>
  <c r="P113" i="10"/>
  <c r="O113" i="10"/>
  <c r="N113" i="10"/>
  <c r="M113" i="10"/>
  <c r="AV103" i="10"/>
  <c r="AT103" i="10"/>
  <c r="AS103" i="10"/>
  <c r="AK103" i="10"/>
  <c r="AF103" i="10"/>
  <c r="AD103" i="10"/>
  <c r="AC103" i="10"/>
  <c r="V103" i="10"/>
  <c r="W103" i="10" s="1"/>
  <c r="Q103" i="10"/>
  <c r="P103" i="10"/>
  <c r="O103" i="10"/>
  <c r="N103" i="10"/>
  <c r="M103" i="10"/>
  <c r="X103" i="10" s="1"/>
  <c r="AV58" i="10"/>
  <c r="AT58" i="10"/>
  <c r="AS58" i="10"/>
  <c r="AK58" i="10"/>
  <c r="AF58" i="10"/>
  <c r="AD58" i="10"/>
  <c r="AC58" i="10"/>
  <c r="V58" i="10"/>
  <c r="W58" i="10" s="1"/>
  <c r="Q58" i="10"/>
  <c r="P58" i="10"/>
  <c r="O58" i="10"/>
  <c r="N58" i="10"/>
  <c r="M58" i="10"/>
  <c r="F29" i="7"/>
  <c r="AV45" i="10"/>
  <c r="AT45" i="10"/>
  <c r="AS45" i="10"/>
  <c r="AK45" i="10"/>
  <c r="AF45" i="10"/>
  <c r="AD45" i="10"/>
  <c r="AC45" i="10"/>
  <c r="V45" i="10"/>
  <c r="W45" i="10" s="1"/>
  <c r="Q45" i="10"/>
  <c r="P45" i="10"/>
  <c r="O45" i="10"/>
  <c r="N45" i="10"/>
  <c r="M45" i="10"/>
  <c r="X45" i="10" s="1"/>
  <c r="F10" i="7"/>
  <c r="AV34" i="10"/>
  <c r="AT34" i="10"/>
  <c r="AS34" i="10"/>
  <c r="AK34" i="10"/>
  <c r="AF34" i="10"/>
  <c r="AD34" i="10"/>
  <c r="AC34" i="10"/>
  <c r="V34" i="10"/>
  <c r="W34" i="10" s="1"/>
  <c r="Q34" i="10"/>
  <c r="P34" i="10"/>
  <c r="O34" i="10"/>
  <c r="N34" i="10"/>
  <c r="M34" i="10"/>
  <c r="X34" i="10" s="1"/>
  <c r="F18" i="7"/>
  <c r="AV24" i="10"/>
  <c r="AT24" i="10"/>
  <c r="AS24" i="10"/>
  <c r="AK24" i="10"/>
  <c r="AF24" i="10"/>
  <c r="AD24" i="10"/>
  <c r="AC24" i="10"/>
  <c r="V24" i="10"/>
  <c r="W24" i="10" s="1"/>
  <c r="Q24" i="10"/>
  <c r="P24" i="10"/>
  <c r="O24" i="10"/>
  <c r="N24" i="10"/>
  <c r="M24" i="10"/>
  <c r="X24" i="10" s="1"/>
  <c r="AV245" i="10"/>
  <c r="AT245" i="10"/>
  <c r="AS245" i="10"/>
  <c r="AF245" i="10"/>
  <c r="AD245" i="10"/>
  <c r="P245" i="10"/>
  <c r="N245" i="10"/>
  <c r="AK245" i="10"/>
  <c r="AR245" i="10" s="1"/>
  <c r="AC245" i="10"/>
  <c r="V245" i="10"/>
  <c r="W245" i="10" s="1"/>
  <c r="Q245" i="10"/>
  <c r="O245" i="10"/>
  <c r="M245" i="10"/>
  <c r="AV244" i="10"/>
  <c r="AT244" i="10"/>
  <c r="AS244" i="10"/>
  <c r="AK244" i="10"/>
  <c r="AC244" i="10"/>
  <c r="V244" i="10"/>
  <c r="P244" i="10"/>
  <c r="O244" i="10"/>
  <c r="M244" i="10"/>
  <c r="AF244" i="10"/>
  <c r="AD244" i="10"/>
  <c r="W244" i="10"/>
  <c r="Q244" i="10"/>
  <c r="N244" i="10"/>
  <c r="X244" i="10" s="1"/>
  <c r="AV243" i="10"/>
  <c r="AT243" i="10"/>
  <c r="AS243" i="10"/>
  <c r="V243" i="10"/>
  <c r="O243" i="10"/>
  <c r="N243" i="10"/>
  <c r="AK243" i="10"/>
  <c r="AF243" i="10"/>
  <c r="AD243" i="10"/>
  <c r="AC243" i="10"/>
  <c r="W243" i="10"/>
  <c r="Q243" i="10"/>
  <c r="P243" i="10"/>
  <c r="M243" i="10"/>
  <c r="X243" i="10" s="1"/>
  <c r="AV242" i="10"/>
  <c r="AT242" i="10"/>
  <c r="AS242" i="10"/>
  <c r="AD242" i="10"/>
  <c r="V242" i="10"/>
  <c r="Q242" i="10"/>
  <c r="O242" i="10"/>
  <c r="M242" i="10"/>
  <c r="AK242" i="10"/>
  <c r="AF242" i="10"/>
  <c r="AC242" i="10"/>
  <c r="W242" i="10"/>
  <c r="P242" i="10"/>
  <c r="N242" i="10"/>
  <c r="AV241" i="10"/>
  <c r="AT241" i="10"/>
  <c r="AS241" i="10"/>
  <c r="AK241" i="10"/>
  <c r="AD241" i="10"/>
  <c r="V241" i="10"/>
  <c r="P241" i="10"/>
  <c r="AF241" i="10"/>
  <c r="AC241" i="10"/>
  <c r="W241" i="10"/>
  <c r="Q241" i="10"/>
  <c r="O241" i="10"/>
  <c r="N241" i="10"/>
  <c r="M241" i="10"/>
  <c r="AV240" i="10"/>
  <c r="AT240" i="10"/>
  <c r="AS240" i="10"/>
  <c r="AK240" i="10"/>
  <c r="AR240" i="10" s="1"/>
  <c r="AF240" i="10"/>
  <c r="AD240" i="10"/>
  <c r="AC240" i="10"/>
  <c r="V240" i="10"/>
  <c r="W240" i="10" s="1"/>
  <c r="Q240" i="10"/>
  <c r="P240" i="10"/>
  <c r="O240" i="10"/>
  <c r="N240" i="10"/>
  <c r="M240" i="10"/>
  <c r="AV239" i="10"/>
  <c r="AT239" i="10"/>
  <c r="AS239" i="10"/>
  <c r="AK239" i="10"/>
  <c r="AF239" i="10"/>
  <c r="AD239" i="10"/>
  <c r="AC239" i="10"/>
  <c r="V239" i="10"/>
  <c r="W239" i="10" s="1"/>
  <c r="Q239" i="10"/>
  <c r="P239" i="10"/>
  <c r="O239" i="10"/>
  <c r="N239" i="10"/>
  <c r="M239" i="10"/>
  <c r="X239" i="10" s="1"/>
  <c r="AV238" i="10"/>
  <c r="AT238" i="10"/>
  <c r="AS238" i="10"/>
  <c r="AK238" i="10"/>
  <c r="AF238" i="10"/>
  <c r="AD238" i="10"/>
  <c r="AC238" i="10"/>
  <c r="V238" i="10"/>
  <c r="W238" i="10" s="1"/>
  <c r="Q238" i="10"/>
  <c r="P238" i="10"/>
  <c r="O238" i="10"/>
  <c r="N238" i="10"/>
  <c r="M238" i="10"/>
  <c r="AV237" i="10"/>
  <c r="AT237" i="10"/>
  <c r="AS237" i="10"/>
  <c r="AK237" i="10"/>
  <c r="AF237" i="10"/>
  <c r="AD237" i="10"/>
  <c r="AC237" i="10"/>
  <c r="V237" i="10"/>
  <c r="W237" i="10" s="1"/>
  <c r="Q237" i="10"/>
  <c r="P237" i="10"/>
  <c r="O237" i="10"/>
  <c r="M237" i="10"/>
  <c r="N237" i="10"/>
  <c r="AD236" i="10"/>
  <c r="V236" i="10"/>
  <c r="M236" i="10"/>
  <c r="AV236" i="10"/>
  <c r="AT236" i="10"/>
  <c r="O236" i="10" s="1"/>
  <c r="AS236" i="10"/>
  <c r="AK236" i="10"/>
  <c r="AF236" i="10"/>
  <c r="AC236" i="10"/>
  <c r="W236" i="10"/>
  <c r="Q236" i="10"/>
  <c r="P236" i="10"/>
  <c r="N236" i="10"/>
  <c r="AC235" i="10"/>
  <c r="V235" i="10"/>
  <c r="Q235" i="10"/>
  <c r="M235" i="10"/>
  <c r="AV235" i="10"/>
  <c r="AT235" i="10"/>
  <c r="O235" i="10" s="1"/>
  <c r="AS235" i="10"/>
  <c r="AK235" i="10"/>
  <c r="AF235" i="10"/>
  <c r="AD235" i="10"/>
  <c r="W235" i="10"/>
  <c r="P235" i="10"/>
  <c r="N235" i="10"/>
  <c r="X235" i="10" s="1"/>
  <c r="F74" i="7"/>
  <c r="AV234" i="10"/>
  <c r="AT234" i="10"/>
  <c r="AK234" i="10"/>
  <c r="AF234" i="10"/>
  <c r="AD234" i="10"/>
  <c r="P234" i="10"/>
  <c r="M234" i="10"/>
  <c r="AS234" i="10"/>
  <c r="AC234" i="10"/>
  <c r="V234" i="10"/>
  <c r="W234" i="10" s="1"/>
  <c r="Q234" i="10"/>
  <c r="O234" i="10"/>
  <c r="N234" i="10"/>
  <c r="AV233" i="10"/>
  <c r="AS233" i="10"/>
  <c r="AF233" i="10"/>
  <c r="AD233" i="10"/>
  <c r="Q233" i="10"/>
  <c r="M233" i="10"/>
  <c r="AT233" i="10"/>
  <c r="O233" i="10" s="1"/>
  <c r="AK233" i="10"/>
  <c r="AR233" i="10" s="1"/>
  <c r="AC233" i="10"/>
  <c r="V233" i="10"/>
  <c r="W233" i="10" s="1"/>
  <c r="P233" i="10"/>
  <c r="N233" i="10"/>
  <c r="AD232" i="10"/>
  <c r="Q232" i="10"/>
  <c r="M232" i="10"/>
  <c r="AV232" i="10"/>
  <c r="AT232" i="10"/>
  <c r="O232" i="10" s="1"/>
  <c r="AS232" i="10"/>
  <c r="AK232" i="10"/>
  <c r="AF232" i="10"/>
  <c r="AC232" i="10"/>
  <c r="V232" i="10"/>
  <c r="W232" i="10" s="1"/>
  <c r="P232" i="10"/>
  <c r="N232" i="10"/>
  <c r="AV231" i="10"/>
  <c r="AT231" i="10"/>
  <c r="AC231" i="10"/>
  <c r="AS231" i="10"/>
  <c r="AK231" i="10"/>
  <c r="AF231" i="10"/>
  <c r="AD231" i="10"/>
  <c r="V231" i="10"/>
  <c r="W231" i="10" s="1"/>
  <c r="Q231" i="10"/>
  <c r="P231" i="10"/>
  <c r="O231" i="10"/>
  <c r="N231" i="10"/>
  <c r="M231" i="10"/>
  <c r="V230" i="10"/>
  <c r="P230" i="10"/>
  <c r="M230" i="10"/>
  <c r="AV230" i="10"/>
  <c r="AT230" i="10"/>
  <c r="AS230" i="10"/>
  <c r="AK230" i="10"/>
  <c r="AR230" i="10" s="1"/>
  <c r="AF230" i="10"/>
  <c r="AD230" i="10"/>
  <c r="AC230" i="10"/>
  <c r="W230" i="10"/>
  <c r="Q230" i="10"/>
  <c r="O230" i="10"/>
  <c r="N230" i="10"/>
  <c r="F65" i="7"/>
  <c r="AV229" i="10"/>
  <c r="AT229" i="10"/>
  <c r="AC229" i="10"/>
  <c r="AS229" i="10"/>
  <c r="AK229" i="10"/>
  <c r="AF229" i="10"/>
  <c r="AD229" i="10"/>
  <c r="V229" i="10"/>
  <c r="W229" i="10" s="1"/>
  <c r="Q229" i="10"/>
  <c r="P229" i="10"/>
  <c r="O229" i="10"/>
  <c r="N229" i="10"/>
  <c r="M229" i="10"/>
  <c r="AV228" i="10"/>
  <c r="AT228" i="10"/>
  <c r="AS228" i="10"/>
  <c r="AK228" i="10"/>
  <c r="AF228" i="10"/>
  <c r="AD228" i="10"/>
  <c r="AC228" i="10"/>
  <c r="V228" i="10"/>
  <c r="W228" i="10" s="1"/>
  <c r="Q228" i="10"/>
  <c r="P228" i="10"/>
  <c r="O228" i="10"/>
  <c r="N228" i="10"/>
  <c r="M228" i="10"/>
  <c r="AV227" i="10"/>
  <c r="AT227" i="10"/>
  <c r="AS227" i="10"/>
  <c r="AK227" i="10"/>
  <c r="AF227" i="10"/>
  <c r="AD227" i="10"/>
  <c r="AC227" i="10"/>
  <c r="V227" i="10"/>
  <c r="W227" i="10" s="1"/>
  <c r="Q227" i="10"/>
  <c r="P227" i="10"/>
  <c r="O227" i="10"/>
  <c r="N227" i="10"/>
  <c r="M227" i="10"/>
  <c r="AV226" i="10"/>
  <c r="AT226" i="10"/>
  <c r="AS226" i="10"/>
  <c r="AK226" i="10"/>
  <c r="AF226" i="10"/>
  <c r="AD226" i="10"/>
  <c r="AC226" i="10"/>
  <c r="V226" i="10"/>
  <c r="W226" i="10" s="1"/>
  <c r="Q226" i="10"/>
  <c r="P226" i="10"/>
  <c r="O226" i="10"/>
  <c r="N226" i="10"/>
  <c r="M226" i="10"/>
  <c r="F84" i="7"/>
  <c r="AV225" i="10"/>
  <c r="AT225" i="10"/>
  <c r="AS225" i="10"/>
  <c r="AK225" i="10"/>
  <c r="AR225" i="10" s="1"/>
  <c r="AF225" i="10"/>
  <c r="AD225" i="10"/>
  <c r="AC225" i="10"/>
  <c r="W225" i="10"/>
  <c r="V225" i="10"/>
  <c r="Q225" i="10"/>
  <c r="P225" i="10"/>
  <c r="O225" i="10"/>
  <c r="N225" i="10"/>
  <c r="M225" i="10"/>
  <c r="X225" i="10" s="1"/>
  <c r="AV224" i="10"/>
  <c r="AT224" i="10"/>
  <c r="AS224" i="10"/>
  <c r="AK224" i="10"/>
  <c r="AF224" i="10"/>
  <c r="AD224" i="10"/>
  <c r="AC224" i="10"/>
  <c r="V224" i="10"/>
  <c r="W224" i="10" s="1"/>
  <c r="Q224" i="10"/>
  <c r="P224" i="10"/>
  <c r="O224" i="10"/>
  <c r="N224" i="10"/>
  <c r="M224" i="10"/>
  <c r="AV223" i="10"/>
  <c r="AT223" i="10"/>
  <c r="O223" i="10" s="1"/>
  <c r="AS223" i="10"/>
  <c r="AK223" i="10"/>
  <c r="AF223" i="10"/>
  <c r="AD223" i="10"/>
  <c r="AC223" i="10"/>
  <c r="V223" i="10"/>
  <c r="W223" i="10" s="1"/>
  <c r="Q223" i="10"/>
  <c r="P223" i="10"/>
  <c r="N223" i="10"/>
  <c r="M223" i="10"/>
  <c r="AV222" i="10"/>
  <c r="AT222" i="10"/>
  <c r="O222" i="10" s="1"/>
  <c r="AS222" i="10"/>
  <c r="AK222" i="10"/>
  <c r="AF222" i="10"/>
  <c r="AD222" i="10"/>
  <c r="AC222" i="10"/>
  <c r="V222" i="10"/>
  <c r="W222" i="10" s="1"/>
  <c r="Q222" i="10"/>
  <c r="P222" i="10"/>
  <c r="N222" i="10"/>
  <c r="M222" i="10"/>
  <c r="AV221" i="10"/>
  <c r="AT221" i="10"/>
  <c r="O221" i="10" s="1"/>
  <c r="AS221" i="10"/>
  <c r="AK221" i="10"/>
  <c r="AF221" i="10"/>
  <c r="AD221" i="10"/>
  <c r="AC221" i="10"/>
  <c r="V221" i="10"/>
  <c r="W221" i="10" s="1"/>
  <c r="Q221" i="10"/>
  <c r="P221" i="10"/>
  <c r="N221" i="10"/>
  <c r="M221" i="10"/>
  <c r="AV220" i="10"/>
  <c r="AT220" i="10"/>
  <c r="O220" i="10" s="1"/>
  <c r="AS220" i="10"/>
  <c r="AK220" i="10"/>
  <c r="AF220" i="10"/>
  <c r="AD220" i="10"/>
  <c r="AC220" i="10"/>
  <c r="V220" i="10"/>
  <c r="W220" i="10" s="1"/>
  <c r="Q220" i="10"/>
  <c r="P220" i="10"/>
  <c r="N220" i="10"/>
  <c r="M220" i="10"/>
  <c r="AV219" i="10"/>
  <c r="AT219" i="10"/>
  <c r="AS219" i="10"/>
  <c r="AK219" i="10"/>
  <c r="AF219" i="10"/>
  <c r="AD219" i="10"/>
  <c r="AC219" i="10"/>
  <c r="V219" i="10"/>
  <c r="W219" i="10" s="1"/>
  <c r="Q219" i="10"/>
  <c r="P219" i="10"/>
  <c r="O219" i="10"/>
  <c r="N219" i="10"/>
  <c r="M219" i="10"/>
  <c r="X219" i="10" s="1"/>
  <c r="AV218" i="10"/>
  <c r="AT218" i="10"/>
  <c r="AS218" i="10"/>
  <c r="AK218" i="10"/>
  <c r="AF218" i="10"/>
  <c r="AD218" i="10"/>
  <c r="AC218" i="10"/>
  <c r="V218" i="10"/>
  <c r="W218" i="10" s="1"/>
  <c r="Q218" i="10"/>
  <c r="P218" i="10"/>
  <c r="O218" i="10"/>
  <c r="N218" i="10"/>
  <c r="M218" i="10"/>
  <c r="X218" i="10" s="1"/>
  <c r="AV217" i="10"/>
  <c r="AT217" i="10"/>
  <c r="AS217" i="10"/>
  <c r="AK217" i="10"/>
  <c r="AF217" i="10"/>
  <c r="AD217" i="10"/>
  <c r="AC217" i="10"/>
  <c r="V217" i="10"/>
  <c r="W217" i="10" s="1"/>
  <c r="Q217" i="10"/>
  <c r="P217" i="10"/>
  <c r="O217" i="10"/>
  <c r="N217" i="10"/>
  <c r="M217" i="10"/>
  <c r="F39" i="7"/>
  <c r="AV216" i="10"/>
  <c r="AT216" i="10"/>
  <c r="AS216" i="10"/>
  <c r="AK216" i="10"/>
  <c r="AR216" i="10" s="1"/>
  <c r="AF216" i="10"/>
  <c r="AD216" i="10"/>
  <c r="AC216" i="10"/>
  <c r="W216" i="10"/>
  <c r="V216" i="10"/>
  <c r="Q216" i="10"/>
  <c r="P216" i="10"/>
  <c r="O216" i="10"/>
  <c r="N216" i="10"/>
  <c r="M216" i="10"/>
  <c r="X216" i="10" s="1"/>
  <c r="AV215" i="10"/>
  <c r="AT215" i="10"/>
  <c r="AS215" i="10"/>
  <c r="AK215" i="10"/>
  <c r="AF215" i="10"/>
  <c r="AD215" i="10"/>
  <c r="AC215" i="10"/>
  <c r="V215" i="10"/>
  <c r="W215" i="10" s="1"/>
  <c r="Q215" i="10"/>
  <c r="P215" i="10"/>
  <c r="O215" i="10"/>
  <c r="N215" i="10"/>
  <c r="M215" i="10"/>
  <c r="X215" i="10" s="1"/>
  <c r="AV208" i="10"/>
  <c r="AT208" i="10"/>
  <c r="AS208" i="10"/>
  <c r="AK208" i="10"/>
  <c r="AF208" i="10"/>
  <c r="AD208" i="10"/>
  <c r="AC208" i="10"/>
  <c r="V208" i="10"/>
  <c r="W208" i="10" s="1"/>
  <c r="Q208" i="10"/>
  <c r="P208" i="10"/>
  <c r="O208" i="10"/>
  <c r="N208" i="10"/>
  <c r="M208" i="10"/>
  <c r="X208" i="10" s="1"/>
  <c r="AV197" i="10"/>
  <c r="AT197" i="10"/>
  <c r="AS197" i="10"/>
  <c r="AK197" i="10"/>
  <c r="AR197" i="10" s="1"/>
  <c r="AF197" i="10"/>
  <c r="AD197" i="10"/>
  <c r="AC197" i="10"/>
  <c r="W197" i="10"/>
  <c r="V197" i="10"/>
  <c r="Q197" i="10"/>
  <c r="P197" i="10"/>
  <c r="O197" i="10"/>
  <c r="N197" i="10"/>
  <c r="M197" i="10"/>
  <c r="X197" i="10" s="1"/>
  <c r="AV186" i="10"/>
  <c r="AT186" i="10"/>
  <c r="O186" i="10" s="1"/>
  <c r="AS186" i="10"/>
  <c r="AK186" i="10"/>
  <c r="AF186" i="10"/>
  <c r="AD186" i="10"/>
  <c r="AC186" i="10"/>
  <c r="V186" i="10"/>
  <c r="W186" i="10" s="1"/>
  <c r="Q186" i="10"/>
  <c r="P186" i="10"/>
  <c r="N186" i="10"/>
  <c r="M186" i="10"/>
  <c r="X186" i="10" s="1"/>
  <c r="AV137" i="10"/>
  <c r="AT137" i="10"/>
  <c r="AS137" i="10"/>
  <c r="AK137" i="10"/>
  <c r="AF137" i="10"/>
  <c r="AD137" i="10"/>
  <c r="AC137" i="10"/>
  <c r="V137" i="10"/>
  <c r="W137" i="10" s="1"/>
  <c r="Q137" i="10"/>
  <c r="P137" i="10"/>
  <c r="O137" i="10"/>
  <c r="N137" i="10"/>
  <c r="M137" i="10"/>
  <c r="X137" i="10" s="1"/>
  <c r="AV115" i="10"/>
  <c r="AT115" i="10"/>
  <c r="AS115" i="10"/>
  <c r="AK115" i="10"/>
  <c r="AF115" i="10"/>
  <c r="AD115" i="10"/>
  <c r="AC115" i="10"/>
  <c r="V115" i="10"/>
  <c r="W115" i="10" s="1"/>
  <c r="Q115" i="10"/>
  <c r="P115" i="10"/>
  <c r="O115" i="10"/>
  <c r="N115" i="10"/>
  <c r="M115" i="10"/>
  <c r="X115" i="10" s="1"/>
  <c r="AV105" i="10"/>
  <c r="AT105" i="10"/>
  <c r="AS105" i="10"/>
  <c r="AK105" i="10"/>
  <c r="AF105" i="10"/>
  <c r="AD105" i="10"/>
  <c r="AC105" i="10"/>
  <c r="V105" i="10"/>
  <c r="W105" i="10" s="1"/>
  <c r="Q105" i="10"/>
  <c r="P105" i="10"/>
  <c r="O105" i="10"/>
  <c r="N105" i="10"/>
  <c r="M105" i="10"/>
  <c r="X105" i="10" s="1"/>
  <c r="AV57" i="10"/>
  <c r="AT57" i="10"/>
  <c r="AS57" i="10"/>
  <c r="AK57" i="10"/>
  <c r="AF57" i="10"/>
  <c r="AD57" i="10"/>
  <c r="AC57" i="10"/>
  <c r="V57" i="10"/>
  <c r="W57" i="10" s="1"/>
  <c r="Q57" i="10"/>
  <c r="P57" i="10"/>
  <c r="O57" i="10"/>
  <c r="N57" i="10"/>
  <c r="M57" i="10"/>
  <c r="F77" i="7"/>
  <c r="F8" i="7"/>
  <c r="AV47" i="10"/>
  <c r="AT47" i="10"/>
  <c r="AS47" i="10"/>
  <c r="AK47" i="10"/>
  <c r="AF47" i="10"/>
  <c r="AD47" i="10"/>
  <c r="AC47" i="10"/>
  <c r="V47" i="10"/>
  <c r="W47" i="10" s="1"/>
  <c r="Q47" i="10"/>
  <c r="P47" i="10"/>
  <c r="O47" i="10"/>
  <c r="N47" i="10"/>
  <c r="M47" i="10"/>
  <c r="X47" i="10" s="1"/>
  <c r="F28" i="7"/>
  <c r="AV32" i="10"/>
  <c r="AT32" i="10"/>
  <c r="AS32" i="10"/>
  <c r="AK32" i="10"/>
  <c r="AF32" i="10"/>
  <c r="AD32" i="10"/>
  <c r="AC32" i="10"/>
  <c r="V32" i="10"/>
  <c r="W32" i="10" s="1"/>
  <c r="Q32" i="10"/>
  <c r="P32" i="10"/>
  <c r="O32" i="10"/>
  <c r="N32" i="10"/>
  <c r="M32" i="10"/>
  <c r="AV171" i="10"/>
  <c r="AT171" i="10"/>
  <c r="AS171" i="10"/>
  <c r="AK171" i="10"/>
  <c r="AR171" i="10" s="1"/>
  <c r="AF171" i="10"/>
  <c r="AD171" i="10"/>
  <c r="AC171" i="10"/>
  <c r="V171" i="10"/>
  <c r="W171" i="10" s="1"/>
  <c r="Q171" i="10"/>
  <c r="P171" i="10"/>
  <c r="O171" i="10"/>
  <c r="N171" i="10"/>
  <c r="M171" i="10"/>
  <c r="X171" i="10" s="1"/>
  <c r="AV170" i="10"/>
  <c r="AT170" i="10"/>
  <c r="AS170" i="10"/>
  <c r="AK170" i="10"/>
  <c r="AF170" i="10"/>
  <c r="AD170" i="10"/>
  <c r="AC170" i="10"/>
  <c r="V170" i="10"/>
  <c r="W170" i="10" s="1"/>
  <c r="Q170" i="10"/>
  <c r="P170" i="10"/>
  <c r="O170" i="10"/>
  <c r="N170" i="10"/>
  <c r="M170" i="10"/>
  <c r="X170" i="10" s="1"/>
  <c r="AV169" i="10"/>
  <c r="AT169" i="10"/>
  <c r="AS169" i="10"/>
  <c r="AK169" i="10"/>
  <c r="AF169" i="10"/>
  <c r="AD169" i="10"/>
  <c r="AC169" i="10"/>
  <c r="V169" i="10"/>
  <c r="W169" i="10" s="1"/>
  <c r="Q169" i="10"/>
  <c r="P169" i="10"/>
  <c r="O169" i="10"/>
  <c r="N169" i="10"/>
  <c r="M169" i="10"/>
  <c r="X169" i="10" s="1"/>
  <c r="AV168" i="10"/>
  <c r="AT168" i="10"/>
  <c r="O168" i="10" s="1"/>
  <c r="AS168" i="10"/>
  <c r="AK168" i="10"/>
  <c r="AF168" i="10"/>
  <c r="AD168" i="10"/>
  <c r="AC168" i="10"/>
  <c r="V168" i="10"/>
  <c r="W168" i="10" s="1"/>
  <c r="Q168" i="10"/>
  <c r="P168" i="10"/>
  <c r="N168" i="10"/>
  <c r="M168" i="10"/>
  <c r="F88" i="7"/>
  <c r="F23" i="7"/>
  <c r="AV167" i="10"/>
  <c r="AT167" i="10"/>
  <c r="AS167" i="10"/>
  <c r="AK167" i="10"/>
  <c r="AF167" i="10"/>
  <c r="AD167" i="10"/>
  <c r="AC167" i="10"/>
  <c r="V167" i="10"/>
  <c r="W167" i="10" s="1"/>
  <c r="Q167" i="10"/>
  <c r="P167" i="10"/>
  <c r="O167" i="10"/>
  <c r="N167" i="10"/>
  <c r="M167" i="10"/>
  <c r="AV166" i="10"/>
  <c r="AT166" i="10"/>
  <c r="AS166" i="10"/>
  <c r="AK166" i="10"/>
  <c r="AF166" i="10"/>
  <c r="AD166" i="10"/>
  <c r="AC166" i="10"/>
  <c r="V166" i="10"/>
  <c r="W166" i="10" s="1"/>
  <c r="Q166" i="10"/>
  <c r="P166" i="10"/>
  <c r="O166" i="10"/>
  <c r="N166" i="10"/>
  <c r="M166" i="10"/>
  <c r="X166" i="10" s="1"/>
  <c r="AV165" i="10"/>
  <c r="AT165" i="10"/>
  <c r="AS165" i="10"/>
  <c r="AK165" i="10"/>
  <c r="AF165" i="10"/>
  <c r="AD165" i="10"/>
  <c r="AC165" i="10"/>
  <c r="V165" i="10"/>
  <c r="W165" i="10" s="1"/>
  <c r="Q165" i="10"/>
  <c r="P165" i="10"/>
  <c r="O165" i="10"/>
  <c r="N165" i="10"/>
  <c r="M165" i="10"/>
  <c r="X165" i="10" s="1"/>
  <c r="AV164" i="10"/>
  <c r="AT164" i="10"/>
  <c r="AS164" i="10"/>
  <c r="AK164" i="10"/>
  <c r="AF164" i="10"/>
  <c r="AD164" i="10"/>
  <c r="AC164" i="10"/>
  <c r="V164" i="10"/>
  <c r="W164" i="10" s="1"/>
  <c r="Q164" i="10"/>
  <c r="P164" i="10"/>
  <c r="O164" i="10"/>
  <c r="N164" i="10"/>
  <c r="M164" i="10"/>
  <c r="AV163" i="10"/>
  <c r="AT163" i="10"/>
  <c r="AS163" i="10"/>
  <c r="AK163" i="10"/>
  <c r="AR163" i="10" s="1"/>
  <c r="AF163" i="10"/>
  <c r="AD163" i="10"/>
  <c r="AC163" i="10"/>
  <c r="V163" i="10"/>
  <c r="W163" i="10" s="1"/>
  <c r="Q163" i="10"/>
  <c r="P163" i="10"/>
  <c r="O163" i="10"/>
  <c r="N163" i="10"/>
  <c r="M163" i="10"/>
  <c r="X163" i="10" s="1"/>
  <c r="AV162" i="10"/>
  <c r="AT162" i="10"/>
  <c r="AS162" i="10"/>
  <c r="AK162" i="10"/>
  <c r="AF162" i="10"/>
  <c r="AD162" i="10"/>
  <c r="AC162" i="10"/>
  <c r="V162" i="10"/>
  <c r="W162" i="10" s="1"/>
  <c r="Q162" i="10"/>
  <c r="P162" i="10"/>
  <c r="O162" i="10"/>
  <c r="N162" i="10"/>
  <c r="M162" i="10"/>
  <c r="AV161" i="10"/>
  <c r="AT161" i="10"/>
  <c r="AS161" i="10"/>
  <c r="AK161" i="10"/>
  <c r="AF161" i="10"/>
  <c r="AD161" i="10"/>
  <c r="AC161" i="10"/>
  <c r="V161" i="10"/>
  <c r="W161" i="10" s="1"/>
  <c r="Q161" i="10"/>
  <c r="P161" i="10"/>
  <c r="O161" i="10"/>
  <c r="N161" i="10"/>
  <c r="M161" i="10"/>
  <c r="X161" i="10" s="1"/>
  <c r="AV160" i="10"/>
  <c r="AT160" i="10"/>
  <c r="AS160" i="10"/>
  <c r="AK160" i="10"/>
  <c r="AF160" i="10"/>
  <c r="AD160" i="10"/>
  <c r="AC160" i="10"/>
  <c r="V160" i="10"/>
  <c r="W160" i="10" s="1"/>
  <c r="Q160" i="10"/>
  <c r="P160" i="10"/>
  <c r="O160" i="10"/>
  <c r="N160" i="10"/>
  <c r="M160" i="10"/>
  <c r="X160" i="10" s="1"/>
  <c r="AV159" i="10"/>
  <c r="AT159" i="10"/>
  <c r="AS159" i="10"/>
  <c r="AK159" i="10"/>
  <c r="AF159" i="10"/>
  <c r="AD159" i="10"/>
  <c r="AC159" i="10"/>
  <c r="V159" i="10"/>
  <c r="W159" i="10" s="1"/>
  <c r="Q159" i="10"/>
  <c r="P159" i="10"/>
  <c r="O159" i="10"/>
  <c r="N159" i="10"/>
  <c r="M159" i="10"/>
  <c r="X159" i="10" s="1"/>
  <c r="F45" i="7"/>
  <c r="AV158" i="10"/>
  <c r="AT158" i="10"/>
  <c r="AS158" i="10"/>
  <c r="AK158" i="10"/>
  <c r="AR158" i="10" s="1"/>
  <c r="AF158" i="10"/>
  <c r="AD158" i="10"/>
  <c r="AC158" i="10"/>
  <c r="V158" i="10"/>
  <c r="W158" i="10" s="1"/>
  <c r="Q158" i="10"/>
  <c r="P158" i="10"/>
  <c r="O158" i="10"/>
  <c r="N158" i="10"/>
  <c r="M158" i="10"/>
  <c r="F58" i="7"/>
  <c r="AS157" i="10"/>
  <c r="AF157" i="10"/>
  <c r="AD157" i="10"/>
  <c r="W157" i="10"/>
  <c r="P157" i="10"/>
  <c r="M157" i="10"/>
  <c r="AV157" i="10"/>
  <c r="AT157" i="10"/>
  <c r="AK157" i="10"/>
  <c r="AR157" i="10" s="1"/>
  <c r="AC157" i="10"/>
  <c r="V157" i="10"/>
  <c r="Q157" i="10"/>
  <c r="O157" i="10"/>
  <c r="N157" i="10"/>
  <c r="X157" i="10" s="1"/>
  <c r="AV156" i="10"/>
  <c r="AS156" i="10"/>
  <c r="M156" i="10"/>
  <c r="AT156" i="10"/>
  <c r="AK156" i="10"/>
  <c r="AF156" i="10"/>
  <c r="AC156" i="10"/>
  <c r="V156" i="10"/>
  <c r="W156" i="10" s="1"/>
  <c r="P156" i="10"/>
  <c r="N156" i="10"/>
  <c r="AD156" i="10"/>
  <c r="Q156" i="10"/>
  <c r="O156" i="10"/>
  <c r="AV153" i="10"/>
  <c r="AT153" i="10"/>
  <c r="AS153" i="10"/>
  <c r="AK153" i="10"/>
  <c r="AF153" i="10"/>
  <c r="AD153" i="10"/>
  <c r="AC153" i="10"/>
  <c r="V153" i="10"/>
  <c r="W153" i="10" s="1"/>
  <c r="Q153" i="10"/>
  <c r="P153" i="10"/>
  <c r="O153" i="10"/>
  <c r="N153" i="10"/>
  <c r="M153" i="10"/>
  <c r="F67" i="7"/>
  <c r="AV151" i="10"/>
  <c r="AT151" i="10"/>
  <c r="AS151" i="10"/>
  <c r="AK151" i="10"/>
  <c r="AF151" i="10"/>
  <c r="AD151" i="10"/>
  <c r="AC151" i="10"/>
  <c r="V151" i="10"/>
  <c r="W151" i="10" s="1"/>
  <c r="Q151" i="10"/>
  <c r="P151" i="10"/>
  <c r="O151" i="10"/>
  <c r="N151" i="10"/>
  <c r="M151" i="10"/>
  <c r="AV150" i="10"/>
  <c r="AT150" i="10"/>
  <c r="AS150" i="10"/>
  <c r="AK150" i="10"/>
  <c r="AF150" i="10"/>
  <c r="AD150" i="10"/>
  <c r="AC150" i="10"/>
  <c r="V150" i="10"/>
  <c r="W150" i="10" s="1"/>
  <c r="Q150" i="10"/>
  <c r="P150" i="10"/>
  <c r="O150" i="10"/>
  <c r="N150" i="10"/>
  <c r="M150" i="10"/>
  <c r="X150" i="10" s="1"/>
  <c r="AV149" i="10"/>
  <c r="AT149" i="10"/>
  <c r="AS149" i="10"/>
  <c r="AK149" i="10"/>
  <c r="AF149" i="10"/>
  <c r="AD149" i="10"/>
  <c r="AC149" i="10"/>
  <c r="V149" i="10"/>
  <c r="W149" i="10" s="1"/>
  <c r="Q149" i="10"/>
  <c r="P149" i="10"/>
  <c r="O149" i="10"/>
  <c r="N149" i="10"/>
  <c r="M149" i="10"/>
  <c r="X149" i="10" s="1"/>
  <c r="AV147" i="10"/>
  <c r="AT147" i="10"/>
  <c r="AS147" i="10"/>
  <c r="AK147" i="10"/>
  <c r="AF147" i="10"/>
  <c r="AD147" i="10"/>
  <c r="AC147" i="10"/>
  <c r="V147" i="10"/>
  <c r="W147" i="10" s="1"/>
  <c r="Q147" i="10"/>
  <c r="P147" i="10"/>
  <c r="O147" i="10"/>
  <c r="N147" i="10"/>
  <c r="M147" i="10"/>
  <c r="AV145" i="10"/>
  <c r="AT145" i="10"/>
  <c r="AS145" i="10"/>
  <c r="AK145" i="10"/>
  <c r="AR145" i="10" s="1"/>
  <c r="AF145" i="10"/>
  <c r="AD145" i="10"/>
  <c r="AC145" i="10"/>
  <c r="V145" i="10"/>
  <c r="W145" i="10" s="1"/>
  <c r="Q145" i="10"/>
  <c r="P145" i="10"/>
  <c r="O145" i="10"/>
  <c r="N145" i="10"/>
  <c r="M145" i="10"/>
  <c r="X145" i="10" s="1"/>
  <c r="AV144" i="10"/>
  <c r="AT144" i="10"/>
  <c r="AS144" i="10"/>
  <c r="AK144" i="10"/>
  <c r="AF144" i="10"/>
  <c r="AD144" i="10"/>
  <c r="AC144" i="10"/>
  <c r="V144" i="10"/>
  <c r="W144" i="10" s="1"/>
  <c r="Q144" i="10"/>
  <c r="P144" i="10"/>
  <c r="O144" i="10"/>
  <c r="N144" i="10"/>
  <c r="M144" i="10"/>
  <c r="X144" i="10" s="1"/>
  <c r="AV143" i="10"/>
  <c r="AT143" i="10"/>
  <c r="AS143" i="10"/>
  <c r="AK143" i="10"/>
  <c r="AF143" i="10"/>
  <c r="AD143" i="10"/>
  <c r="AC143" i="10"/>
  <c r="V143" i="10"/>
  <c r="W143" i="10" s="1"/>
  <c r="Q143" i="10"/>
  <c r="P143" i="10"/>
  <c r="O143" i="10"/>
  <c r="N143" i="10"/>
  <c r="M143" i="10"/>
  <c r="X143" i="10" s="1"/>
  <c r="AV142" i="10"/>
  <c r="AT142" i="10"/>
  <c r="AS142" i="10"/>
  <c r="AK142" i="10"/>
  <c r="AF142" i="10"/>
  <c r="AD142" i="10"/>
  <c r="AC142" i="10"/>
  <c r="V142" i="10"/>
  <c r="W142" i="10" s="1"/>
  <c r="Q142" i="10"/>
  <c r="P142" i="10"/>
  <c r="O142" i="10"/>
  <c r="N142" i="10"/>
  <c r="M142" i="10"/>
  <c r="X142" i="10" s="1"/>
  <c r="AV141" i="10"/>
  <c r="AT141" i="10"/>
  <c r="AS141" i="10"/>
  <c r="AK141" i="10"/>
  <c r="AR141" i="10" s="1"/>
  <c r="AF141" i="10"/>
  <c r="AD141" i="10"/>
  <c r="AC141" i="10"/>
  <c r="V141" i="10"/>
  <c r="W141" i="10" s="1"/>
  <c r="Q141" i="10"/>
  <c r="P141" i="10"/>
  <c r="O141" i="10"/>
  <c r="N141" i="10"/>
  <c r="M141" i="10"/>
  <c r="X141" i="10" s="1"/>
  <c r="AV140" i="10"/>
  <c r="AT140" i="10"/>
  <c r="AS140" i="10"/>
  <c r="AK140" i="10"/>
  <c r="AF140" i="10"/>
  <c r="AD140" i="10"/>
  <c r="AC140" i="10"/>
  <c r="V140" i="10"/>
  <c r="W140" i="10" s="1"/>
  <c r="Q140" i="10"/>
  <c r="P140" i="10"/>
  <c r="O140" i="10"/>
  <c r="N140" i="10"/>
  <c r="M140" i="10"/>
  <c r="X140" i="10" s="1"/>
  <c r="AV139" i="10"/>
  <c r="AT139" i="10"/>
  <c r="AS139" i="10"/>
  <c r="AK139" i="10"/>
  <c r="AF139" i="10"/>
  <c r="AD139" i="10"/>
  <c r="AC139" i="10"/>
  <c r="V139" i="10"/>
  <c r="W139" i="10" s="1"/>
  <c r="Q139" i="10"/>
  <c r="P139" i="10"/>
  <c r="O139" i="10"/>
  <c r="N139" i="10"/>
  <c r="M139" i="10"/>
  <c r="F69" i="7"/>
  <c r="F52" i="7"/>
  <c r="AV138" i="10"/>
  <c r="AT138" i="10"/>
  <c r="AS138" i="10"/>
  <c r="AK138" i="10"/>
  <c r="AR138" i="10" s="1"/>
  <c r="AF138" i="10"/>
  <c r="AD138" i="10"/>
  <c r="AC138" i="10"/>
  <c r="AV125" i="10"/>
  <c r="AT125" i="10"/>
  <c r="O125" i="10" s="1"/>
  <c r="AS125" i="10"/>
  <c r="AK125" i="10"/>
  <c r="AF125" i="10"/>
  <c r="AD125" i="10"/>
  <c r="AC125" i="10"/>
  <c r="V125" i="10"/>
  <c r="W125" i="10" s="1"/>
  <c r="Q125" i="10"/>
  <c r="P125" i="10"/>
  <c r="N125" i="10"/>
  <c r="M125" i="10"/>
  <c r="AV107" i="10"/>
  <c r="AT107" i="10"/>
  <c r="O107" i="10" s="1"/>
  <c r="AS107" i="10"/>
  <c r="AK107" i="10"/>
  <c r="AF107" i="10"/>
  <c r="AD107" i="10"/>
  <c r="AC107" i="10"/>
  <c r="V107" i="10"/>
  <c r="W107" i="10" s="1"/>
  <c r="Q107" i="10"/>
  <c r="P107" i="10"/>
  <c r="N107" i="10"/>
  <c r="M107" i="10"/>
  <c r="AV96" i="10"/>
  <c r="AT96" i="10"/>
  <c r="O96" i="10" s="1"/>
  <c r="AS96" i="10"/>
  <c r="AK96" i="10"/>
  <c r="AF96" i="10"/>
  <c r="AD96" i="10"/>
  <c r="AC96" i="10"/>
  <c r="V96" i="10"/>
  <c r="W96" i="10" s="1"/>
  <c r="Q96" i="10"/>
  <c r="P96" i="10"/>
  <c r="N96" i="10"/>
  <c r="M96" i="10"/>
  <c r="AV48" i="10"/>
  <c r="AT48" i="10"/>
  <c r="O48" i="10" s="1"/>
  <c r="AS48" i="10"/>
  <c r="AK48" i="10"/>
  <c r="AF48" i="10"/>
  <c r="AD48" i="10"/>
  <c r="AC48" i="10"/>
  <c r="V48" i="10"/>
  <c r="W48" i="10" s="1"/>
  <c r="Q48" i="10"/>
  <c r="P48" i="10"/>
  <c r="N48" i="10"/>
  <c r="M48" i="10"/>
  <c r="AV36" i="10"/>
  <c r="AT36" i="10"/>
  <c r="AS36" i="10"/>
  <c r="AK36" i="10"/>
  <c r="AF36" i="10"/>
  <c r="AD36" i="10"/>
  <c r="AC36" i="10"/>
  <c r="V36" i="10"/>
  <c r="W36" i="10" s="1"/>
  <c r="Q36" i="10"/>
  <c r="P36" i="10"/>
  <c r="O36" i="10"/>
  <c r="N36" i="10"/>
  <c r="M36" i="10"/>
  <c r="X36" i="10" s="1"/>
  <c r="AV94" i="10"/>
  <c r="AT94" i="10"/>
  <c r="AS94" i="10"/>
  <c r="AK94" i="10"/>
  <c r="AF94" i="10"/>
  <c r="AD94" i="10"/>
  <c r="AC94" i="10"/>
  <c r="V94" i="10"/>
  <c r="W94" i="10" s="1"/>
  <c r="Q94" i="10"/>
  <c r="P94" i="10"/>
  <c r="O94" i="10"/>
  <c r="N94" i="10"/>
  <c r="M94" i="10"/>
  <c r="X94" i="10" s="1"/>
  <c r="AV93" i="10"/>
  <c r="AT93" i="10"/>
  <c r="AS93" i="10"/>
  <c r="AK93" i="10"/>
  <c r="AR93" i="10" s="1"/>
  <c r="AF93" i="10"/>
  <c r="AD93" i="10"/>
  <c r="AC93" i="10"/>
  <c r="V93" i="10"/>
  <c r="W93" i="10" s="1"/>
  <c r="Q93" i="10"/>
  <c r="P93" i="10"/>
  <c r="O93" i="10"/>
  <c r="N93" i="10"/>
  <c r="M93" i="10"/>
  <c r="X93" i="10" s="1"/>
  <c r="AV92" i="10"/>
  <c r="AT92" i="10"/>
  <c r="O92" i="10" s="1"/>
  <c r="AS92" i="10"/>
  <c r="AK92" i="10"/>
  <c r="AF92" i="10"/>
  <c r="AD92" i="10"/>
  <c r="AC92" i="10"/>
  <c r="V92" i="10"/>
  <c r="W92" i="10" s="1"/>
  <c r="Q92" i="10"/>
  <c r="P92" i="10"/>
  <c r="N92" i="10"/>
  <c r="M92" i="10"/>
  <c r="AV91" i="10"/>
  <c r="AT91" i="10"/>
  <c r="AS91" i="10"/>
  <c r="AK91" i="10"/>
  <c r="AR91" i="10" s="1"/>
  <c r="AF91" i="10"/>
  <c r="AD91" i="10"/>
  <c r="AC91" i="10"/>
  <c r="V91" i="10"/>
  <c r="W91" i="10" s="1"/>
  <c r="Q91" i="10"/>
  <c r="P91" i="10"/>
  <c r="O91" i="10"/>
  <c r="N91" i="10"/>
  <c r="M91" i="10"/>
  <c r="X91" i="10" s="1"/>
  <c r="AV90" i="10"/>
  <c r="AT90" i="10"/>
  <c r="AS90" i="10"/>
  <c r="AK90" i="10"/>
  <c r="AF90" i="10"/>
  <c r="AD90" i="10"/>
  <c r="AC90" i="10"/>
  <c r="V90" i="10"/>
  <c r="W90" i="10" s="1"/>
  <c r="Q90" i="10"/>
  <c r="P90" i="10"/>
  <c r="O90" i="10"/>
  <c r="N90" i="10"/>
  <c r="M90" i="10"/>
  <c r="X90" i="10" s="1"/>
  <c r="AV89" i="10"/>
  <c r="AT89" i="10"/>
  <c r="AS89" i="10"/>
  <c r="AK89" i="10"/>
  <c r="AF89" i="10"/>
  <c r="AD89" i="10"/>
  <c r="AC89" i="10"/>
  <c r="V89" i="10"/>
  <c r="W89" i="10" s="1"/>
  <c r="Q89" i="10"/>
  <c r="P89" i="10"/>
  <c r="O89" i="10"/>
  <c r="N89" i="10"/>
  <c r="M89" i="10"/>
  <c r="X89" i="10" s="1"/>
  <c r="AV87" i="10"/>
  <c r="AT87" i="10"/>
  <c r="AS87" i="10"/>
  <c r="AK87" i="10"/>
  <c r="AF87" i="10"/>
  <c r="AD87" i="10"/>
  <c r="AC87" i="10"/>
  <c r="V87" i="10"/>
  <c r="W87" i="10" s="1"/>
  <c r="Q87" i="10"/>
  <c r="P87" i="10"/>
  <c r="O87" i="10"/>
  <c r="N87" i="10"/>
  <c r="M87" i="10"/>
  <c r="X87" i="10" s="1"/>
  <c r="AV86" i="10"/>
  <c r="AT86" i="10"/>
  <c r="AS86" i="10"/>
  <c r="AK86" i="10"/>
  <c r="AF86" i="10"/>
  <c r="AD86" i="10"/>
  <c r="AC86" i="10"/>
  <c r="V86" i="10"/>
  <c r="W86" i="10" s="1"/>
  <c r="Q86" i="10"/>
  <c r="P86" i="10"/>
  <c r="O86" i="10"/>
  <c r="N86" i="10"/>
  <c r="M86" i="10"/>
  <c r="X86" i="10" s="1"/>
  <c r="AV85" i="10"/>
  <c r="AT85" i="10"/>
  <c r="AS85" i="10"/>
  <c r="AK85" i="10"/>
  <c r="AF85" i="10"/>
  <c r="AD85" i="10"/>
  <c r="AC85" i="10"/>
  <c r="V85" i="10"/>
  <c r="W85" i="10" s="1"/>
  <c r="Q85" i="10"/>
  <c r="P85" i="10"/>
  <c r="O85" i="10"/>
  <c r="N85" i="10"/>
  <c r="M85" i="10"/>
  <c r="X85" i="10" s="1"/>
  <c r="AV84" i="10"/>
  <c r="AT84" i="10"/>
  <c r="AS84" i="10"/>
  <c r="AK84" i="10"/>
  <c r="AF84" i="10"/>
  <c r="AD84" i="10"/>
  <c r="AC84" i="10"/>
  <c r="V84" i="10"/>
  <c r="W84" i="10" s="1"/>
  <c r="Q84" i="10"/>
  <c r="P84" i="10"/>
  <c r="O84" i="10"/>
  <c r="N84" i="10"/>
  <c r="M84" i="10"/>
  <c r="X84" i="10" s="1"/>
  <c r="AV82" i="10"/>
  <c r="AT82" i="10"/>
  <c r="AS82" i="10"/>
  <c r="AK82" i="10"/>
  <c r="AR82" i="10" s="1"/>
  <c r="AF82" i="10"/>
  <c r="AD82" i="10"/>
  <c r="AC82" i="10"/>
  <c r="V82" i="10"/>
  <c r="W82" i="10" s="1"/>
  <c r="Q82" i="10"/>
  <c r="P82" i="10"/>
  <c r="O82" i="10"/>
  <c r="N82" i="10"/>
  <c r="M82" i="10"/>
  <c r="X82" i="10" s="1"/>
  <c r="F3" i="7"/>
  <c r="AV81" i="10"/>
  <c r="AT81" i="10"/>
  <c r="AS81" i="10"/>
  <c r="AK81" i="10"/>
  <c r="AR81" i="10" s="1"/>
  <c r="AF81" i="10"/>
  <c r="AD81" i="10"/>
  <c r="AC81" i="10"/>
  <c r="V81" i="10"/>
  <c r="W81" i="10" s="1"/>
  <c r="Q81" i="10"/>
  <c r="P81" i="10"/>
  <c r="O81" i="10"/>
  <c r="N81" i="10"/>
  <c r="M81" i="10"/>
  <c r="X81" i="10" s="1"/>
  <c r="AV80" i="10"/>
  <c r="AT80" i="10"/>
  <c r="AS80" i="10"/>
  <c r="AK80" i="10"/>
  <c r="AF80" i="10"/>
  <c r="AD80" i="10"/>
  <c r="AC80" i="10"/>
  <c r="V80" i="10"/>
  <c r="W80" i="10" s="1"/>
  <c r="Q80" i="10"/>
  <c r="P80" i="10"/>
  <c r="O80" i="10"/>
  <c r="N80" i="10"/>
  <c r="M80" i="10"/>
  <c r="X80" i="10" s="1"/>
  <c r="AV78" i="10"/>
  <c r="AT78" i="10"/>
  <c r="AS78" i="10"/>
  <c r="AK78" i="10"/>
  <c r="AF78" i="10"/>
  <c r="AD78" i="10"/>
  <c r="AC78" i="10"/>
  <c r="V78" i="10"/>
  <c r="W78" i="10" s="1"/>
  <c r="Q78" i="10"/>
  <c r="P78" i="10"/>
  <c r="O78" i="10"/>
  <c r="N78" i="10"/>
  <c r="M78" i="10"/>
  <c r="X78" i="10" s="1"/>
  <c r="AV77" i="10"/>
  <c r="AT77" i="10"/>
  <c r="AS77" i="10"/>
  <c r="AK77" i="10"/>
  <c r="AF77" i="10"/>
  <c r="AD77" i="10"/>
  <c r="AC77" i="10"/>
  <c r="V77" i="10"/>
  <c r="W77" i="10" s="1"/>
  <c r="Q77" i="10"/>
  <c r="P77" i="10"/>
  <c r="O77" i="10"/>
  <c r="N77" i="10"/>
  <c r="M77" i="10"/>
  <c r="X77" i="10" s="1"/>
  <c r="AV76" i="10"/>
  <c r="AT76" i="10"/>
  <c r="AS76" i="10"/>
  <c r="AK76" i="10"/>
  <c r="AF76" i="10"/>
  <c r="AD76" i="10"/>
  <c r="AC76" i="10"/>
  <c r="V76" i="10"/>
  <c r="W76" i="10" s="1"/>
  <c r="Q76" i="10"/>
  <c r="P76" i="10"/>
  <c r="O76" i="10"/>
  <c r="N76" i="10"/>
  <c r="M76" i="10"/>
  <c r="X76" i="10" s="1"/>
  <c r="F35" i="7"/>
  <c r="AV75" i="10"/>
  <c r="AT75" i="10"/>
  <c r="AS75" i="10"/>
  <c r="AK75" i="10"/>
  <c r="AF75" i="10"/>
  <c r="AD75" i="10"/>
  <c r="AC75" i="10"/>
  <c r="V75" i="10"/>
  <c r="W75" i="10" s="1"/>
  <c r="Q75" i="10"/>
  <c r="P75" i="10"/>
  <c r="O75" i="10"/>
  <c r="N75" i="10"/>
  <c r="M75" i="10"/>
  <c r="X75" i="10" s="1"/>
  <c r="AV74" i="10"/>
  <c r="AT74" i="10"/>
  <c r="AS74" i="10"/>
  <c r="AK74" i="10"/>
  <c r="AF74" i="10"/>
  <c r="AD74" i="10"/>
  <c r="AC74" i="10"/>
  <c r="V74" i="10"/>
  <c r="W74" i="10" s="1"/>
  <c r="Q74" i="10"/>
  <c r="P74" i="10"/>
  <c r="O74" i="10"/>
  <c r="N74" i="10"/>
  <c r="M74" i="10"/>
  <c r="X74" i="10" s="1"/>
  <c r="F49" i="7"/>
  <c r="AV73" i="10"/>
  <c r="AT73" i="10"/>
  <c r="AS73" i="10"/>
  <c r="AK73" i="10"/>
  <c r="AF73" i="10"/>
  <c r="AD73" i="10"/>
  <c r="AC73" i="10"/>
  <c r="V73" i="10"/>
  <c r="W73" i="10" s="1"/>
  <c r="Q73" i="10"/>
  <c r="P73" i="10"/>
  <c r="O73" i="10"/>
  <c r="N73" i="10"/>
  <c r="M73" i="10"/>
  <c r="X73" i="10" s="1"/>
  <c r="AV72" i="10"/>
  <c r="AT72" i="10"/>
  <c r="AS72" i="10"/>
  <c r="AK72" i="10"/>
  <c r="AF72" i="10"/>
  <c r="AD72" i="10"/>
  <c r="AC72" i="10"/>
  <c r="V72" i="10"/>
  <c r="W72" i="10" s="1"/>
  <c r="Q72" i="10"/>
  <c r="P72" i="10"/>
  <c r="O72" i="10"/>
  <c r="N72" i="10"/>
  <c r="M72" i="10"/>
  <c r="X72" i="10" s="1"/>
  <c r="AV71" i="10"/>
  <c r="AT71" i="10"/>
  <c r="AS71" i="10"/>
  <c r="AK71" i="10"/>
  <c r="AF71" i="10"/>
  <c r="AD71" i="10"/>
  <c r="AC71" i="10"/>
  <c r="V71" i="10"/>
  <c r="W71" i="10" s="1"/>
  <c r="Q71" i="10"/>
  <c r="P71" i="10"/>
  <c r="O71" i="10"/>
  <c r="N71" i="10"/>
  <c r="M71" i="10"/>
  <c r="X71" i="10" s="1"/>
  <c r="AV70" i="10"/>
  <c r="AT70" i="10"/>
  <c r="AS70" i="10"/>
  <c r="AK70" i="10"/>
  <c r="AF70" i="10"/>
  <c r="AD70" i="10"/>
  <c r="AC70" i="10"/>
  <c r="V70" i="10"/>
  <c r="W70" i="10" s="1"/>
  <c r="Q70" i="10"/>
  <c r="P70" i="10"/>
  <c r="O70" i="10"/>
  <c r="N70" i="10"/>
  <c r="M70" i="10"/>
  <c r="X70" i="10" s="1"/>
  <c r="AV69" i="10"/>
  <c r="AT69" i="10"/>
  <c r="AS69" i="10"/>
  <c r="AK69" i="10"/>
  <c r="AF69" i="10"/>
  <c r="AD69" i="10"/>
  <c r="AC69" i="10"/>
  <c r="V69" i="10"/>
  <c r="W69" i="10" s="1"/>
  <c r="Q69" i="10"/>
  <c r="P69" i="10"/>
  <c r="O69" i="10"/>
  <c r="N69" i="10"/>
  <c r="M69" i="10"/>
  <c r="X69" i="10" s="1"/>
  <c r="AV68" i="10"/>
  <c r="AT68" i="10"/>
  <c r="AS68" i="10"/>
  <c r="AK68" i="10"/>
  <c r="AF68" i="10"/>
  <c r="AD68" i="10"/>
  <c r="AC68" i="10"/>
  <c r="V68" i="10"/>
  <c r="W68" i="10" s="1"/>
  <c r="Q68" i="10"/>
  <c r="P68" i="10"/>
  <c r="O68" i="10"/>
  <c r="N68" i="10"/>
  <c r="M68" i="10"/>
  <c r="X68" i="10" s="1"/>
  <c r="F38" i="7"/>
  <c r="AV67" i="10"/>
  <c r="AT67" i="10"/>
  <c r="AS67" i="10"/>
  <c r="AK67" i="10"/>
  <c r="AF67" i="10"/>
  <c r="AD67" i="10"/>
  <c r="AC67" i="10"/>
  <c r="V67" i="10"/>
  <c r="W67" i="10" s="1"/>
  <c r="Q67" i="10"/>
  <c r="P67" i="10"/>
  <c r="O67" i="10"/>
  <c r="N67" i="10"/>
  <c r="M67" i="10"/>
  <c r="X67" i="10" s="1"/>
  <c r="F37" i="7"/>
  <c r="AV66" i="10"/>
  <c r="AT66" i="10"/>
  <c r="AS66" i="10"/>
  <c r="AK66" i="10"/>
  <c r="AF66" i="10"/>
  <c r="AD66" i="10"/>
  <c r="AC66" i="10"/>
  <c r="V66" i="10"/>
  <c r="W66" i="10" s="1"/>
  <c r="Q66" i="10"/>
  <c r="P66" i="10"/>
  <c r="O66" i="10"/>
  <c r="N66" i="10"/>
  <c r="M66" i="10"/>
  <c r="X66" i="10" s="1"/>
  <c r="F50" i="7"/>
  <c r="AV65" i="10"/>
  <c r="AT65" i="10"/>
  <c r="AS65" i="10"/>
  <c r="AK65" i="10"/>
  <c r="AF65" i="10"/>
  <c r="AD65" i="10"/>
  <c r="AC65" i="10"/>
  <c r="V65" i="10"/>
  <c r="W65" i="10" s="1"/>
  <c r="Q65" i="10"/>
  <c r="P65" i="10"/>
  <c r="O65" i="10"/>
  <c r="N65" i="10"/>
  <c r="M65" i="10"/>
  <c r="X65" i="10" s="1"/>
  <c r="AV64" i="10"/>
  <c r="AT64" i="10"/>
  <c r="AS64" i="10"/>
  <c r="AK64" i="10"/>
  <c r="AF64" i="10"/>
  <c r="AD64" i="10"/>
  <c r="AC64" i="10"/>
  <c r="V64" i="10"/>
  <c r="W64" i="10" s="1"/>
  <c r="Q64" i="10"/>
  <c r="P64" i="10"/>
  <c r="O64" i="10"/>
  <c r="N64" i="10"/>
  <c r="M64" i="10"/>
  <c r="X64" i="10" s="1"/>
  <c r="F30" i="7"/>
  <c r="AV63" i="10"/>
  <c r="AT63" i="10"/>
  <c r="AS63" i="10"/>
  <c r="AK63" i="10"/>
  <c r="AF63" i="10"/>
  <c r="AD63" i="10"/>
  <c r="AC63" i="10"/>
  <c r="V63" i="10"/>
  <c r="W63" i="10" s="1"/>
  <c r="Q63" i="10"/>
  <c r="P63" i="10"/>
  <c r="O63" i="10"/>
  <c r="N63" i="10"/>
  <c r="M63" i="10"/>
  <c r="X63" i="10" s="1"/>
  <c r="AV62" i="10"/>
  <c r="AT62" i="10"/>
  <c r="AS62" i="10"/>
  <c r="AK62" i="10"/>
  <c r="AF62" i="10"/>
  <c r="AD62" i="10"/>
  <c r="AC62" i="10"/>
  <c r="V62" i="10"/>
  <c r="W62" i="10" s="1"/>
  <c r="Q62" i="10"/>
  <c r="P62" i="10"/>
  <c r="O62" i="10"/>
  <c r="N62" i="10"/>
  <c r="M62" i="10"/>
  <c r="AV61" i="10"/>
  <c r="AT61" i="10"/>
  <c r="AS61" i="10"/>
  <c r="AK61" i="10"/>
  <c r="AF61" i="10"/>
  <c r="AD61" i="10"/>
  <c r="AC61" i="10"/>
  <c r="V61" i="10"/>
  <c r="W61" i="10" s="1"/>
  <c r="Q61" i="10"/>
  <c r="P61" i="10"/>
  <c r="O61" i="10"/>
  <c r="N61" i="10"/>
  <c r="M61" i="10"/>
  <c r="X61" i="10" s="1"/>
  <c r="AV60" i="10"/>
  <c r="AT60" i="10"/>
  <c r="AS60" i="10"/>
  <c r="AK60" i="10"/>
  <c r="AF60" i="10"/>
  <c r="AD60" i="10"/>
  <c r="AC60" i="10"/>
  <c r="V60" i="10"/>
  <c r="W60" i="10" s="1"/>
  <c r="Q60" i="10"/>
  <c r="P60" i="10"/>
  <c r="O60" i="10"/>
  <c r="N60" i="10"/>
  <c r="M60" i="10"/>
  <c r="X60" i="10" s="1"/>
  <c r="AV52" i="10"/>
  <c r="AT52" i="10"/>
  <c r="AS52" i="10"/>
  <c r="AK52" i="10"/>
  <c r="AF52" i="10"/>
  <c r="AD52" i="10"/>
  <c r="AC52" i="10"/>
  <c r="V52" i="10"/>
  <c r="W52" i="10" s="1"/>
  <c r="Q52" i="10"/>
  <c r="P52" i="10"/>
  <c r="O52" i="10"/>
  <c r="N52" i="10"/>
  <c r="M52" i="10"/>
  <c r="X52" i="10" s="1"/>
  <c r="F13" i="7"/>
  <c r="AV40" i="10"/>
  <c r="AT40" i="10"/>
  <c r="AS40" i="10"/>
  <c r="AK40" i="10"/>
  <c r="AF40" i="10"/>
  <c r="AD40" i="10"/>
  <c r="AC40" i="10"/>
  <c r="V40" i="10"/>
  <c r="W40" i="10" s="1"/>
  <c r="Q40" i="10"/>
  <c r="P40" i="10"/>
  <c r="O40" i="10"/>
  <c r="N40" i="10"/>
  <c r="M40" i="10"/>
  <c r="X40" i="10" s="1"/>
  <c r="F15" i="7"/>
  <c r="AV23" i="10"/>
  <c r="AT23" i="10"/>
  <c r="AS23" i="10"/>
  <c r="AK23" i="10"/>
  <c r="AF23" i="10"/>
  <c r="AD23" i="10"/>
  <c r="AC23" i="10"/>
  <c r="V23" i="10"/>
  <c r="W23" i="10" s="1"/>
  <c r="Q23" i="10"/>
  <c r="P23" i="10"/>
  <c r="O23" i="10"/>
  <c r="N23" i="10"/>
  <c r="M23" i="10"/>
  <c r="X23" i="10" s="1"/>
  <c r="F33" i="7"/>
  <c r="AV21" i="10"/>
  <c r="AT21" i="10"/>
  <c r="AS21" i="10"/>
  <c r="AK21" i="10"/>
  <c r="AF21" i="10"/>
  <c r="AD21" i="10"/>
  <c r="AC21" i="10"/>
  <c r="V21" i="10"/>
  <c r="W21" i="10" s="1"/>
  <c r="Q21" i="10"/>
  <c r="P21" i="10"/>
  <c r="O21" i="10"/>
  <c r="N21" i="10"/>
  <c r="M21" i="10"/>
  <c r="F17" i="7"/>
  <c r="AV20" i="10"/>
  <c r="AT20" i="10"/>
  <c r="AS20" i="10"/>
  <c r="AK20" i="10"/>
  <c r="AR20" i="10" s="1"/>
  <c r="AF20" i="10"/>
  <c r="AD20" i="10"/>
  <c r="AC20" i="10"/>
  <c r="V20" i="10"/>
  <c r="W20" i="10" s="1"/>
  <c r="Q20" i="10"/>
  <c r="P20" i="10"/>
  <c r="O20" i="10"/>
  <c r="N20" i="10"/>
  <c r="M20" i="10"/>
  <c r="X20" i="10" s="1"/>
  <c r="F4" i="7"/>
  <c r="AV19" i="10"/>
  <c r="AT19" i="10"/>
  <c r="AS19" i="10"/>
  <c r="AK19" i="10"/>
  <c r="AF19" i="10"/>
  <c r="AD19" i="10"/>
  <c r="AC19" i="10"/>
  <c r="V19" i="10"/>
  <c r="W19" i="10" s="1"/>
  <c r="Q19" i="10"/>
  <c r="P19" i="10"/>
  <c r="O19" i="10"/>
  <c r="N19" i="10"/>
  <c r="M19" i="10"/>
  <c r="X19" i="10" s="1"/>
  <c r="AV18" i="10"/>
  <c r="AT18" i="10"/>
  <c r="AS18" i="10"/>
  <c r="AK18" i="10"/>
  <c r="AF18" i="10"/>
  <c r="AD18" i="10"/>
  <c r="AC18" i="10"/>
  <c r="V18" i="10"/>
  <c r="W18" i="10" s="1"/>
  <c r="Q18" i="10"/>
  <c r="P18" i="10"/>
  <c r="O18" i="10"/>
  <c r="N18" i="10"/>
  <c r="M18" i="10"/>
  <c r="X18" i="10" s="1"/>
  <c r="AV17" i="10"/>
  <c r="AT17" i="10"/>
  <c r="AS17" i="10"/>
  <c r="AK17" i="10"/>
  <c r="AF17" i="10"/>
  <c r="AD17" i="10"/>
  <c r="AC17" i="10"/>
  <c r="V17" i="10"/>
  <c r="W17" i="10" s="1"/>
  <c r="Q17" i="10"/>
  <c r="P17" i="10"/>
  <c r="O17" i="10"/>
  <c r="N17" i="10"/>
  <c r="M17" i="10"/>
  <c r="X17" i="10" s="1"/>
  <c r="AV16" i="10"/>
  <c r="AT16" i="10"/>
  <c r="O16" i="10" s="1"/>
  <c r="AS16" i="10"/>
  <c r="AK16" i="10"/>
  <c r="AF16" i="10"/>
  <c r="AD16" i="10"/>
  <c r="AC16" i="10"/>
  <c r="V16" i="10"/>
  <c r="W16" i="10" s="1"/>
  <c r="Q16" i="10"/>
  <c r="P16" i="10"/>
  <c r="N16" i="10"/>
  <c r="M16" i="10"/>
  <c r="F12" i="7"/>
  <c r="AV14" i="10"/>
  <c r="AT14" i="10"/>
  <c r="O14" i="10" s="1"/>
  <c r="AS14" i="10"/>
  <c r="AK14" i="10"/>
  <c r="AF14" i="10"/>
  <c r="AD14" i="10"/>
  <c r="AC14" i="10"/>
  <c r="V14" i="10"/>
  <c r="W14" i="10" s="1"/>
  <c r="Q14" i="10"/>
  <c r="P14" i="10"/>
  <c r="N14" i="10"/>
  <c r="M14" i="10"/>
  <c r="F53" i="7"/>
  <c r="AV13" i="10"/>
  <c r="AT13" i="10"/>
  <c r="O13" i="10" s="1"/>
  <c r="AS13" i="10"/>
  <c r="AK13" i="10"/>
  <c r="AF13" i="10"/>
  <c r="AD13" i="10"/>
  <c r="AC13" i="10"/>
  <c r="V13" i="10"/>
  <c r="W13" i="10" s="1"/>
  <c r="Q13" i="10"/>
  <c r="P13" i="10"/>
  <c r="N13" i="10"/>
  <c r="M13" i="10"/>
  <c r="F41" i="7"/>
  <c r="AV12" i="10"/>
  <c r="AT12" i="10"/>
  <c r="O12" i="10" s="1"/>
  <c r="AS12" i="10"/>
  <c r="AK12" i="10"/>
  <c r="AF12" i="10"/>
  <c r="AD12" i="10"/>
  <c r="AC12" i="10"/>
  <c r="V12" i="10"/>
  <c r="W12" i="10" s="1"/>
  <c r="Q12" i="10"/>
  <c r="P12" i="10"/>
  <c r="N12" i="10"/>
  <c r="M12" i="10"/>
  <c r="AV11" i="10"/>
  <c r="AT11" i="10"/>
  <c r="AS11" i="10"/>
  <c r="AK11" i="10"/>
  <c r="AF11" i="10"/>
  <c r="AD11" i="10"/>
  <c r="AC11" i="10"/>
  <c r="V11" i="10"/>
  <c r="W11" i="10" s="1"/>
  <c r="Q11" i="10"/>
  <c r="P11" i="10"/>
  <c r="O11" i="10"/>
  <c r="N11" i="10"/>
  <c r="M11" i="10"/>
  <c r="X11" i="10" s="1"/>
  <c r="AV10" i="10"/>
  <c r="AT10" i="10"/>
  <c r="O10" i="10" s="1"/>
  <c r="AS10" i="10"/>
  <c r="AK10" i="10"/>
  <c r="AF10" i="10"/>
  <c r="AD10" i="10"/>
  <c r="AC10" i="10"/>
  <c r="V10" i="10"/>
  <c r="W10" i="10" s="1"/>
  <c r="Q10" i="10"/>
  <c r="P10" i="10"/>
  <c r="N10" i="10"/>
  <c r="M10" i="10"/>
  <c r="AV9" i="10"/>
  <c r="AT9" i="10"/>
  <c r="AS9" i="10"/>
  <c r="AK9" i="10"/>
  <c r="AF9" i="10"/>
  <c r="AC9" i="10"/>
  <c r="V9" i="10"/>
  <c r="Q9" i="10"/>
  <c r="P9" i="10"/>
  <c r="N9" i="10"/>
  <c r="F44" i="7"/>
  <c r="AD9" i="10"/>
  <c r="W9" i="10"/>
  <c r="O9" i="10"/>
  <c r="M9" i="10"/>
  <c r="X9" i="10" s="1"/>
  <c r="AK8" i="10"/>
  <c r="AC8" i="10"/>
  <c r="V8" i="10"/>
  <c r="W8" i="10" s="1"/>
  <c r="N8" i="10"/>
  <c r="AV8" i="10"/>
  <c r="AT8" i="10"/>
  <c r="O8" i="10" s="1"/>
  <c r="AS8" i="10"/>
  <c r="AF8" i="10"/>
  <c r="AD8" i="10"/>
  <c r="Q8" i="10"/>
  <c r="P8" i="10"/>
  <c r="M8" i="10"/>
  <c r="X8" i="10" s="1"/>
  <c r="AV7" i="10"/>
  <c r="AT7" i="10"/>
  <c r="AS7" i="10"/>
  <c r="AF7" i="10"/>
  <c r="AD7" i="10"/>
  <c r="Q7" i="10"/>
  <c r="P7" i="10"/>
  <c r="M7" i="10"/>
  <c r="F27" i="7"/>
  <c r="AK7" i="10"/>
  <c r="AC7" i="10"/>
  <c r="V7" i="10"/>
  <c r="W7" i="10" s="1"/>
  <c r="O7" i="10"/>
  <c r="N7" i="10"/>
  <c r="F2" i="7"/>
  <c r="AV4" i="10"/>
  <c r="AT4" i="10"/>
  <c r="AS4" i="10"/>
  <c r="AK4" i="10"/>
  <c r="AF4" i="10"/>
  <c r="AD4" i="10"/>
  <c r="AC4" i="10"/>
  <c r="V4" i="10"/>
  <c r="W4" i="10" s="1"/>
  <c r="Q4" i="10"/>
  <c r="P4" i="10"/>
  <c r="O4" i="10"/>
  <c r="N4" i="10"/>
  <c r="M4" i="10"/>
  <c r="X4" i="10" s="1"/>
  <c r="F9" i="7"/>
  <c r="AV3" i="10"/>
  <c r="AT3" i="10"/>
  <c r="AS3" i="10"/>
  <c r="AK3" i="10"/>
  <c r="AF3" i="10"/>
  <c r="AD3" i="10"/>
  <c r="AC3" i="10"/>
  <c r="V3" i="10"/>
  <c r="W3" i="10" s="1"/>
  <c r="Q3" i="10"/>
  <c r="P3" i="10"/>
  <c r="O3" i="10"/>
  <c r="N3" i="10"/>
  <c r="M3" i="10"/>
  <c r="X3" i="10" s="1"/>
  <c r="AV407" i="10"/>
  <c r="AT407" i="10"/>
  <c r="AS407" i="10"/>
  <c r="AK407" i="10"/>
  <c r="AR407" i="10" s="1"/>
  <c r="AF407" i="10"/>
  <c r="AD407" i="10"/>
  <c r="AC407" i="10"/>
  <c r="V407" i="10"/>
  <c r="W407" i="10" s="1"/>
  <c r="Q407" i="10"/>
  <c r="P407" i="10"/>
  <c r="O407" i="10"/>
  <c r="N407" i="10"/>
  <c r="M407" i="10"/>
  <c r="X407" i="10" s="1"/>
  <c r="AV368" i="10"/>
  <c r="AT368" i="10"/>
  <c r="AS368" i="10"/>
  <c r="AK368" i="10"/>
  <c r="AF368" i="10"/>
  <c r="AD368" i="10"/>
  <c r="AC368" i="10"/>
  <c r="V368" i="10"/>
  <c r="W368" i="10" s="1"/>
  <c r="Q368" i="10"/>
  <c r="P368" i="10"/>
  <c r="O368" i="10"/>
  <c r="N368" i="10"/>
  <c r="M368" i="10"/>
  <c r="X368" i="10" s="1"/>
  <c r="AV360" i="10"/>
  <c r="AT360" i="10"/>
  <c r="AS360" i="10"/>
  <c r="AK360" i="10"/>
  <c r="AR360" i="10" s="1"/>
  <c r="AF360" i="10"/>
  <c r="AD360" i="10"/>
  <c r="AC360" i="10"/>
  <c r="W360" i="10"/>
  <c r="V360" i="10"/>
  <c r="Q360" i="10"/>
  <c r="P360" i="10"/>
  <c r="O360" i="10"/>
  <c r="N360" i="10"/>
  <c r="M360" i="10"/>
  <c r="X360" i="10" s="1"/>
  <c r="AV352" i="10"/>
  <c r="AT352" i="10"/>
  <c r="AS352" i="10"/>
  <c r="AK352" i="10"/>
  <c r="AF352" i="10"/>
  <c r="AD352" i="10"/>
  <c r="AC352" i="10"/>
  <c r="V352" i="10"/>
  <c r="W352" i="10" s="1"/>
  <c r="Q352" i="10"/>
  <c r="P352" i="10"/>
  <c r="O352" i="10"/>
  <c r="N352" i="10"/>
  <c r="M352" i="10"/>
  <c r="X352" i="10" s="1"/>
  <c r="AV342" i="10"/>
  <c r="AT342" i="10"/>
  <c r="AS342" i="10"/>
  <c r="AK342" i="10"/>
  <c r="AR342" i="10" s="1"/>
  <c r="AF342" i="10"/>
  <c r="AD342" i="10"/>
  <c r="AC342" i="10"/>
  <c r="W342" i="10"/>
  <c r="V342" i="10"/>
  <c r="Q342" i="10"/>
  <c r="P342" i="10"/>
  <c r="O342" i="10"/>
  <c r="N342" i="10"/>
  <c r="M342" i="10"/>
  <c r="X342" i="10" s="1"/>
  <c r="AV328" i="10"/>
  <c r="AT328" i="10"/>
  <c r="AS328" i="10"/>
  <c r="AK328" i="10"/>
  <c r="AF328" i="10"/>
  <c r="AD328" i="10"/>
  <c r="AC328" i="10"/>
  <c r="V328" i="10"/>
  <c r="W328" i="10" s="1"/>
  <c r="Q328" i="10"/>
  <c r="P328" i="10"/>
  <c r="O328" i="10"/>
  <c r="N328" i="10"/>
  <c r="M328" i="10"/>
  <c r="X328" i="10" s="1"/>
  <c r="AV320" i="10"/>
  <c r="AT320" i="10"/>
  <c r="AS320" i="10"/>
  <c r="AK320" i="10"/>
  <c r="AR320" i="10" s="1"/>
  <c r="AF320" i="10"/>
  <c r="AD320" i="10"/>
  <c r="AC320" i="10"/>
  <c r="V320" i="10"/>
  <c r="W320" i="10" s="1"/>
  <c r="Q320" i="10"/>
  <c r="P320" i="10"/>
  <c r="O320" i="10"/>
  <c r="N320" i="10"/>
  <c r="M320" i="10"/>
  <c r="X320" i="10" s="1"/>
  <c r="AV270" i="10"/>
  <c r="AT270" i="10"/>
  <c r="AS270" i="10"/>
  <c r="AK270" i="10"/>
  <c r="AF270" i="10"/>
  <c r="AD270" i="10"/>
  <c r="AC270" i="10"/>
  <c r="V270" i="10"/>
  <c r="W270" i="10" s="1"/>
  <c r="Q270" i="10"/>
  <c r="P270" i="10"/>
  <c r="O270" i="10"/>
  <c r="N270" i="10"/>
  <c r="M270" i="10"/>
  <c r="X270" i="10" s="1"/>
  <c r="AV262" i="10"/>
  <c r="AT262" i="10"/>
  <c r="AS262" i="10"/>
  <c r="AK262" i="10"/>
  <c r="AF262" i="10"/>
  <c r="AD262" i="10"/>
  <c r="AC262" i="10"/>
  <c r="V262" i="10"/>
  <c r="W262" i="10" s="1"/>
  <c r="Q262" i="10"/>
  <c r="P262" i="10"/>
  <c r="O262" i="10"/>
  <c r="N262" i="10"/>
  <c r="M262" i="10"/>
  <c r="X262" i="10" s="1"/>
  <c r="F63" i="7"/>
  <c r="AV253" i="10"/>
  <c r="AT253" i="10"/>
  <c r="AS253" i="10"/>
  <c r="AK253" i="10"/>
  <c r="AF253" i="10"/>
  <c r="AD253" i="10"/>
  <c r="AC253" i="10"/>
  <c r="V253" i="10"/>
  <c r="W253" i="10" s="1"/>
  <c r="Q253" i="10"/>
  <c r="P253" i="10"/>
  <c r="O253" i="10"/>
  <c r="N253" i="10"/>
  <c r="M253" i="10"/>
  <c r="X253" i="10" s="1"/>
  <c r="AV212" i="10"/>
  <c r="AT212" i="10"/>
  <c r="AS212" i="10"/>
  <c r="AK212" i="10"/>
  <c r="AF212" i="10"/>
  <c r="AD212" i="10"/>
  <c r="AC212" i="10"/>
  <c r="V212" i="10"/>
  <c r="W212" i="10" s="1"/>
  <c r="Q212" i="10"/>
  <c r="P212" i="10"/>
  <c r="O212" i="10"/>
  <c r="N212" i="10"/>
  <c r="M212" i="10"/>
  <c r="X212" i="10" s="1"/>
  <c r="F36" i="7"/>
  <c r="AV198" i="10"/>
  <c r="AT198" i="10"/>
  <c r="AS198" i="10"/>
  <c r="AK198" i="10"/>
  <c r="AF198" i="10"/>
  <c r="AD198" i="10"/>
  <c r="AC198" i="10"/>
  <c r="V198" i="10"/>
  <c r="W198" i="10" s="1"/>
  <c r="Q198" i="10"/>
  <c r="P198" i="10"/>
  <c r="O198" i="10"/>
  <c r="N198" i="10"/>
  <c r="M198" i="10"/>
  <c r="X198" i="10" s="1"/>
  <c r="AV180" i="10"/>
  <c r="AT180" i="10"/>
  <c r="AS180" i="10"/>
  <c r="AK180" i="10"/>
  <c r="AR180" i="10" s="1"/>
  <c r="AF180" i="10"/>
  <c r="AD180" i="10"/>
  <c r="AC180" i="10"/>
  <c r="W180" i="10"/>
  <c r="V180" i="10"/>
  <c r="Q180" i="10"/>
  <c r="P180" i="10"/>
  <c r="O180" i="10"/>
  <c r="N180" i="10"/>
  <c r="M180" i="10"/>
  <c r="X180" i="10" s="1"/>
  <c r="AV129" i="10"/>
  <c r="AT129" i="10"/>
  <c r="AS129" i="10"/>
  <c r="AK129" i="10"/>
  <c r="AF129" i="10"/>
  <c r="AD129" i="10"/>
  <c r="AC129" i="10"/>
  <c r="V129" i="10"/>
  <c r="W129" i="10" s="1"/>
  <c r="Q129" i="10"/>
  <c r="P129" i="10"/>
  <c r="O129" i="10"/>
  <c r="N129" i="10"/>
  <c r="M129" i="10"/>
  <c r="X129" i="10" s="1"/>
  <c r="AV110" i="10"/>
  <c r="AT110" i="10"/>
  <c r="AS110" i="10"/>
  <c r="AK110" i="10"/>
  <c r="AF110" i="10"/>
  <c r="AD110" i="10"/>
  <c r="AC110" i="10"/>
  <c r="V110" i="10"/>
  <c r="W110" i="10" s="1"/>
  <c r="Q110" i="10"/>
  <c r="P110" i="10"/>
  <c r="O110" i="10"/>
  <c r="N110" i="10"/>
  <c r="M110" i="10"/>
  <c r="X110" i="10" s="1"/>
  <c r="AV99" i="10"/>
  <c r="AT99" i="10"/>
  <c r="AS99" i="10"/>
  <c r="AK99" i="10"/>
  <c r="AF99" i="10"/>
  <c r="AD99" i="10"/>
  <c r="AC99" i="10"/>
  <c r="V99" i="10"/>
  <c r="W99" i="10" s="1"/>
  <c r="Q99" i="10"/>
  <c r="P99" i="10"/>
  <c r="O99" i="10"/>
  <c r="N99" i="10"/>
  <c r="M99" i="10"/>
  <c r="X99" i="10" s="1"/>
  <c r="F6" i="7"/>
  <c r="AV51" i="10"/>
  <c r="AT51" i="10"/>
  <c r="AS51" i="10"/>
  <c r="AK51" i="10"/>
  <c r="AF51" i="10"/>
  <c r="AD51" i="10"/>
  <c r="AC51" i="10"/>
  <c r="V51" i="10"/>
  <c r="W51" i="10" s="1"/>
  <c r="Q51" i="10"/>
  <c r="P51" i="10"/>
  <c r="O51" i="10"/>
  <c r="N51" i="10"/>
  <c r="M51" i="10"/>
  <c r="X51" i="10" s="1"/>
  <c r="F47" i="7"/>
  <c r="AV38" i="10"/>
  <c r="AT38" i="10"/>
  <c r="AS38" i="10"/>
  <c r="AK38" i="10"/>
  <c r="AF38" i="10"/>
  <c r="AD38" i="10"/>
  <c r="AC38" i="10"/>
  <c r="V38" i="10"/>
  <c r="W38" i="10" s="1"/>
  <c r="Q38" i="10"/>
  <c r="P38" i="10"/>
  <c r="O38" i="10"/>
  <c r="N38" i="10"/>
  <c r="M38" i="10"/>
  <c r="X38" i="10" s="1"/>
  <c r="AV517" i="10"/>
  <c r="AT517" i="10"/>
  <c r="AS517" i="10"/>
  <c r="AK517" i="10"/>
  <c r="AF517" i="10"/>
  <c r="AD517" i="10"/>
  <c r="AC517" i="10"/>
  <c r="V517" i="10"/>
  <c r="W517" i="10" s="1"/>
  <c r="Q517" i="10"/>
  <c r="P517" i="10"/>
  <c r="O517" i="10"/>
  <c r="N517" i="10"/>
  <c r="M517" i="10"/>
  <c r="AV510" i="10"/>
  <c r="AT510" i="10"/>
  <c r="AS510" i="10"/>
  <c r="AK510" i="10"/>
  <c r="AF510" i="10"/>
  <c r="AD510" i="10"/>
  <c r="AC510" i="10"/>
  <c r="V510" i="10"/>
  <c r="W510" i="10" s="1"/>
  <c r="Q510" i="10"/>
  <c r="P510" i="10"/>
  <c r="O510" i="10"/>
  <c r="N510" i="10"/>
  <c r="M510" i="10"/>
  <c r="X510" i="10" s="1"/>
  <c r="AV506" i="10"/>
  <c r="AT506" i="10"/>
  <c r="AS506" i="10"/>
  <c r="AK506" i="10"/>
  <c r="AR506" i="10" s="1"/>
  <c r="AF506" i="10"/>
  <c r="AD506" i="10"/>
  <c r="AC506" i="10"/>
  <c r="V506" i="10"/>
  <c r="W506" i="10" s="1"/>
  <c r="Q506" i="10"/>
  <c r="P506" i="10"/>
  <c r="O506" i="10"/>
  <c r="N506" i="10"/>
  <c r="M506" i="10"/>
  <c r="AV501" i="10"/>
  <c r="AT501" i="10"/>
  <c r="AS501" i="10"/>
  <c r="AK501" i="10"/>
  <c r="AF501" i="10"/>
  <c r="AD501" i="10"/>
  <c r="AC501" i="10"/>
  <c r="V501" i="10"/>
  <c r="W501" i="10" s="1"/>
  <c r="Q501" i="10"/>
  <c r="P501" i="10"/>
  <c r="O501" i="10"/>
  <c r="N501" i="10"/>
  <c r="M501" i="10"/>
  <c r="X501" i="10" s="1"/>
  <c r="AV496" i="10"/>
  <c r="AT496" i="10"/>
  <c r="AS496" i="10"/>
  <c r="AK496" i="10"/>
  <c r="AR496" i="10" s="1"/>
  <c r="AF496" i="10"/>
  <c r="AD496" i="10"/>
  <c r="AC496" i="10"/>
  <c r="W496" i="10"/>
  <c r="V496" i="10"/>
  <c r="Q496" i="10"/>
  <c r="P496" i="10"/>
  <c r="O496" i="10"/>
  <c r="N496" i="10"/>
  <c r="M496" i="10"/>
  <c r="X496" i="10" s="1"/>
  <c r="AV490" i="10"/>
  <c r="AT490" i="10"/>
  <c r="AS490" i="10"/>
  <c r="AK490" i="10"/>
  <c r="AF490" i="10"/>
  <c r="AD490" i="10"/>
  <c r="AC490" i="10"/>
  <c r="V490" i="10"/>
  <c r="W490" i="10" s="1"/>
  <c r="Q490" i="10"/>
  <c r="P490" i="10"/>
  <c r="O490" i="10"/>
  <c r="N490" i="10"/>
  <c r="M490" i="10"/>
  <c r="AV485" i="10"/>
  <c r="AT485" i="10"/>
  <c r="AS485" i="10"/>
  <c r="AK485" i="10"/>
  <c r="AF485" i="10"/>
  <c r="AD485" i="10"/>
  <c r="AC485" i="10"/>
  <c r="V485" i="10"/>
  <c r="W485" i="10" s="1"/>
  <c r="Q485" i="10"/>
  <c r="P485" i="10"/>
  <c r="O485" i="10"/>
  <c r="N485" i="10"/>
  <c r="M485" i="10"/>
  <c r="AV480" i="10"/>
  <c r="AT480" i="10"/>
  <c r="AS480" i="10"/>
  <c r="AK480" i="10"/>
  <c r="AF480" i="10"/>
  <c r="AD480" i="10"/>
  <c r="AC480" i="10"/>
  <c r="V480" i="10"/>
  <c r="W480" i="10" s="1"/>
  <c r="Q480" i="10"/>
  <c r="P480" i="10"/>
  <c r="O480" i="10"/>
  <c r="N480" i="10"/>
  <c r="M480" i="10"/>
  <c r="X480" i="10" s="1"/>
  <c r="AV475" i="10"/>
  <c r="AT475" i="10"/>
  <c r="AS475" i="10"/>
  <c r="AK475" i="10"/>
  <c r="AF475" i="10"/>
  <c r="AD475" i="10"/>
  <c r="AC475" i="10"/>
  <c r="V475" i="10"/>
  <c r="W475" i="10" s="1"/>
  <c r="Q475" i="10"/>
  <c r="P475" i="10"/>
  <c r="O475" i="10"/>
  <c r="N475" i="10"/>
  <c r="M475" i="10"/>
  <c r="X475" i="10" s="1"/>
  <c r="AV470" i="10"/>
  <c r="AT470" i="10"/>
  <c r="AS470" i="10"/>
  <c r="AK470" i="10"/>
  <c r="AF470" i="10"/>
  <c r="AD470" i="10"/>
  <c r="AC470" i="10"/>
  <c r="V470" i="10"/>
  <c r="W470" i="10" s="1"/>
  <c r="Q470" i="10"/>
  <c r="P470" i="10"/>
  <c r="O470" i="10"/>
  <c r="N470" i="10"/>
  <c r="M470" i="10"/>
  <c r="X470" i="10" s="1"/>
  <c r="AV455" i="10"/>
  <c r="AT455" i="10"/>
  <c r="AS455" i="10"/>
  <c r="AK455" i="10"/>
  <c r="AR455" i="10" s="1"/>
  <c r="AF455" i="10"/>
  <c r="AD455" i="10"/>
  <c r="AC455" i="10"/>
  <c r="V455" i="10"/>
  <c r="W455" i="10" s="1"/>
  <c r="Q455" i="10"/>
  <c r="P455" i="10"/>
  <c r="O455" i="10"/>
  <c r="N455" i="10"/>
  <c r="M455" i="10"/>
  <c r="AV447" i="10"/>
  <c r="AT447" i="10"/>
  <c r="AS447" i="10"/>
  <c r="AK447" i="10"/>
  <c r="AR447" i="10" s="1"/>
  <c r="AF447" i="10"/>
  <c r="AD447" i="10"/>
  <c r="AC447" i="10"/>
  <c r="W447" i="10"/>
  <c r="V447" i="10"/>
  <c r="Q447" i="10"/>
  <c r="P447" i="10"/>
  <c r="O447" i="10"/>
  <c r="N447" i="10"/>
  <c r="M447" i="10"/>
  <c r="X447" i="10" s="1"/>
  <c r="AV439" i="10"/>
  <c r="AT439" i="10"/>
  <c r="AS439" i="10"/>
  <c r="AK439" i="10"/>
  <c r="AR439" i="10" s="1"/>
  <c r="AF439" i="10"/>
  <c r="AD439" i="10"/>
  <c r="AC439" i="10"/>
  <c r="V439" i="10"/>
  <c r="W439" i="10" s="1"/>
  <c r="Q439" i="10"/>
  <c r="P439" i="10"/>
  <c r="O439" i="10"/>
  <c r="N439" i="10"/>
  <c r="M439" i="10"/>
  <c r="AV427" i="10"/>
  <c r="AT427" i="10"/>
  <c r="AS427" i="10"/>
  <c r="AK427" i="10"/>
  <c r="AR427" i="10" s="1"/>
  <c r="AF427" i="10"/>
  <c r="AD427" i="10"/>
  <c r="AC427" i="10"/>
  <c r="V427" i="10"/>
  <c r="W427" i="10" s="1"/>
  <c r="Q427" i="10"/>
  <c r="P427" i="10"/>
  <c r="O427" i="10"/>
  <c r="N427" i="10"/>
  <c r="M427" i="10"/>
  <c r="AV421" i="10"/>
  <c r="AT421" i="10"/>
  <c r="AS421" i="10"/>
  <c r="AK421" i="10"/>
  <c r="AF421" i="10"/>
  <c r="AD421" i="10"/>
  <c r="AC421" i="10"/>
  <c r="V421" i="10"/>
  <c r="W421" i="10" s="1"/>
  <c r="Q421" i="10"/>
  <c r="P421" i="10"/>
  <c r="O421" i="10"/>
  <c r="N421" i="10"/>
  <c r="M421" i="10"/>
  <c r="AV414" i="10"/>
  <c r="AT414" i="10"/>
  <c r="AS414" i="10"/>
  <c r="AK414" i="10"/>
  <c r="AF414" i="10"/>
  <c r="AD414" i="10"/>
  <c r="AC414" i="10"/>
  <c r="V414" i="10"/>
  <c r="W414" i="10" s="1"/>
  <c r="Q414" i="10"/>
  <c r="P414" i="10"/>
  <c r="O414" i="10"/>
  <c r="N414" i="10"/>
  <c r="M414" i="10"/>
  <c r="AV405" i="10"/>
  <c r="AT405" i="10"/>
  <c r="O405" i="10" s="1"/>
  <c r="AS405" i="10"/>
  <c r="AK405" i="10"/>
  <c r="AF405" i="10"/>
  <c r="AD405" i="10"/>
  <c r="AC405" i="10"/>
  <c r="V405" i="10"/>
  <c r="W405" i="10" s="1"/>
  <c r="Q405" i="10"/>
  <c r="P405" i="10"/>
  <c r="N405" i="10"/>
  <c r="M405" i="10"/>
  <c r="AV397" i="10"/>
  <c r="AT397" i="10"/>
  <c r="O397" i="10" s="1"/>
  <c r="AS397" i="10"/>
  <c r="AK397" i="10"/>
  <c r="AF397" i="10"/>
  <c r="AD397" i="10"/>
  <c r="AC397" i="10"/>
  <c r="V397" i="10"/>
  <c r="W397" i="10" s="1"/>
  <c r="Q397" i="10"/>
  <c r="P397" i="10"/>
  <c r="N397" i="10"/>
  <c r="M397" i="10"/>
  <c r="F83" i="7"/>
  <c r="AV361" i="10"/>
  <c r="AT361" i="10"/>
  <c r="O361" i="10" s="1"/>
  <c r="AS361" i="10"/>
  <c r="AK361" i="10"/>
  <c r="AR361" i="10" s="1"/>
  <c r="AF361" i="10"/>
  <c r="AD361" i="10"/>
  <c r="AC361" i="10"/>
  <c r="V361" i="10"/>
  <c r="W361" i="10" s="1"/>
  <c r="Q361" i="10"/>
  <c r="P361" i="10"/>
  <c r="N361" i="10"/>
  <c r="M361" i="10"/>
  <c r="AV351" i="10"/>
  <c r="AT351" i="10"/>
  <c r="AS351" i="10"/>
  <c r="AK351" i="10"/>
  <c r="AF351" i="10"/>
  <c r="AD351" i="10"/>
  <c r="AC351" i="10"/>
  <c r="V351" i="10"/>
  <c r="W351" i="10" s="1"/>
  <c r="Q351" i="10"/>
  <c r="P351" i="10"/>
  <c r="O351" i="10"/>
  <c r="N351" i="10"/>
  <c r="M351" i="10"/>
  <c r="X351" i="10" s="1"/>
  <c r="AV339" i="10"/>
  <c r="AT339" i="10"/>
  <c r="O339" i="10" s="1"/>
  <c r="AS339" i="10"/>
  <c r="AK339" i="10"/>
  <c r="AF339" i="10"/>
  <c r="AD339" i="10"/>
  <c r="AC339" i="10"/>
  <c r="V339" i="10"/>
  <c r="W339" i="10" s="1"/>
  <c r="Q339" i="10"/>
  <c r="P339" i="10"/>
  <c r="N339" i="10"/>
  <c r="M339" i="10"/>
  <c r="AV326" i="10"/>
  <c r="AT326" i="10"/>
  <c r="AS326" i="10"/>
  <c r="AK326" i="10"/>
  <c r="AF326" i="10"/>
  <c r="AD326" i="10"/>
  <c r="AC326" i="10"/>
  <c r="V326" i="10"/>
  <c r="W326" i="10" s="1"/>
  <c r="Q326" i="10"/>
  <c r="P326" i="10"/>
  <c r="O326" i="10"/>
  <c r="N326" i="10"/>
  <c r="M326" i="10"/>
  <c r="X326" i="10" s="1"/>
  <c r="AV284" i="10"/>
  <c r="AT284" i="10"/>
  <c r="AS284" i="10"/>
  <c r="AK284" i="10"/>
  <c r="AF284" i="10"/>
  <c r="AD284" i="10"/>
  <c r="AC284" i="10"/>
  <c r="V284" i="10"/>
  <c r="W284" i="10" s="1"/>
  <c r="Q284" i="10"/>
  <c r="P284" i="10"/>
  <c r="O284" i="10"/>
  <c r="N284" i="10"/>
  <c r="M284" i="10"/>
  <c r="X284" i="10" s="1"/>
  <c r="F25" i="7"/>
  <c r="AV269" i="10"/>
  <c r="AT269" i="10"/>
  <c r="AS269" i="10"/>
  <c r="AK269" i="10"/>
  <c r="AF269" i="10"/>
  <c r="AD269" i="10"/>
  <c r="AC269" i="10"/>
  <c r="V269" i="10"/>
  <c r="W269" i="10" s="1"/>
  <c r="Q269" i="10"/>
  <c r="P269" i="10"/>
  <c r="O269" i="10"/>
  <c r="N269" i="10"/>
  <c r="M269" i="10"/>
  <c r="X269" i="10" s="1"/>
  <c r="AV260" i="10"/>
  <c r="AT260" i="10"/>
  <c r="AS260" i="10"/>
  <c r="AK260" i="10"/>
  <c r="AF260" i="10"/>
  <c r="AD260" i="10"/>
  <c r="AC260" i="10"/>
  <c r="V260" i="10"/>
  <c r="W260" i="10" s="1"/>
  <c r="Q260" i="10"/>
  <c r="P260" i="10"/>
  <c r="O260" i="10"/>
  <c r="N260" i="10"/>
  <c r="M260" i="10"/>
  <c r="X260" i="10" s="1"/>
  <c r="AV250" i="10"/>
  <c r="AT250" i="10"/>
  <c r="AS250" i="10"/>
  <c r="AK250" i="10"/>
  <c r="AF250" i="10"/>
  <c r="AD250" i="10"/>
  <c r="AC250" i="10"/>
  <c r="V250" i="10"/>
  <c r="W250" i="10" s="1"/>
  <c r="Q250" i="10"/>
  <c r="P250" i="10"/>
  <c r="O250" i="10"/>
  <c r="N250" i="10"/>
  <c r="M250" i="10"/>
  <c r="X250" i="10" s="1"/>
  <c r="AV209" i="10"/>
  <c r="AT209" i="10"/>
  <c r="AS209" i="10"/>
  <c r="AK209" i="10"/>
  <c r="AF209" i="10"/>
  <c r="AD209" i="10"/>
  <c r="AC209" i="10"/>
  <c r="V209" i="10"/>
  <c r="W209" i="10" s="1"/>
  <c r="Q209" i="10"/>
  <c r="P209" i="10"/>
  <c r="O209" i="10"/>
  <c r="N209" i="10"/>
  <c r="M209" i="10"/>
  <c r="X209" i="10" s="1"/>
  <c r="AV193" i="10"/>
  <c r="AT193" i="10"/>
  <c r="AS193" i="10"/>
  <c r="AK193" i="10"/>
  <c r="AF193" i="10"/>
  <c r="AD193" i="10"/>
  <c r="AC193" i="10"/>
  <c r="V193" i="10"/>
  <c r="W193" i="10" s="1"/>
  <c r="Q193" i="10"/>
  <c r="P193" i="10"/>
  <c r="O193" i="10"/>
  <c r="N193" i="10"/>
  <c r="M193" i="10"/>
  <c r="X193" i="10" s="1"/>
  <c r="AV175" i="10"/>
  <c r="AT175" i="10"/>
  <c r="AS175" i="10"/>
  <c r="AK175" i="10"/>
  <c r="AF175" i="10"/>
  <c r="AD175" i="10"/>
  <c r="AC175" i="10"/>
  <c r="V175" i="10"/>
  <c r="W175" i="10" s="1"/>
  <c r="Q175" i="10"/>
  <c r="P175" i="10"/>
  <c r="O175" i="10"/>
  <c r="N175" i="10"/>
  <c r="M175" i="10"/>
  <c r="X175" i="10" s="1"/>
  <c r="F57" i="7"/>
  <c r="AV126" i="10"/>
  <c r="AT126" i="10"/>
  <c r="AS126" i="10"/>
  <c r="AK126" i="10"/>
  <c r="AF126" i="10"/>
  <c r="AD126" i="10"/>
  <c r="AC126" i="10"/>
  <c r="V126" i="10"/>
  <c r="W126" i="10" s="1"/>
  <c r="Q126" i="10"/>
  <c r="P126" i="10"/>
  <c r="O126" i="10"/>
  <c r="N126" i="10"/>
  <c r="M126" i="10"/>
  <c r="X126" i="10" s="1"/>
  <c r="AV108" i="10"/>
  <c r="AT108" i="10"/>
  <c r="AS108" i="10"/>
  <c r="AK108" i="10"/>
  <c r="AF108" i="10"/>
  <c r="AD108" i="10"/>
  <c r="AC108" i="10"/>
  <c r="V108" i="10"/>
  <c r="W108" i="10" s="1"/>
  <c r="Q108" i="10"/>
  <c r="P108" i="10"/>
  <c r="O108" i="10"/>
  <c r="N108" i="10"/>
  <c r="M108" i="10"/>
  <c r="X108" i="10" s="1"/>
  <c r="F34" i="7"/>
  <c r="AV97" i="10"/>
  <c r="AT97" i="10"/>
  <c r="AS97" i="10"/>
  <c r="AK97" i="10"/>
  <c r="AF97" i="10"/>
  <c r="AD97" i="10"/>
  <c r="AC97" i="10"/>
  <c r="V97" i="10"/>
  <c r="W97" i="10" s="1"/>
  <c r="Q97" i="10"/>
  <c r="P97" i="10"/>
  <c r="O97" i="10"/>
  <c r="N97" i="10"/>
  <c r="M97" i="10"/>
  <c r="X97" i="10" s="1"/>
  <c r="AV49" i="10"/>
  <c r="AT49" i="10"/>
  <c r="AS49" i="10"/>
  <c r="AK49" i="10"/>
  <c r="AF49" i="10"/>
  <c r="AD49" i="10"/>
  <c r="AC49" i="10"/>
  <c r="V49" i="10"/>
  <c r="W49" i="10" s="1"/>
  <c r="Q49" i="10"/>
  <c r="P49" i="10"/>
  <c r="O49" i="10"/>
  <c r="N49" i="10"/>
  <c r="M49" i="10"/>
  <c r="X49" i="10" s="1"/>
  <c r="AV37" i="10"/>
  <c r="AT37" i="10"/>
  <c r="AS37" i="10"/>
  <c r="AK37" i="10"/>
  <c r="AF37" i="10"/>
  <c r="AD37" i="10"/>
  <c r="AC37" i="10"/>
  <c r="V37" i="10"/>
  <c r="W37" i="10" s="1"/>
  <c r="Q37" i="10"/>
  <c r="P37" i="10"/>
  <c r="O37" i="10"/>
  <c r="N37" i="10"/>
  <c r="M37" i="10"/>
  <c r="X37" i="10" s="1"/>
  <c r="AV515" i="10"/>
  <c r="AT515" i="10"/>
  <c r="AS515" i="10"/>
  <c r="AK515" i="10"/>
  <c r="AF515" i="10"/>
  <c r="AD515" i="10"/>
  <c r="AC515" i="10"/>
  <c r="V515" i="10"/>
  <c r="W515" i="10" s="1"/>
  <c r="Q515" i="10"/>
  <c r="P515" i="10"/>
  <c r="O515" i="10"/>
  <c r="N515" i="10"/>
  <c r="M515" i="10"/>
  <c r="X515" i="10" s="1"/>
  <c r="AV509" i="10"/>
  <c r="AT509" i="10"/>
  <c r="AS509" i="10"/>
  <c r="AK509" i="10"/>
  <c r="AR509" i="10" s="1"/>
  <c r="AF509" i="10"/>
  <c r="AD509" i="10"/>
  <c r="AC509" i="10"/>
  <c r="V509" i="10"/>
  <c r="W509" i="10" s="1"/>
  <c r="Q509" i="10"/>
  <c r="P509" i="10"/>
  <c r="O509" i="10"/>
  <c r="N509" i="10"/>
  <c r="M509" i="10"/>
  <c r="X509" i="10" s="1"/>
  <c r="AV504" i="10"/>
  <c r="AT504" i="10"/>
  <c r="AS504" i="10"/>
  <c r="AK504" i="10"/>
  <c r="AR504" i="10" s="1"/>
  <c r="AF504" i="10"/>
  <c r="AD504" i="10"/>
  <c r="AC504" i="10"/>
  <c r="V504" i="10"/>
  <c r="W504" i="10" s="1"/>
  <c r="Q504" i="10"/>
  <c r="P504" i="10"/>
  <c r="O504" i="10"/>
  <c r="N504" i="10"/>
  <c r="M504" i="10"/>
  <c r="X504" i="10" s="1"/>
  <c r="AV498" i="10"/>
  <c r="AT498" i="10"/>
  <c r="AS498" i="10"/>
  <c r="AK498" i="10"/>
  <c r="AR498" i="10" s="1"/>
  <c r="AF498" i="10"/>
  <c r="AD498" i="10"/>
  <c r="AC498" i="10"/>
  <c r="V498" i="10"/>
  <c r="W498" i="10" s="1"/>
  <c r="Q498" i="10"/>
  <c r="P498" i="10"/>
  <c r="O498" i="10"/>
  <c r="N498" i="10"/>
  <c r="M498" i="10"/>
  <c r="X498" i="10" s="1"/>
  <c r="AV493" i="10"/>
  <c r="AT493" i="10"/>
  <c r="AS493" i="10"/>
  <c r="AK493" i="10"/>
  <c r="AF493" i="10"/>
  <c r="AD493" i="10"/>
  <c r="AC493" i="10"/>
  <c r="V493" i="10"/>
  <c r="W493" i="10" s="1"/>
  <c r="Q493" i="10"/>
  <c r="P493" i="10"/>
  <c r="O493" i="10"/>
  <c r="N493" i="10"/>
  <c r="M493" i="10"/>
  <c r="X493" i="10" s="1"/>
  <c r="AV488" i="10"/>
  <c r="AT488" i="10"/>
  <c r="AS488" i="10"/>
  <c r="AK488" i="10"/>
  <c r="AF488" i="10"/>
  <c r="AD488" i="10"/>
  <c r="AC488" i="10"/>
  <c r="V488" i="10"/>
  <c r="W488" i="10" s="1"/>
  <c r="Q488" i="10"/>
  <c r="P488" i="10"/>
  <c r="O488" i="10"/>
  <c r="N488" i="10"/>
  <c r="M488" i="10"/>
  <c r="X488" i="10" s="1"/>
  <c r="AV483" i="10"/>
  <c r="AT483" i="10"/>
  <c r="AS483" i="10"/>
  <c r="AK483" i="10"/>
  <c r="AF483" i="10"/>
  <c r="AD483" i="10"/>
  <c r="AC483" i="10"/>
  <c r="V483" i="10"/>
  <c r="W483" i="10" s="1"/>
  <c r="Q483" i="10"/>
  <c r="P483" i="10"/>
  <c r="O483" i="10"/>
  <c r="N483" i="10"/>
  <c r="M483" i="10"/>
  <c r="X483" i="10" s="1"/>
  <c r="AV478" i="10"/>
  <c r="AT478" i="10"/>
  <c r="AS478" i="10"/>
  <c r="AK478" i="10"/>
  <c r="AR478" i="10" s="1"/>
  <c r="AF478" i="10"/>
  <c r="AD478" i="10"/>
  <c r="AC478" i="10"/>
  <c r="V478" i="10"/>
  <c r="W478" i="10" s="1"/>
  <c r="Q478" i="10"/>
  <c r="P478" i="10"/>
  <c r="O478" i="10"/>
  <c r="N478" i="10"/>
  <c r="M478" i="10"/>
  <c r="AV473" i="10"/>
  <c r="AT473" i="10"/>
  <c r="AS473" i="10"/>
  <c r="AK473" i="10"/>
  <c r="AR473" i="10" s="1"/>
  <c r="AF473" i="10"/>
  <c r="AD473" i="10"/>
  <c r="AC473" i="10"/>
  <c r="V473" i="10"/>
  <c r="W473" i="10" s="1"/>
  <c r="Q473" i="10"/>
  <c r="P473" i="10"/>
  <c r="O473" i="10"/>
  <c r="N473" i="10"/>
  <c r="M473" i="10"/>
  <c r="X473" i="10" s="1"/>
  <c r="AV458" i="10"/>
  <c r="AT458" i="10"/>
  <c r="AS458" i="10"/>
  <c r="AK458" i="10"/>
  <c r="AF458" i="10"/>
  <c r="AD458" i="10"/>
  <c r="AC458" i="10"/>
  <c r="V458" i="10"/>
  <c r="W458" i="10" s="1"/>
  <c r="Q458" i="10"/>
  <c r="P458" i="10"/>
  <c r="O458" i="10"/>
  <c r="N458" i="10"/>
  <c r="M458" i="10"/>
  <c r="AV451" i="10"/>
  <c r="AT451" i="10"/>
  <c r="AS451" i="10"/>
  <c r="AK451" i="10"/>
  <c r="AR451" i="10" s="1"/>
  <c r="AF451" i="10"/>
  <c r="AD451" i="10"/>
  <c r="AC451" i="10"/>
  <c r="V451" i="10"/>
  <c r="W451" i="10" s="1"/>
  <c r="Q451" i="10"/>
  <c r="P451" i="10"/>
  <c r="O451" i="10"/>
  <c r="N451" i="10"/>
  <c r="M451" i="10"/>
  <c r="AV444" i="10"/>
  <c r="AT444" i="10"/>
  <c r="AS444" i="10"/>
  <c r="AK444" i="10"/>
  <c r="AF444" i="10"/>
  <c r="AD444" i="10"/>
  <c r="AC444" i="10"/>
  <c r="V444" i="10"/>
  <c r="W444" i="10" s="1"/>
  <c r="Q444" i="10"/>
  <c r="P444" i="10"/>
  <c r="O444" i="10"/>
  <c r="N444" i="10"/>
  <c r="M444" i="10"/>
  <c r="AV433" i="10"/>
  <c r="AT433" i="10"/>
  <c r="AS433" i="10"/>
  <c r="AK433" i="10"/>
  <c r="AR433" i="10" s="1"/>
  <c r="AF433" i="10"/>
  <c r="AD433" i="10"/>
  <c r="AC433" i="10"/>
  <c r="V433" i="10"/>
  <c r="W433" i="10" s="1"/>
  <c r="Q433" i="10"/>
  <c r="P433" i="10"/>
  <c r="O433" i="10"/>
  <c r="N433" i="10"/>
  <c r="M433" i="10"/>
  <c r="AV423" i="10"/>
  <c r="AT423" i="10"/>
  <c r="AS423" i="10"/>
  <c r="AK423" i="10"/>
  <c r="AF423" i="10"/>
  <c r="AD423" i="10"/>
  <c r="AC423" i="10"/>
  <c r="V423" i="10"/>
  <c r="W423" i="10" s="1"/>
  <c r="Q423" i="10"/>
  <c r="P423" i="10"/>
  <c r="O423" i="10"/>
  <c r="N423" i="10"/>
  <c r="M423" i="10"/>
  <c r="AV416" i="10"/>
  <c r="AT416" i="10"/>
  <c r="AS416" i="10"/>
  <c r="AK416" i="10"/>
  <c r="AR416" i="10" s="1"/>
  <c r="AF416" i="10"/>
  <c r="AD416" i="10"/>
  <c r="AC416" i="10"/>
  <c r="V416" i="10"/>
  <c r="W416" i="10" s="1"/>
  <c r="Q416" i="10"/>
  <c r="P416" i="10"/>
  <c r="O416" i="10"/>
  <c r="N416" i="10"/>
  <c r="M416" i="10"/>
  <c r="X416" i="10" s="1"/>
  <c r="AV409" i="10"/>
  <c r="AT409" i="10"/>
  <c r="AS409" i="10"/>
  <c r="AK409" i="10"/>
  <c r="AR409" i="10" s="1"/>
  <c r="AF409" i="10"/>
  <c r="AD409" i="10"/>
  <c r="AC409" i="10"/>
  <c r="V409" i="10"/>
  <c r="W409" i="10" s="1"/>
  <c r="Q409" i="10"/>
  <c r="P409" i="10"/>
  <c r="O409" i="10"/>
  <c r="N409" i="10"/>
  <c r="M409" i="10"/>
  <c r="AV401" i="10"/>
  <c r="AT401" i="10"/>
  <c r="AS401" i="10"/>
  <c r="AK401" i="10"/>
  <c r="AR401" i="10" s="1"/>
  <c r="AF401" i="10"/>
  <c r="AD401" i="10"/>
  <c r="AC401" i="10"/>
  <c r="V401" i="10"/>
  <c r="W401" i="10" s="1"/>
  <c r="Q401" i="10"/>
  <c r="P401" i="10"/>
  <c r="O401" i="10"/>
  <c r="N401" i="10"/>
  <c r="M401" i="10"/>
  <c r="AV365" i="10"/>
  <c r="AT365" i="10"/>
  <c r="AS365" i="10"/>
  <c r="AK365" i="10"/>
  <c r="AF365" i="10"/>
  <c r="AD365" i="10"/>
  <c r="AC365" i="10"/>
  <c r="V365" i="10"/>
  <c r="W365" i="10" s="1"/>
  <c r="Q365" i="10"/>
  <c r="P365" i="10"/>
  <c r="O365" i="10"/>
  <c r="N365" i="10"/>
  <c r="M365" i="10"/>
  <c r="AV355" i="10"/>
  <c r="AT355" i="10"/>
  <c r="AS355" i="10"/>
  <c r="AK355" i="10"/>
  <c r="AF355" i="10"/>
  <c r="AD355" i="10"/>
  <c r="AC355" i="10"/>
  <c r="V355" i="10"/>
  <c r="W355" i="10" s="1"/>
  <c r="Q355" i="10"/>
  <c r="P355" i="10"/>
  <c r="O355" i="10"/>
  <c r="N355" i="10"/>
  <c r="M355" i="10"/>
  <c r="X355" i="10" s="1"/>
  <c r="AV345" i="10"/>
  <c r="AT345" i="10"/>
  <c r="AS345" i="10"/>
  <c r="AK345" i="10"/>
  <c r="AF345" i="10"/>
  <c r="AD345" i="10"/>
  <c r="AC345" i="10"/>
  <c r="V345" i="10"/>
  <c r="W345" i="10" s="1"/>
  <c r="Q345" i="10"/>
  <c r="P345" i="10"/>
  <c r="O345" i="10"/>
  <c r="N345" i="10"/>
  <c r="M345" i="10"/>
  <c r="AV332" i="10"/>
  <c r="AT332" i="10"/>
  <c r="AS332" i="10"/>
  <c r="AK332" i="10"/>
  <c r="AR332" i="10" s="1"/>
  <c r="AF332" i="10"/>
  <c r="AD332" i="10"/>
  <c r="AC332" i="10"/>
  <c r="V332" i="10"/>
  <c r="W332" i="10" s="1"/>
  <c r="Q332" i="10"/>
  <c r="P332" i="10"/>
  <c r="O332" i="10"/>
  <c r="N332" i="10"/>
  <c r="M332" i="10"/>
  <c r="AV321" i="10"/>
  <c r="AT321" i="10"/>
  <c r="AS321" i="10"/>
  <c r="AK321" i="10"/>
  <c r="AF321" i="10"/>
  <c r="AD321" i="10"/>
  <c r="AC321" i="10"/>
  <c r="V321" i="10"/>
  <c r="W321" i="10" s="1"/>
  <c r="Q321" i="10"/>
  <c r="P321" i="10"/>
  <c r="O321" i="10"/>
  <c r="N321" i="10"/>
  <c r="M321" i="10"/>
  <c r="AV278" i="10"/>
  <c r="AT278" i="10"/>
  <c r="AS278" i="10"/>
  <c r="AK278" i="10"/>
  <c r="AF278" i="10"/>
  <c r="AD278" i="10"/>
  <c r="AC278" i="10"/>
  <c r="V278" i="10"/>
  <c r="W278" i="10" s="1"/>
  <c r="Q278" i="10"/>
  <c r="P278" i="10"/>
  <c r="O278" i="10"/>
  <c r="N278" i="10"/>
  <c r="M278" i="10"/>
  <c r="X278" i="10" s="1"/>
  <c r="F80" i="7"/>
  <c r="AV265" i="10"/>
  <c r="AT265" i="10"/>
  <c r="AS265" i="10"/>
  <c r="AK265" i="10"/>
  <c r="AF265" i="10"/>
  <c r="AD265" i="10"/>
  <c r="AC265" i="10"/>
  <c r="V265" i="10"/>
  <c r="W265" i="10" s="1"/>
  <c r="Q265" i="10"/>
  <c r="P265" i="10"/>
  <c r="O265" i="10"/>
  <c r="N265" i="10"/>
  <c r="M265" i="10"/>
  <c r="AV255" i="10"/>
  <c r="AT255" i="10"/>
  <c r="AS255" i="10"/>
  <c r="AK255" i="10"/>
  <c r="AR255" i="10" s="1"/>
  <c r="AF255" i="10"/>
  <c r="AD255" i="10"/>
  <c r="AC255" i="10"/>
  <c r="V255" i="10"/>
  <c r="W255" i="10" s="1"/>
  <c r="Q255" i="10"/>
  <c r="P255" i="10"/>
  <c r="O255" i="10"/>
  <c r="N255" i="10"/>
  <c r="M255" i="10"/>
  <c r="AV213" i="10"/>
  <c r="AT213" i="10"/>
  <c r="AS213" i="10"/>
  <c r="AK213" i="10"/>
  <c r="AF213" i="10"/>
  <c r="AD213" i="10"/>
  <c r="AC213" i="10"/>
  <c r="V213" i="10"/>
  <c r="W213" i="10" s="1"/>
  <c r="Q213" i="10"/>
  <c r="P213" i="10"/>
  <c r="O213" i="10"/>
  <c r="N213" i="10"/>
  <c r="M213" i="10"/>
  <c r="AV199" i="10"/>
  <c r="AT199" i="10"/>
  <c r="AS199" i="10"/>
  <c r="AK199" i="10"/>
  <c r="AF199" i="10"/>
  <c r="AD199" i="10"/>
  <c r="AC199" i="10"/>
  <c r="V199" i="10"/>
  <c r="W199" i="10" s="1"/>
  <c r="Q199" i="10"/>
  <c r="P199" i="10"/>
  <c r="O199" i="10"/>
  <c r="N199" i="10"/>
  <c r="M199" i="10"/>
  <c r="AV188" i="10"/>
  <c r="AT188" i="10"/>
  <c r="AS188" i="10"/>
  <c r="AK188" i="10"/>
  <c r="AF188" i="10"/>
  <c r="AD188" i="10"/>
  <c r="AC188" i="10"/>
  <c r="V188" i="10"/>
  <c r="W188" i="10" s="1"/>
  <c r="Q188" i="10"/>
  <c r="P188" i="10"/>
  <c r="O188" i="10"/>
  <c r="N188" i="10"/>
  <c r="M188" i="10"/>
  <c r="AV172" i="10"/>
  <c r="AT172" i="10"/>
  <c r="AS172" i="10"/>
  <c r="AK172" i="10"/>
  <c r="AF172" i="10"/>
  <c r="AD172" i="10"/>
  <c r="AC172" i="10"/>
  <c r="V172" i="10"/>
  <c r="W172" i="10" s="1"/>
  <c r="Q172" i="10"/>
  <c r="P172" i="10"/>
  <c r="O172" i="10"/>
  <c r="N172" i="10"/>
  <c r="M172" i="10"/>
  <c r="AV114" i="10"/>
  <c r="AT114" i="10"/>
  <c r="O114" i="10" s="1"/>
  <c r="X114" i="10" s="1"/>
  <c r="AS114" i="10"/>
  <c r="AK114" i="10"/>
  <c r="AF114" i="10"/>
  <c r="AD114" i="10"/>
  <c r="AC114" i="10"/>
  <c r="V114" i="10"/>
  <c r="W114" i="10" s="1"/>
  <c r="Q114" i="10"/>
  <c r="P114" i="10"/>
  <c r="N114" i="10"/>
  <c r="M114" i="10"/>
  <c r="F46" i="7"/>
  <c r="AV101" i="10"/>
  <c r="AT101" i="10"/>
  <c r="O101" i="10" s="1"/>
  <c r="AS101" i="10"/>
  <c r="AK101" i="10"/>
  <c r="AF101" i="10"/>
  <c r="AD101" i="10"/>
  <c r="AC101" i="10"/>
  <c r="V101" i="10"/>
  <c r="W101" i="10" s="1"/>
  <c r="Q101" i="10"/>
  <c r="P101" i="10"/>
  <c r="N101" i="10"/>
  <c r="M101" i="10"/>
  <c r="AV53" i="10"/>
  <c r="AT53" i="10"/>
  <c r="AS53" i="10"/>
  <c r="AK53" i="10"/>
  <c r="AF53" i="10"/>
  <c r="AD53" i="10"/>
  <c r="AC53" i="10"/>
  <c r="V53" i="10"/>
  <c r="W53" i="10" s="1"/>
  <c r="Q53" i="10"/>
  <c r="P53" i="10"/>
  <c r="O53" i="10"/>
  <c r="N53" i="10"/>
  <c r="M53" i="10"/>
  <c r="X53" i="10" s="1"/>
  <c r="F24" i="7"/>
  <c r="AV41" i="10"/>
  <c r="AT41" i="10"/>
  <c r="AS41" i="10"/>
  <c r="AK41" i="10"/>
  <c r="AF41" i="10"/>
  <c r="AD41" i="10"/>
  <c r="AC41" i="10"/>
  <c r="V41" i="10"/>
  <c r="W41" i="10" s="1"/>
  <c r="Q41" i="10"/>
  <c r="P41" i="10"/>
  <c r="O41" i="10"/>
  <c r="N41" i="10"/>
  <c r="M41" i="10"/>
  <c r="X41" i="10" s="1"/>
  <c r="F60" i="7"/>
  <c r="AV27" i="10"/>
  <c r="AT27" i="10"/>
  <c r="AS27" i="10"/>
  <c r="AK27" i="10"/>
  <c r="AF27" i="10"/>
  <c r="AD27" i="10"/>
  <c r="AC27" i="10"/>
  <c r="V27" i="10"/>
  <c r="W27" i="10" s="1"/>
  <c r="Q27" i="10"/>
  <c r="P27" i="10"/>
  <c r="O27" i="10"/>
  <c r="N27" i="10"/>
  <c r="M27" i="10"/>
  <c r="X27" i="10" s="1"/>
  <c r="AV518" i="10"/>
  <c r="AT518" i="10"/>
  <c r="AS518" i="10"/>
  <c r="AK518" i="10"/>
  <c r="AR518" i="10" s="1"/>
  <c r="AF518" i="10"/>
  <c r="AD518" i="10"/>
  <c r="AC518" i="10"/>
  <c r="V518" i="10"/>
  <c r="W518" i="10" s="1"/>
  <c r="Q518" i="10"/>
  <c r="P518" i="10"/>
  <c r="O518" i="10"/>
  <c r="N518" i="10"/>
  <c r="M518" i="10"/>
  <c r="X518" i="10" s="1"/>
  <c r="AV511" i="10"/>
  <c r="AT511" i="10"/>
  <c r="AS511" i="10"/>
  <c r="AK511" i="10"/>
  <c r="AR511" i="10" s="1"/>
  <c r="AF511" i="10"/>
  <c r="AD511" i="10"/>
  <c r="AC511" i="10"/>
  <c r="V511" i="10"/>
  <c r="W511" i="10" s="1"/>
  <c r="Q511" i="10"/>
  <c r="P511" i="10"/>
  <c r="O511" i="10"/>
  <c r="N511" i="10"/>
  <c r="M511" i="10"/>
  <c r="X511" i="10" s="1"/>
  <c r="F64" i="7"/>
  <c r="AV505" i="10"/>
  <c r="AT505" i="10"/>
  <c r="AS505" i="10"/>
  <c r="AK505" i="10"/>
  <c r="AF505" i="10"/>
  <c r="AD505" i="10"/>
  <c r="AC505" i="10"/>
  <c r="V505" i="10"/>
  <c r="W505" i="10" s="1"/>
  <c r="Q505" i="10"/>
  <c r="P505" i="10"/>
  <c r="O505" i="10"/>
  <c r="N505" i="10"/>
  <c r="M505" i="10"/>
  <c r="X505" i="10" s="1"/>
  <c r="AV500" i="10"/>
  <c r="AT500" i="10"/>
  <c r="AS500" i="10"/>
  <c r="AK500" i="10"/>
  <c r="AF500" i="10"/>
  <c r="AD500" i="10"/>
  <c r="AC500" i="10"/>
  <c r="V500" i="10"/>
  <c r="W500" i="10" s="1"/>
  <c r="Q500" i="10"/>
  <c r="P500" i="10"/>
  <c r="O500" i="10"/>
  <c r="N500" i="10"/>
  <c r="M500" i="10"/>
  <c r="X500" i="10" s="1"/>
  <c r="AV495" i="10"/>
  <c r="AT495" i="10"/>
  <c r="AS495" i="10"/>
  <c r="AK495" i="10"/>
  <c r="AF495" i="10"/>
  <c r="AD495" i="10"/>
  <c r="AC495" i="10"/>
  <c r="V495" i="10"/>
  <c r="W495" i="10" s="1"/>
  <c r="Q495" i="10"/>
  <c r="P495" i="10"/>
  <c r="O495" i="10"/>
  <c r="N495" i="10"/>
  <c r="M495" i="10"/>
  <c r="X495" i="10" s="1"/>
  <c r="AV489" i="10"/>
  <c r="AT489" i="10"/>
  <c r="AS489" i="10"/>
  <c r="AK489" i="10"/>
  <c r="AF489" i="10"/>
  <c r="AD489" i="10"/>
  <c r="AC489" i="10"/>
  <c r="V489" i="10"/>
  <c r="W489" i="10" s="1"/>
  <c r="Q489" i="10"/>
  <c r="P489" i="10"/>
  <c r="O489" i="10"/>
  <c r="N489" i="10"/>
  <c r="M489" i="10"/>
  <c r="X489" i="10" s="1"/>
  <c r="AV484" i="10"/>
  <c r="AT484" i="10"/>
  <c r="AS484" i="10"/>
  <c r="AK484" i="10"/>
  <c r="AR484" i="10" s="1"/>
  <c r="AF484" i="10"/>
  <c r="AD484" i="10"/>
  <c r="AC484" i="10"/>
  <c r="V484" i="10"/>
  <c r="W484" i="10" s="1"/>
  <c r="Q484" i="10"/>
  <c r="P484" i="10"/>
  <c r="O484" i="10"/>
  <c r="N484" i="10"/>
  <c r="M484" i="10"/>
  <c r="X484" i="10" s="1"/>
  <c r="AV479" i="10"/>
  <c r="AT479" i="10"/>
  <c r="AS479" i="10"/>
  <c r="AK479" i="10"/>
  <c r="AR479" i="10" s="1"/>
  <c r="AF479" i="10"/>
  <c r="AD479" i="10"/>
  <c r="AC479" i="10"/>
  <c r="V479" i="10"/>
  <c r="W479" i="10" s="1"/>
  <c r="Q479" i="10"/>
  <c r="P479" i="10"/>
  <c r="O479" i="10"/>
  <c r="N479" i="10"/>
  <c r="M479" i="10"/>
  <c r="X479" i="10" s="1"/>
  <c r="AV474" i="10"/>
  <c r="AT474" i="10"/>
  <c r="AS474" i="10"/>
  <c r="AK474" i="10"/>
  <c r="AF474" i="10"/>
  <c r="AD474" i="10"/>
  <c r="AC474" i="10"/>
  <c r="V474" i="10"/>
  <c r="W474" i="10" s="1"/>
  <c r="Q474" i="10"/>
  <c r="P474" i="10"/>
  <c r="O474" i="10"/>
  <c r="N474" i="10"/>
  <c r="M474" i="10"/>
  <c r="X474" i="10" s="1"/>
  <c r="AV460" i="10"/>
  <c r="AT460" i="10"/>
  <c r="AS460" i="10"/>
  <c r="AK460" i="10"/>
  <c r="AF460" i="10"/>
  <c r="AD460" i="10"/>
  <c r="AC460" i="10"/>
  <c r="V460" i="10"/>
  <c r="W460" i="10" s="1"/>
  <c r="Q460" i="10"/>
  <c r="P460" i="10"/>
  <c r="O460" i="10"/>
  <c r="N460" i="10"/>
  <c r="M460" i="10"/>
  <c r="X460" i="10" s="1"/>
  <c r="AV452" i="10"/>
  <c r="AT452" i="10"/>
  <c r="AS452" i="10"/>
  <c r="AK452" i="10"/>
  <c r="AF452" i="10"/>
  <c r="AD452" i="10"/>
  <c r="AC452" i="10"/>
  <c r="V452" i="10"/>
  <c r="W452" i="10" s="1"/>
  <c r="Q452" i="10"/>
  <c r="P452" i="10"/>
  <c r="O452" i="10"/>
  <c r="N452" i="10"/>
  <c r="M452" i="10"/>
  <c r="X452" i="10" s="1"/>
  <c r="AV445" i="10"/>
  <c r="AT445" i="10"/>
  <c r="AS445" i="10"/>
  <c r="AK445" i="10"/>
  <c r="AF445" i="10"/>
  <c r="AD445" i="10"/>
  <c r="AC445" i="10"/>
  <c r="V445" i="10"/>
  <c r="W445" i="10" s="1"/>
  <c r="Q445" i="10"/>
  <c r="P445" i="10"/>
  <c r="O445" i="10"/>
  <c r="N445" i="10"/>
  <c r="M445" i="10"/>
  <c r="X445" i="10" s="1"/>
  <c r="AV437" i="10"/>
  <c r="AT437" i="10"/>
  <c r="AS437" i="10"/>
  <c r="AK437" i="10"/>
  <c r="AF437" i="10"/>
  <c r="AD437" i="10"/>
  <c r="AC437" i="10"/>
  <c r="V437" i="10"/>
  <c r="W437" i="10" s="1"/>
  <c r="Q437" i="10"/>
  <c r="P437" i="10"/>
  <c r="O437" i="10"/>
  <c r="N437" i="10"/>
  <c r="M437" i="10"/>
  <c r="X437" i="10" s="1"/>
  <c r="AV426" i="10"/>
  <c r="AT426" i="10"/>
  <c r="AS426" i="10"/>
  <c r="AK426" i="10"/>
  <c r="AF426" i="10"/>
  <c r="AD426" i="10"/>
  <c r="AC426" i="10"/>
  <c r="V426" i="10"/>
  <c r="W426" i="10" s="1"/>
  <c r="Q426" i="10"/>
  <c r="P426" i="10"/>
  <c r="O426" i="10"/>
  <c r="N426" i="10"/>
  <c r="M426" i="10"/>
  <c r="X426" i="10" s="1"/>
  <c r="AV420" i="10"/>
  <c r="AT420" i="10"/>
  <c r="AS420" i="10"/>
  <c r="AK420" i="10"/>
  <c r="AF420" i="10"/>
  <c r="AD420" i="10"/>
  <c r="AC420" i="10"/>
  <c r="V420" i="10"/>
  <c r="W420" i="10" s="1"/>
  <c r="Q420" i="10"/>
  <c r="P420" i="10"/>
  <c r="O420" i="10"/>
  <c r="N420" i="10"/>
  <c r="M420" i="10"/>
  <c r="X420" i="10" s="1"/>
  <c r="AV413" i="10"/>
  <c r="AT413" i="10"/>
  <c r="AS413" i="10"/>
  <c r="AK413" i="10"/>
  <c r="AF413" i="10"/>
  <c r="AD413" i="10"/>
  <c r="AC413" i="10"/>
  <c r="V413" i="10"/>
  <c r="W413" i="10" s="1"/>
  <c r="Q413" i="10"/>
  <c r="P413" i="10"/>
  <c r="O413" i="10"/>
  <c r="N413" i="10"/>
  <c r="M413" i="10"/>
  <c r="X413" i="10" s="1"/>
  <c r="AV403" i="10"/>
  <c r="AT403" i="10"/>
  <c r="AS403" i="10"/>
  <c r="AK403" i="10"/>
  <c r="AR403" i="10" s="1"/>
  <c r="AF403" i="10"/>
  <c r="AD403" i="10"/>
  <c r="AC403" i="10"/>
  <c r="V403" i="10"/>
  <c r="W403" i="10" s="1"/>
  <c r="Q403" i="10"/>
  <c r="P403" i="10"/>
  <c r="O403" i="10"/>
  <c r="N403" i="10"/>
  <c r="M403" i="10"/>
  <c r="X403" i="10" s="1"/>
  <c r="AV367" i="10"/>
  <c r="AT367" i="10"/>
  <c r="AS367" i="10"/>
  <c r="AK367" i="10"/>
  <c r="AF367" i="10"/>
  <c r="AD367" i="10"/>
  <c r="AC367" i="10"/>
  <c r="V367" i="10"/>
  <c r="W367" i="10" s="1"/>
  <c r="Q367" i="10"/>
  <c r="P367" i="10"/>
  <c r="O367" i="10"/>
  <c r="N367" i="10"/>
  <c r="M367" i="10"/>
  <c r="X367" i="10" s="1"/>
  <c r="AV359" i="10"/>
  <c r="AT359" i="10"/>
  <c r="AS359" i="10"/>
  <c r="AK359" i="10"/>
  <c r="AR359" i="10" s="1"/>
  <c r="AF359" i="10"/>
  <c r="AD359" i="10"/>
  <c r="AC359" i="10"/>
  <c r="W359" i="10"/>
  <c r="V359" i="10"/>
  <c r="Q359" i="10"/>
  <c r="P359" i="10"/>
  <c r="O359" i="10"/>
  <c r="N359" i="10"/>
  <c r="M359" i="10"/>
  <c r="X359" i="10" s="1"/>
  <c r="AV350" i="10"/>
  <c r="AT350" i="10"/>
  <c r="AS350" i="10"/>
  <c r="AK350" i="10"/>
  <c r="AR350" i="10" s="1"/>
  <c r="AF350" i="10"/>
  <c r="AD350" i="10"/>
  <c r="AC350" i="10"/>
  <c r="V350" i="10"/>
  <c r="W350" i="10" s="1"/>
  <c r="Q350" i="10"/>
  <c r="P350" i="10"/>
  <c r="O350" i="10"/>
  <c r="N350" i="10"/>
  <c r="M350" i="10"/>
  <c r="X350" i="10" s="1"/>
  <c r="AV336" i="10"/>
  <c r="AT336" i="10"/>
  <c r="AS336" i="10"/>
  <c r="AK336" i="10"/>
  <c r="AF336" i="10"/>
  <c r="AD336" i="10"/>
  <c r="AC336" i="10"/>
  <c r="V336" i="10"/>
  <c r="W336" i="10" s="1"/>
  <c r="Q336" i="10"/>
  <c r="P336" i="10"/>
  <c r="O336" i="10"/>
  <c r="N336" i="10"/>
  <c r="M336" i="10"/>
  <c r="X336" i="10" s="1"/>
  <c r="AV324" i="10"/>
  <c r="AT324" i="10"/>
  <c r="AS324" i="10"/>
  <c r="AK324" i="10"/>
  <c r="AF324" i="10"/>
  <c r="AD324" i="10"/>
  <c r="AC324" i="10"/>
  <c r="V324" i="10"/>
  <c r="W324" i="10" s="1"/>
  <c r="Q324" i="10"/>
  <c r="P324" i="10"/>
  <c r="O324" i="10"/>
  <c r="N324" i="10"/>
  <c r="M324" i="10"/>
  <c r="X324" i="10" s="1"/>
  <c r="F54" i="7"/>
  <c r="AV283" i="10"/>
  <c r="AT283" i="10"/>
  <c r="AS283" i="10"/>
  <c r="AK283" i="10"/>
  <c r="AF283" i="10"/>
  <c r="AD283" i="10"/>
  <c r="AC283" i="10"/>
  <c r="V283" i="10"/>
  <c r="W283" i="10" s="1"/>
  <c r="Q283" i="10"/>
  <c r="P283" i="10"/>
  <c r="O283" i="10"/>
  <c r="N283" i="10"/>
  <c r="M283" i="10"/>
  <c r="X283" i="10" s="1"/>
  <c r="AV268" i="10"/>
  <c r="AT268" i="10"/>
  <c r="AS268" i="10"/>
  <c r="AK268" i="10"/>
  <c r="AR268" i="10" s="1"/>
  <c r="AF268" i="10"/>
  <c r="AD268" i="10"/>
  <c r="AC268" i="10"/>
  <c r="V268" i="10"/>
  <c r="W268" i="10" s="1"/>
  <c r="Q268" i="10"/>
  <c r="P268" i="10"/>
  <c r="O268" i="10"/>
  <c r="N268" i="10"/>
  <c r="M268" i="10"/>
  <c r="X268" i="10" s="1"/>
  <c r="AV259" i="10"/>
  <c r="AT259" i="10"/>
  <c r="AS259" i="10"/>
  <c r="AK259" i="10"/>
  <c r="AF259" i="10"/>
  <c r="AD259" i="10"/>
  <c r="AC259" i="10"/>
  <c r="V259" i="10"/>
  <c r="W259" i="10" s="1"/>
  <c r="Q259" i="10"/>
  <c r="P259" i="10"/>
  <c r="O259" i="10"/>
  <c r="N259" i="10"/>
  <c r="M259" i="10"/>
  <c r="X259" i="10" s="1"/>
  <c r="AV249" i="10"/>
  <c r="AT249" i="10"/>
  <c r="AS249" i="10"/>
  <c r="AK249" i="10"/>
  <c r="AF249" i="10"/>
  <c r="AD249" i="10"/>
  <c r="AC249" i="10"/>
  <c r="V249" i="10"/>
  <c r="W249" i="10" s="1"/>
  <c r="Q249" i="10"/>
  <c r="P249" i="10"/>
  <c r="O249" i="10"/>
  <c r="N249" i="10"/>
  <c r="M249" i="10"/>
  <c r="X249" i="10" s="1"/>
  <c r="F68" i="7"/>
  <c r="AV206" i="10"/>
  <c r="AT206" i="10"/>
  <c r="AS206" i="10"/>
  <c r="AK206" i="10"/>
  <c r="AR206" i="10" s="1"/>
  <c r="AF206" i="10"/>
  <c r="AD206" i="10"/>
  <c r="AC206" i="10"/>
  <c r="V206" i="10"/>
  <c r="W206" i="10" s="1"/>
  <c r="Q206" i="10"/>
  <c r="P206" i="10"/>
  <c r="O206" i="10"/>
  <c r="N206" i="10"/>
  <c r="M206" i="10"/>
  <c r="AV190" i="10"/>
  <c r="AT190" i="10"/>
  <c r="AS190" i="10"/>
  <c r="AK190" i="10"/>
  <c r="AF190" i="10"/>
  <c r="AD190" i="10"/>
  <c r="AC190" i="10"/>
  <c r="V190" i="10"/>
  <c r="W190" i="10" s="1"/>
  <c r="Q190" i="10"/>
  <c r="P190" i="10"/>
  <c r="O190" i="10"/>
  <c r="N190" i="10"/>
  <c r="M190" i="10"/>
  <c r="X190" i="10" s="1"/>
  <c r="AV174" i="10"/>
  <c r="AT174" i="10"/>
  <c r="AS174" i="10"/>
  <c r="AK174" i="10"/>
  <c r="AF174" i="10"/>
  <c r="AD174" i="10"/>
  <c r="AC174" i="10"/>
  <c r="V174" i="10"/>
  <c r="W174" i="10" s="1"/>
  <c r="Q174" i="10"/>
  <c r="P174" i="10"/>
  <c r="O174" i="10"/>
  <c r="N174" i="10"/>
  <c r="M174" i="10"/>
  <c r="F71" i="7"/>
  <c r="AV124" i="10"/>
  <c r="AT124" i="10"/>
  <c r="AS124" i="10"/>
  <c r="AK124" i="10"/>
  <c r="AF124" i="10"/>
  <c r="AD124" i="10"/>
  <c r="AC124" i="10"/>
  <c r="V124" i="10"/>
  <c r="W124" i="10" s="1"/>
  <c r="Q124" i="10"/>
  <c r="P124" i="10"/>
  <c r="O124" i="10"/>
  <c r="N124" i="10"/>
  <c r="M124" i="10"/>
  <c r="X124" i="10" s="1"/>
  <c r="AV106" i="10"/>
  <c r="AT106" i="10"/>
  <c r="AS106" i="10"/>
  <c r="AK106" i="10"/>
  <c r="AF106" i="10"/>
  <c r="AD106" i="10"/>
  <c r="AC106" i="10"/>
  <c r="V106" i="10"/>
  <c r="W106" i="10" s="1"/>
  <c r="Q106" i="10"/>
  <c r="P106" i="10"/>
  <c r="O106" i="10"/>
  <c r="N106" i="10"/>
  <c r="M106" i="10"/>
  <c r="X106" i="10" s="1"/>
  <c r="F16" i="7"/>
  <c r="AV59" i="10"/>
  <c r="AT59" i="10"/>
  <c r="AS59" i="10"/>
  <c r="AK59" i="10"/>
  <c r="AF59" i="10"/>
  <c r="AD59" i="10"/>
  <c r="AC59" i="10"/>
  <c r="V59" i="10"/>
  <c r="W59" i="10" s="1"/>
  <c r="Q59" i="10"/>
  <c r="P59" i="10"/>
  <c r="O59" i="10"/>
  <c r="N59" i="10"/>
  <c r="M59" i="10"/>
  <c r="AV46" i="10"/>
  <c r="AT46" i="10"/>
  <c r="AS46" i="10"/>
  <c r="AK46" i="10"/>
  <c r="AF46" i="10"/>
  <c r="AD46" i="10"/>
  <c r="AC46" i="10"/>
  <c r="V46" i="10"/>
  <c r="W46" i="10" s="1"/>
  <c r="Q46" i="10"/>
  <c r="P46" i="10"/>
  <c r="O46" i="10"/>
  <c r="N46" i="10"/>
  <c r="M46" i="10"/>
  <c r="F22" i="7"/>
  <c r="AV30" i="10"/>
  <c r="AT30" i="10"/>
  <c r="AS30" i="10"/>
  <c r="AK30" i="10"/>
  <c r="AF30" i="10"/>
  <c r="AD30" i="10"/>
  <c r="AC30" i="10"/>
  <c r="V30" i="10"/>
  <c r="W30" i="10" s="1"/>
  <c r="Q30" i="10"/>
  <c r="P30" i="10"/>
  <c r="O30" i="10"/>
  <c r="N30" i="10"/>
  <c r="M30" i="10"/>
  <c r="AG601" i="10"/>
  <c r="AH601" i="10" s="1"/>
  <c r="AI601" i="10" s="1"/>
  <c r="AG600" i="10"/>
  <c r="AH600" i="10" s="1"/>
  <c r="AI600" i="10" s="1"/>
  <c r="AG599" i="10"/>
  <c r="AH599" i="10" s="1"/>
  <c r="AI599" i="10" s="1"/>
  <c r="AG598" i="10"/>
  <c r="AH598" i="10" s="1"/>
  <c r="AI598" i="10" s="1"/>
  <c r="AG597" i="10"/>
  <c r="AH597" i="10" s="1"/>
  <c r="AI597" i="10" s="1"/>
  <c r="AG596" i="10"/>
  <c r="AH596" i="10" s="1"/>
  <c r="AI596" i="10" s="1"/>
  <c r="AG595" i="10"/>
  <c r="AH595" i="10" s="1"/>
  <c r="AI595" i="10" s="1"/>
  <c r="AG594" i="10"/>
  <c r="AH594" i="10" s="1"/>
  <c r="AI594" i="10" s="1"/>
  <c r="AG593" i="10"/>
  <c r="AH593" i="10" s="1"/>
  <c r="AI593" i="10" s="1"/>
  <c r="AG592" i="10"/>
  <c r="AH592" i="10" s="1"/>
  <c r="AI592" i="10" s="1"/>
  <c r="AG591" i="10"/>
  <c r="AH591" i="10" s="1"/>
  <c r="AI591" i="10" s="1"/>
  <c r="AG590" i="10"/>
  <c r="AH590" i="10" s="1"/>
  <c r="AI590" i="10" s="1"/>
  <c r="AG589" i="10"/>
  <c r="AH589" i="10" s="1"/>
  <c r="AI589" i="10" s="1"/>
  <c r="AG588" i="10"/>
  <c r="AH588" i="10" s="1"/>
  <c r="AI588" i="10" s="1"/>
  <c r="AG587" i="10"/>
  <c r="AH587" i="10" s="1"/>
  <c r="AI587" i="10" s="1"/>
  <c r="AG586" i="10"/>
  <c r="AH586" i="10" s="1"/>
  <c r="AI586" i="10" s="1"/>
  <c r="AG585" i="10"/>
  <c r="AH585" i="10" s="1"/>
  <c r="AI585" i="10" s="1"/>
  <c r="AG584" i="10"/>
  <c r="AH584" i="10" s="1"/>
  <c r="AI584" i="10" s="1"/>
  <c r="AG583" i="10"/>
  <c r="AH583" i="10" s="1"/>
  <c r="AI583" i="10" s="1"/>
  <c r="AG582" i="10"/>
  <c r="AH582" i="10" s="1"/>
  <c r="AI582" i="10" s="1"/>
  <c r="AG577" i="10"/>
  <c r="AH577" i="10" s="1"/>
  <c r="AI577" i="10" s="1"/>
  <c r="AG563" i="10"/>
  <c r="AH563" i="10" s="1"/>
  <c r="AI563" i="10" s="1"/>
  <c r="AG561" i="10"/>
  <c r="AH561" i="10" s="1"/>
  <c r="AI561" i="10" s="1"/>
  <c r="AG559" i="10"/>
  <c r="AH559" i="10" s="1"/>
  <c r="AI559" i="10" s="1"/>
  <c r="AG554" i="10"/>
  <c r="AH554" i="10" s="1"/>
  <c r="AI554" i="10" s="1"/>
  <c r="AG553" i="10"/>
  <c r="AH553" i="10" s="1"/>
  <c r="AI553" i="10" s="1"/>
  <c r="AG551" i="10"/>
  <c r="AH551" i="10" s="1"/>
  <c r="AI551" i="10" s="1"/>
  <c r="AG549" i="10"/>
  <c r="AH549" i="10" s="1"/>
  <c r="AI549" i="10" s="1"/>
  <c r="AG546" i="10"/>
  <c r="AH546" i="10" s="1"/>
  <c r="AI546" i="10" s="1"/>
  <c r="AG538" i="10"/>
  <c r="AH538" i="10" s="1"/>
  <c r="AI538" i="10" s="1"/>
  <c r="AG533" i="10"/>
  <c r="AH533" i="10" s="1"/>
  <c r="AI533" i="10" s="1"/>
  <c r="AG531" i="10"/>
  <c r="AH531" i="10" s="1"/>
  <c r="AI531" i="10" s="1"/>
  <c r="AG527" i="10"/>
  <c r="AH527" i="10" s="1"/>
  <c r="AI527" i="10" s="1"/>
  <c r="X15" i="10" l="1"/>
  <c r="X33" i="10"/>
  <c r="X131" i="10"/>
  <c r="X62" i="10"/>
  <c r="X21" i="10"/>
  <c r="X30" i="10"/>
  <c r="X152" i="10"/>
  <c r="X459" i="10"/>
  <c r="X393" i="10"/>
  <c r="X340" i="10"/>
  <c r="X405" i="10"/>
  <c r="AG532" i="10"/>
  <c r="AH532" i="10" s="1"/>
  <c r="AI532" i="10" s="1"/>
  <c r="X305" i="10"/>
  <c r="W138" i="10"/>
  <c r="V138" i="10"/>
  <c r="Q138" i="10"/>
  <c r="P138" i="10"/>
  <c r="O138" i="10"/>
  <c r="N138" i="10"/>
  <c r="M138" i="10"/>
  <c r="X138" i="10" s="1"/>
  <c r="AV50" i="10"/>
  <c r="AT50" i="10"/>
  <c r="AS50" i="10"/>
  <c r="AK50" i="10"/>
  <c r="AR50" i="10" s="1"/>
  <c r="AF50" i="10"/>
  <c r="AD50" i="10"/>
  <c r="AC50" i="10"/>
  <c r="W50" i="10"/>
  <c r="V50" i="10"/>
  <c r="Q50" i="10"/>
  <c r="P50" i="10"/>
  <c r="O50" i="10"/>
  <c r="N50" i="10"/>
  <c r="M50" i="10"/>
  <c r="X50" i="10" s="1"/>
  <c r="X281" i="10"/>
  <c r="X79" i="10"/>
  <c r="X83" i="10"/>
  <c r="X486" i="10"/>
  <c r="X229" i="10"/>
  <c r="X265" i="10"/>
  <c r="X440" i="10"/>
  <c r="X512" i="10"/>
  <c r="X302" i="10"/>
  <c r="X490" i="10"/>
  <c r="X224" i="10"/>
  <c r="X448" i="10"/>
  <c r="X506" i="10"/>
  <c r="X485" i="10"/>
  <c r="X391" i="10"/>
  <c r="X122" i="10"/>
  <c r="X419" i="10"/>
  <c r="X127" i="10"/>
  <c r="X347" i="10"/>
  <c r="X331" i="10"/>
  <c r="X226" i="10"/>
  <c r="X177" i="10"/>
  <c r="X5" i="10"/>
  <c r="X425" i="10"/>
  <c r="X123" i="10"/>
  <c r="X431" i="10"/>
  <c r="X366" i="10"/>
  <c r="X44" i="10"/>
  <c r="X300" i="10"/>
  <c r="X238" i="10"/>
  <c r="X113" i="10"/>
  <c r="X31" i="10"/>
  <c r="X312" i="10"/>
  <c r="X258" i="10"/>
  <c r="X183" i="10"/>
  <c r="X58" i="10"/>
  <c r="X245" i="10"/>
  <c r="X316" i="10"/>
  <c r="X436" i="10"/>
  <c r="X295" i="10"/>
  <c r="X357" i="10"/>
  <c r="X125" i="10"/>
  <c r="X409" i="10"/>
  <c r="X228" i="10"/>
  <c r="X222" i="10"/>
  <c r="X231" i="10"/>
  <c r="X227" i="10"/>
  <c r="X341" i="10"/>
  <c r="X257" i="10"/>
  <c r="X42" i="10"/>
  <c r="X309" i="10"/>
  <c r="X210" i="10"/>
  <c r="X189" i="10"/>
  <c r="AA47" i="10" s="1"/>
  <c r="X306" i="10"/>
  <c r="X327" i="10"/>
  <c r="X221" i="10"/>
  <c r="X310" i="10"/>
  <c r="X234" i="10"/>
  <c r="X16" i="10"/>
  <c r="X272" i="10"/>
  <c r="X390" i="10"/>
  <c r="X308" i="10"/>
  <c r="X236" i="10"/>
  <c r="X223" i="10"/>
  <c r="X329" i="10"/>
  <c r="X195" i="10"/>
  <c r="X182" i="10"/>
  <c r="X252" i="10"/>
  <c r="X303" i="10"/>
  <c r="X454" i="10"/>
  <c r="X468" i="10"/>
  <c r="X297" i="10"/>
  <c r="X294" i="10"/>
  <c r="X455" i="10"/>
  <c r="X130" i="10"/>
  <c r="X411" i="10"/>
  <c r="X421" i="10"/>
  <c r="X211" i="10"/>
  <c r="X255" i="10"/>
  <c r="AA248" i="10" s="1"/>
  <c r="X363" i="10"/>
  <c r="X298" i="10"/>
  <c r="X199" i="10"/>
  <c r="X379" i="10"/>
  <c r="X271" i="10"/>
  <c r="X296" i="10"/>
  <c r="X323" i="10"/>
  <c r="X188" i="10"/>
  <c r="X377" i="10"/>
  <c r="X427" i="10"/>
  <c r="X344" i="10"/>
  <c r="X439" i="10"/>
  <c r="X345" i="10"/>
  <c r="X375" i="10"/>
  <c r="X338" i="10"/>
  <c r="X254" i="10"/>
  <c r="X378" i="10"/>
  <c r="AA337" i="10" s="1"/>
  <c r="X330" i="10"/>
  <c r="X205" i="10"/>
  <c r="X399" i="10"/>
  <c r="X335" i="10"/>
  <c r="X387" i="10"/>
  <c r="X59" i="10"/>
  <c r="X414" i="10"/>
  <c r="X172" i="10"/>
  <c r="X174" i="10"/>
  <c r="X428" i="10"/>
  <c r="X404" i="10"/>
  <c r="X332" i="10"/>
  <c r="X397" i="10"/>
  <c r="X418" i="10"/>
  <c r="X376" i="10"/>
  <c r="P214" i="10"/>
  <c r="O214" i="10"/>
  <c r="N214" i="10"/>
  <c r="M214" i="10"/>
  <c r="X441" i="10"/>
  <c r="X319" i="10"/>
  <c r="X385" i="10"/>
  <c r="X380" i="10"/>
  <c r="X214" i="10"/>
  <c r="X458" i="10"/>
  <c r="X423" i="10"/>
  <c r="X321" i="10"/>
  <c r="X299" i="10"/>
  <c r="X14" i="10"/>
  <c r="X104" i="10"/>
  <c r="X382" i="10"/>
  <c r="X466" i="10"/>
  <c r="X478" i="10"/>
  <c r="X365" i="10"/>
  <c r="X384" i="10"/>
  <c r="X401" i="10"/>
  <c r="X26" i="10"/>
  <c r="AG539" i="10"/>
  <c r="AH539" i="10" s="1"/>
  <c r="AI539" i="10" s="1"/>
  <c r="AG530" i="10"/>
  <c r="AH530" i="10" s="1"/>
  <c r="AI530" i="10" s="1"/>
  <c r="X117" i="10"/>
  <c r="X286" i="10"/>
  <c r="X276" i="10"/>
  <c r="X314" i="10"/>
  <c r="X230" i="10"/>
  <c r="X374" i="10"/>
  <c r="X240" i="10"/>
  <c r="X213" i="10"/>
  <c r="X96" i="10"/>
  <c r="X13" i="10"/>
  <c r="X517" i="10"/>
  <c r="X451" i="10"/>
  <c r="X361" i="10"/>
  <c r="X241" i="10"/>
  <c r="X95" i="10"/>
  <c r="AG544" i="10"/>
  <c r="AH544" i="10" s="1"/>
  <c r="AI544" i="10" s="1"/>
  <c r="AG542" i="10"/>
  <c r="AH542" i="10" s="1"/>
  <c r="AI542" i="10" s="1"/>
  <c r="AG540" i="10"/>
  <c r="AH540" i="10" s="1"/>
  <c r="AI540" i="10" s="1"/>
  <c r="AG537" i="10"/>
  <c r="AH537" i="10" s="1"/>
  <c r="AI537" i="10" s="1"/>
  <c r="AG536" i="10"/>
  <c r="AH536" i="10" s="1"/>
  <c r="AI536" i="10" s="1"/>
  <c r="AG534" i="10"/>
  <c r="AH534" i="10" s="1"/>
  <c r="AI534" i="10" s="1"/>
  <c r="X201" i="10"/>
  <c r="X285" i="10"/>
  <c r="X203" i="10"/>
  <c r="X100" i="10"/>
  <c r="X109" i="10"/>
  <c r="X462" i="10"/>
  <c r="X371" i="10"/>
  <c r="X354" i="10"/>
  <c r="X263" i="10"/>
  <c r="X48" i="10"/>
  <c r="X444" i="10"/>
  <c r="X12" i="10"/>
  <c r="X433" i="10"/>
  <c r="X469" i="10"/>
  <c r="AG529" i="10"/>
  <c r="AH529" i="10" s="1"/>
  <c r="AI529" i="10" s="1"/>
  <c r="AG580" i="10"/>
  <c r="AH580" i="10" s="1"/>
  <c r="AI580" i="10" s="1"/>
  <c r="AG564" i="10"/>
  <c r="AH564" i="10" s="1"/>
  <c r="AI564" i="10" s="1"/>
  <c r="AG562" i="10"/>
  <c r="AH562" i="10" s="1"/>
  <c r="AI562" i="10" s="1"/>
  <c r="AG555" i="10"/>
  <c r="AH555" i="10" s="1"/>
  <c r="AI555" i="10" s="1"/>
  <c r="AG548" i="10"/>
  <c r="AH548" i="10" s="1"/>
  <c r="AI548" i="10" s="1"/>
  <c r="AG575" i="10"/>
  <c r="AH575" i="10" s="1"/>
  <c r="AI575" i="10" s="1"/>
  <c r="AG571" i="10"/>
  <c r="AH571" i="10" s="1"/>
  <c r="AI571" i="10" s="1"/>
  <c r="AG568" i="10"/>
  <c r="AH568" i="10" s="1"/>
  <c r="AI568" i="10" s="1"/>
  <c r="X155" i="10"/>
  <c r="X453" i="10"/>
  <c r="X383" i="10"/>
  <c r="X430" i="10"/>
  <c r="X98" i="10"/>
  <c r="X467" i="10"/>
  <c r="X32" i="10"/>
  <c r="AR15" i="10"/>
  <c r="X446" i="10"/>
  <c r="X57" i="10"/>
  <c r="X168" i="10"/>
  <c r="X394" i="10"/>
  <c r="X513" i="10"/>
  <c r="X502" i="10"/>
  <c r="X492" i="10"/>
  <c r="X128" i="10"/>
  <c r="X39" i="10"/>
  <c r="X162" i="10"/>
  <c r="X158" i="10"/>
  <c r="X156" i="10"/>
  <c r="X410" i="10"/>
  <c r="AR28" i="10"/>
  <c r="X153" i="10"/>
  <c r="AR349" i="10"/>
  <c r="AR337" i="10"/>
  <c r="X325" i="10"/>
  <c r="X247" i="10"/>
  <c r="X220" i="10"/>
  <c r="X217" i="10"/>
  <c r="X151" i="10"/>
  <c r="X291" i="10"/>
  <c r="X242" i="10"/>
  <c r="X237" i="10"/>
  <c r="X92" i="10"/>
  <c r="X424" i="10"/>
  <c r="X111" i="10"/>
  <c r="X487" i="10"/>
  <c r="X167" i="10"/>
  <c r="X164" i="10"/>
  <c r="X10" i="10"/>
  <c r="AR10" i="10"/>
  <c r="X7" i="10"/>
  <c r="X178" i="10"/>
  <c r="X508" i="10"/>
  <c r="X456" i="10"/>
  <c r="X139" i="10"/>
  <c r="X46" i="10"/>
  <c r="X147" i="10"/>
  <c r="X107" i="10"/>
  <c r="X206" i="10"/>
  <c r="AA113" i="10" s="1"/>
  <c r="AL22" i="10"/>
  <c r="X22" i="10"/>
  <c r="AN6" i="10"/>
  <c r="AO6" i="10"/>
  <c r="AP6" i="10"/>
  <c r="AM6" i="10"/>
  <c r="R6" i="10"/>
  <c r="S6" i="10"/>
  <c r="T6" i="10" s="1"/>
  <c r="U6" i="10"/>
  <c r="Y6" i="10"/>
  <c r="AA6" i="10"/>
  <c r="AE6" i="10"/>
  <c r="AB6" i="10"/>
  <c r="AJ6" i="10"/>
  <c r="AU6" i="10"/>
  <c r="R155" i="10"/>
  <c r="S155" i="10"/>
  <c r="T155" i="10" s="1"/>
  <c r="U155" i="10"/>
  <c r="AB155" i="10"/>
  <c r="AU155" i="10"/>
  <c r="AE155" i="10"/>
  <c r="AJ155" i="10"/>
  <c r="Y155" i="10"/>
  <c r="AA155" i="10"/>
  <c r="AM155" i="10"/>
  <c r="AN155" i="10"/>
  <c r="AO155" i="10"/>
  <c r="AL155" i="10" s="1"/>
  <c r="AP155" i="10"/>
  <c r="AM304" i="10"/>
  <c r="AN304" i="10"/>
  <c r="AO304" i="10"/>
  <c r="AL304" i="10" s="1"/>
  <c r="AP304" i="10"/>
  <c r="R304" i="10"/>
  <c r="S304" i="10"/>
  <c r="T304" i="10" s="1"/>
  <c r="U304" i="10"/>
  <c r="Y304" i="10"/>
  <c r="AA304" i="10"/>
  <c r="AB304" i="10"/>
  <c r="AE304" i="10"/>
  <c r="AJ304" i="10"/>
  <c r="AU304" i="10"/>
  <c r="S453" i="10"/>
  <c r="T453" i="10" s="1"/>
  <c r="U453" i="10"/>
  <c r="R453" i="10"/>
  <c r="Y453" i="10"/>
  <c r="AA453" i="10"/>
  <c r="AB453" i="10"/>
  <c r="AE453" i="10"/>
  <c r="AJ453" i="10"/>
  <c r="AU453" i="10"/>
  <c r="AM453" i="10"/>
  <c r="AN453" i="10"/>
  <c r="AO453" i="10"/>
  <c r="AL453" i="10" s="1"/>
  <c r="AP453" i="10"/>
  <c r="AA333" i="10"/>
  <c r="AB333" i="10"/>
  <c r="AE333" i="10"/>
  <c r="AJ333" i="10"/>
  <c r="AU333" i="10"/>
  <c r="R333" i="10"/>
  <c r="S333" i="10"/>
  <c r="T333" i="10" s="1"/>
  <c r="U333" i="10"/>
  <c r="Y333" i="10" s="1"/>
  <c r="AG333" i="10" s="1"/>
  <c r="AM333" i="10"/>
  <c r="AN333" i="10"/>
  <c r="AO333" i="10"/>
  <c r="AL333" i="10" s="1"/>
  <c r="AP333" i="10"/>
  <c r="AA400" i="10"/>
  <c r="AB400" i="10"/>
  <c r="AE400" i="10"/>
  <c r="AJ400" i="10"/>
  <c r="AU400" i="10"/>
  <c r="R400" i="10"/>
  <c r="S400" i="10"/>
  <c r="T400" i="10" s="1"/>
  <c r="U400" i="10"/>
  <c r="Y400" i="10" s="1"/>
  <c r="AG400" i="10" s="1"/>
  <c r="AM400" i="10"/>
  <c r="AN400" i="10"/>
  <c r="AO400" i="10"/>
  <c r="AL400" i="10" s="1"/>
  <c r="AP400" i="10"/>
  <c r="AA434" i="10"/>
  <c r="AB434" i="10"/>
  <c r="AE434" i="10"/>
  <c r="AJ434" i="10"/>
  <c r="AU434" i="10"/>
  <c r="R434" i="10"/>
  <c r="S434" i="10"/>
  <c r="T434" i="10" s="1"/>
  <c r="U434" i="10"/>
  <c r="Y434" i="10" s="1"/>
  <c r="AG434" i="10" s="1"/>
  <c r="AM434" i="10"/>
  <c r="AN434" i="10"/>
  <c r="AO434" i="10"/>
  <c r="AL434" i="10" s="1"/>
  <c r="AP434" i="10"/>
  <c r="AA516" i="10"/>
  <c r="AB516" i="10"/>
  <c r="AE516" i="10"/>
  <c r="AJ516" i="10"/>
  <c r="AU516" i="10"/>
  <c r="R516" i="10"/>
  <c r="S516" i="10"/>
  <c r="T516" i="10" s="1"/>
  <c r="U516" i="10"/>
  <c r="Y516" i="10" s="1"/>
  <c r="AG516" i="10" s="1"/>
  <c r="AM516" i="10"/>
  <c r="AN516" i="10"/>
  <c r="AO516" i="10"/>
  <c r="AL516" i="10" s="1"/>
  <c r="AP516" i="10"/>
  <c r="AA274" i="10"/>
  <c r="AB274" i="10"/>
  <c r="AE274" i="10"/>
  <c r="AJ274" i="10"/>
  <c r="AU274" i="10"/>
  <c r="R274" i="10"/>
  <c r="S274" i="10"/>
  <c r="T274" i="10" s="1"/>
  <c r="U274" i="10"/>
  <c r="Y274" i="10" s="1"/>
  <c r="AG274" i="10" s="1"/>
  <c r="AM274" i="10"/>
  <c r="AN274" i="10"/>
  <c r="AO274" i="10"/>
  <c r="AL274" i="10" s="1"/>
  <c r="AP274" i="10"/>
  <c r="AA520" i="10"/>
  <c r="AB520" i="10"/>
  <c r="AE520" i="10"/>
  <c r="AJ520" i="10"/>
  <c r="AU520" i="10"/>
  <c r="R520" i="10"/>
  <c r="S520" i="10"/>
  <c r="T520" i="10" s="1"/>
  <c r="U520" i="10"/>
  <c r="Y520" i="10" s="1"/>
  <c r="AG520" i="10" s="1"/>
  <c r="AM520" i="10"/>
  <c r="AN520" i="10"/>
  <c r="AO520" i="10"/>
  <c r="AL520" i="10" s="1"/>
  <c r="AP520" i="10"/>
  <c r="AA251" i="10"/>
  <c r="AB251" i="10"/>
  <c r="AE251" i="10"/>
  <c r="AJ251" i="10"/>
  <c r="AU251" i="10"/>
  <c r="R251" i="10"/>
  <c r="S251" i="10"/>
  <c r="T251" i="10" s="1"/>
  <c r="U251" i="10"/>
  <c r="Y251" i="10" s="1"/>
  <c r="AG251" i="10" s="1"/>
  <c r="AM251" i="10"/>
  <c r="AN251" i="10"/>
  <c r="AO251" i="10"/>
  <c r="AL251" i="10" s="1"/>
  <c r="AP251" i="10"/>
  <c r="AA118" i="10"/>
  <c r="AB118" i="10"/>
  <c r="AE118" i="10"/>
  <c r="AJ118" i="10"/>
  <c r="AU118" i="10"/>
  <c r="R118" i="10"/>
  <c r="S118" i="10"/>
  <c r="T118" i="10" s="1"/>
  <c r="U118" i="10"/>
  <c r="Y118" i="10" s="1"/>
  <c r="AG118" i="10" s="1"/>
  <c r="AM118" i="10"/>
  <c r="AN118" i="10"/>
  <c r="AO118" i="10"/>
  <c r="AL118" i="10" s="1"/>
  <c r="AP118" i="10"/>
  <c r="AA154" i="10"/>
  <c r="AB154" i="10"/>
  <c r="AE154" i="10"/>
  <c r="AJ154" i="10"/>
  <c r="AU154" i="10"/>
  <c r="R154" i="10"/>
  <c r="S154" i="10"/>
  <c r="T154" i="10" s="1"/>
  <c r="U154" i="10"/>
  <c r="Y154" i="10" s="1"/>
  <c r="AG154" i="10" s="1"/>
  <c r="AM154" i="10"/>
  <c r="AN154" i="10"/>
  <c r="AO154" i="10"/>
  <c r="AL154" i="10" s="1"/>
  <c r="AP154" i="10"/>
  <c r="AA25" i="10"/>
  <c r="AB25" i="10"/>
  <c r="AE25" i="10"/>
  <c r="AJ25" i="10"/>
  <c r="AU25" i="10"/>
  <c r="R25" i="10"/>
  <c r="S25" i="10"/>
  <c r="T25" i="10" s="1"/>
  <c r="U25" i="10"/>
  <c r="Y25" i="10" s="1"/>
  <c r="AG25" i="10" s="1"/>
  <c r="AM25" i="10"/>
  <c r="AN25" i="10"/>
  <c r="AO25" i="10"/>
  <c r="AP25" i="10"/>
  <c r="AA340" i="10"/>
  <c r="AB340" i="10"/>
  <c r="AE340" i="10"/>
  <c r="AJ340" i="10"/>
  <c r="AU340" i="10"/>
  <c r="R340" i="10"/>
  <c r="S340" i="10"/>
  <c r="T340" i="10" s="1"/>
  <c r="U340" i="10"/>
  <c r="Y340" i="10" s="1"/>
  <c r="AG340" i="10" s="1"/>
  <c r="AH340" i="10" s="1"/>
  <c r="AI340" i="10" s="1"/>
  <c r="AM340" i="10"/>
  <c r="AN340" i="10"/>
  <c r="AO340" i="10"/>
  <c r="AL340" i="10" s="1"/>
  <c r="AP340" i="10"/>
  <c r="AA184" i="10"/>
  <c r="AB184" i="10"/>
  <c r="AE184" i="10"/>
  <c r="AJ184" i="10"/>
  <c r="AU184" i="10"/>
  <c r="R184" i="10"/>
  <c r="S184" i="10"/>
  <c r="T184" i="10" s="1"/>
  <c r="U184" i="10"/>
  <c r="Y184" i="10" s="1"/>
  <c r="AG184" i="10" s="1"/>
  <c r="AM184" i="10"/>
  <c r="AN184" i="10"/>
  <c r="AO184" i="10"/>
  <c r="AL184" i="10" s="1"/>
  <c r="AP184" i="10"/>
  <c r="AA148" i="10"/>
  <c r="AB148" i="10"/>
  <c r="AE148" i="10"/>
  <c r="AJ148" i="10"/>
  <c r="AU148" i="10"/>
  <c r="R148" i="10"/>
  <c r="S148" i="10"/>
  <c r="T148" i="10" s="1"/>
  <c r="U148" i="10"/>
  <c r="Y148" i="10" s="1"/>
  <c r="AG148" i="10" s="1"/>
  <c r="AM148" i="10"/>
  <c r="AN148" i="10"/>
  <c r="AO148" i="10"/>
  <c r="AL148" i="10" s="1"/>
  <c r="AP148" i="10"/>
  <c r="AA95" i="10"/>
  <c r="AB95" i="10"/>
  <c r="AE95" i="10"/>
  <c r="AJ95" i="10"/>
  <c r="AU95" i="10"/>
  <c r="R95" i="10"/>
  <c r="S95" i="10"/>
  <c r="T95" i="10" s="1"/>
  <c r="U95" i="10"/>
  <c r="Y95" i="10" s="1"/>
  <c r="AG95" i="10" s="1"/>
  <c r="AM95" i="10"/>
  <c r="AN95" i="10"/>
  <c r="AO95" i="10"/>
  <c r="AL95" i="10" s="1"/>
  <c r="AP95" i="10"/>
  <c r="AA122" i="10"/>
  <c r="AB122" i="10"/>
  <c r="AE122" i="10"/>
  <c r="AJ122" i="10"/>
  <c r="AU122" i="10"/>
  <c r="R122" i="10"/>
  <c r="S122" i="10"/>
  <c r="T122" i="10" s="1"/>
  <c r="U122" i="10"/>
  <c r="Y122" i="10" s="1"/>
  <c r="AG122" i="10" s="1"/>
  <c r="AM122" i="10"/>
  <c r="AN122" i="10"/>
  <c r="AO122" i="10"/>
  <c r="AL122" i="10" s="1"/>
  <c r="AP122" i="10"/>
  <c r="AA396" i="10"/>
  <c r="AB396" i="10"/>
  <c r="AE396" i="10"/>
  <c r="AJ396" i="10"/>
  <c r="AU396" i="10"/>
  <c r="R396" i="10"/>
  <c r="S396" i="10"/>
  <c r="T396" i="10" s="1"/>
  <c r="U396" i="10"/>
  <c r="Y396" i="10" s="1"/>
  <c r="AG396" i="10" s="1"/>
  <c r="AM396" i="10"/>
  <c r="AN396" i="10"/>
  <c r="AO396" i="10"/>
  <c r="AL396" i="10" s="1"/>
  <c r="AP396" i="10"/>
  <c r="AA419" i="10"/>
  <c r="AB419" i="10"/>
  <c r="AE419" i="10"/>
  <c r="AJ419" i="10"/>
  <c r="AU419" i="10"/>
  <c r="R419" i="10"/>
  <c r="S419" i="10"/>
  <c r="T419" i="10" s="1"/>
  <c r="U419" i="10"/>
  <c r="Y419" i="10" s="1"/>
  <c r="AG419" i="10" s="1"/>
  <c r="AM419" i="10"/>
  <c r="AN419" i="10"/>
  <c r="AO419" i="10"/>
  <c r="AL419" i="10" s="1"/>
  <c r="AP419" i="10"/>
  <c r="AA436" i="10"/>
  <c r="AB436" i="10"/>
  <c r="AE436" i="10"/>
  <c r="AJ436" i="10"/>
  <c r="AU436" i="10"/>
  <c r="R436" i="10"/>
  <c r="S436" i="10"/>
  <c r="T436" i="10" s="1"/>
  <c r="U436" i="10"/>
  <c r="Y436" i="10" s="1"/>
  <c r="AG436" i="10" s="1"/>
  <c r="AM436" i="10"/>
  <c r="AN436" i="10"/>
  <c r="AO436" i="10"/>
  <c r="AL436" i="10" s="1"/>
  <c r="AP436" i="10"/>
  <c r="AA210" i="10"/>
  <c r="AB210" i="10"/>
  <c r="AE210" i="10"/>
  <c r="AJ210" i="10"/>
  <c r="AU210" i="10"/>
  <c r="R210" i="10"/>
  <c r="S210" i="10"/>
  <c r="T210" i="10" s="1"/>
  <c r="U210" i="10"/>
  <c r="Y210" i="10" s="1"/>
  <c r="AG210" i="10" s="1"/>
  <c r="AM210" i="10"/>
  <c r="AN210" i="10"/>
  <c r="AO210" i="10"/>
  <c r="AL210" i="10" s="1"/>
  <c r="AP210" i="10"/>
  <c r="AA179" i="10"/>
  <c r="AB179" i="10"/>
  <c r="AE179" i="10"/>
  <c r="AJ179" i="10"/>
  <c r="AU179" i="10"/>
  <c r="R179" i="10"/>
  <c r="S179" i="10"/>
  <c r="T179" i="10" s="1"/>
  <c r="U179" i="10"/>
  <c r="Y179" i="10" s="1"/>
  <c r="AG179" i="10" s="1"/>
  <c r="AM179" i="10"/>
  <c r="AN179" i="10"/>
  <c r="AO179" i="10"/>
  <c r="AL179" i="10" s="1"/>
  <c r="AP179" i="10"/>
  <c r="AA344" i="10"/>
  <c r="AB344" i="10"/>
  <c r="AE344" i="10"/>
  <c r="AJ344" i="10"/>
  <c r="AU344" i="10"/>
  <c r="R344" i="10"/>
  <c r="S344" i="10"/>
  <c r="T344" i="10" s="1"/>
  <c r="U344" i="10"/>
  <c r="Y344" i="10" s="1"/>
  <c r="AG344" i="10" s="1"/>
  <c r="AM344" i="10"/>
  <c r="AN344" i="10"/>
  <c r="AO344" i="10"/>
  <c r="AL344" i="10" s="1"/>
  <c r="AP344" i="10"/>
  <c r="AA330" i="10"/>
  <c r="AB330" i="10"/>
  <c r="AE330" i="10"/>
  <c r="R330" i="10"/>
  <c r="S330" i="10"/>
  <c r="T330" i="10" s="1"/>
  <c r="U330" i="10"/>
  <c r="AM330" i="10"/>
  <c r="AN330" i="10"/>
  <c r="AO330" i="10"/>
  <c r="AL330" i="10" s="1"/>
  <c r="AP330" i="10"/>
  <c r="R117" i="10"/>
  <c r="S117" i="10"/>
  <c r="T117" i="10" s="1"/>
  <c r="U117" i="10"/>
  <c r="AM117" i="10"/>
  <c r="AN117" i="10"/>
  <c r="AO117" i="10"/>
  <c r="AL117" i="10" s="1"/>
  <c r="AP117" i="10"/>
  <c r="AA133" i="10"/>
  <c r="AB133" i="10"/>
  <c r="AE133" i="10"/>
  <c r="AJ133" i="10"/>
  <c r="AU133" i="10"/>
  <c r="R133" i="10"/>
  <c r="S133" i="10"/>
  <c r="T133" i="10" s="1"/>
  <c r="U133" i="10"/>
  <c r="Y133" i="10" s="1"/>
  <c r="AG133" i="10" s="1"/>
  <c r="AM133" i="10"/>
  <c r="AN133" i="10"/>
  <c r="AO133" i="10"/>
  <c r="AL133" i="10" s="1"/>
  <c r="AP133" i="10"/>
  <c r="AA176" i="10"/>
  <c r="AB176" i="10"/>
  <c r="AE176" i="10"/>
  <c r="AJ176" i="10"/>
  <c r="AU176" i="10"/>
  <c r="R176" i="10"/>
  <c r="S176" i="10"/>
  <c r="T176" i="10" s="1"/>
  <c r="U176" i="10"/>
  <c r="Y176" i="10" s="1"/>
  <c r="AM176" i="10"/>
  <c r="AN176" i="10"/>
  <c r="AO176" i="10"/>
  <c r="AL176" i="10" s="1"/>
  <c r="AP176" i="10"/>
  <c r="AA273" i="10"/>
  <c r="AB273" i="10"/>
  <c r="AJ273" i="10" s="1"/>
  <c r="AE273" i="10"/>
  <c r="AU273" i="10"/>
  <c r="R273" i="10"/>
  <c r="S273" i="10"/>
  <c r="T273" i="10" s="1"/>
  <c r="U273" i="10"/>
  <c r="Y273" i="10" s="1"/>
  <c r="AM273" i="10"/>
  <c r="AN273" i="10"/>
  <c r="AO273" i="10"/>
  <c r="AL273" i="10" s="1"/>
  <c r="AP273" i="10"/>
  <c r="AA194" i="10"/>
  <c r="AB194" i="10"/>
  <c r="AJ194" i="10" s="1"/>
  <c r="AE194" i="10"/>
  <c r="AU194" i="10"/>
  <c r="R194" i="10"/>
  <c r="S194" i="10"/>
  <c r="T194" i="10" s="1"/>
  <c r="U194" i="10"/>
  <c r="Y194" i="10" s="1"/>
  <c r="AM194" i="10"/>
  <c r="AN194" i="10"/>
  <c r="AO194" i="10"/>
  <c r="AL194" i="10" s="1"/>
  <c r="AP194" i="10"/>
  <c r="AA88" i="10"/>
  <c r="AB88" i="10"/>
  <c r="AJ88" i="10" s="1"/>
  <c r="AE88" i="10"/>
  <c r="AU88" i="10"/>
  <c r="R88" i="10"/>
  <c r="S88" i="10"/>
  <c r="T88" i="10" s="1"/>
  <c r="U88" i="10"/>
  <c r="Y88" i="10" s="1"/>
  <c r="AM88" i="10"/>
  <c r="AN88" i="10"/>
  <c r="AO88" i="10" s="1"/>
  <c r="AL88" i="10" s="1"/>
  <c r="AP88" i="10"/>
  <c r="R201" i="10"/>
  <c r="S201" i="10"/>
  <c r="T201" i="10" s="1"/>
  <c r="U201" i="10"/>
  <c r="AM201" i="10"/>
  <c r="AN201" i="10"/>
  <c r="AO201" i="10" s="1"/>
  <c r="AL201" i="10" s="1"/>
  <c r="AP201" i="10"/>
  <c r="AA187" i="10"/>
  <c r="AB187" i="10"/>
  <c r="AJ187" i="10" s="1"/>
  <c r="AE187" i="10"/>
  <c r="AU187" i="10"/>
  <c r="R187" i="10"/>
  <c r="S187" i="10"/>
  <c r="T187" i="10" s="1"/>
  <c r="U187" i="10"/>
  <c r="Y187" i="10" s="1"/>
  <c r="AM187" i="10"/>
  <c r="AN187" i="10"/>
  <c r="AO187" i="10" s="1"/>
  <c r="AL187" i="10" s="1"/>
  <c r="AP187" i="10"/>
  <c r="AA277" i="10"/>
  <c r="AB277" i="10"/>
  <c r="AJ277" i="10" s="1"/>
  <c r="AE277" i="10"/>
  <c r="AU277" i="10"/>
  <c r="R277" i="10"/>
  <c r="S277" i="10"/>
  <c r="T277" i="10" s="1"/>
  <c r="U277" i="10"/>
  <c r="Y277" i="10" s="1"/>
  <c r="AM277" i="10"/>
  <c r="AN277" i="10"/>
  <c r="AO277" i="10"/>
  <c r="AL277" i="10" s="1"/>
  <c r="AP277" i="10"/>
  <c r="AA281" i="10"/>
  <c r="AB281" i="10"/>
  <c r="AJ281" i="10" s="1"/>
  <c r="AE281" i="10"/>
  <c r="AU281" i="10"/>
  <c r="R281" i="10"/>
  <c r="S281" i="10"/>
  <c r="T281" i="10" s="1"/>
  <c r="U281" i="10"/>
  <c r="Y281" i="10" s="1"/>
  <c r="AM281" i="10"/>
  <c r="AN281" i="10"/>
  <c r="AO281" i="10"/>
  <c r="AP281" i="10"/>
  <c r="AA282" i="10"/>
  <c r="AB282" i="10"/>
  <c r="AJ282" i="10" s="1"/>
  <c r="AE282" i="10"/>
  <c r="AU282" i="10"/>
  <c r="R282" i="10"/>
  <c r="S282" i="10"/>
  <c r="T282" i="10" s="1"/>
  <c r="U282" i="10"/>
  <c r="Y282" i="10" s="1"/>
  <c r="AM282" i="10"/>
  <c r="AN282" i="10"/>
  <c r="AO282" i="10"/>
  <c r="AL282" i="10" s="1"/>
  <c r="AP282" i="10"/>
  <c r="AA15" i="10"/>
  <c r="AB15" i="10"/>
  <c r="AE15" i="10"/>
  <c r="AJ15" i="10"/>
  <c r="AU15" i="10"/>
  <c r="R15" i="10"/>
  <c r="S15" i="10"/>
  <c r="T15" i="10" s="1"/>
  <c r="U15" i="10"/>
  <c r="Y15" i="10" s="1"/>
  <c r="AM15" i="10"/>
  <c r="AN15" i="10"/>
  <c r="AO15" i="10"/>
  <c r="AP15" i="10"/>
  <c r="AA152" i="10"/>
  <c r="AB152" i="10"/>
  <c r="AJ152" i="10" s="1"/>
  <c r="AE152" i="10"/>
  <c r="AU152" i="10"/>
  <c r="R152" i="10"/>
  <c r="S152" i="10"/>
  <c r="T152" i="10" s="1"/>
  <c r="U152" i="10"/>
  <c r="Y152" i="10" s="1"/>
  <c r="AM152" i="10"/>
  <c r="AN152" i="10"/>
  <c r="AO152" i="10"/>
  <c r="AL152" i="10" s="1"/>
  <c r="AP152" i="10"/>
  <c r="AA33" i="10"/>
  <c r="AB33" i="10"/>
  <c r="AE33" i="10"/>
  <c r="AJ33" i="10"/>
  <c r="AU33" i="10"/>
  <c r="R33" i="10"/>
  <c r="S33" i="10"/>
  <c r="T33" i="10" s="1"/>
  <c r="U33" i="10"/>
  <c r="Y33" i="10" s="1"/>
  <c r="AG33" i="10" s="1"/>
  <c r="AM33" i="10"/>
  <c r="AN33" i="10"/>
  <c r="AO33" i="10"/>
  <c r="AP33" i="10"/>
  <c r="AA440" i="10"/>
  <c r="AB440" i="10"/>
  <c r="AJ440" i="10" s="1"/>
  <c r="AE440" i="10"/>
  <c r="AU440" i="10"/>
  <c r="R440" i="10"/>
  <c r="S440" i="10"/>
  <c r="T440" i="10" s="1"/>
  <c r="U440" i="10"/>
  <c r="Y440" i="10" s="1"/>
  <c r="AM440" i="10"/>
  <c r="AN440" i="10"/>
  <c r="AO440" i="10"/>
  <c r="AP440" i="10"/>
  <c r="AA438" i="10"/>
  <c r="AB438" i="10"/>
  <c r="AJ438" i="10" s="1"/>
  <c r="AE438" i="10"/>
  <c r="AU438" i="10"/>
  <c r="R438" i="10"/>
  <c r="S438" i="10"/>
  <c r="T438" i="10" s="1"/>
  <c r="U438" i="10"/>
  <c r="Y438" i="10" s="1"/>
  <c r="AM438" i="10"/>
  <c r="AN438" i="10"/>
  <c r="AO438" i="10"/>
  <c r="AL438" i="10" s="1"/>
  <c r="AP438" i="10"/>
  <c r="R446" i="10"/>
  <c r="S446" i="10"/>
  <c r="T446" i="10" s="1"/>
  <c r="U446" i="10"/>
  <c r="AM446" i="10"/>
  <c r="AN446" i="10"/>
  <c r="AO446" i="10"/>
  <c r="AP446" i="10"/>
  <c r="AA435" i="10"/>
  <c r="AB435" i="10"/>
  <c r="AE435" i="10"/>
  <c r="AJ435" i="10"/>
  <c r="AU435" i="10"/>
  <c r="R435" i="10"/>
  <c r="S435" i="10"/>
  <c r="T435" i="10" s="1"/>
  <c r="U435" i="10"/>
  <c r="Y435" i="10" s="1"/>
  <c r="AG435" i="10" s="1"/>
  <c r="AM435" i="10"/>
  <c r="AN435" i="10"/>
  <c r="AO435" i="10"/>
  <c r="AL435" i="10" s="1"/>
  <c r="AP435" i="10"/>
  <c r="AA116" i="10"/>
  <c r="AB116" i="10"/>
  <c r="AE116" i="10"/>
  <c r="AJ116" i="10"/>
  <c r="AU116" i="10"/>
  <c r="R116" i="10"/>
  <c r="S116" i="10"/>
  <c r="T116" i="10" s="1"/>
  <c r="U116" i="10"/>
  <c r="Y116" i="10" s="1"/>
  <c r="AG116" i="10" s="1"/>
  <c r="AM116" i="10"/>
  <c r="AN116" i="10"/>
  <c r="AO116" i="10"/>
  <c r="AL116" i="10" s="1"/>
  <c r="AP116" i="10"/>
  <c r="AA131" i="10"/>
  <c r="AB131" i="10"/>
  <c r="AE131" i="10"/>
  <c r="AJ131" i="10"/>
  <c r="AU131" i="10"/>
  <c r="R131" i="10"/>
  <c r="S131" i="10"/>
  <c r="T131" i="10" s="1"/>
  <c r="U131" i="10"/>
  <c r="Y131" i="10" s="1"/>
  <c r="AG131" i="10" s="1"/>
  <c r="AM131" i="10"/>
  <c r="AN131" i="10"/>
  <c r="AO131" i="10"/>
  <c r="AL131" i="10" s="1"/>
  <c r="AP131" i="10"/>
  <c r="AA120" i="10"/>
  <c r="AB120" i="10"/>
  <c r="AE120" i="10"/>
  <c r="AJ120" i="10"/>
  <c r="AU120" i="10"/>
  <c r="R120" i="10"/>
  <c r="S120" i="10"/>
  <c r="T120" i="10" s="1"/>
  <c r="U120" i="10"/>
  <c r="Y120" i="10" s="1"/>
  <c r="AG120" i="10" s="1"/>
  <c r="AM120" i="10"/>
  <c r="AN120" i="10"/>
  <c r="AO120" i="10"/>
  <c r="AL120" i="10" s="1"/>
  <c r="AP120" i="10"/>
  <c r="AE392" i="10"/>
  <c r="AU392" i="10"/>
  <c r="R392" i="10"/>
  <c r="S392" i="10"/>
  <c r="T392" i="10" s="1"/>
  <c r="U392" i="10"/>
  <c r="Y392" i="10" s="1"/>
  <c r="AM392" i="10"/>
  <c r="AN392" i="10"/>
  <c r="AO392" i="10"/>
  <c r="AL392" i="10" s="1"/>
  <c r="AP392" i="10"/>
  <c r="AA182" i="10"/>
  <c r="AB182" i="10"/>
  <c r="AE182" i="10"/>
  <c r="AJ182" i="10"/>
  <c r="AU182" i="10"/>
  <c r="R182" i="10"/>
  <c r="S182" i="10"/>
  <c r="T182" i="10" s="1"/>
  <c r="U182" i="10"/>
  <c r="Y182" i="10" s="1"/>
  <c r="AG182" i="10" s="1"/>
  <c r="AH182" i="10" s="1"/>
  <c r="AI182" i="10" s="1"/>
  <c r="AM182" i="10"/>
  <c r="AN182" i="10"/>
  <c r="AO182" i="10"/>
  <c r="AL182" i="10" s="1"/>
  <c r="AP182" i="10"/>
  <c r="AA295" i="10"/>
  <c r="AB295" i="10"/>
  <c r="AE295" i="10"/>
  <c r="AJ295" i="10"/>
  <c r="AU295" i="10"/>
  <c r="R295" i="10"/>
  <c r="S295" i="10"/>
  <c r="T295" i="10" s="1"/>
  <c r="U295" i="10"/>
  <c r="Y295" i="10" s="1"/>
  <c r="AG295" i="10" s="1"/>
  <c r="AM295" i="10"/>
  <c r="AN295" i="10"/>
  <c r="AO295" i="10"/>
  <c r="AL295" i="10" s="1"/>
  <c r="AP295" i="10"/>
  <c r="AA5" i="10"/>
  <c r="AB5" i="10"/>
  <c r="AE5" i="10"/>
  <c r="AJ5" i="10"/>
  <c r="AU5" i="10"/>
  <c r="R5" i="10"/>
  <c r="S5" i="10"/>
  <c r="T5" i="10" s="1"/>
  <c r="U5" i="10"/>
  <c r="Y5" i="10" s="1"/>
  <c r="AG5" i="10" s="1"/>
  <c r="AM5" i="10"/>
  <c r="AN5" i="10"/>
  <c r="AO5" i="10"/>
  <c r="AL5" i="10" s="1"/>
  <c r="AP5" i="10"/>
  <c r="AA127" i="10"/>
  <c r="AB127" i="10"/>
  <c r="AE127" i="10"/>
  <c r="AJ127" i="10"/>
  <c r="AU127" i="10"/>
  <c r="R127" i="10"/>
  <c r="S127" i="10"/>
  <c r="T127" i="10" s="1"/>
  <c r="U127" i="10"/>
  <c r="Y127" i="10" s="1"/>
  <c r="AG127" i="10" s="1"/>
  <c r="AM127" i="10"/>
  <c r="AN127" i="10"/>
  <c r="AO127" i="10"/>
  <c r="AL127" i="10" s="1"/>
  <c r="AP127" i="10"/>
  <c r="AA412" i="10"/>
  <c r="AB412" i="10"/>
  <c r="AE412" i="10"/>
  <c r="AJ412" i="10"/>
  <c r="AU412" i="10"/>
  <c r="R412" i="10"/>
  <c r="S412" i="10"/>
  <c r="T412" i="10" s="1"/>
  <c r="U412" i="10"/>
  <c r="Y412" i="10" s="1"/>
  <c r="AG412" i="10" s="1"/>
  <c r="AH412" i="10" s="1"/>
  <c r="AI412" i="10" s="1"/>
  <c r="AM412" i="10"/>
  <c r="AN412" i="10"/>
  <c r="AO412" i="10"/>
  <c r="AL412" i="10" s="1"/>
  <c r="AP412" i="10"/>
  <c r="AA83" i="10"/>
  <c r="AB83" i="10"/>
  <c r="AE83" i="10"/>
  <c r="AJ83" i="10"/>
  <c r="AU83" i="10"/>
  <c r="R83" i="10"/>
  <c r="S83" i="10"/>
  <c r="T83" i="10" s="1"/>
  <c r="U83" i="10"/>
  <c r="Y83" i="10" s="1"/>
  <c r="AG83" i="10" s="1"/>
  <c r="AM83" i="10"/>
  <c r="AN83" i="10"/>
  <c r="AO83" i="10"/>
  <c r="AP83" i="10"/>
  <c r="AA305" i="10"/>
  <c r="AB305" i="10"/>
  <c r="AE305" i="10"/>
  <c r="AJ305" i="10"/>
  <c r="AU305" i="10"/>
  <c r="R305" i="10"/>
  <c r="S305" i="10"/>
  <c r="T305" i="10" s="1"/>
  <c r="U305" i="10"/>
  <c r="Y305" i="10" s="1"/>
  <c r="AG305" i="10" s="1"/>
  <c r="AM305" i="10"/>
  <c r="AN305" i="10"/>
  <c r="AO305" i="10"/>
  <c r="AL305" i="10" s="1"/>
  <c r="AP305" i="10"/>
  <c r="AA315" i="10"/>
  <c r="AB315" i="10"/>
  <c r="AE315" i="10"/>
  <c r="AJ315" i="10"/>
  <c r="AU315" i="10"/>
  <c r="R315" i="10"/>
  <c r="S315" i="10"/>
  <c r="T315" i="10" s="1"/>
  <c r="U315" i="10"/>
  <c r="Y315" i="10" s="1"/>
  <c r="AG315" i="10" s="1"/>
  <c r="AM315" i="10"/>
  <c r="AN315" i="10"/>
  <c r="AO315" i="10"/>
  <c r="AL315" i="10" s="1"/>
  <c r="AP315" i="10"/>
  <c r="AA357" i="10"/>
  <c r="AB357" i="10"/>
  <c r="AJ357" i="10" s="1"/>
  <c r="AE357" i="10"/>
  <c r="AU357" i="10"/>
  <c r="R357" i="10"/>
  <c r="S357" i="10"/>
  <c r="T357" i="10" s="1"/>
  <c r="U357" i="10"/>
  <c r="Y357" i="10" s="1"/>
  <c r="AM357" i="10"/>
  <c r="AN357" i="10"/>
  <c r="AO357" i="10"/>
  <c r="AL357" i="10" s="1"/>
  <c r="AP357" i="10"/>
  <c r="AA512" i="10"/>
  <c r="AB512" i="10"/>
  <c r="AJ512" i="10" s="1"/>
  <c r="AE512" i="10"/>
  <c r="AU512" i="10"/>
  <c r="R512" i="10"/>
  <c r="S512" i="10"/>
  <c r="T512" i="10" s="1"/>
  <c r="U512" i="10"/>
  <c r="Y512" i="10" s="1"/>
  <c r="AM512" i="10"/>
  <c r="AN512" i="10"/>
  <c r="AO512" i="10"/>
  <c r="AL512" i="10" s="1"/>
  <c r="AP512" i="10"/>
  <c r="AA319" i="10"/>
  <c r="AB319" i="10"/>
  <c r="AE319" i="10"/>
  <c r="AJ319" i="10"/>
  <c r="AU319" i="10"/>
  <c r="R319" i="10"/>
  <c r="S319" i="10"/>
  <c r="T319" i="10" s="1"/>
  <c r="U319" i="10"/>
  <c r="Y319" i="10" s="1"/>
  <c r="AG319" i="10" s="1"/>
  <c r="AM319" i="10"/>
  <c r="AN319" i="10"/>
  <c r="AO319" i="10"/>
  <c r="AL319" i="10" s="1"/>
  <c r="AP319" i="10"/>
  <c r="AA338" i="10"/>
  <c r="AB338" i="10"/>
  <c r="AJ338" i="10" s="1"/>
  <c r="AE338" i="10"/>
  <c r="AU338" i="10"/>
  <c r="R338" i="10"/>
  <c r="S338" i="10"/>
  <c r="T338" i="10" s="1"/>
  <c r="U338" i="10" s="1"/>
  <c r="Y338" i="10" s="1"/>
  <c r="AM338" i="10"/>
  <c r="AN338" i="10"/>
  <c r="AO338" i="10"/>
  <c r="AL338" i="10" s="1"/>
  <c r="AP338" i="10"/>
  <c r="AA395" i="10"/>
  <c r="AB395" i="10"/>
  <c r="AJ395" i="10" s="1"/>
  <c r="AE395" i="10"/>
  <c r="AU395" i="10"/>
  <c r="R395" i="10"/>
  <c r="S395" i="10"/>
  <c r="T395" i="10" s="1"/>
  <c r="U395" i="10"/>
  <c r="Y395" i="10" s="1"/>
  <c r="AM395" i="10"/>
  <c r="AN395" i="10" s="1"/>
  <c r="AO395" i="10" s="1"/>
  <c r="AL395" i="10" s="1"/>
  <c r="AP395" i="10"/>
  <c r="AA346" i="10"/>
  <c r="AB346" i="10"/>
  <c r="AJ346" i="10" s="1"/>
  <c r="AE346" i="10"/>
  <c r="AU346" i="10"/>
  <c r="R346" i="10"/>
  <c r="S346" i="10"/>
  <c r="T346" i="10" s="1"/>
  <c r="U346" i="10"/>
  <c r="Y346" i="10" s="1"/>
  <c r="AM346" i="10"/>
  <c r="AN346" i="10"/>
  <c r="AO346" i="10"/>
  <c r="AL346" i="10" s="1"/>
  <c r="AP346" i="10"/>
  <c r="E35" i="5"/>
  <c r="B38" i="5"/>
  <c r="B39" i="5" s="1"/>
  <c r="AR22" i="10"/>
  <c r="AR2" i="10"/>
  <c r="B8" i="5"/>
  <c r="E6" i="6"/>
  <c r="F6" i="6"/>
  <c r="G6" i="6"/>
  <c r="H6" i="6"/>
  <c r="E7" i="6"/>
  <c r="F7" i="6"/>
  <c r="G7" i="6"/>
  <c r="H7" i="6"/>
  <c r="AA2" i="10"/>
  <c r="AB2" i="10"/>
  <c r="AE2" i="10"/>
  <c r="AJ2" i="10"/>
  <c r="AU2" i="10"/>
  <c r="R2" i="10"/>
  <c r="S2" i="10"/>
  <c r="T2" i="10" s="1"/>
  <c r="U2" i="10"/>
  <c r="Y2" i="10" s="1"/>
  <c r="AM2" i="10"/>
  <c r="AN2" i="10"/>
  <c r="AO2" i="10" s="1"/>
  <c r="AP2" i="10"/>
  <c r="AA79" i="10"/>
  <c r="AB79" i="10"/>
  <c r="AJ79" i="10" s="1"/>
  <c r="AE79" i="10"/>
  <c r="AU79" i="10"/>
  <c r="R79" i="10"/>
  <c r="S79" i="10"/>
  <c r="T79" i="10" s="1"/>
  <c r="U79" i="10"/>
  <c r="Y79" i="10" s="1"/>
  <c r="AM79" i="10"/>
  <c r="AN79" i="10"/>
  <c r="AO79" i="10"/>
  <c r="AP79" i="10"/>
  <c r="AA341" i="10"/>
  <c r="AB341" i="10"/>
  <c r="AJ341" i="10" s="1"/>
  <c r="AE341" i="10"/>
  <c r="AU341" i="10"/>
  <c r="R341" i="10"/>
  <c r="S341" i="10"/>
  <c r="T341" i="10" s="1"/>
  <c r="U341" i="10" s="1"/>
  <c r="Y341" i="10" s="1"/>
  <c r="AM341" i="10"/>
  <c r="AN341" i="10"/>
  <c r="AO341" i="10"/>
  <c r="AL341" i="10" s="1"/>
  <c r="AP341" i="10"/>
  <c r="AA130" i="10"/>
  <c r="AB130" i="10"/>
  <c r="AJ130" i="10" s="1"/>
  <c r="AE130" i="10"/>
  <c r="AU130" i="10"/>
  <c r="R130" i="10"/>
  <c r="S130" i="10"/>
  <c r="T130" i="10" s="1"/>
  <c r="AM130" i="10"/>
  <c r="AN130" i="10" s="1"/>
  <c r="AO130" i="10" s="1"/>
  <c r="AP130" i="10"/>
  <c r="AA331" i="10"/>
  <c r="AB331" i="10"/>
  <c r="AE331" i="10"/>
  <c r="AJ331" i="10"/>
  <c r="AU331" i="10"/>
  <c r="R331" i="10"/>
  <c r="S331" i="10"/>
  <c r="T331" i="10" s="1"/>
  <c r="U331" i="10"/>
  <c r="Y331" i="10" s="1"/>
  <c r="AG331" i="10" s="1"/>
  <c r="AM331" i="10"/>
  <c r="AN331" i="10" s="1"/>
  <c r="AO331" i="10" s="1"/>
  <c r="AL331" i="10" s="1"/>
  <c r="AP331" i="10"/>
  <c r="AA205" i="10"/>
  <c r="AB205" i="10"/>
  <c r="AJ205" i="10" s="1"/>
  <c r="AE205" i="10"/>
  <c r="AU205" i="10"/>
  <c r="R205" i="10"/>
  <c r="S205" i="10"/>
  <c r="T205" i="10" s="1"/>
  <c r="AM205" i="10"/>
  <c r="AN205" i="10"/>
  <c r="AO205" i="10" s="1"/>
  <c r="AL205" i="10" s="1"/>
  <c r="AP205" i="10"/>
  <c r="AA327" i="10"/>
  <c r="AB327" i="10"/>
  <c r="AJ327" i="10" s="1"/>
  <c r="AE327" i="10"/>
  <c r="AU327" i="10"/>
  <c r="R327" i="10"/>
  <c r="S327" i="10"/>
  <c r="T327" i="10" s="1"/>
  <c r="U327" i="10"/>
  <c r="Y327" i="10" s="1"/>
  <c r="AG327" i="10" s="1"/>
  <c r="AM327" i="10"/>
  <c r="AN327" i="10" s="1"/>
  <c r="AO327" i="10" s="1"/>
  <c r="AL327" i="10" s="1"/>
  <c r="AP327" i="10"/>
  <c r="AA383" i="10"/>
  <c r="AB383" i="10"/>
  <c r="AJ383" i="10" s="1"/>
  <c r="AE383" i="10"/>
  <c r="AU383" i="10"/>
  <c r="R383" i="10"/>
  <c r="S383" i="10"/>
  <c r="T383" i="10" s="1"/>
  <c r="U383" i="10"/>
  <c r="Y383" i="10" s="1"/>
  <c r="AM383" i="10"/>
  <c r="AN383" i="10"/>
  <c r="AO383" i="10"/>
  <c r="AL383" i="10" s="1"/>
  <c r="AP383" i="10"/>
  <c r="AA387" i="10"/>
  <c r="AB387" i="10"/>
  <c r="AJ387" i="10" s="1"/>
  <c r="AE387" i="10"/>
  <c r="AU387" i="10"/>
  <c r="R387" i="10"/>
  <c r="S387" i="10"/>
  <c r="T387" i="10" s="1"/>
  <c r="U387" i="10"/>
  <c r="Y387" i="10" s="1"/>
  <c r="AM387" i="10"/>
  <c r="AN387" i="10" s="1"/>
  <c r="AO387" i="10" s="1"/>
  <c r="AL387" i="10" s="1"/>
  <c r="AP387" i="10"/>
  <c r="AA276" i="10"/>
  <c r="AB276" i="10"/>
  <c r="AJ276" i="10" s="1"/>
  <c r="AE276" i="10"/>
  <c r="AU276" i="10"/>
  <c r="R276" i="10"/>
  <c r="S276" i="10"/>
  <c r="T276" i="10" s="1"/>
  <c r="U276" i="10"/>
  <c r="Y276" i="10" s="1"/>
  <c r="AG276" i="10" s="1"/>
  <c r="AM276" i="10"/>
  <c r="AN276" i="10" s="1"/>
  <c r="AO276" i="10" s="1"/>
  <c r="AP276" i="10"/>
  <c r="AA519" i="10"/>
  <c r="AB519" i="10"/>
  <c r="AJ519" i="10" s="1"/>
  <c r="AE519" i="10"/>
  <c r="AU519" i="10"/>
  <c r="R519" i="10"/>
  <c r="S519" i="10"/>
  <c r="T519" i="10" s="1"/>
  <c r="AM519" i="10"/>
  <c r="AN519" i="10"/>
  <c r="AO519" i="10"/>
  <c r="AL519" i="10" s="1"/>
  <c r="AP519" i="10"/>
  <c r="AA388" i="10"/>
  <c r="AB388" i="10"/>
  <c r="AJ388" i="10" s="1"/>
  <c r="AE388" i="10"/>
  <c r="AU388" i="10"/>
  <c r="R388" i="10"/>
  <c r="S388" i="10"/>
  <c r="T388" i="10" s="1"/>
  <c r="U388" i="10"/>
  <c r="Y388" i="10" s="1"/>
  <c r="AG388" i="10" s="1"/>
  <c r="AM388" i="10"/>
  <c r="AN388" i="10" s="1"/>
  <c r="AO388" i="10" s="1"/>
  <c r="AL388" i="10" s="1"/>
  <c r="AP388" i="10"/>
  <c r="AA121" i="10"/>
  <c r="AB121" i="10"/>
  <c r="AJ121" i="10" s="1"/>
  <c r="AE121" i="10"/>
  <c r="AU121" i="10"/>
  <c r="R121" i="10"/>
  <c r="S121" i="10"/>
  <c r="T121" i="10" s="1"/>
  <c r="U121" i="10"/>
  <c r="Y121" i="10" s="1"/>
  <c r="AM121" i="10"/>
  <c r="AN121" i="10" s="1"/>
  <c r="AO121" i="10" s="1"/>
  <c r="AL121" i="10" s="1"/>
  <c r="AP121" i="10"/>
  <c r="AA146" i="10"/>
  <c r="AB146" i="10"/>
  <c r="AJ146" i="10" s="1"/>
  <c r="AE146" i="10"/>
  <c r="AU146" i="10"/>
  <c r="R146" i="10"/>
  <c r="S146" i="10"/>
  <c r="T146" i="10" s="1"/>
  <c r="U146" i="10"/>
  <c r="Y146" i="10" s="1"/>
  <c r="AM146" i="10"/>
  <c r="AN146" i="10"/>
  <c r="AO146" i="10" s="1"/>
  <c r="AL146" i="10" s="1"/>
  <c r="AP146" i="10"/>
  <c r="R394" i="10"/>
  <c r="S394" i="10"/>
  <c r="T394" i="10" s="1"/>
  <c r="U394" i="10"/>
  <c r="AM394" i="10"/>
  <c r="AN394" i="10"/>
  <c r="AO394" i="10" s="1"/>
  <c r="AL394" i="10" s="1"/>
  <c r="AP394" i="10"/>
  <c r="AA200" i="10"/>
  <c r="AB200" i="10"/>
  <c r="AJ200" i="10" s="1"/>
  <c r="AE200" i="10"/>
  <c r="AU200" i="10"/>
  <c r="R200" i="10"/>
  <c r="S200" i="10"/>
  <c r="T200" i="10" s="1"/>
  <c r="U200" i="10"/>
  <c r="Y200" i="10" s="1"/>
  <c r="AM200" i="10"/>
  <c r="AN200" i="10"/>
  <c r="AO200" i="10" s="1"/>
  <c r="AL200" i="10" s="1"/>
  <c r="AP200" i="10"/>
  <c r="AA185" i="10"/>
  <c r="AB185" i="10"/>
  <c r="AJ185" i="10" s="1"/>
  <c r="AE185" i="10"/>
  <c r="AU185" i="10"/>
  <c r="R185" i="10"/>
  <c r="S185" i="10"/>
  <c r="T185" i="10" s="1"/>
  <c r="U185" i="10"/>
  <c r="Y185" i="10" s="1"/>
  <c r="AM185" i="10"/>
  <c r="AN185" i="10"/>
  <c r="AO185" i="10" s="1"/>
  <c r="AP185" i="10"/>
  <c r="AA35" i="10"/>
  <c r="AB35" i="10"/>
  <c r="AJ35" i="10" s="1"/>
  <c r="AE35" i="10"/>
  <c r="AU35" i="10"/>
  <c r="R35" i="10"/>
  <c r="S35" i="10"/>
  <c r="T35" i="10" s="1"/>
  <c r="U35" i="10"/>
  <c r="Y35" i="10" s="1"/>
  <c r="AM35" i="10"/>
  <c r="AN35" i="10" s="1"/>
  <c r="AO35" i="10" s="1"/>
  <c r="AL35" i="10" s="1"/>
  <c r="AP35" i="10"/>
  <c r="AE406" i="10"/>
  <c r="AU406" i="10"/>
  <c r="R406" i="10"/>
  <c r="S406" i="10"/>
  <c r="T406" i="10" s="1"/>
  <c r="U406" i="10"/>
  <c r="Y406" i="10" s="1"/>
  <c r="AM406" i="10"/>
  <c r="AN406" i="10"/>
  <c r="AO406" i="10" s="1"/>
  <c r="AL406" i="10" s="1"/>
  <c r="AP406" i="10"/>
  <c r="AA432" i="10"/>
  <c r="AB432" i="10"/>
  <c r="AJ432" i="10" s="1"/>
  <c r="AE432" i="10"/>
  <c r="AU432" i="10"/>
  <c r="R432" i="10"/>
  <c r="S432" i="10"/>
  <c r="T432" i="10" s="1"/>
  <c r="U432" i="10"/>
  <c r="Y432" i="10" s="1"/>
  <c r="AM432" i="10"/>
  <c r="AN432" i="10"/>
  <c r="AO432" i="10" s="1"/>
  <c r="AP432" i="10"/>
  <c r="AB429" i="10"/>
  <c r="AJ429" i="10" s="1"/>
  <c r="AE429" i="10"/>
  <c r="AU429" i="10"/>
  <c r="R429" i="10"/>
  <c r="S429" i="10"/>
  <c r="T429" i="10" s="1"/>
  <c r="U429" i="10"/>
  <c r="Y429" i="10" s="1"/>
  <c r="AM429" i="10"/>
  <c r="AN429" i="10"/>
  <c r="AO429" i="10"/>
  <c r="AL429" i="10" s="1"/>
  <c r="AP429" i="10"/>
  <c r="AA134" i="10"/>
  <c r="AB134" i="10"/>
  <c r="AJ134" i="10" s="1"/>
  <c r="AE134" i="10"/>
  <c r="AU134" i="10"/>
  <c r="R134" i="10"/>
  <c r="S134" i="10"/>
  <c r="T134" i="10" s="1"/>
  <c r="U134" i="10"/>
  <c r="Y134" i="10" s="1"/>
  <c r="AG134" i="10" s="1"/>
  <c r="AM134" i="10"/>
  <c r="AN134" i="10"/>
  <c r="AO134" i="10" s="1"/>
  <c r="AL134" i="10" s="1"/>
  <c r="AP134" i="10"/>
  <c r="AA119" i="10"/>
  <c r="AB119" i="10"/>
  <c r="AJ119" i="10" s="1"/>
  <c r="AE119" i="10"/>
  <c r="AU119" i="10"/>
  <c r="R119" i="10"/>
  <c r="S119" i="10"/>
  <c r="T119" i="10" s="1"/>
  <c r="U119" i="10"/>
  <c r="Y119" i="10" s="1"/>
  <c r="AG119" i="10" s="1"/>
  <c r="AM119" i="10"/>
  <c r="AN119" i="10"/>
  <c r="AO119" i="10"/>
  <c r="AL119" i="10" s="1"/>
  <c r="AP119" i="10"/>
  <c r="AA521" i="10"/>
  <c r="AB521" i="10"/>
  <c r="AJ521" i="10" s="1"/>
  <c r="AE521" i="10"/>
  <c r="AU521" i="10"/>
  <c r="R521" i="10"/>
  <c r="S521" i="10"/>
  <c r="T521" i="10" s="1"/>
  <c r="U521" i="10"/>
  <c r="Y521" i="10" s="1"/>
  <c r="AG521" i="10" s="1"/>
  <c r="AM521" i="10"/>
  <c r="AN521" i="10"/>
  <c r="AO521" i="10"/>
  <c r="AL521" i="10" s="1"/>
  <c r="AP521" i="10"/>
  <c r="R513" i="10"/>
  <c r="S513" i="10"/>
  <c r="T513" i="10" s="1"/>
  <c r="U513" i="10"/>
  <c r="AM513" i="10"/>
  <c r="AN513" i="10"/>
  <c r="AO513" i="10" s="1"/>
  <c r="AL513" i="10" s="1"/>
  <c r="AP513" i="10"/>
  <c r="AA507" i="10"/>
  <c r="AB507" i="10"/>
  <c r="AJ507" i="10" s="1"/>
  <c r="AE507" i="10"/>
  <c r="AU507" i="10"/>
  <c r="R507" i="10"/>
  <c r="S507" i="10"/>
  <c r="T507" i="10" s="1"/>
  <c r="U507" i="10"/>
  <c r="Y507" i="10" s="1"/>
  <c r="AG507" i="10" s="1"/>
  <c r="AH507" i="10" s="1"/>
  <c r="AI507" i="10" s="1"/>
  <c r="AM507" i="10"/>
  <c r="AN507" i="10"/>
  <c r="AO507" i="10"/>
  <c r="AL507" i="10" s="1"/>
  <c r="AP507" i="10"/>
  <c r="AA503" i="10"/>
  <c r="AB503" i="10"/>
  <c r="AJ503" i="10" s="1"/>
  <c r="AE503" i="10"/>
  <c r="AU503" i="10"/>
  <c r="R503" i="10"/>
  <c r="S503" i="10"/>
  <c r="T503" i="10" s="1"/>
  <c r="U503" i="10"/>
  <c r="Y503" i="10" s="1"/>
  <c r="AM503" i="10"/>
  <c r="AN503" i="10"/>
  <c r="AO503" i="10"/>
  <c r="AL503" i="10" s="1"/>
  <c r="AP503" i="10"/>
  <c r="AE499" i="10"/>
  <c r="AU499" i="10"/>
  <c r="R499" i="10"/>
  <c r="S499" i="10"/>
  <c r="T499" i="10" s="1"/>
  <c r="U499" i="10"/>
  <c r="Y499" i="10" s="1"/>
  <c r="AM499" i="10"/>
  <c r="AN499" i="10"/>
  <c r="AO499" i="10"/>
  <c r="AL499" i="10" s="1"/>
  <c r="AP499" i="10"/>
  <c r="AA494" i="10"/>
  <c r="AB494" i="10"/>
  <c r="AE494" i="10"/>
  <c r="AJ494" i="10"/>
  <c r="AU494" i="10"/>
  <c r="R494" i="10"/>
  <c r="S494" i="10"/>
  <c r="T494" i="10" s="1"/>
  <c r="U494" i="10"/>
  <c r="Y494" i="10" s="1"/>
  <c r="AG494" i="10" s="1"/>
  <c r="AM494" i="10"/>
  <c r="AN494" i="10"/>
  <c r="AO494" i="10"/>
  <c r="AL494" i="10" s="1"/>
  <c r="AP494" i="10"/>
  <c r="AA491" i="10"/>
  <c r="AB491" i="10"/>
  <c r="AE491" i="10"/>
  <c r="AJ491" i="10"/>
  <c r="AU491" i="10"/>
  <c r="R491" i="10"/>
  <c r="S491" i="10"/>
  <c r="T491" i="10" s="1"/>
  <c r="U491" i="10"/>
  <c r="Y491" i="10" s="1"/>
  <c r="AG491" i="10" s="1"/>
  <c r="AM491" i="10"/>
  <c r="AN491" i="10"/>
  <c r="AO491" i="10"/>
  <c r="AL491" i="10" s="1"/>
  <c r="AP491" i="10"/>
  <c r="AA486" i="10"/>
  <c r="AB486" i="10"/>
  <c r="AE486" i="10"/>
  <c r="AJ486" i="10"/>
  <c r="AU486" i="10"/>
  <c r="R486" i="10"/>
  <c r="S486" i="10"/>
  <c r="T486" i="10" s="1"/>
  <c r="U486" i="10"/>
  <c r="Y486" i="10" s="1"/>
  <c r="AG486" i="10" s="1"/>
  <c r="AM486" i="10"/>
  <c r="AN486" i="10"/>
  <c r="AO486" i="10"/>
  <c r="AP486" i="10"/>
  <c r="AA481" i="10"/>
  <c r="AB481" i="10"/>
  <c r="AE481" i="10"/>
  <c r="AJ481" i="10"/>
  <c r="AU481" i="10"/>
  <c r="R481" i="10"/>
  <c r="S481" i="10"/>
  <c r="T481" i="10" s="1"/>
  <c r="U481" i="10"/>
  <c r="Y481" i="10" s="1"/>
  <c r="AG481" i="10" s="1"/>
  <c r="AM481" i="10"/>
  <c r="AN481" i="10"/>
  <c r="AO481" i="10"/>
  <c r="AL481" i="10" s="1"/>
  <c r="AP481" i="10"/>
  <c r="AA476" i="10"/>
  <c r="AB476" i="10"/>
  <c r="AE476" i="10"/>
  <c r="AJ476" i="10"/>
  <c r="AU476" i="10"/>
  <c r="R476" i="10"/>
  <c r="S476" i="10"/>
  <c r="T476" i="10" s="1"/>
  <c r="U476" i="10"/>
  <c r="Y476" i="10" s="1"/>
  <c r="AG476" i="10" s="1"/>
  <c r="AH476" i="10" s="1"/>
  <c r="AI476" i="10" s="1"/>
  <c r="AM476" i="10"/>
  <c r="AN476" i="10"/>
  <c r="AO476" i="10"/>
  <c r="AP476" i="10"/>
  <c r="AA472" i="10"/>
  <c r="AB472" i="10"/>
  <c r="AE472" i="10"/>
  <c r="AJ472" i="10"/>
  <c r="AU472" i="10"/>
  <c r="R472" i="10"/>
  <c r="S472" i="10"/>
  <c r="T472" i="10" s="1"/>
  <c r="U472" i="10"/>
  <c r="Y472" i="10" s="1"/>
  <c r="AG472" i="10" s="1"/>
  <c r="AM472" i="10"/>
  <c r="AN472" i="10"/>
  <c r="AO472" i="10"/>
  <c r="AL472" i="10" s="1"/>
  <c r="AP472" i="10"/>
  <c r="AA459" i="10"/>
  <c r="AB459" i="10"/>
  <c r="AE459" i="10"/>
  <c r="AJ459" i="10"/>
  <c r="AU459" i="10"/>
  <c r="R459" i="10"/>
  <c r="S459" i="10"/>
  <c r="T459" i="10" s="1"/>
  <c r="U459" i="10"/>
  <c r="Y459" i="10" s="1"/>
  <c r="AG459" i="10" s="1"/>
  <c r="AM459" i="10"/>
  <c r="AN459" i="10"/>
  <c r="AO459" i="10"/>
  <c r="AL459" i="10" s="1"/>
  <c r="AP459" i="10"/>
  <c r="AA454" i="10"/>
  <c r="AB454" i="10"/>
  <c r="AE454" i="10"/>
  <c r="AJ454" i="10"/>
  <c r="AU454" i="10"/>
  <c r="R454" i="10"/>
  <c r="S454" i="10"/>
  <c r="T454" i="10" s="1"/>
  <c r="U454" i="10"/>
  <c r="Y454" i="10" s="1"/>
  <c r="AG454" i="10" s="1"/>
  <c r="AH454" i="10" s="1"/>
  <c r="AI454" i="10" s="1"/>
  <c r="AM454" i="10"/>
  <c r="AN454" i="10"/>
  <c r="AO454" i="10"/>
  <c r="AL454" i="10" s="1"/>
  <c r="AP454" i="10"/>
  <c r="AA448" i="10"/>
  <c r="AB448" i="10"/>
  <c r="AE448" i="10"/>
  <c r="AJ448" i="10"/>
  <c r="AU448" i="10"/>
  <c r="R448" i="10"/>
  <c r="S448" i="10"/>
  <c r="T448" i="10" s="1"/>
  <c r="U448" i="10"/>
  <c r="Y448" i="10" s="1"/>
  <c r="AG448" i="10" s="1"/>
  <c r="AM448" i="10"/>
  <c r="AN448" i="10"/>
  <c r="AO448" i="10"/>
  <c r="AL448" i="10" s="1"/>
  <c r="AP448" i="10"/>
  <c r="AA441" i="10"/>
  <c r="AB441" i="10"/>
  <c r="AE441" i="10"/>
  <c r="AJ441" i="10"/>
  <c r="AU441" i="10"/>
  <c r="R441" i="10"/>
  <c r="S441" i="10"/>
  <c r="T441" i="10" s="1"/>
  <c r="U441" i="10"/>
  <c r="Y441" i="10" s="1"/>
  <c r="AG441" i="10" s="1"/>
  <c r="AM441" i="10"/>
  <c r="AN441" i="10"/>
  <c r="AO441" i="10"/>
  <c r="AL441" i="10" s="1"/>
  <c r="AP441" i="10"/>
  <c r="AA428" i="10"/>
  <c r="AB428" i="10"/>
  <c r="AJ428" i="10" s="1"/>
  <c r="AE428" i="10"/>
  <c r="AU428" i="10"/>
  <c r="R428" i="10"/>
  <c r="S428" i="10"/>
  <c r="T428" i="10" s="1"/>
  <c r="U428" i="10"/>
  <c r="Y428" i="10" s="1"/>
  <c r="AG428" i="10" s="1"/>
  <c r="AM428" i="10"/>
  <c r="AN428" i="10"/>
  <c r="AO428" i="10" s="1"/>
  <c r="AL428" i="10" s="1"/>
  <c r="AP428" i="10"/>
  <c r="AA424" i="10"/>
  <c r="AB424" i="10"/>
  <c r="AE424" i="10"/>
  <c r="AJ424" i="10"/>
  <c r="AU424" i="10"/>
  <c r="R424" i="10"/>
  <c r="S424" i="10"/>
  <c r="T424" i="10" s="1"/>
  <c r="U424" i="10" s="1"/>
  <c r="Y424" i="10" s="1"/>
  <c r="AG424" i="10" s="1"/>
  <c r="AM424" i="10"/>
  <c r="AN424" i="10" s="1"/>
  <c r="AO424" i="10" s="1"/>
  <c r="AL424" i="10" s="1"/>
  <c r="AP424" i="10"/>
  <c r="AA418" i="10"/>
  <c r="AB418" i="10"/>
  <c r="AJ418" i="10" s="1"/>
  <c r="AE418" i="10"/>
  <c r="AU418" i="10"/>
  <c r="R418" i="10"/>
  <c r="S418" i="10"/>
  <c r="T418" i="10" s="1"/>
  <c r="U418" i="10"/>
  <c r="Y418" i="10" s="1"/>
  <c r="AM418" i="10"/>
  <c r="AN418" i="10"/>
  <c r="AO418" i="10"/>
  <c r="AL418" i="10" s="1"/>
  <c r="AP418" i="10"/>
  <c r="AA411" i="10"/>
  <c r="AB411" i="10"/>
  <c r="AJ411" i="10" s="1"/>
  <c r="AE411" i="10"/>
  <c r="AU411" i="10"/>
  <c r="R411" i="10"/>
  <c r="S411" i="10"/>
  <c r="T411" i="10" s="1"/>
  <c r="U411" i="10"/>
  <c r="Y411" i="10" s="1"/>
  <c r="AM411" i="10"/>
  <c r="AN411" i="10"/>
  <c r="AO411" i="10"/>
  <c r="AL411" i="10" s="1"/>
  <c r="AP411" i="10"/>
  <c r="AA404" i="10"/>
  <c r="AB404" i="10"/>
  <c r="AE404" i="10"/>
  <c r="AJ404" i="10"/>
  <c r="AU404" i="10"/>
  <c r="R404" i="10"/>
  <c r="S404" i="10"/>
  <c r="T404" i="10" s="1"/>
  <c r="U404" i="10"/>
  <c r="Y404" i="10" s="1"/>
  <c r="AG404" i="10" s="1"/>
  <c r="AM404" i="10"/>
  <c r="AN404" i="10" s="1"/>
  <c r="AO404" i="10" s="1"/>
  <c r="AL404" i="10" s="1"/>
  <c r="AP404" i="10"/>
  <c r="AA399" i="10"/>
  <c r="AB399" i="10"/>
  <c r="AE399" i="10"/>
  <c r="AJ399" i="10"/>
  <c r="AU399" i="10"/>
  <c r="R399" i="10"/>
  <c r="S399" i="10"/>
  <c r="T399" i="10" s="1"/>
  <c r="U399" i="10" s="1"/>
  <c r="Y399" i="10" s="1"/>
  <c r="AG399" i="10" s="1"/>
  <c r="AM399" i="10"/>
  <c r="AN399" i="10" s="1"/>
  <c r="AO399" i="10" s="1"/>
  <c r="AL399" i="10" s="1"/>
  <c r="AP399" i="10"/>
  <c r="AA363" i="10"/>
  <c r="AB363" i="10"/>
  <c r="AE363" i="10"/>
  <c r="AJ363" i="10"/>
  <c r="AU363" i="10"/>
  <c r="R363" i="10"/>
  <c r="S363" i="10"/>
  <c r="T363" i="10" s="1"/>
  <c r="AM363" i="10"/>
  <c r="AN363" i="10" s="1"/>
  <c r="AO363" i="10" s="1"/>
  <c r="AL363" i="10" s="1"/>
  <c r="AP363" i="10"/>
  <c r="AA354" i="10"/>
  <c r="AB354" i="10"/>
  <c r="AJ354" i="10" s="1"/>
  <c r="AE354" i="10"/>
  <c r="AU354" i="10"/>
  <c r="R354" i="10"/>
  <c r="S354" i="10"/>
  <c r="T354" i="10" s="1"/>
  <c r="U354" i="10"/>
  <c r="Y354" i="10" s="1"/>
  <c r="AM354" i="10"/>
  <c r="AN354" i="10"/>
  <c r="AO354" i="10"/>
  <c r="AL354" i="10" s="1"/>
  <c r="AP354" i="10"/>
  <c r="AA347" i="10"/>
  <c r="AB347" i="10"/>
  <c r="AJ347" i="10" s="1"/>
  <c r="AE347" i="10"/>
  <c r="AU347" i="10"/>
  <c r="R347" i="10"/>
  <c r="S347" i="10"/>
  <c r="T347" i="10" s="1"/>
  <c r="U347" i="10"/>
  <c r="Y347" i="10" s="1"/>
  <c r="AM347" i="10"/>
  <c r="AN347" i="10"/>
  <c r="AO347" i="10"/>
  <c r="AL347" i="10" s="1"/>
  <c r="AP347" i="10"/>
  <c r="AA335" i="10"/>
  <c r="AB335" i="10"/>
  <c r="AJ335" i="10" s="1"/>
  <c r="AE335" i="10"/>
  <c r="AU335" i="10"/>
  <c r="R335" i="10"/>
  <c r="S335" i="10"/>
  <c r="T335" i="10" s="1"/>
  <c r="U335" i="10" s="1"/>
  <c r="Y335" i="10" s="1"/>
  <c r="AM335" i="10"/>
  <c r="AN335" i="10"/>
  <c r="AO335" i="10"/>
  <c r="AL335" i="10" s="1"/>
  <c r="AP335" i="10"/>
  <c r="AA323" i="10"/>
  <c r="AB323" i="10"/>
  <c r="AJ323" i="10" s="1"/>
  <c r="AE323" i="10"/>
  <c r="AU323" i="10"/>
  <c r="R323" i="10"/>
  <c r="S323" i="10"/>
  <c r="T323" i="10" s="1"/>
  <c r="AM323" i="10"/>
  <c r="AN323" i="10"/>
  <c r="AO323" i="10" s="1"/>
  <c r="AL323" i="10" s="1"/>
  <c r="AP323" i="10"/>
  <c r="AA285" i="10"/>
  <c r="AB285" i="10"/>
  <c r="AJ285" i="10" s="1"/>
  <c r="AE285" i="10"/>
  <c r="AU285" i="10"/>
  <c r="R285" i="10"/>
  <c r="S285" i="10"/>
  <c r="T285" i="10" s="1"/>
  <c r="AM285" i="10"/>
  <c r="AN285" i="10" s="1"/>
  <c r="AO285" i="10" s="1"/>
  <c r="AP285" i="10"/>
  <c r="AA271" i="10"/>
  <c r="AB271" i="10"/>
  <c r="AJ271" i="10" s="1"/>
  <c r="AE271" i="10"/>
  <c r="AU271" i="10"/>
  <c r="R271" i="10"/>
  <c r="S271" i="10"/>
  <c r="T271" i="10" s="1"/>
  <c r="U271" i="10" s="1"/>
  <c r="Y271" i="10" s="1"/>
  <c r="AM271" i="10"/>
  <c r="AN271" i="10" s="1"/>
  <c r="AO271" i="10" s="1"/>
  <c r="AL271" i="10" s="1"/>
  <c r="AP271" i="10"/>
  <c r="AA263" i="10"/>
  <c r="AB263" i="10"/>
  <c r="AJ263" i="10" s="1"/>
  <c r="AE263" i="10"/>
  <c r="AU263" i="10"/>
  <c r="R263" i="10"/>
  <c r="S263" i="10"/>
  <c r="T263" i="10" s="1"/>
  <c r="AM263" i="10"/>
  <c r="AN263" i="10"/>
  <c r="AO263" i="10" s="1"/>
  <c r="AL263" i="10" s="1"/>
  <c r="AP263" i="10"/>
  <c r="AA254" i="10"/>
  <c r="AB254" i="10"/>
  <c r="AJ254" i="10" s="1"/>
  <c r="AE254" i="10"/>
  <c r="AU254" i="10"/>
  <c r="R254" i="10"/>
  <c r="S254" i="10"/>
  <c r="T254" i="10" s="1"/>
  <c r="U254" i="10"/>
  <c r="Y254" i="10" s="1"/>
  <c r="AM254" i="10"/>
  <c r="AN254" i="10"/>
  <c r="AO254" i="10" s="1"/>
  <c r="AL254" i="10" s="1"/>
  <c r="AP254" i="10"/>
  <c r="AA214" i="10"/>
  <c r="AB214" i="10"/>
  <c r="AE214" i="10"/>
  <c r="AJ214" i="10"/>
  <c r="AU214" i="10"/>
  <c r="R214" i="10"/>
  <c r="S214" i="10"/>
  <c r="T214" i="10" s="1"/>
  <c r="U214" i="10"/>
  <c r="Y214" i="10" s="1"/>
  <c r="AG214" i="10" s="1"/>
  <c r="AH214" i="10" s="1"/>
  <c r="AI214" i="10" s="1"/>
  <c r="AM214" i="10"/>
  <c r="AN214" i="10"/>
  <c r="AO214" i="10" s="1"/>
  <c r="AP214" i="10"/>
  <c r="AA203" i="10"/>
  <c r="AB203" i="10"/>
  <c r="AE203" i="10"/>
  <c r="AJ203" i="10"/>
  <c r="AU203" i="10"/>
  <c r="R203" i="10"/>
  <c r="S203" i="10"/>
  <c r="T203" i="10" s="1"/>
  <c r="U203" i="10"/>
  <c r="Y203" i="10" s="1"/>
  <c r="AG203" i="10" s="1"/>
  <c r="AH203" i="10" s="1"/>
  <c r="AI203" i="10" s="1"/>
  <c r="AM203" i="10"/>
  <c r="AN203" i="10" s="1"/>
  <c r="AO203" i="10" s="1"/>
  <c r="AP203" i="10"/>
  <c r="AA191" i="10"/>
  <c r="AB191" i="10"/>
  <c r="AE191" i="10"/>
  <c r="AJ191" i="10"/>
  <c r="AU191" i="10"/>
  <c r="R191" i="10"/>
  <c r="S191" i="10"/>
  <c r="T191" i="10" s="1"/>
  <c r="U191" i="10"/>
  <c r="Y191" i="10" s="1"/>
  <c r="AG191" i="10" s="1"/>
  <c r="AH191" i="10" s="1"/>
  <c r="AI191" i="10" s="1"/>
  <c r="AM191" i="10"/>
  <c r="AN191" i="10"/>
  <c r="AO191" i="10"/>
  <c r="AP191" i="10"/>
  <c r="AA178" i="10"/>
  <c r="AB178" i="10"/>
  <c r="AJ178" i="10" s="1"/>
  <c r="AE178" i="10"/>
  <c r="AU178" i="10"/>
  <c r="R178" i="10"/>
  <c r="S178" i="10"/>
  <c r="T178" i="10" s="1"/>
  <c r="U178" i="10"/>
  <c r="Y178" i="10" s="1"/>
  <c r="AM178" i="10"/>
  <c r="AN178" i="10"/>
  <c r="AO178" i="10" s="1"/>
  <c r="AL178" i="10" s="1"/>
  <c r="AP178" i="10"/>
  <c r="AA132" i="10"/>
  <c r="AB132" i="10"/>
  <c r="AJ132" i="10" s="1"/>
  <c r="AE132" i="10"/>
  <c r="AU132" i="10"/>
  <c r="R132" i="10"/>
  <c r="S132" i="10"/>
  <c r="T132" i="10" s="1"/>
  <c r="U132" i="10"/>
  <c r="Y132" i="10" s="1"/>
  <c r="AM132" i="10"/>
  <c r="AN132" i="10"/>
  <c r="AO132" i="10"/>
  <c r="AP132" i="10"/>
  <c r="R111" i="10"/>
  <c r="S111" i="10"/>
  <c r="T111" i="10" s="1"/>
  <c r="U111" i="10"/>
  <c r="AM111" i="10"/>
  <c r="AN111" i="10"/>
  <c r="AO111" i="10"/>
  <c r="AL111" i="10" s="1"/>
  <c r="AP111" i="10"/>
  <c r="R100" i="10"/>
  <c r="S100" i="10"/>
  <c r="T100" i="10" s="1"/>
  <c r="U100" i="10"/>
  <c r="AM100" i="10"/>
  <c r="AN100" i="10"/>
  <c r="AO100" i="10" s="1"/>
  <c r="AL100" i="10" s="1"/>
  <c r="AP100" i="10"/>
  <c r="AA54" i="10"/>
  <c r="AB54" i="10"/>
  <c r="AJ54" i="10" s="1"/>
  <c r="AE54" i="10"/>
  <c r="AU54" i="10"/>
  <c r="R54" i="10"/>
  <c r="S54" i="10"/>
  <c r="T54" i="10" s="1"/>
  <c r="U54" i="10"/>
  <c r="Y54" i="10" s="1"/>
  <c r="AM54" i="10"/>
  <c r="AN54" i="10"/>
  <c r="AO54" i="10"/>
  <c r="AL54" i="10" s="1"/>
  <c r="AP54" i="10"/>
  <c r="AA43" i="10"/>
  <c r="AB43" i="10"/>
  <c r="AJ43" i="10" s="1"/>
  <c r="AE43" i="10"/>
  <c r="AU43" i="10"/>
  <c r="R43" i="10"/>
  <c r="S43" i="10"/>
  <c r="T43" i="10" s="1"/>
  <c r="U43" i="10"/>
  <c r="Y43" i="10" s="1"/>
  <c r="AM43" i="10"/>
  <c r="AN43" i="10"/>
  <c r="AO43" i="10" s="1"/>
  <c r="AL43" i="10" s="1"/>
  <c r="AP43" i="10"/>
  <c r="AA29" i="10"/>
  <c r="AB29" i="10"/>
  <c r="AE29" i="10"/>
  <c r="AJ29" i="10"/>
  <c r="AU29" i="10"/>
  <c r="R29" i="10"/>
  <c r="S29" i="10"/>
  <c r="T29" i="10" s="1"/>
  <c r="U29" i="10"/>
  <c r="Y29" i="10" s="1"/>
  <c r="AM29" i="10"/>
  <c r="AN29" i="10" s="1"/>
  <c r="AO29" i="10" s="1"/>
  <c r="AL29" i="10" s="1"/>
  <c r="AP29" i="10"/>
  <c r="AA514" i="10"/>
  <c r="AB514" i="10"/>
  <c r="AJ514" i="10" s="1"/>
  <c r="AE514" i="10"/>
  <c r="AU514" i="10"/>
  <c r="R514" i="10"/>
  <c r="S514" i="10"/>
  <c r="T514" i="10" s="1"/>
  <c r="U514" i="10"/>
  <c r="Y514" i="10" s="1"/>
  <c r="AM514" i="10"/>
  <c r="AN514" i="10"/>
  <c r="AO514" i="10" s="1"/>
  <c r="AP514" i="10"/>
  <c r="R508" i="10"/>
  <c r="S508" i="10"/>
  <c r="T508" i="10" s="1"/>
  <c r="U508" i="10"/>
  <c r="AM508" i="10"/>
  <c r="AN508" i="10"/>
  <c r="AO508" i="10"/>
  <c r="AL508" i="10" s="1"/>
  <c r="AP508" i="10"/>
  <c r="R502" i="10"/>
  <c r="S502" i="10"/>
  <c r="T502" i="10" s="1"/>
  <c r="U502" i="10" s="1"/>
  <c r="AM502" i="10"/>
  <c r="AN502" i="10"/>
  <c r="AO502" i="10"/>
  <c r="AL502" i="10" s="1"/>
  <c r="AP502" i="10"/>
  <c r="AA497" i="10"/>
  <c r="AB497" i="10"/>
  <c r="AJ497" i="10" s="1"/>
  <c r="AE497" i="10"/>
  <c r="AU497" i="10"/>
  <c r="R497" i="10"/>
  <c r="S497" i="10"/>
  <c r="T497" i="10" s="1"/>
  <c r="U497" i="10"/>
  <c r="Y497" i="10" s="1"/>
  <c r="AM497" i="10"/>
  <c r="AN497" i="10"/>
  <c r="AO497" i="10"/>
  <c r="AL497" i="10" s="1"/>
  <c r="AP497" i="10"/>
  <c r="R492" i="10"/>
  <c r="S492" i="10"/>
  <c r="T492" i="10" s="1"/>
  <c r="U492" i="10"/>
  <c r="AM492" i="10"/>
  <c r="AN492" i="10"/>
  <c r="AO492" i="10"/>
  <c r="AL492" i="10" s="1"/>
  <c r="AP492" i="10"/>
  <c r="R487" i="10"/>
  <c r="S487" i="10"/>
  <c r="T487" i="10" s="1"/>
  <c r="U487" i="10"/>
  <c r="AM487" i="10"/>
  <c r="AN487" i="10"/>
  <c r="AO487" i="10" s="1"/>
  <c r="AL487" i="10" s="1"/>
  <c r="AP487" i="10"/>
  <c r="AA482" i="10"/>
  <c r="AB482" i="10"/>
  <c r="AJ482" i="10" s="1"/>
  <c r="AE482" i="10"/>
  <c r="AU482" i="10"/>
  <c r="R482" i="10"/>
  <c r="S482" i="10"/>
  <c r="T482" i="10" s="1"/>
  <c r="U482" i="10"/>
  <c r="Y482" i="10" s="1"/>
  <c r="AG482" i="10" s="1"/>
  <c r="AM482" i="10"/>
  <c r="AN482" i="10"/>
  <c r="AO482" i="10" s="1"/>
  <c r="AP482" i="10"/>
  <c r="AA477" i="10"/>
  <c r="AB477" i="10"/>
  <c r="AJ477" i="10" s="1"/>
  <c r="AE477" i="10"/>
  <c r="AU477" i="10"/>
  <c r="R477" i="10"/>
  <c r="S477" i="10"/>
  <c r="T477" i="10" s="1"/>
  <c r="U477" i="10"/>
  <c r="Y477" i="10" s="1"/>
  <c r="AG477" i="10" s="1"/>
  <c r="AM477" i="10"/>
  <c r="AN477" i="10"/>
  <c r="AO477" i="10"/>
  <c r="AL477" i="10" s="1"/>
  <c r="AP477" i="10"/>
  <c r="AA471" i="10"/>
  <c r="AB471" i="10"/>
  <c r="AJ471" i="10" s="1"/>
  <c r="AE471" i="10"/>
  <c r="AU471" i="10"/>
  <c r="R471" i="10"/>
  <c r="S471" i="10"/>
  <c r="T471" i="10" s="1"/>
  <c r="U471" i="10"/>
  <c r="Y471" i="10" s="1"/>
  <c r="AG471" i="10" s="1"/>
  <c r="AM471" i="10"/>
  <c r="AN471" i="10"/>
  <c r="AO471" i="10"/>
  <c r="AL471" i="10" s="1"/>
  <c r="AP471" i="10"/>
  <c r="R456" i="10"/>
  <c r="S456" i="10"/>
  <c r="T456" i="10" s="1"/>
  <c r="U456" i="10"/>
  <c r="AM456" i="10"/>
  <c r="AN456" i="10"/>
  <c r="AO456" i="10"/>
  <c r="AL456" i="10" s="1"/>
  <c r="AP456" i="10"/>
  <c r="AA449" i="10"/>
  <c r="AB449" i="10"/>
  <c r="AE449" i="10"/>
  <c r="AJ449" i="10"/>
  <c r="AU449" i="10"/>
  <c r="R449" i="10"/>
  <c r="S449" i="10"/>
  <c r="T449" i="10" s="1"/>
  <c r="U449" i="10"/>
  <c r="Y449" i="10" s="1"/>
  <c r="AG449" i="10" s="1"/>
  <c r="AH449" i="10" s="1"/>
  <c r="AI449" i="10" s="1"/>
  <c r="AM449" i="10"/>
  <c r="AN449" i="10"/>
  <c r="AO449" i="10"/>
  <c r="AL449" i="10" s="1"/>
  <c r="AP449" i="10"/>
  <c r="AA442" i="10"/>
  <c r="AB442" i="10"/>
  <c r="AE442" i="10"/>
  <c r="AJ442" i="10"/>
  <c r="AU442" i="10"/>
  <c r="R442" i="10"/>
  <c r="S442" i="10"/>
  <c r="T442" i="10" s="1"/>
  <c r="U442" i="10"/>
  <c r="Y442" i="10" s="1"/>
  <c r="AG442" i="10" s="1"/>
  <c r="AM442" i="10"/>
  <c r="AN442" i="10"/>
  <c r="AO442" i="10"/>
  <c r="AL442" i="10" s="1"/>
  <c r="AP442" i="10"/>
  <c r="R430" i="10"/>
  <c r="S430" i="10"/>
  <c r="T430" i="10" s="1"/>
  <c r="U430" i="10"/>
  <c r="AM430" i="10"/>
  <c r="AN430" i="10"/>
  <c r="AO430" i="10"/>
  <c r="AL430" i="10" s="1"/>
  <c r="AP430" i="10"/>
  <c r="AA422" i="10"/>
  <c r="AB422" i="10"/>
  <c r="AE422" i="10"/>
  <c r="AJ422" i="10"/>
  <c r="AU422" i="10"/>
  <c r="R422" i="10"/>
  <c r="S422" i="10"/>
  <c r="T422" i="10" s="1"/>
  <c r="U422" i="10"/>
  <c r="Y422" i="10" s="1"/>
  <c r="AG422" i="10" s="1"/>
  <c r="AM422" i="10"/>
  <c r="AN422" i="10"/>
  <c r="AO422" i="10"/>
  <c r="AL422" i="10" s="1"/>
  <c r="AP422" i="10"/>
  <c r="AA415" i="10"/>
  <c r="AB415" i="10"/>
  <c r="AE415" i="10"/>
  <c r="AJ415" i="10"/>
  <c r="AU415" i="10"/>
  <c r="R415" i="10"/>
  <c r="S415" i="10"/>
  <c r="T415" i="10" s="1"/>
  <c r="U415" i="10"/>
  <c r="Y415" i="10" s="1"/>
  <c r="AG415" i="10" s="1"/>
  <c r="AM415" i="10"/>
  <c r="AN415" i="10"/>
  <c r="AO415" i="10"/>
  <c r="AL415" i="10" s="1"/>
  <c r="AP415" i="10"/>
  <c r="AA408" i="10"/>
  <c r="AB408" i="10"/>
  <c r="AE408" i="10"/>
  <c r="AJ408" i="10"/>
  <c r="AU408" i="10"/>
  <c r="R408" i="10"/>
  <c r="S408" i="10"/>
  <c r="T408" i="10" s="1"/>
  <c r="U408" i="10"/>
  <c r="Y408" i="10" s="1"/>
  <c r="AG408" i="10" s="1"/>
  <c r="AM408" i="10"/>
  <c r="AN408" i="10"/>
  <c r="AO408" i="10"/>
  <c r="AP408" i="10"/>
  <c r="AA398" i="10"/>
  <c r="AB398" i="10"/>
  <c r="AE398" i="10"/>
  <c r="AJ398" i="10"/>
  <c r="AU398" i="10"/>
  <c r="R398" i="10"/>
  <c r="S398" i="10"/>
  <c r="T398" i="10" s="1"/>
  <c r="U398" i="10"/>
  <c r="Y398" i="10" s="1"/>
  <c r="AG398" i="10" s="1"/>
  <c r="AM398" i="10"/>
  <c r="AN398" i="10"/>
  <c r="AO398" i="10"/>
  <c r="AL398" i="10" s="1"/>
  <c r="AP398" i="10"/>
  <c r="AA362" i="10"/>
  <c r="AB362" i="10"/>
  <c r="AE362" i="10"/>
  <c r="AJ362" i="10"/>
  <c r="AU362" i="10"/>
  <c r="R362" i="10"/>
  <c r="S362" i="10"/>
  <c r="T362" i="10" s="1"/>
  <c r="U362" i="10"/>
  <c r="Y362" i="10" s="1"/>
  <c r="AG362" i="10" s="1"/>
  <c r="AM362" i="10"/>
  <c r="AN362" i="10"/>
  <c r="AO362" i="10"/>
  <c r="AL362" i="10" s="1"/>
  <c r="AP362" i="10"/>
  <c r="AA353" i="10"/>
  <c r="AB353" i="10"/>
  <c r="AE353" i="10"/>
  <c r="AJ353" i="10"/>
  <c r="AU353" i="10"/>
  <c r="R353" i="10"/>
  <c r="S353" i="10"/>
  <c r="T353" i="10" s="1"/>
  <c r="U353" i="10"/>
  <c r="Y353" i="10" s="1"/>
  <c r="AG353" i="10" s="1"/>
  <c r="AH353" i="10" s="1"/>
  <c r="AI353" i="10" s="1"/>
  <c r="AM353" i="10"/>
  <c r="AN353" i="10"/>
  <c r="AO353" i="10"/>
  <c r="AL353" i="10" s="1"/>
  <c r="AP353" i="10"/>
  <c r="AA343" i="10"/>
  <c r="AB343" i="10"/>
  <c r="AE343" i="10"/>
  <c r="AJ343" i="10"/>
  <c r="AU343" i="10"/>
  <c r="R343" i="10"/>
  <c r="S343" i="10"/>
  <c r="T343" i="10" s="1"/>
  <c r="U343" i="10"/>
  <c r="Y343" i="10" s="1"/>
  <c r="AG343" i="10" s="1"/>
  <c r="AH343" i="10" s="1"/>
  <c r="AI343" i="10" s="1"/>
  <c r="AM343" i="10"/>
  <c r="AN343" i="10"/>
  <c r="AO343" i="10"/>
  <c r="AL343" i="10" s="1"/>
  <c r="AP343" i="10"/>
  <c r="AA329" i="10"/>
  <c r="AB329" i="10"/>
  <c r="AE329" i="10"/>
  <c r="AJ329" i="10"/>
  <c r="AU329" i="10"/>
  <c r="R329" i="10"/>
  <c r="S329" i="10"/>
  <c r="T329" i="10" s="1"/>
  <c r="U329" i="10"/>
  <c r="Y329" i="10" s="1"/>
  <c r="AG329" i="10" s="1"/>
  <c r="AM329" i="10"/>
  <c r="AN329" i="10"/>
  <c r="AO329" i="10"/>
  <c r="AL329" i="10" s="1"/>
  <c r="AP329" i="10"/>
  <c r="AA286" i="10"/>
  <c r="AB286" i="10"/>
  <c r="AE286" i="10"/>
  <c r="AJ286" i="10"/>
  <c r="AU286" i="10"/>
  <c r="R286" i="10"/>
  <c r="S286" i="10"/>
  <c r="T286" i="10" s="1"/>
  <c r="U286" i="10"/>
  <c r="Y286" i="10" s="1"/>
  <c r="AG286" i="10" s="1"/>
  <c r="AM286" i="10"/>
  <c r="AN286" i="10"/>
  <c r="AO286" i="10"/>
  <c r="AL286" i="10" s="1"/>
  <c r="AP286" i="10"/>
  <c r="AA272" i="10"/>
  <c r="AB272" i="10"/>
  <c r="AE272" i="10"/>
  <c r="AJ272" i="10"/>
  <c r="AU272" i="10"/>
  <c r="R272" i="10"/>
  <c r="S272" i="10"/>
  <c r="T272" i="10" s="1"/>
  <c r="U272" i="10"/>
  <c r="Y272" i="10" s="1"/>
  <c r="AG272" i="10" s="1"/>
  <c r="AM272" i="10"/>
  <c r="AN272" i="10"/>
  <c r="AO272" i="10"/>
  <c r="AL272" i="10" s="1"/>
  <c r="AP272" i="10"/>
  <c r="AA261" i="10"/>
  <c r="AB261" i="10"/>
  <c r="AE261" i="10"/>
  <c r="AJ261" i="10"/>
  <c r="AU261" i="10"/>
  <c r="R261" i="10"/>
  <c r="S261" i="10"/>
  <c r="T261" i="10" s="1"/>
  <c r="U261" i="10"/>
  <c r="Y261" i="10" s="1"/>
  <c r="AG261" i="10" s="1"/>
  <c r="AM261" i="10"/>
  <c r="AN261" i="10"/>
  <c r="AO261" i="10"/>
  <c r="AL261" i="10" s="1"/>
  <c r="AP261" i="10"/>
  <c r="AA252" i="10"/>
  <c r="AB252" i="10"/>
  <c r="AE252" i="10"/>
  <c r="AJ252" i="10"/>
  <c r="AU252" i="10"/>
  <c r="R252" i="10"/>
  <c r="S252" i="10"/>
  <c r="T252" i="10" s="1"/>
  <c r="U252" i="10"/>
  <c r="Y252" i="10" s="1"/>
  <c r="AG252" i="10" s="1"/>
  <c r="AH252" i="10" s="1"/>
  <c r="AI252" i="10" s="1"/>
  <c r="AM252" i="10"/>
  <c r="AN252" i="10"/>
  <c r="AO252" i="10"/>
  <c r="AL252" i="10" s="1"/>
  <c r="AP252" i="10"/>
  <c r="AA211" i="10"/>
  <c r="AB211" i="10"/>
  <c r="AE211" i="10"/>
  <c r="AJ211" i="10"/>
  <c r="AU211" i="10"/>
  <c r="R211" i="10"/>
  <c r="S211" i="10"/>
  <c r="T211" i="10" s="1"/>
  <c r="U211" i="10"/>
  <c r="Y211" i="10" s="1"/>
  <c r="AG211" i="10" s="1"/>
  <c r="AM211" i="10"/>
  <c r="AN211" i="10"/>
  <c r="AO211" i="10"/>
  <c r="AL211" i="10" s="1"/>
  <c r="AP211" i="10"/>
  <c r="AA195" i="10"/>
  <c r="AB195" i="10"/>
  <c r="AE195" i="10"/>
  <c r="AJ195" i="10"/>
  <c r="AU195" i="10"/>
  <c r="R195" i="10"/>
  <c r="S195" i="10"/>
  <c r="T195" i="10" s="1"/>
  <c r="U195" i="10"/>
  <c r="Y195" i="10" s="1"/>
  <c r="AG195" i="10" s="1"/>
  <c r="AM195" i="10"/>
  <c r="AN195" i="10"/>
  <c r="AO195" i="10"/>
  <c r="AL195" i="10" s="1"/>
  <c r="AP195" i="10"/>
  <c r="AA177" i="10"/>
  <c r="AB177" i="10"/>
  <c r="AE177" i="10"/>
  <c r="AJ177" i="10"/>
  <c r="AU177" i="10"/>
  <c r="R177" i="10"/>
  <c r="S177" i="10"/>
  <c r="T177" i="10" s="1"/>
  <c r="U177" i="10"/>
  <c r="Y177" i="10" s="1"/>
  <c r="AG177" i="10" s="1"/>
  <c r="AM177" i="10"/>
  <c r="AN177" i="10"/>
  <c r="AO177" i="10"/>
  <c r="AP177" i="10"/>
  <c r="AA128" i="10"/>
  <c r="AB128" i="10"/>
  <c r="AE128" i="10"/>
  <c r="AJ128" i="10"/>
  <c r="AU128" i="10"/>
  <c r="R128" i="10"/>
  <c r="S128" i="10"/>
  <c r="T128" i="10" s="1"/>
  <c r="U128" i="10"/>
  <c r="Y128" i="10" s="1"/>
  <c r="AG128" i="10" s="1"/>
  <c r="AH128" i="10" s="1"/>
  <c r="AI128" i="10" s="1"/>
  <c r="AM128" i="10"/>
  <c r="AN128" i="10"/>
  <c r="AO128" i="10"/>
  <c r="AP128" i="10"/>
  <c r="AA109" i="10"/>
  <c r="AB109" i="10"/>
  <c r="AE109" i="10"/>
  <c r="AJ109" i="10"/>
  <c r="AU109" i="10"/>
  <c r="R109" i="10"/>
  <c r="S109" i="10"/>
  <c r="T109" i="10" s="1"/>
  <c r="U109" i="10"/>
  <c r="Y109" i="10" s="1"/>
  <c r="AG109" i="10" s="1"/>
  <c r="AM109" i="10"/>
  <c r="AN109" i="10"/>
  <c r="AO109" i="10"/>
  <c r="AL109" i="10" s="1"/>
  <c r="AP109" i="10"/>
  <c r="AA98" i="10"/>
  <c r="AB98" i="10"/>
  <c r="AE98" i="10"/>
  <c r="AJ98" i="10"/>
  <c r="AU98" i="10"/>
  <c r="R98" i="10"/>
  <c r="S98" i="10"/>
  <c r="T98" i="10" s="1"/>
  <c r="U98" i="10"/>
  <c r="Y98" i="10" s="1"/>
  <c r="AG98" i="10" s="1"/>
  <c r="AM98" i="10"/>
  <c r="AN98" i="10"/>
  <c r="AO98" i="10"/>
  <c r="AP98" i="10"/>
  <c r="AA50" i="10"/>
  <c r="AB50" i="10"/>
  <c r="AE50" i="10"/>
  <c r="AJ50" i="10"/>
  <c r="AU50" i="10"/>
  <c r="R50" i="10"/>
  <c r="S50" i="10"/>
  <c r="T50" i="10" s="1"/>
  <c r="U50" i="10"/>
  <c r="Y50" i="10" s="1"/>
  <c r="AG50" i="10" s="1"/>
  <c r="AH50" i="10" s="1"/>
  <c r="AI50" i="10" s="1"/>
  <c r="AM50" i="10"/>
  <c r="AN50" i="10"/>
  <c r="AO50" i="10"/>
  <c r="AP50" i="10"/>
  <c r="AA39" i="10"/>
  <c r="AB39" i="10"/>
  <c r="AE39" i="10"/>
  <c r="AJ39" i="10"/>
  <c r="AU39" i="10"/>
  <c r="R39" i="10"/>
  <c r="S39" i="10"/>
  <c r="T39" i="10" s="1"/>
  <c r="U39" i="10"/>
  <c r="Y39" i="10" s="1"/>
  <c r="AG39" i="10" s="1"/>
  <c r="AM39" i="10"/>
  <c r="AN39" i="10"/>
  <c r="AO39" i="10"/>
  <c r="AL39" i="10" s="1"/>
  <c r="AP39" i="10"/>
  <c r="AA26" i="10"/>
  <c r="AB26" i="10"/>
  <c r="AE26" i="10"/>
  <c r="AJ26" i="10"/>
  <c r="AU26" i="10"/>
  <c r="R26" i="10"/>
  <c r="S26" i="10"/>
  <c r="T26" i="10" s="1"/>
  <c r="U26" i="10"/>
  <c r="Y26" i="10" s="1"/>
  <c r="AG26" i="10" s="1"/>
  <c r="AM26" i="10"/>
  <c r="AN26" i="10"/>
  <c r="AO26" i="10"/>
  <c r="AL26" i="10" s="1"/>
  <c r="AP26" i="10"/>
  <c r="AA469" i="10"/>
  <c r="AB469" i="10"/>
  <c r="AE469" i="10"/>
  <c r="AJ469" i="10"/>
  <c r="AU469" i="10"/>
  <c r="R469" i="10"/>
  <c r="S469" i="10"/>
  <c r="T469" i="10" s="1"/>
  <c r="U469" i="10"/>
  <c r="Y469" i="10" s="1"/>
  <c r="AG469" i="10" s="1"/>
  <c r="AH469" i="10" s="1"/>
  <c r="AI469" i="10" s="1"/>
  <c r="AM469" i="10"/>
  <c r="AN469" i="10"/>
  <c r="AO469" i="10"/>
  <c r="AL469" i="10" s="1"/>
  <c r="AP469" i="10"/>
  <c r="AA468" i="10"/>
  <c r="AB468" i="10"/>
  <c r="AJ468" i="10" s="1"/>
  <c r="AE468" i="10"/>
  <c r="AU468" i="10"/>
  <c r="R468" i="10"/>
  <c r="S468" i="10"/>
  <c r="T468" i="10" s="1"/>
  <c r="U468" i="10"/>
  <c r="Y468" i="10" s="1"/>
  <c r="AM468" i="10"/>
  <c r="AN468" i="10"/>
  <c r="AO468" i="10"/>
  <c r="AL468" i="10" s="1"/>
  <c r="AP468" i="10"/>
  <c r="AA467" i="10"/>
  <c r="AB467" i="10"/>
  <c r="AJ467" i="10" s="1"/>
  <c r="AE467" i="10"/>
  <c r="AU467" i="10"/>
  <c r="R467" i="10"/>
  <c r="S467" i="10"/>
  <c r="T467" i="10" s="1"/>
  <c r="U467" i="10"/>
  <c r="Y467" i="10" s="1"/>
  <c r="AM467" i="10"/>
  <c r="AN467" i="10"/>
  <c r="AO467" i="10"/>
  <c r="AL467" i="10" s="1"/>
  <c r="AP467" i="10"/>
  <c r="AA466" i="10"/>
  <c r="AB466" i="10"/>
  <c r="AJ466" i="10" s="1"/>
  <c r="AE466" i="10"/>
  <c r="AU466" i="10"/>
  <c r="R466" i="10"/>
  <c r="S466" i="10"/>
  <c r="T466" i="10" s="1"/>
  <c r="AM466" i="10"/>
  <c r="AN466" i="10" s="1"/>
  <c r="AO466" i="10" s="1"/>
  <c r="AL466" i="10" s="1"/>
  <c r="AP466" i="10"/>
  <c r="AA465" i="10"/>
  <c r="AB465" i="10"/>
  <c r="AJ465" i="10" s="1"/>
  <c r="AE465" i="10"/>
  <c r="AU465" i="10"/>
  <c r="R465" i="10"/>
  <c r="S465" i="10"/>
  <c r="T465" i="10" s="1"/>
  <c r="AM465" i="10"/>
  <c r="AN465" i="10" s="1"/>
  <c r="AO465" i="10" s="1"/>
  <c r="AL465" i="10" s="1"/>
  <c r="AP465" i="10"/>
  <c r="AA464" i="10"/>
  <c r="AB464" i="10"/>
  <c r="AJ464" i="10" s="1"/>
  <c r="AE464" i="10"/>
  <c r="AU464" i="10"/>
  <c r="R464" i="10"/>
  <c r="S464" i="10"/>
  <c r="T464" i="10" s="1"/>
  <c r="U464" i="10" s="1"/>
  <c r="Y464" i="10" s="1"/>
  <c r="AM464" i="10"/>
  <c r="AN464" i="10"/>
  <c r="AO464" i="10" s="1"/>
  <c r="AL464" i="10" s="1"/>
  <c r="AP464" i="10"/>
  <c r="AA463" i="10"/>
  <c r="AB463" i="10"/>
  <c r="AE463" i="10"/>
  <c r="AJ463" i="10"/>
  <c r="AU463" i="10"/>
  <c r="R463" i="10"/>
  <c r="S463" i="10"/>
  <c r="T463" i="10" s="1"/>
  <c r="U463" i="10"/>
  <c r="Y463" i="10" s="1"/>
  <c r="AG463" i="10" s="1"/>
  <c r="AM463" i="10"/>
  <c r="AN463" i="10" s="1"/>
  <c r="AO463" i="10" s="1"/>
  <c r="AL463" i="10" s="1"/>
  <c r="AP463" i="10"/>
  <c r="AA462" i="10"/>
  <c r="AB462" i="10"/>
  <c r="AJ462" i="10" s="1"/>
  <c r="AE462" i="10"/>
  <c r="AU462" i="10"/>
  <c r="R462" i="10"/>
  <c r="S462" i="10"/>
  <c r="T462" i="10" s="1"/>
  <c r="AM462" i="10"/>
  <c r="AN462" i="10" s="1"/>
  <c r="AO462" i="10" s="1"/>
  <c r="AL462" i="10" s="1"/>
  <c r="AP462" i="10"/>
  <c r="AA461" i="10"/>
  <c r="AB461" i="10"/>
  <c r="AJ461" i="10" s="1"/>
  <c r="AE461" i="10"/>
  <c r="AU461" i="10"/>
  <c r="R461" i="10"/>
  <c r="S461" i="10"/>
  <c r="T461" i="10" s="1"/>
  <c r="AM461" i="10"/>
  <c r="AN461" i="10" s="1"/>
  <c r="AO461" i="10" s="1"/>
  <c r="AL461" i="10" s="1"/>
  <c r="AP461" i="10"/>
  <c r="AA457" i="10"/>
  <c r="AB457" i="10"/>
  <c r="AJ457" i="10" s="1"/>
  <c r="AE457" i="10"/>
  <c r="AU457" i="10"/>
  <c r="R457" i="10"/>
  <c r="S457" i="10"/>
  <c r="T457" i="10" s="1"/>
  <c r="U457" i="10"/>
  <c r="Y457" i="10" s="1"/>
  <c r="AM457" i="10"/>
  <c r="AN457" i="10"/>
  <c r="AO457" i="10" s="1"/>
  <c r="AL457" i="10" s="1"/>
  <c r="AP457" i="10"/>
  <c r="AA450" i="10"/>
  <c r="AB450" i="10"/>
  <c r="AJ450" i="10" s="1"/>
  <c r="AE450" i="10"/>
  <c r="AU450" i="10"/>
  <c r="R450" i="10"/>
  <c r="S450" i="10"/>
  <c r="T450" i="10" s="1"/>
  <c r="U450" i="10"/>
  <c r="Y450" i="10" s="1"/>
  <c r="AM450" i="10"/>
  <c r="AN450" i="10"/>
  <c r="AO450" i="10" s="1"/>
  <c r="AL450" i="10" s="1"/>
  <c r="AP450" i="10"/>
  <c r="AA443" i="10"/>
  <c r="AB443" i="10"/>
  <c r="AE443" i="10"/>
  <c r="AJ443" i="10"/>
  <c r="AU443" i="10"/>
  <c r="R443" i="10"/>
  <c r="S443" i="10"/>
  <c r="T443" i="10" s="1"/>
  <c r="U443" i="10"/>
  <c r="Y443" i="10" s="1"/>
  <c r="AG443" i="10" s="1"/>
  <c r="AM443" i="10"/>
  <c r="AN443" i="10" s="1"/>
  <c r="AO443" i="10" s="1"/>
  <c r="AL443" i="10" s="1"/>
  <c r="AP443" i="10"/>
  <c r="AA431" i="10"/>
  <c r="AB431" i="10"/>
  <c r="AJ431" i="10" s="1"/>
  <c r="AE431" i="10"/>
  <c r="AU431" i="10"/>
  <c r="R431" i="10"/>
  <c r="S431" i="10"/>
  <c r="T431" i="10" s="1"/>
  <c r="U431" i="10"/>
  <c r="Y431" i="10" s="1"/>
  <c r="AM431" i="10"/>
  <c r="AN431" i="10"/>
  <c r="AO431" i="10" s="1"/>
  <c r="AL431" i="10" s="1"/>
  <c r="AP431" i="10"/>
  <c r="AA425" i="10"/>
  <c r="AB425" i="10"/>
  <c r="AJ425" i="10" s="1"/>
  <c r="AE425" i="10"/>
  <c r="AU425" i="10"/>
  <c r="R425" i="10"/>
  <c r="S425" i="10"/>
  <c r="T425" i="10" s="1"/>
  <c r="U425" i="10"/>
  <c r="Y425" i="10" s="1"/>
  <c r="AM425" i="10"/>
  <c r="AN425" i="10"/>
  <c r="AO425" i="10" s="1"/>
  <c r="AL425" i="10" s="1"/>
  <c r="AP425" i="10"/>
  <c r="AA417" i="10"/>
  <c r="AB417" i="10"/>
  <c r="AJ417" i="10" s="1"/>
  <c r="AE417" i="10"/>
  <c r="AU417" i="10"/>
  <c r="R417" i="10"/>
  <c r="S417" i="10"/>
  <c r="T417" i="10" s="1"/>
  <c r="U417" i="10"/>
  <c r="Y417" i="10" s="1"/>
  <c r="AG417" i="10" s="1"/>
  <c r="AM417" i="10"/>
  <c r="AN417" i="10" s="1"/>
  <c r="AO417" i="10" s="1"/>
  <c r="AL417" i="10" s="1"/>
  <c r="AP417" i="10"/>
  <c r="R410" i="10"/>
  <c r="S410" i="10"/>
  <c r="T410" i="10" s="1"/>
  <c r="U410" i="10"/>
  <c r="AM410" i="10"/>
  <c r="AN410" i="10"/>
  <c r="AO410" i="10" s="1"/>
  <c r="AL410" i="10" s="1"/>
  <c r="AP410" i="10"/>
  <c r="AA402" i="10"/>
  <c r="AB402" i="10"/>
  <c r="AJ402" i="10" s="1"/>
  <c r="AE402" i="10"/>
  <c r="AU402" i="10"/>
  <c r="R402" i="10"/>
  <c r="S402" i="10"/>
  <c r="T402" i="10" s="1"/>
  <c r="U402" i="10"/>
  <c r="Y402" i="10" s="1"/>
  <c r="AG402" i="10" s="1"/>
  <c r="AM402" i="10"/>
  <c r="AN402" i="10"/>
  <c r="AO402" i="10"/>
  <c r="AL402" i="10" s="1"/>
  <c r="AP402" i="10"/>
  <c r="AA366" i="10"/>
  <c r="AB366" i="10"/>
  <c r="AJ366" i="10" s="1"/>
  <c r="AE366" i="10"/>
  <c r="AU366" i="10"/>
  <c r="R366" i="10"/>
  <c r="S366" i="10"/>
  <c r="T366" i="10" s="1"/>
  <c r="U366" i="10"/>
  <c r="Y366" i="10" s="1"/>
  <c r="AG366" i="10" s="1"/>
  <c r="AM366" i="10"/>
  <c r="AN366" i="10"/>
  <c r="AO366" i="10"/>
  <c r="AL366" i="10" s="1"/>
  <c r="AP366" i="10"/>
  <c r="AA358" i="10"/>
  <c r="AB358" i="10"/>
  <c r="AJ358" i="10" s="1"/>
  <c r="AE358" i="10"/>
  <c r="AU358" i="10"/>
  <c r="R358" i="10"/>
  <c r="S358" i="10"/>
  <c r="T358" i="10" s="1"/>
  <c r="U358" i="10"/>
  <c r="Y358" i="10" s="1"/>
  <c r="AG358" i="10" s="1"/>
  <c r="AM358" i="10"/>
  <c r="AN358" i="10"/>
  <c r="AO358" i="10"/>
  <c r="AL358" i="10" s="1"/>
  <c r="AP358" i="10"/>
  <c r="AA348" i="10"/>
  <c r="AB348" i="10"/>
  <c r="AJ348" i="10" s="1"/>
  <c r="AE348" i="10"/>
  <c r="AU348" i="10"/>
  <c r="R348" i="10"/>
  <c r="S348" i="10"/>
  <c r="T348" i="10" s="1"/>
  <c r="U348" i="10"/>
  <c r="Y348" i="10" s="1"/>
  <c r="AM348" i="10"/>
  <c r="AN348" i="10"/>
  <c r="AO348" i="10"/>
  <c r="AP348" i="10"/>
  <c r="AA334" i="10"/>
  <c r="AB334" i="10"/>
  <c r="AE334" i="10"/>
  <c r="AJ334" i="10"/>
  <c r="AU334" i="10"/>
  <c r="R334" i="10"/>
  <c r="S334" i="10"/>
  <c r="T334" i="10" s="1"/>
  <c r="U334" i="10"/>
  <c r="Y334" i="10" s="1"/>
  <c r="AG334" i="10" s="1"/>
  <c r="AM334" i="10"/>
  <c r="AN334" i="10"/>
  <c r="AO334" i="10"/>
  <c r="AL334" i="10" s="1"/>
  <c r="AP334" i="10"/>
  <c r="AA322" i="10"/>
  <c r="AB322" i="10"/>
  <c r="AE322" i="10"/>
  <c r="AJ322" i="10"/>
  <c r="AU322" i="10"/>
  <c r="R322" i="10"/>
  <c r="S322" i="10"/>
  <c r="T322" i="10" s="1"/>
  <c r="U322" i="10"/>
  <c r="Y322" i="10" s="1"/>
  <c r="AG322" i="10" s="1"/>
  <c r="AM322" i="10"/>
  <c r="AN322" i="10"/>
  <c r="AO322" i="10"/>
  <c r="AL322" i="10" s="1"/>
  <c r="AP322" i="10"/>
  <c r="AA280" i="10"/>
  <c r="AB280" i="10"/>
  <c r="AE280" i="10"/>
  <c r="AJ280" i="10"/>
  <c r="AU280" i="10"/>
  <c r="R280" i="10"/>
  <c r="S280" i="10"/>
  <c r="T280" i="10" s="1"/>
  <c r="U280" i="10"/>
  <c r="Y280" i="10" s="1"/>
  <c r="AG280" i="10" s="1"/>
  <c r="AH280" i="10" s="1"/>
  <c r="AI280" i="10" s="1"/>
  <c r="AM280" i="10"/>
  <c r="AN280" i="10"/>
  <c r="AO280" i="10"/>
  <c r="AL280" i="10" s="1"/>
  <c r="AP280" i="10"/>
  <c r="AA267" i="10"/>
  <c r="AB267" i="10"/>
  <c r="AE267" i="10"/>
  <c r="AJ267" i="10"/>
  <c r="AU267" i="10"/>
  <c r="R267" i="10"/>
  <c r="S267" i="10"/>
  <c r="T267" i="10" s="1"/>
  <c r="U267" i="10"/>
  <c r="Y267" i="10" s="1"/>
  <c r="AG267" i="10" s="1"/>
  <c r="AM267" i="10"/>
  <c r="AN267" i="10"/>
  <c r="AO267" i="10"/>
  <c r="AL267" i="10" s="1"/>
  <c r="AP267" i="10"/>
  <c r="AA257" i="10"/>
  <c r="AB257" i="10"/>
  <c r="AE257" i="10"/>
  <c r="AJ257" i="10"/>
  <c r="AU257" i="10"/>
  <c r="R257" i="10"/>
  <c r="S257" i="10"/>
  <c r="T257" i="10" s="1"/>
  <c r="U257" i="10"/>
  <c r="Y257" i="10" s="1"/>
  <c r="AG257" i="10" s="1"/>
  <c r="AM257" i="10"/>
  <c r="AN257" i="10"/>
  <c r="AO257" i="10"/>
  <c r="AL257" i="10" s="1"/>
  <c r="AP257" i="10"/>
  <c r="S246" i="10"/>
  <c r="T246" i="10" s="1"/>
  <c r="R246" i="10"/>
  <c r="U246" i="10"/>
  <c r="AP246" i="10"/>
  <c r="AM246" i="10"/>
  <c r="AN246" i="10"/>
  <c r="AO246" i="10"/>
  <c r="AL246" i="10" s="1"/>
  <c r="AU246" i="10"/>
  <c r="Y246" i="10"/>
  <c r="AA246" i="10"/>
  <c r="AB246" i="10"/>
  <c r="AE246" i="10"/>
  <c r="AJ246" i="10"/>
  <c r="AA202" i="10"/>
  <c r="AB202" i="10"/>
  <c r="AE202" i="10"/>
  <c r="AJ202" i="10"/>
  <c r="AU202" i="10"/>
  <c r="R202" i="10"/>
  <c r="S202" i="10"/>
  <c r="T202" i="10" s="1"/>
  <c r="U202" i="10"/>
  <c r="Y202" i="10" s="1"/>
  <c r="AG202" i="10" s="1"/>
  <c r="AM202" i="10"/>
  <c r="AN202" i="10"/>
  <c r="AO202" i="10"/>
  <c r="AL202" i="10" s="1"/>
  <c r="AP202" i="10"/>
  <c r="AA189" i="10"/>
  <c r="AB189" i="10"/>
  <c r="AE189" i="10"/>
  <c r="AJ189" i="10"/>
  <c r="AU189" i="10"/>
  <c r="R189" i="10"/>
  <c r="S189" i="10"/>
  <c r="T189" i="10" s="1"/>
  <c r="U189" i="10"/>
  <c r="Y189" i="10" s="1"/>
  <c r="AG189" i="10" s="1"/>
  <c r="AH189" i="10" s="1"/>
  <c r="AI189" i="10" s="1"/>
  <c r="AM189" i="10"/>
  <c r="AN189" i="10"/>
  <c r="AO189" i="10"/>
  <c r="AL189" i="10" s="1"/>
  <c r="AP189" i="10"/>
  <c r="AA173" i="10"/>
  <c r="AB173" i="10"/>
  <c r="AE173" i="10"/>
  <c r="AJ173" i="10"/>
  <c r="AU173" i="10"/>
  <c r="R173" i="10"/>
  <c r="S173" i="10"/>
  <c r="T173" i="10" s="1"/>
  <c r="U173" i="10"/>
  <c r="Y173" i="10" s="1"/>
  <c r="AG173" i="10" s="1"/>
  <c r="AM173" i="10"/>
  <c r="AN173" i="10"/>
  <c r="AO173" i="10"/>
  <c r="AL173" i="10" s="1"/>
  <c r="AP173" i="10"/>
  <c r="AB123" i="10"/>
  <c r="AE123" i="10"/>
  <c r="AJ123" i="10"/>
  <c r="AU123" i="10"/>
  <c r="R123" i="10"/>
  <c r="S123" i="10"/>
  <c r="T123" i="10" s="1"/>
  <c r="U123" i="10"/>
  <c r="Y123" i="10" s="1"/>
  <c r="AM123" i="10"/>
  <c r="AN123" i="10"/>
  <c r="AO123" i="10"/>
  <c r="AL123" i="10" s="1"/>
  <c r="AP123" i="10"/>
  <c r="AA104" i="10"/>
  <c r="AB104" i="10"/>
  <c r="AE104" i="10"/>
  <c r="AJ104" i="10"/>
  <c r="AU104" i="10"/>
  <c r="R104" i="10"/>
  <c r="S104" i="10"/>
  <c r="T104" i="10" s="1"/>
  <c r="U104" i="10"/>
  <c r="Y104" i="10" s="1"/>
  <c r="AG104" i="10" s="1"/>
  <c r="AM104" i="10"/>
  <c r="AN104" i="10"/>
  <c r="AO104" i="10"/>
  <c r="AL104" i="10" s="1"/>
  <c r="AP104" i="10"/>
  <c r="AA55" i="10"/>
  <c r="AB55" i="10"/>
  <c r="AE55" i="10"/>
  <c r="AJ55" i="10"/>
  <c r="AU55" i="10"/>
  <c r="R55" i="10"/>
  <c r="S55" i="10"/>
  <c r="T55" i="10" s="1"/>
  <c r="U55" i="10"/>
  <c r="Y55" i="10" s="1"/>
  <c r="AG55" i="10" s="1"/>
  <c r="AM55" i="10"/>
  <c r="AN55" i="10"/>
  <c r="AO55" i="10"/>
  <c r="AL55" i="10" s="1"/>
  <c r="AP55" i="10"/>
  <c r="AA42" i="10"/>
  <c r="AB42" i="10"/>
  <c r="AE42" i="10"/>
  <c r="AJ42" i="10"/>
  <c r="AU42" i="10"/>
  <c r="R42" i="10"/>
  <c r="S42" i="10"/>
  <c r="T42" i="10" s="1"/>
  <c r="U42" i="10"/>
  <c r="Y42" i="10" s="1"/>
  <c r="AG42" i="10" s="1"/>
  <c r="AM42" i="10"/>
  <c r="AN42" i="10"/>
  <c r="AO42" i="10"/>
  <c r="AL42" i="10" s="1"/>
  <c r="AP42" i="10"/>
  <c r="AA28" i="10"/>
  <c r="AB28" i="10"/>
  <c r="AE28" i="10"/>
  <c r="AJ28" i="10"/>
  <c r="AU28" i="10"/>
  <c r="R28" i="10"/>
  <c r="S28" i="10"/>
  <c r="T28" i="10" s="1"/>
  <c r="U28" i="10"/>
  <c r="Y28" i="10" s="1"/>
  <c r="AG28" i="10" s="1"/>
  <c r="AM28" i="10"/>
  <c r="AN28" i="10"/>
  <c r="AO28" i="10"/>
  <c r="AP28" i="10"/>
  <c r="AA393" i="10"/>
  <c r="AB393" i="10"/>
  <c r="AE393" i="10"/>
  <c r="AJ393" i="10"/>
  <c r="AU393" i="10"/>
  <c r="R393" i="10"/>
  <c r="S393" i="10"/>
  <c r="T393" i="10" s="1"/>
  <c r="U393" i="10"/>
  <c r="Y393" i="10" s="1"/>
  <c r="AG393" i="10" s="1"/>
  <c r="AM393" i="10"/>
  <c r="AN393" i="10"/>
  <c r="AO393" i="10"/>
  <c r="AL393" i="10" s="1"/>
  <c r="AP393" i="10"/>
  <c r="AA391" i="10"/>
  <c r="AB391" i="10"/>
  <c r="AE391" i="10"/>
  <c r="AJ391" i="10"/>
  <c r="AU391" i="10"/>
  <c r="R391" i="10"/>
  <c r="S391" i="10"/>
  <c r="T391" i="10" s="1"/>
  <c r="U391" i="10"/>
  <c r="Y391" i="10" s="1"/>
  <c r="AG391" i="10" s="1"/>
  <c r="AM391" i="10"/>
  <c r="AN391" i="10"/>
  <c r="AO391" i="10"/>
  <c r="AL391" i="10" s="1"/>
  <c r="AP391" i="10"/>
  <c r="AA390" i="10"/>
  <c r="AB390" i="10"/>
  <c r="AE390" i="10"/>
  <c r="AJ390" i="10"/>
  <c r="AU390" i="10"/>
  <c r="R390" i="10"/>
  <c r="S390" i="10"/>
  <c r="T390" i="10" s="1"/>
  <c r="U390" i="10"/>
  <c r="Y390" i="10" s="1"/>
  <c r="AG390" i="10" s="1"/>
  <c r="AM390" i="10"/>
  <c r="AN390" i="10"/>
  <c r="AO390" i="10"/>
  <c r="AL390" i="10" s="1"/>
  <c r="AP390" i="10"/>
  <c r="AA389" i="10"/>
  <c r="AB389" i="10"/>
  <c r="AE389" i="10"/>
  <c r="AJ389" i="10"/>
  <c r="AU389" i="10"/>
  <c r="R389" i="10"/>
  <c r="S389" i="10"/>
  <c r="T389" i="10" s="1"/>
  <c r="U389" i="10"/>
  <c r="Y389" i="10" s="1"/>
  <c r="AG389" i="10" s="1"/>
  <c r="AM389" i="10"/>
  <c r="AN389" i="10"/>
  <c r="AO389" i="10"/>
  <c r="AL389" i="10" s="1"/>
  <c r="AP389" i="10"/>
  <c r="AA386" i="10"/>
  <c r="AB386" i="10"/>
  <c r="AE386" i="10"/>
  <c r="AJ386" i="10"/>
  <c r="AU386" i="10"/>
  <c r="R386" i="10"/>
  <c r="S386" i="10"/>
  <c r="T386" i="10" s="1"/>
  <c r="U386" i="10"/>
  <c r="Y386" i="10" s="1"/>
  <c r="AG386" i="10" s="1"/>
  <c r="AH386" i="10" s="1"/>
  <c r="AI386" i="10" s="1"/>
  <c r="AM386" i="10"/>
  <c r="AN386" i="10"/>
  <c r="AO386" i="10"/>
  <c r="AP386" i="10"/>
  <c r="AA385" i="10"/>
  <c r="AB385" i="10"/>
  <c r="AE385" i="10"/>
  <c r="AJ385" i="10"/>
  <c r="AU385" i="10"/>
  <c r="R385" i="10"/>
  <c r="S385" i="10"/>
  <c r="T385" i="10" s="1"/>
  <c r="U385" i="10"/>
  <c r="Y385" i="10" s="1"/>
  <c r="AG385" i="10" s="1"/>
  <c r="AM385" i="10"/>
  <c r="AN385" i="10"/>
  <c r="AO385" i="10"/>
  <c r="AL385" i="10" s="1"/>
  <c r="AP385" i="10"/>
  <c r="AA384" i="10"/>
  <c r="AB384" i="10"/>
  <c r="AJ384" i="10" s="1"/>
  <c r="AE384" i="10"/>
  <c r="AU384" i="10"/>
  <c r="R384" i="10"/>
  <c r="S384" i="10"/>
  <c r="T384" i="10" s="1"/>
  <c r="U384" i="10"/>
  <c r="Y384" i="10" s="1"/>
  <c r="AM384" i="10"/>
  <c r="AN384" i="10"/>
  <c r="AO384" i="10"/>
  <c r="AL384" i="10" s="1"/>
  <c r="AP384" i="10"/>
  <c r="AA382" i="10"/>
  <c r="AB382" i="10"/>
  <c r="AE382" i="10"/>
  <c r="AJ382" i="10"/>
  <c r="AU382" i="10"/>
  <c r="R382" i="10"/>
  <c r="S382" i="10"/>
  <c r="T382" i="10" s="1"/>
  <c r="U382" i="10"/>
  <c r="Y382" i="10" s="1"/>
  <c r="AG382" i="10" s="1"/>
  <c r="AM382" i="10"/>
  <c r="AN382" i="10" s="1"/>
  <c r="AO382" i="10" s="1"/>
  <c r="AL382" i="10" s="1"/>
  <c r="AP382" i="10"/>
  <c r="AA381" i="10"/>
  <c r="AB381" i="10"/>
  <c r="AE381" i="10"/>
  <c r="AJ381" i="10"/>
  <c r="AU381" i="10"/>
  <c r="R381" i="10"/>
  <c r="S381" i="10"/>
  <c r="T381" i="10" s="1"/>
  <c r="U381" i="10"/>
  <c r="Y381" i="10" s="1"/>
  <c r="AG381" i="10" s="1"/>
  <c r="AH381" i="10" s="1"/>
  <c r="AI381" i="10" s="1"/>
  <c r="AM381" i="10"/>
  <c r="AN381" i="10"/>
  <c r="AO381" i="10"/>
  <c r="AP381" i="10"/>
  <c r="AA380" i="10"/>
  <c r="AB380" i="10"/>
  <c r="AJ380" i="10" s="1"/>
  <c r="AE380" i="10"/>
  <c r="AU380" i="10"/>
  <c r="R380" i="10"/>
  <c r="S380" i="10"/>
  <c r="T380" i="10" s="1"/>
  <c r="U380" i="10"/>
  <c r="Y380" i="10" s="1"/>
  <c r="AM380" i="10"/>
  <c r="AN380" i="10"/>
  <c r="AO380" i="10"/>
  <c r="AL380" i="10" s="1"/>
  <c r="AP380" i="10"/>
  <c r="AA379" i="10"/>
  <c r="AB379" i="10"/>
  <c r="AJ379" i="10" s="1"/>
  <c r="AE379" i="10"/>
  <c r="AU379" i="10"/>
  <c r="R379" i="10"/>
  <c r="S379" i="10"/>
  <c r="T379" i="10" s="1"/>
  <c r="U379" i="10" s="1"/>
  <c r="Y379" i="10" s="1"/>
  <c r="AM379" i="10"/>
  <c r="AN379" i="10"/>
  <c r="AO379" i="10"/>
  <c r="AL379" i="10" s="1"/>
  <c r="AP379" i="10"/>
  <c r="AA378" i="10"/>
  <c r="AB378" i="10"/>
  <c r="AJ378" i="10" s="1"/>
  <c r="AE378" i="10"/>
  <c r="AU378" i="10"/>
  <c r="R378" i="10"/>
  <c r="S378" i="10"/>
  <c r="T378" i="10" s="1"/>
  <c r="U378" i="10"/>
  <c r="Y378" i="10" s="1"/>
  <c r="AM378" i="10"/>
  <c r="AN378" i="10"/>
  <c r="AO378" i="10"/>
  <c r="AL378" i="10" s="1"/>
  <c r="AP378" i="10"/>
  <c r="AA377" i="10"/>
  <c r="AB377" i="10"/>
  <c r="AJ377" i="10" s="1"/>
  <c r="AE377" i="10"/>
  <c r="AU377" i="10"/>
  <c r="R377" i="10"/>
  <c r="S377" i="10"/>
  <c r="T377" i="10" s="1"/>
  <c r="U377" i="10" s="1"/>
  <c r="Y377" i="10" s="1"/>
  <c r="AM377" i="10"/>
  <c r="AN377" i="10" s="1"/>
  <c r="AO377" i="10" s="1"/>
  <c r="AP377" i="10"/>
  <c r="AA376" i="10"/>
  <c r="AB376" i="10"/>
  <c r="AE376" i="10"/>
  <c r="AJ376" i="10"/>
  <c r="AU376" i="10"/>
  <c r="R376" i="10"/>
  <c r="S376" i="10"/>
  <c r="T376" i="10" s="1"/>
  <c r="U376" i="10"/>
  <c r="Y376" i="10" s="1"/>
  <c r="AG376" i="10" s="1"/>
  <c r="AH376" i="10" s="1"/>
  <c r="AI376" i="10" s="1"/>
  <c r="AM376" i="10"/>
  <c r="AN376" i="10"/>
  <c r="AO376" i="10"/>
  <c r="AP376" i="10"/>
  <c r="AA375" i="10"/>
  <c r="AB375" i="10"/>
  <c r="AJ375" i="10" s="1"/>
  <c r="AE375" i="10"/>
  <c r="AU375" i="10"/>
  <c r="R375" i="10"/>
  <c r="S375" i="10"/>
  <c r="T375" i="10" s="1"/>
  <c r="U375" i="10"/>
  <c r="Y375" i="10" s="1"/>
  <c r="AM375" i="10"/>
  <c r="AN375" i="10" s="1"/>
  <c r="AO375" i="10" s="1"/>
  <c r="AL375" i="10" s="1"/>
  <c r="AP375" i="10"/>
  <c r="AA374" i="10"/>
  <c r="AB374" i="10"/>
  <c r="AJ374" i="10" s="1"/>
  <c r="AE374" i="10"/>
  <c r="AU374" i="10"/>
  <c r="R374" i="10"/>
  <c r="S374" i="10"/>
  <c r="T374" i="10" s="1"/>
  <c r="U374" i="10"/>
  <c r="Y374" i="10" s="1"/>
  <c r="AM374" i="10"/>
  <c r="AN374" i="10"/>
  <c r="AO374" i="10"/>
  <c r="AL374" i="10" s="1"/>
  <c r="AP374" i="10"/>
  <c r="AA373" i="10"/>
  <c r="AB373" i="10"/>
  <c r="AE373" i="10"/>
  <c r="AJ373" i="10"/>
  <c r="AU373" i="10"/>
  <c r="R373" i="10"/>
  <c r="S373" i="10"/>
  <c r="T373" i="10" s="1"/>
  <c r="U373" i="10"/>
  <c r="Y373" i="10" s="1"/>
  <c r="AG373" i="10" s="1"/>
  <c r="AH373" i="10" s="1"/>
  <c r="AI373" i="10" s="1"/>
  <c r="AM373" i="10"/>
  <c r="AN373" i="10"/>
  <c r="AO373" i="10"/>
  <c r="AP373" i="10"/>
  <c r="AA372" i="10"/>
  <c r="AB372" i="10"/>
  <c r="AJ372" i="10" s="1"/>
  <c r="AE372" i="10"/>
  <c r="AU372" i="10"/>
  <c r="R372" i="10"/>
  <c r="S372" i="10"/>
  <c r="T372" i="10" s="1"/>
  <c r="U372" i="10"/>
  <c r="Y372" i="10" s="1"/>
  <c r="AM372" i="10"/>
  <c r="AN372" i="10"/>
  <c r="AO372" i="10"/>
  <c r="AP372" i="10"/>
  <c r="AA371" i="10"/>
  <c r="AB371" i="10"/>
  <c r="AJ371" i="10" s="1"/>
  <c r="AE371" i="10"/>
  <c r="AU371" i="10"/>
  <c r="R371" i="10"/>
  <c r="S371" i="10"/>
  <c r="T371" i="10" s="1"/>
  <c r="U371" i="10"/>
  <c r="Y371" i="10" s="1"/>
  <c r="AM371" i="10"/>
  <c r="AN371" i="10"/>
  <c r="AO371" i="10"/>
  <c r="AL371" i="10" s="1"/>
  <c r="AP371" i="10"/>
  <c r="AA370" i="10"/>
  <c r="AB370" i="10"/>
  <c r="AJ370" i="10" s="1"/>
  <c r="AE370" i="10"/>
  <c r="AU370" i="10"/>
  <c r="R370" i="10"/>
  <c r="S370" i="10"/>
  <c r="T370" i="10" s="1"/>
  <c r="U370" i="10"/>
  <c r="Y370" i="10" s="1"/>
  <c r="AM370" i="10"/>
  <c r="AN370" i="10"/>
  <c r="AO370" i="10"/>
  <c r="AL370" i="10" s="1"/>
  <c r="AP370" i="10"/>
  <c r="AA369" i="10"/>
  <c r="AB369" i="10"/>
  <c r="AE369" i="10"/>
  <c r="AJ369" i="10"/>
  <c r="AU369" i="10"/>
  <c r="R369" i="10"/>
  <c r="S369" i="10"/>
  <c r="T369" i="10" s="1"/>
  <c r="U369" i="10"/>
  <c r="Y369" i="10" s="1"/>
  <c r="AM369" i="10"/>
  <c r="AN369" i="10"/>
  <c r="AO369" i="10" s="1"/>
  <c r="AP369" i="10"/>
  <c r="AA364" i="10"/>
  <c r="AB364" i="10"/>
  <c r="AJ364" i="10" s="1"/>
  <c r="AE364" i="10"/>
  <c r="AU364" i="10"/>
  <c r="R364" i="10"/>
  <c r="S364" i="10"/>
  <c r="T364" i="10" s="1"/>
  <c r="U364" i="10"/>
  <c r="Y364" i="10" s="1"/>
  <c r="AM364" i="10"/>
  <c r="AN364" i="10"/>
  <c r="AO364" i="10" s="1"/>
  <c r="AL364" i="10" s="1"/>
  <c r="AP364" i="10"/>
  <c r="AA356" i="10"/>
  <c r="AB356" i="10"/>
  <c r="AJ356" i="10" s="1"/>
  <c r="AE356" i="10"/>
  <c r="AU356" i="10"/>
  <c r="R356" i="10"/>
  <c r="S356" i="10"/>
  <c r="T356" i="10" s="1"/>
  <c r="U356" i="10"/>
  <c r="Y356" i="10" s="1"/>
  <c r="AM356" i="10"/>
  <c r="AN356" i="10"/>
  <c r="AO356" i="10"/>
  <c r="AL356" i="10" s="1"/>
  <c r="AP356" i="10"/>
  <c r="AA349" i="10"/>
  <c r="AB349" i="10"/>
  <c r="AJ349" i="10" s="1"/>
  <c r="AE349" i="10"/>
  <c r="AU349" i="10"/>
  <c r="R349" i="10"/>
  <c r="S349" i="10"/>
  <c r="T349" i="10" s="1"/>
  <c r="U349" i="10"/>
  <c r="Y349" i="10" s="1"/>
  <c r="AM349" i="10"/>
  <c r="AN349" i="10"/>
  <c r="AO349" i="10" s="1"/>
  <c r="AL349" i="10" s="1"/>
  <c r="AP349" i="10"/>
  <c r="AB337" i="10"/>
  <c r="AJ337" i="10" s="1"/>
  <c r="AE337" i="10"/>
  <c r="AU337" i="10"/>
  <c r="R337" i="10"/>
  <c r="S337" i="10"/>
  <c r="T337" i="10" s="1"/>
  <c r="U337" i="10"/>
  <c r="Y337" i="10" s="1"/>
  <c r="AM337" i="10"/>
  <c r="AN337" i="10"/>
  <c r="AO337" i="10"/>
  <c r="AL337" i="10" s="1"/>
  <c r="AP337" i="10"/>
  <c r="R325" i="10"/>
  <c r="S325" i="10"/>
  <c r="T325" i="10" s="1"/>
  <c r="AM325" i="10"/>
  <c r="AN325" i="10"/>
  <c r="AO325" i="10"/>
  <c r="AL325" i="10" s="1"/>
  <c r="AP325" i="10"/>
  <c r="AA287" i="10"/>
  <c r="AB287" i="10"/>
  <c r="AE287" i="10"/>
  <c r="AJ287" i="10"/>
  <c r="AU287" i="10"/>
  <c r="R287" i="10"/>
  <c r="S287" i="10"/>
  <c r="T287" i="10" s="1"/>
  <c r="U287" i="10"/>
  <c r="Y287" i="10" s="1"/>
  <c r="AM287" i="10"/>
  <c r="AN287" i="10"/>
  <c r="AO287" i="10"/>
  <c r="AL287" i="10" s="1"/>
  <c r="AP287" i="10"/>
  <c r="AA275" i="10"/>
  <c r="AB275" i="10"/>
  <c r="AE275" i="10"/>
  <c r="AJ275" i="10"/>
  <c r="AU275" i="10"/>
  <c r="R275" i="10"/>
  <c r="S275" i="10"/>
  <c r="T275" i="10" s="1"/>
  <c r="U275" i="10"/>
  <c r="Y275" i="10" s="1"/>
  <c r="AG275" i="10" s="1"/>
  <c r="AM275" i="10"/>
  <c r="AN275" i="10"/>
  <c r="AO275" i="10"/>
  <c r="AL275" i="10" s="1"/>
  <c r="AP275" i="10"/>
  <c r="AA264" i="10"/>
  <c r="AB264" i="10"/>
  <c r="AE264" i="10"/>
  <c r="AJ264" i="10"/>
  <c r="AU264" i="10"/>
  <c r="R264" i="10"/>
  <c r="S264" i="10"/>
  <c r="T264" i="10" s="1"/>
  <c r="U264" i="10"/>
  <c r="Y264" i="10" s="1"/>
  <c r="AG264" i="10" s="1"/>
  <c r="AH264" i="10" s="1"/>
  <c r="AI264" i="10" s="1"/>
  <c r="AM264" i="10"/>
  <c r="AN264" i="10"/>
  <c r="AO264" i="10"/>
  <c r="AL264" i="10" s="1"/>
  <c r="AP264" i="10"/>
  <c r="AA256" i="10"/>
  <c r="AB256" i="10"/>
  <c r="AE256" i="10"/>
  <c r="AJ256" i="10"/>
  <c r="AU256" i="10"/>
  <c r="R256" i="10"/>
  <c r="S256" i="10"/>
  <c r="T256" i="10" s="1"/>
  <c r="U256" i="10"/>
  <c r="Y256" i="10" s="1"/>
  <c r="AM256" i="10"/>
  <c r="AN256" i="10"/>
  <c r="AO256" i="10"/>
  <c r="AL256" i="10" s="1"/>
  <c r="AP256" i="10"/>
  <c r="S247" i="10"/>
  <c r="T247" i="10" s="1"/>
  <c r="U247" i="10"/>
  <c r="R247" i="10"/>
  <c r="AN247" i="10"/>
  <c r="AO247" i="10" s="1"/>
  <c r="AL247" i="10" s="1"/>
  <c r="AP247" i="10"/>
  <c r="AM247" i="10"/>
  <c r="AA204" i="10"/>
  <c r="AB204" i="10"/>
  <c r="AE204" i="10"/>
  <c r="AJ204" i="10"/>
  <c r="AU204" i="10"/>
  <c r="R204" i="10"/>
  <c r="S204" i="10"/>
  <c r="T204" i="10" s="1"/>
  <c r="U204" i="10"/>
  <c r="Y204" i="10" s="1"/>
  <c r="AG204" i="10" s="1"/>
  <c r="AM204" i="10"/>
  <c r="AN204" i="10"/>
  <c r="AO204" i="10"/>
  <c r="AL204" i="10" s="1"/>
  <c r="AP204" i="10"/>
  <c r="AA192" i="10"/>
  <c r="AB192" i="10"/>
  <c r="AE192" i="10"/>
  <c r="AJ192" i="10"/>
  <c r="AU192" i="10"/>
  <c r="R192" i="10"/>
  <c r="S192" i="10"/>
  <c r="T192" i="10" s="1"/>
  <c r="U192" i="10"/>
  <c r="Y192" i="10" s="1"/>
  <c r="AG192" i="10" s="1"/>
  <c r="AM192" i="10"/>
  <c r="AN192" i="10"/>
  <c r="AO192" i="10"/>
  <c r="AL192" i="10" s="1"/>
  <c r="AP192" i="10"/>
  <c r="AA181" i="10"/>
  <c r="AB181" i="10"/>
  <c r="AE181" i="10"/>
  <c r="AJ181" i="10"/>
  <c r="AU181" i="10"/>
  <c r="R181" i="10"/>
  <c r="S181" i="10"/>
  <c r="T181" i="10" s="1"/>
  <c r="U181" i="10"/>
  <c r="Y181" i="10" s="1"/>
  <c r="AG181" i="10" s="1"/>
  <c r="AM181" i="10"/>
  <c r="AN181" i="10"/>
  <c r="AO181" i="10"/>
  <c r="AL181" i="10" s="1"/>
  <c r="AP181" i="10"/>
  <c r="AA135" i="10"/>
  <c r="AB135" i="10"/>
  <c r="AE135" i="10"/>
  <c r="AJ135" i="10"/>
  <c r="AU135" i="10"/>
  <c r="R135" i="10"/>
  <c r="S135" i="10"/>
  <c r="T135" i="10" s="1"/>
  <c r="U135" i="10"/>
  <c r="Y135" i="10" s="1"/>
  <c r="AG135" i="10" s="1"/>
  <c r="AH135" i="10" s="1"/>
  <c r="AI135" i="10" s="1"/>
  <c r="AM135" i="10"/>
  <c r="AN135" i="10"/>
  <c r="AO135" i="10"/>
  <c r="AL135" i="10" s="1"/>
  <c r="AP135" i="10"/>
  <c r="AA112" i="10"/>
  <c r="AB112" i="10"/>
  <c r="AE112" i="10"/>
  <c r="AJ112" i="10"/>
  <c r="AU112" i="10"/>
  <c r="R112" i="10"/>
  <c r="S112" i="10"/>
  <c r="T112" i="10" s="1"/>
  <c r="U112" i="10"/>
  <c r="Y112" i="10" s="1"/>
  <c r="AG112" i="10" s="1"/>
  <c r="AM112" i="10"/>
  <c r="AN112" i="10"/>
  <c r="AO112" i="10"/>
  <c r="AL112" i="10" s="1"/>
  <c r="AP112" i="10"/>
  <c r="AA102" i="10"/>
  <c r="AB102" i="10"/>
  <c r="AE102" i="10"/>
  <c r="AJ102" i="10"/>
  <c r="AU102" i="10"/>
  <c r="R102" i="10"/>
  <c r="S102" i="10"/>
  <c r="T102" i="10" s="1"/>
  <c r="U102" i="10"/>
  <c r="Y102" i="10" s="1"/>
  <c r="AG102" i="10" s="1"/>
  <c r="AM102" i="10"/>
  <c r="AN102" i="10"/>
  <c r="AO102" i="10"/>
  <c r="AL102" i="10" s="1"/>
  <c r="AP102" i="10"/>
  <c r="AA56" i="10"/>
  <c r="AB56" i="10"/>
  <c r="AE56" i="10"/>
  <c r="AJ56" i="10"/>
  <c r="AU56" i="10"/>
  <c r="R56" i="10"/>
  <c r="S56" i="10"/>
  <c r="T56" i="10" s="1"/>
  <c r="U56" i="10"/>
  <c r="Y56" i="10" s="1"/>
  <c r="AG56" i="10" s="1"/>
  <c r="AM56" i="10"/>
  <c r="AN56" i="10"/>
  <c r="AO56" i="10"/>
  <c r="AL56" i="10" s="1"/>
  <c r="AP56" i="10"/>
  <c r="AA44" i="10"/>
  <c r="AB44" i="10"/>
  <c r="AE44" i="10"/>
  <c r="AJ44" i="10"/>
  <c r="AU44" i="10"/>
  <c r="R44" i="10"/>
  <c r="S44" i="10"/>
  <c r="T44" i="10" s="1"/>
  <c r="U44" i="10"/>
  <c r="Y44" i="10" s="1"/>
  <c r="AG44" i="10" s="1"/>
  <c r="AM44" i="10"/>
  <c r="AN44" i="10"/>
  <c r="AO44" i="10"/>
  <c r="AL44" i="10" s="1"/>
  <c r="AP44" i="10"/>
  <c r="AA31" i="10"/>
  <c r="AB31" i="10"/>
  <c r="AE31" i="10"/>
  <c r="AJ31" i="10"/>
  <c r="AU31" i="10"/>
  <c r="R31" i="10"/>
  <c r="S31" i="10"/>
  <c r="T31" i="10" s="1"/>
  <c r="U31" i="10"/>
  <c r="Y31" i="10" s="1"/>
  <c r="AG31" i="10" s="1"/>
  <c r="AM31" i="10"/>
  <c r="AN31" i="10"/>
  <c r="AO31" i="10"/>
  <c r="AL31" i="10" s="1"/>
  <c r="AP31" i="10"/>
  <c r="AA318" i="10"/>
  <c r="AB318" i="10"/>
  <c r="AE318" i="10"/>
  <c r="AJ318" i="10"/>
  <c r="AU318" i="10"/>
  <c r="R318" i="10"/>
  <c r="S318" i="10"/>
  <c r="T318" i="10" s="1"/>
  <c r="U318" i="10"/>
  <c r="Y318" i="10" s="1"/>
  <c r="AG318" i="10" s="1"/>
  <c r="AM318" i="10"/>
  <c r="AN318" i="10"/>
  <c r="AO318" i="10"/>
  <c r="AL318" i="10" s="1"/>
  <c r="AP318" i="10"/>
  <c r="AA317" i="10"/>
  <c r="AB317" i="10"/>
  <c r="AE317" i="10"/>
  <c r="AJ317" i="10"/>
  <c r="AU317" i="10"/>
  <c r="R317" i="10"/>
  <c r="S317" i="10"/>
  <c r="T317" i="10" s="1"/>
  <c r="U317" i="10"/>
  <c r="Y317" i="10" s="1"/>
  <c r="AG317" i="10" s="1"/>
  <c r="AM317" i="10"/>
  <c r="AN317" i="10"/>
  <c r="AO317" i="10"/>
  <c r="AL317" i="10" s="1"/>
  <c r="AP317" i="10"/>
  <c r="AA316" i="10"/>
  <c r="AB316" i="10"/>
  <c r="AE316" i="10"/>
  <c r="AJ316" i="10"/>
  <c r="AU316" i="10"/>
  <c r="R316" i="10"/>
  <c r="S316" i="10"/>
  <c r="T316" i="10" s="1"/>
  <c r="U316" i="10"/>
  <c r="Y316" i="10" s="1"/>
  <c r="AG316" i="10" s="1"/>
  <c r="AM316" i="10"/>
  <c r="AN316" i="10"/>
  <c r="AO316" i="10"/>
  <c r="AL316" i="10" s="1"/>
  <c r="AP316" i="10"/>
  <c r="AA314" i="10"/>
  <c r="AB314" i="10"/>
  <c r="AE314" i="10"/>
  <c r="AJ314" i="10"/>
  <c r="AU314" i="10"/>
  <c r="R314" i="10"/>
  <c r="S314" i="10"/>
  <c r="T314" i="10" s="1"/>
  <c r="U314" i="10"/>
  <c r="Y314" i="10" s="1"/>
  <c r="AG314" i="10" s="1"/>
  <c r="AM314" i="10"/>
  <c r="AN314" i="10"/>
  <c r="AO314" i="10"/>
  <c r="AL314" i="10" s="1"/>
  <c r="AP314" i="10"/>
  <c r="AA313" i="10"/>
  <c r="AB313" i="10"/>
  <c r="AE313" i="10"/>
  <c r="AJ313" i="10"/>
  <c r="AU313" i="10"/>
  <c r="R313" i="10"/>
  <c r="S313" i="10"/>
  <c r="T313" i="10" s="1"/>
  <c r="U313" i="10"/>
  <c r="Y313" i="10" s="1"/>
  <c r="AG313" i="10" s="1"/>
  <c r="AM313" i="10"/>
  <c r="AN313" i="10" s="1"/>
  <c r="AO313" i="10" s="1"/>
  <c r="AL313" i="10" s="1"/>
  <c r="AP313" i="10"/>
  <c r="AA312" i="10"/>
  <c r="AB312" i="10"/>
  <c r="AJ312" i="10" s="1"/>
  <c r="AE312" i="10"/>
  <c r="AU312" i="10"/>
  <c r="R312" i="10"/>
  <c r="S312" i="10"/>
  <c r="T312" i="10" s="1"/>
  <c r="U312" i="10"/>
  <c r="Y312" i="10" s="1"/>
  <c r="AM312" i="10"/>
  <c r="AN312" i="10"/>
  <c r="AO312" i="10"/>
  <c r="AL312" i="10" s="1"/>
  <c r="AP312" i="10"/>
  <c r="AA311" i="10"/>
  <c r="AB311" i="10"/>
  <c r="AJ311" i="10" s="1"/>
  <c r="AE311" i="10"/>
  <c r="AU311" i="10"/>
  <c r="R311" i="10"/>
  <c r="S311" i="10"/>
  <c r="T311" i="10" s="1"/>
  <c r="U311" i="10" s="1"/>
  <c r="Y311" i="10" s="1"/>
  <c r="AG311" i="10" s="1"/>
  <c r="AM311" i="10"/>
  <c r="AN311" i="10" s="1"/>
  <c r="AO311" i="10" s="1"/>
  <c r="AL311" i="10" s="1"/>
  <c r="AP311" i="10"/>
  <c r="AA310" i="10"/>
  <c r="AB310" i="10"/>
  <c r="AJ310" i="10" s="1"/>
  <c r="AE310" i="10"/>
  <c r="AU310" i="10"/>
  <c r="R310" i="10"/>
  <c r="S310" i="10"/>
  <c r="T310" i="10" s="1"/>
  <c r="U310" i="10"/>
  <c r="Y310" i="10" s="1"/>
  <c r="AM310" i="10"/>
  <c r="AN310" i="10"/>
  <c r="AO310" i="10"/>
  <c r="AL310" i="10" s="1"/>
  <c r="AP310" i="10"/>
  <c r="AA309" i="10"/>
  <c r="AB309" i="10"/>
  <c r="AE309" i="10"/>
  <c r="AJ309" i="10"/>
  <c r="AU309" i="10"/>
  <c r="R309" i="10"/>
  <c r="S309" i="10"/>
  <c r="T309" i="10" s="1"/>
  <c r="AM309" i="10"/>
  <c r="AN309" i="10" s="1"/>
  <c r="AO309" i="10" s="1"/>
  <c r="AL309" i="10" s="1"/>
  <c r="AP309" i="10"/>
  <c r="AA308" i="10"/>
  <c r="AB308" i="10"/>
  <c r="AE308" i="10"/>
  <c r="AJ308" i="10"/>
  <c r="AU308" i="10"/>
  <c r="R308" i="10"/>
  <c r="S308" i="10"/>
  <c r="T308" i="10" s="1"/>
  <c r="AM308" i="10"/>
  <c r="AN308" i="10" s="1"/>
  <c r="AO308" i="10" s="1"/>
  <c r="AL308" i="10" s="1"/>
  <c r="AP308" i="10"/>
  <c r="AA307" i="10"/>
  <c r="AB307" i="10"/>
  <c r="AJ307" i="10" s="1"/>
  <c r="AE307" i="10"/>
  <c r="AU307" i="10"/>
  <c r="R307" i="10"/>
  <c r="S307" i="10"/>
  <c r="T307" i="10" s="1"/>
  <c r="U307" i="10"/>
  <c r="Y307" i="10" s="1"/>
  <c r="AM307" i="10"/>
  <c r="AN307" i="10"/>
  <c r="AO307" i="10"/>
  <c r="AL307" i="10" s="1"/>
  <c r="AP307" i="10"/>
  <c r="AA306" i="10"/>
  <c r="AB306" i="10"/>
  <c r="AJ306" i="10" s="1"/>
  <c r="AE306" i="10"/>
  <c r="AU306" i="10"/>
  <c r="R306" i="10"/>
  <c r="S306" i="10"/>
  <c r="T306" i="10" s="1"/>
  <c r="U306" i="10"/>
  <c r="Y306" i="10" s="1"/>
  <c r="AM306" i="10"/>
  <c r="AN306" i="10"/>
  <c r="AO306" i="10"/>
  <c r="AL306" i="10" s="1"/>
  <c r="AP306" i="10"/>
  <c r="AA303" i="10"/>
  <c r="AB303" i="10"/>
  <c r="AJ303" i="10" s="1"/>
  <c r="AE303" i="10"/>
  <c r="AU303" i="10"/>
  <c r="R303" i="10"/>
  <c r="S303" i="10"/>
  <c r="T303" i="10" s="1"/>
  <c r="U303" i="10"/>
  <c r="Y303" i="10" s="1"/>
  <c r="AM303" i="10"/>
  <c r="AN303" i="10"/>
  <c r="AO303" i="10"/>
  <c r="AL303" i="10" s="1"/>
  <c r="AP303" i="10"/>
  <c r="AA302" i="10"/>
  <c r="AB302" i="10"/>
  <c r="AJ302" i="10" s="1"/>
  <c r="AE302" i="10"/>
  <c r="AU302" i="10"/>
  <c r="R302" i="10"/>
  <c r="S302" i="10"/>
  <c r="T302" i="10" s="1"/>
  <c r="U302" i="10"/>
  <c r="Y302" i="10" s="1"/>
  <c r="AM302" i="10"/>
  <c r="AN302" i="10"/>
  <c r="AO302" i="10"/>
  <c r="AL302" i="10" s="1"/>
  <c r="AP302" i="10"/>
  <c r="AA301" i="10"/>
  <c r="AB301" i="10"/>
  <c r="AE301" i="10"/>
  <c r="AJ301" i="10"/>
  <c r="AU301" i="10"/>
  <c r="R301" i="10"/>
  <c r="S301" i="10"/>
  <c r="T301" i="10" s="1"/>
  <c r="U301" i="10"/>
  <c r="Y301" i="10" s="1"/>
  <c r="AG301" i="10" s="1"/>
  <c r="AH301" i="10" s="1"/>
  <c r="AI301" i="10" s="1"/>
  <c r="AM301" i="10"/>
  <c r="AN301" i="10"/>
  <c r="AO301" i="10"/>
  <c r="AP301" i="10"/>
  <c r="AA300" i="10"/>
  <c r="AB300" i="10"/>
  <c r="AJ300" i="10" s="1"/>
  <c r="AE300" i="10"/>
  <c r="AU300" i="10"/>
  <c r="R300" i="10"/>
  <c r="S300" i="10"/>
  <c r="T300" i="10" s="1"/>
  <c r="U300" i="10"/>
  <c r="Y300" i="10" s="1"/>
  <c r="AM300" i="10"/>
  <c r="AN300" i="10"/>
  <c r="AO300" i="10"/>
  <c r="AL300" i="10" s="1"/>
  <c r="AP300" i="10"/>
  <c r="AA299" i="10"/>
  <c r="AB299" i="10"/>
  <c r="AE299" i="10"/>
  <c r="AJ299" i="10"/>
  <c r="AU299" i="10"/>
  <c r="R299" i="10"/>
  <c r="S299" i="10"/>
  <c r="T299" i="10" s="1"/>
  <c r="AM299" i="10"/>
  <c r="AN299" i="10" s="1"/>
  <c r="AO299" i="10" s="1"/>
  <c r="AL299" i="10" s="1"/>
  <c r="AP299" i="10"/>
  <c r="AA298" i="10"/>
  <c r="AB298" i="10"/>
  <c r="AJ298" i="10" s="1"/>
  <c r="AE298" i="10"/>
  <c r="AU298" i="10"/>
  <c r="R298" i="10"/>
  <c r="S298" i="10"/>
  <c r="T298" i="10" s="1"/>
  <c r="U298" i="10"/>
  <c r="Y298" i="10" s="1"/>
  <c r="AM298" i="10"/>
  <c r="AN298" i="10"/>
  <c r="AO298" i="10"/>
  <c r="AP298" i="10"/>
  <c r="AA297" i="10"/>
  <c r="AB297" i="10"/>
  <c r="AE297" i="10"/>
  <c r="AJ297" i="10"/>
  <c r="AU297" i="10"/>
  <c r="R297" i="10"/>
  <c r="S297" i="10"/>
  <c r="T297" i="10" s="1"/>
  <c r="U297" i="10"/>
  <c r="Y297" i="10" s="1"/>
  <c r="AG297" i="10" s="1"/>
  <c r="AM297" i="10"/>
  <c r="AN297" i="10" s="1"/>
  <c r="AO297" i="10" s="1"/>
  <c r="AL297" i="10" s="1"/>
  <c r="AP297" i="10"/>
  <c r="AA296" i="10"/>
  <c r="AB296" i="10"/>
  <c r="AJ296" i="10" s="1"/>
  <c r="AE296" i="10"/>
  <c r="AU296" i="10"/>
  <c r="R296" i="10"/>
  <c r="S296" i="10"/>
  <c r="T296" i="10" s="1"/>
  <c r="U296" i="10" s="1"/>
  <c r="Y296" i="10" s="1"/>
  <c r="AM296" i="10"/>
  <c r="AN296" i="10" s="1"/>
  <c r="AO296" i="10" s="1"/>
  <c r="AL296" i="10" s="1"/>
  <c r="AP296" i="10"/>
  <c r="AA294" i="10"/>
  <c r="AB294" i="10"/>
  <c r="AJ294" i="10" s="1"/>
  <c r="AE294" i="10"/>
  <c r="AU294" i="10"/>
  <c r="R294" i="10"/>
  <c r="S294" i="10"/>
  <c r="T294" i="10" s="1"/>
  <c r="U294" i="10" s="1"/>
  <c r="Y294" i="10" s="1"/>
  <c r="AM294" i="10"/>
  <c r="AN294" i="10" s="1"/>
  <c r="AO294" i="10" s="1"/>
  <c r="AL294" i="10" s="1"/>
  <c r="AP294" i="10"/>
  <c r="AA293" i="10"/>
  <c r="AB293" i="10"/>
  <c r="AE293" i="10"/>
  <c r="AJ293" i="10"/>
  <c r="AU293" i="10"/>
  <c r="R293" i="10"/>
  <c r="S293" i="10"/>
  <c r="T293" i="10" s="1"/>
  <c r="U293" i="10"/>
  <c r="Y293" i="10" s="1"/>
  <c r="AG293" i="10" s="1"/>
  <c r="AM293" i="10"/>
  <c r="AN293" i="10" s="1"/>
  <c r="AO293" i="10" s="1"/>
  <c r="AL293" i="10" s="1"/>
  <c r="AP293" i="10"/>
  <c r="AA292" i="10"/>
  <c r="AB292" i="10"/>
  <c r="AJ292" i="10" s="1"/>
  <c r="AE292" i="10"/>
  <c r="AU292" i="10"/>
  <c r="R292" i="10"/>
  <c r="S292" i="10"/>
  <c r="T292" i="10" s="1"/>
  <c r="U292" i="10"/>
  <c r="Y292" i="10" s="1"/>
  <c r="AM292" i="10"/>
  <c r="AN292" i="10"/>
  <c r="AO292" i="10" s="1"/>
  <c r="AL292" i="10" s="1"/>
  <c r="AP292" i="10"/>
  <c r="AA291" i="10"/>
  <c r="AB291" i="10"/>
  <c r="AJ291" i="10" s="1"/>
  <c r="AE291" i="10"/>
  <c r="AU291" i="10"/>
  <c r="R291" i="10"/>
  <c r="S291" i="10"/>
  <c r="T291" i="10" s="1"/>
  <c r="U291" i="10"/>
  <c r="Y291" i="10" s="1"/>
  <c r="AM291" i="10"/>
  <c r="AN291" i="10"/>
  <c r="AO291" i="10" s="1"/>
  <c r="AL291" i="10" s="1"/>
  <c r="AP291" i="10"/>
  <c r="AA290" i="10"/>
  <c r="AB290" i="10"/>
  <c r="AE290" i="10"/>
  <c r="AJ290" i="10"/>
  <c r="AU290" i="10"/>
  <c r="R290" i="10"/>
  <c r="S290" i="10"/>
  <c r="T290" i="10" s="1"/>
  <c r="U290" i="10"/>
  <c r="Y290" i="10" s="1"/>
  <c r="AG290" i="10" s="1"/>
  <c r="AM290" i="10"/>
  <c r="AN290" i="10" s="1"/>
  <c r="AO290" i="10" s="1"/>
  <c r="AL290" i="10" s="1"/>
  <c r="AP290" i="10"/>
  <c r="AA289" i="10"/>
  <c r="AB289" i="10"/>
  <c r="AJ289" i="10" s="1"/>
  <c r="AE289" i="10"/>
  <c r="AU289" i="10"/>
  <c r="R289" i="10"/>
  <c r="S289" i="10"/>
  <c r="T289" i="10" s="1"/>
  <c r="U289" i="10"/>
  <c r="Y289" i="10" s="1"/>
  <c r="AM289" i="10"/>
  <c r="AN289" i="10"/>
  <c r="AO289" i="10"/>
  <c r="AL289" i="10" s="1"/>
  <c r="AP289" i="10"/>
  <c r="AA288" i="10"/>
  <c r="AB288" i="10"/>
  <c r="AJ288" i="10" s="1"/>
  <c r="AE288" i="10"/>
  <c r="AU288" i="10"/>
  <c r="R288" i="10"/>
  <c r="S288" i="10"/>
  <c r="T288" i="10" s="1"/>
  <c r="U288" i="10"/>
  <c r="Y288" i="10" s="1"/>
  <c r="AM288" i="10"/>
  <c r="AN288" i="10"/>
  <c r="AO288" i="10" s="1"/>
  <c r="AL288" i="10" s="1"/>
  <c r="AP288" i="10"/>
  <c r="AA279" i="10"/>
  <c r="AB279" i="10"/>
  <c r="AJ279" i="10" s="1"/>
  <c r="AE279" i="10"/>
  <c r="AU279" i="10"/>
  <c r="R279" i="10"/>
  <c r="S279" i="10"/>
  <c r="T279" i="10" s="1"/>
  <c r="U279" i="10" s="1"/>
  <c r="Y279" i="10" s="1"/>
  <c r="AM279" i="10"/>
  <c r="AN279" i="10"/>
  <c r="AO279" i="10"/>
  <c r="AL279" i="10" s="1"/>
  <c r="AP279" i="10"/>
  <c r="AA266" i="10"/>
  <c r="AB266" i="10"/>
  <c r="AJ266" i="10" s="1"/>
  <c r="AE266" i="10"/>
  <c r="AU266" i="10"/>
  <c r="R266" i="10"/>
  <c r="S266" i="10"/>
  <c r="T266" i="10" s="1"/>
  <c r="U266" i="10"/>
  <c r="Y266" i="10" s="1"/>
  <c r="AM266" i="10"/>
  <c r="AN266" i="10" s="1"/>
  <c r="AO266" i="10" s="1"/>
  <c r="AL266" i="10" s="1"/>
  <c r="AP266" i="10"/>
  <c r="AA258" i="10"/>
  <c r="AB258" i="10"/>
  <c r="AJ258" i="10" s="1"/>
  <c r="AE258" i="10"/>
  <c r="AU258" i="10"/>
  <c r="R258" i="10"/>
  <c r="S258" i="10"/>
  <c r="T258" i="10" s="1"/>
  <c r="AM258" i="10"/>
  <c r="AN258" i="10"/>
  <c r="AO258" i="10" s="1"/>
  <c r="AL258" i="10" s="1"/>
  <c r="AP258" i="10"/>
  <c r="AB248" i="10"/>
  <c r="AJ248" i="10" s="1"/>
  <c r="AE248" i="10"/>
  <c r="AU248" i="10"/>
  <c r="R248" i="10"/>
  <c r="S248" i="10"/>
  <c r="T248" i="10" s="1"/>
  <c r="U248" i="10" s="1"/>
  <c r="Y248" i="10" s="1"/>
  <c r="AM248" i="10"/>
  <c r="AN248" i="10"/>
  <c r="AO248" i="10" s="1"/>
  <c r="AL248" i="10" s="1"/>
  <c r="AP248" i="10"/>
  <c r="AA207" i="10"/>
  <c r="AB207" i="10"/>
  <c r="AJ207" i="10" s="1"/>
  <c r="AE207" i="10"/>
  <c r="AU207" i="10"/>
  <c r="R207" i="10"/>
  <c r="S207" i="10"/>
  <c r="T207" i="10" s="1"/>
  <c r="U207" i="10"/>
  <c r="Y207" i="10" s="1"/>
  <c r="AM207" i="10"/>
  <c r="AN207" i="10"/>
  <c r="AO207" i="10"/>
  <c r="AL207" i="10" s="1"/>
  <c r="AP207" i="10"/>
  <c r="AA196" i="10"/>
  <c r="AB196" i="10"/>
  <c r="AJ196" i="10" s="1"/>
  <c r="AE196" i="10"/>
  <c r="AU196" i="10"/>
  <c r="R196" i="10"/>
  <c r="S196" i="10"/>
  <c r="T196" i="10" s="1"/>
  <c r="U196" i="10"/>
  <c r="Y196" i="10" s="1"/>
  <c r="AG196" i="10" s="1"/>
  <c r="AM196" i="10"/>
  <c r="AN196" i="10"/>
  <c r="AO196" i="10"/>
  <c r="AP196" i="10"/>
  <c r="AA183" i="10"/>
  <c r="AB183" i="10"/>
  <c r="AJ183" i="10" s="1"/>
  <c r="AE183" i="10"/>
  <c r="AU183" i="10"/>
  <c r="R183" i="10"/>
  <c r="S183" i="10"/>
  <c r="T183" i="10" s="1"/>
  <c r="U183" i="10"/>
  <c r="Y183" i="10" s="1"/>
  <c r="AM183" i="10"/>
  <c r="AN183" i="10"/>
  <c r="AO183" i="10"/>
  <c r="AL183" i="10" s="1"/>
  <c r="AP183" i="10"/>
  <c r="AA136" i="10"/>
  <c r="AB136" i="10"/>
  <c r="AJ136" i="10" s="1"/>
  <c r="AE136" i="10"/>
  <c r="AU136" i="10"/>
  <c r="R136" i="10"/>
  <c r="S136" i="10"/>
  <c r="T136" i="10" s="1"/>
  <c r="U136" i="10"/>
  <c r="Y136" i="10" s="1"/>
  <c r="AM136" i="10"/>
  <c r="AN136" i="10"/>
  <c r="AO136" i="10"/>
  <c r="AL136" i="10" s="1"/>
  <c r="AP136" i="10"/>
  <c r="AB113" i="10"/>
  <c r="AJ113" i="10" s="1"/>
  <c r="AE113" i="10"/>
  <c r="AU113" i="10"/>
  <c r="R113" i="10"/>
  <c r="S113" i="10"/>
  <c r="T113" i="10" s="1"/>
  <c r="U113" i="10"/>
  <c r="Y113" i="10" s="1"/>
  <c r="AM113" i="10"/>
  <c r="AN113" i="10"/>
  <c r="AO113" i="10"/>
  <c r="AL113" i="10" s="1"/>
  <c r="AP113" i="10"/>
  <c r="AA103" i="10"/>
  <c r="AB103" i="10"/>
  <c r="AE103" i="10"/>
  <c r="AJ103" i="10"/>
  <c r="AU103" i="10"/>
  <c r="R103" i="10"/>
  <c r="S103" i="10"/>
  <c r="T103" i="10" s="1"/>
  <c r="U103" i="10"/>
  <c r="Y103" i="10" s="1"/>
  <c r="AG103" i="10" s="1"/>
  <c r="AM103" i="10"/>
  <c r="AN103" i="10"/>
  <c r="AO103" i="10"/>
  <c r="AL103" i="10" s="1"/>
  <c r="AP103" i="10"/>
  <c r="AA58" i="10"/>
  <c r="AB58" i="10"/>
  <c r="AE58" i="10"/>
  <c r="AJ58" i="10"/>
  <c r="AU58" i="10"/>
  <c r="R58" i="10"/>
  <c r="S58" i="10"/>
  <c r="T58" i="10" s="1"/>
  <c r="U58" i="10"/>
  <c r="Y58" i="10" s="1"/>
  <c r="AG58" i="10" s="1"/>
  <c r="AM58" i="10"/>
  <c r="AN58" i="10"/>
  <c r="AO58" i="10"/>
  <c r="AL58" i="10" s="1"/>
  <c r="AP58" i="10"/>
  <c r="AA45" i="10"/>
  <c r="AB45" i="10"/>
  <c r="AE45" i="10"/>
  <c r="AJ45" i="10"/>
  <c r="AU45" i="10"/>
  <c r="R45" i="10"/>
  <c r="S45" i="10"/>
  <c r="T45" i="10" s="1"/>
  <c r="U45" i="10"/>
  <c r="Y45" i="10" s="1"/>
  <c r="AG45" i="10" s="1"/>
  <c r="AM45" i="10"/>
  <c r="AN45" i="10"/>
  <c r="AO45" i="10"/>
  <c r="AP45" i="10"/>
  <c r="AA34" i="10"/>
  <c r="AB34" i="10"/>
  <c r="AE34" i="10"/>
  <c r="AJ34" i="10"/>
  <c r="AU34" i="10"/>
  <c r="R34" i="10"/>
  <c r="S34" i="10"/>
  <c r="T34" i="10" s="1"/>
  <c r="U34" i="10"/>
  <c r="Y34" i="10" s="1"/>
  <c r="AG34" i="10" s="1"/>
  <c r="AM34" i="10"/>
  <c r="AN34" i="10"/>
  <c r="AO34" i="10"/>
  <c r="AP34" i="10"/>
  <c r="AA24" i="10"/>
  <c r="AB24" i="10"/>
  <c r="AE24" i="10"/>
  <c r="AJ24" i="10"/>
  <c r="AU24" i="10"/>
  <c r="R24" i="10"/>
  <c r="S24" i="10"/>
  <c r="T24" i="10" s="1"/>
  <c r="U24" i="10"/>
  <c r="Y24" i="10" s="1"/>
  <c r="AG24" i="10" s="1"/>
  <c r="AM24" i="10"/>
  <c r="AN24" i="10"/>
  <c r="AO24" i="10"/>
  <c r="AP24" i="10"/>
  <c r="AB245" i="10"/>
  <c r="AJ245" i="10"/>
  <c r="AU245" i="10"/>
  <c r="AA245" i="10"/>
  <c r="AE245" i="10"/>
  <c r="R245" i="10"/>
  <c r="S245" i="10"/>
  <c r="T245" i="10" s="1"/>
  <c r="U245" i="10"/>
  <c r="Y245" i="10" s="1"/>
  <c r="AG245" i="10" s="1"/>
  <c r="AH245" i="10" s="1"/>
  <c r="AI245" i="10" s="1"/>
  <c r="AM245" i="10"/>
  <c r="AN245" i="10"/>
  <c r="AO245" i="10" s="1"/>
  <c r="AL245" i="10" s="1"/>
  <c r="AP245" i="10"/>
  <c r="AM244" i="10"/>
  <c r="AP244" i="10"/>
  <c r="AN244" i="10"/>
  <c r="AO244" i="10" s="1"/>
  <c r="AL244" i="10" s="1"/>
  <c r="AB244" i="10"/>
  <c r="AA244" i="10"/>
  <c r="AE244" i="10"/>
  <c r="AJ244" i="10"/>
  <c r="AU244" i="10"/>
  <c r="R244" i="10"/>
  <c r="U244" i="10"/>
  <c r="Y244" i="10" s="1"/>
  <c r="AG244" i="10" s="1"/>
  <c r="S244" i="10"/>
  <c r="T244" i="10" s="1"/>
  <c r="AA243" i="10"/>
  <c r="AE243" i="10"/>
  <c r="AB243" i="10"/>
  <c r="AJ243" i="10"/>
  <c r="AU243" i="10"/>
  <c r="S243" i="10"/>
  <c r="T243" i="10" s="1"/>
  <c r="U243" i="10"/>
  <c r="Y243" i="10" s="1"/>
  <c r="AG243" i="10" s="1"/>
  <c r="R243" i="10"/>
  <c r="AM243" i="10"/>
  <c r="AN243" i="10"/>
  <c r="AO243" i="10" s="1"/>
  <c r="AL243" i="10" s="1"/>
  <c r="AP243" i="10"/>
  <c r="S242" i="10"/>
  <c r="T242" i="10" s="1"/>
  <c r="R242" i="10"/>
  <c r="U242" i="10"/>
  <c r="AN242" i="10"/>
  <c r="AP242" i="10"/>
  <c r="AM242" i="10"/>
  <c r="AO242" i="10"/>
  <c r="AL242" i="10" s="1"/>
  <c r="AA241" i="10"/>
  <c r="AB241" i="10"/>
  <c r="AE241" i="10"/>
  <c r="AU241" i="10"/>
  <c r="AJ241" i="10"/>
  <c r="R241" i="10"/>
  <c r="S241" i="10"/>
  <c r="T241" i="10" s="1"/>
  <c r="U241" i="10"/>
  <c r="Y241" i="10" s="1"/>
  <c r="AG241" i="10" s="1"/>
  <c r="AM241" i="10"/>
  <c r="AN241" i="10"/>
  <c r="AO241" i="10"/>
  <c r="AL241" i="10" s="1"/>
  <c r="AP241" i="10"/>
  <c r="AA240" i="10"/>
  <c r="AB240" i="10"/>
  <c r="AE240" i="10"/>
  <c r="AJ240" i="10"/>
  <c r="AU240" i="10"/>
  <c r="R240" i="10"/>
  <c r="S240" i="10"/>
  <c r="T240" i="10" s="1"/>
  <c r="U240" i="10"/>
  <c r="Y240" i="10" s="1"/>
  <c r="AG240" i="10" s="1"/>
  <c r="AH240" i="10" s="1"/>
  <c r="AI240" i="10" s="1"/>
  <c r="AM240" i="10"/>
  <c r="AN240" i="10"/>
  <c r="AO240" i="10"/>
  <c r="AL240" i="10" s="1"/>
  <c r="AP240" i="10"/>
  <c r="AA239" i="10"/>
  <c r="AB239" i="10"/>
  <c r="AE239" i="10"/>
  <c r="AJ239" i="10"/>
  <c r="AU239" i="10"/>
  <c r="R239" i="10"/>
  <c r="S239" i="10"/>
  <c r="T239" i="10" s="1"/>
  <c r="U239" i="10"/>
  <c r="Y239" i="10" s="1"/>
  <c r="AG239" i="10" s="1"/>
  <c r="AM239" i="10"/>
  <c r="AN239" i="10"/>
  <c r="AO239" i="10"/>
  <c r="AL239" i="10" s="1"/>
  <c r="AP239" i="10"/>
  <c r="AA238" i="10"/>
  <c r="AB238" i="10"/>
  <c r="AE238" i="10"/>
  <c r="AJ238" i="10"/>
  <c r="AU238" i="10"/>
  <c r="R238" i="10"/>
  <c r="S238" i="10"/>
  <c r="T238" i="10" s="1"/>
  <c r="U238" i="10"/>
  <c r="Y238" i="10" s="1"/>
  <c r="AG238" i="10" s="1"/>
  <c r="AM238" i="10"/>
  <c r="AN238" i="10"/>
  <c r="AO238" i="10"/>
  <c r="AL238" i="10" s="1"/>
  <c r="AP238" i="10"/>
  <c r="R237" i="10"/>
  <c r="S237" i="10"/>
  <c r="T237" i="10" s="1"/>
  <c r="U237" i="10"/>
  <c r="AM237" i="10"/>
  <c r="AN237" i="10"/>
  <c r="AO237" i="10"/>
  <c r="AL237" i="10" s="1"/>
  <c r="AP237" i="10"/>
  <c r="AM236" i="10"/>
  <c r="AN236" i="10"/>
  <c r="AO236" i="10" s="1"/>
  <c r="AL236" i="10" s="1"/>
  <c r="AP236" i="10"/>
  <c r="AB236" i="10"/>
  <c r="AJ236" i="10"/>
  <c r="AU236" i="10"/>
  <c r="AA236" i="10"/>
  <c r="AE236" i="10"/>
  <c r="S236" i="10"/>
  <c r="T236" i="10" s="1"/>
  <c r="U236" i="10"/>
  <c r="Y236" i="10" s="1"/>
  <c r="AG236" i="10" s="1"/>
  <c r="R236" i="10"/>
  <c r="R235" i="10"/>
  <c r="S235" i="10"/>
  <c r="T235" i="10" s="1"/>
  <c r="U235" i="10"/>
  <c r="AP235" i="10"/>
  <c r="AM235" i="10"/>
  <c r="AN235" i="10" s="1"/>
  <c r="AO235" i="10" s="1"/>
  <c r="AB235" i="10"/>
  <c r="AU235" i="10"/>
  <c r="Y235" i="10"/>
  <c r="AA235" i="10"/>
  <c r="AE235" i="10"/>
  <c r="AJ235" i="10"/>
  <c r="AM234" i="10"/>
  <c r="AN234" i="10"/>
  <c r="AP234" i="10"/>
  <c r="AO234" i="10"/>
  <c r="AL234" i="10" s="1"/>
  <c r="AE234" i="10"/>
  <c r="AA234" i="10"/>
  <c r="AB234" i="10"/>
  <c r="AJ234" i="10"/>
  <c r="AU234" i="10"/>
  <c r="R234" i="10"/>
  <c r="S234" i="10"/>
  <c r="T234" i="10" s="1"/>
  <c r="U234" i="10"/>
  <c r="Y234" i="10" s="1"/>
  <c r="AG234" i="10" s="1"/>
  <c r="R233" i="10"/>
  <c r="S233" i="10"/>
  <c r="T233" i="10" s="1"/>
  <c r="U233" i="10"/>
  <c r="AN233" i="10"/>
  <c r="AP233" i="10"/>
  <c r="AM233" i="10"/>
  <c r="AO233" i="10"/>
  <c r="AL233" i="10" s="1"/>
  <c r="S232" i="10"/>
  <c r="T232" i="10" s="1"/>
  <c r="R232" i="10"/>
  <c r="U232" i="10"/>
  <c r="AM232" i="10"/>
  <c r="AN232" i="10"/>
  <c r="AP232" i="10"/>
  <c r="AO232" i="10"/>
  <c r="AL232" i="10" s="1"/>
  <c r="AA231" i="10"/>
  <c r="AB231" i="10"/>
  <c r="AE231" i="10"/>
  <c r="AJ231" i="10"/>
  <c r="AU231" i="10"/>
  <c r="R231" i="10"/>
  <c r="S231" i="10"/>
  <c r="T231" i="10" s="1"/>
  <c r="U231" i="10"/>
  <c r="Y231" i="10" s="1"/>
  <c r="AG231" i="10" s="1"/>
  <c r="AM231" i="10"/>
  <c r="AN231" i="10"/>
  <c r="AO231" i="10" s="1"/>
  <c r="AL231" i="10" s="1"/>
  <c r="AP231" i="10"/>
  <c r="AM230" i="10"/>
  <c r="AN230" i="10"/>
  <c r="AO230" i="10"/>
  <c r="AP230" i="10"/>
  <c r="AA230" i="10"/>
  <c r="AE230" i="10"/>
  <c r="AJ230" i="10"/>
  <c r="AU230" i="10"/>
  <c r="AB230" i="10"/>
  <c r="S230" i="10"/>
  <c r="T230" i="10" s="1"/>
  <c r="U230" i="10"/>
  <c r="Y230" i="10" s="1"/>
  <c r="AG230" i="10" s="1"/>
  <c r="AH230" i="10" s="1"/>
  <c r="AI230" i="10" s="1"/>
  <c r="R230" i="10"/>
  <c r="AB229" i="10"/>
  <c r="AJ229" i="10"/>
  <c r="AA229" i="10"/>
  <c r="AE229" i="10"/>
  <c r="AU229" i="10"/>
  <c r="R229" i="10"/>
  <c r="S229" i="10"/>
  <c r="T229" i="10" s="1"/>
  <c r="U229" i="10"/>
  <c r="Y229" i="10" s="1"/>
  <c r="AG229" i="10" s="1"/>
  <c r="AM229" i="10"/>
  <c r="AN229" i="10"/>
  <c r="AO229" i="10"/>
  <c r="AL229" i="10" s="1"/>
  <c r="AP229" i="10"/>
  <c r="AA228" i="10"/>
  <c r="AB228" i="10"/>
  <c r="AE228" i="10"/>
  <c r="AJ228" i="10"/>
  <c r="AU228" i="10"/>
  <c r="R228" i="10"/>
  <c r="S228" i="10"/>
  <c r="T228" i="10" s="1"/>
  <c r="U228" i="10"/>
  <c r="Y228" i="10" s="1"/>
  <c r="AG228" i="10" s="1"/>
  <c r="AM228" i="10"/>
  <c r="AN228" i="10"/>
  <c r="AO228" i="10"/>
  <c r="AL228" i="10" s="1"/>
  <c r="AP228" i="10"/>
  <c r="AA227" i="10"/>
  <c r="AB227" i="10"/>
  <c r="AJ227" i="10" s="1"/>
  <c r="AE227" i="10"/>
  <c r="AU227" i="10"/>
  <c r="R227" i="10"/>
  <c r="S227" i="10"/>
  <c r="T227" i="10" s="1"/>
  <c r="U227" i="10"/>
  <c r="Y227" i="10" s="1"/>
  <c r="AM227" i="10"/>
  <c r="AN227" i="10"/>
  <c r="AO227" i="10"/>
  <c r="AL227" i="10" s="1"/>
  <c r="AP227" i="10"/>
  <c r="AA226" i="10"/>
  <c r="AB226" i="10"/>
  <c r="AJ226" i="10" s="1"/>
  <c r="AE226" i="10"/>
  <c r="AU226" i="10"/>
  <c r="R226" i="10"/>
  <c r="S226" i="10"/>
  <c r="T226" i="10" s="1"/>
  <c r="U226" i="10"/>
  <c r="Y226" i="10" s="1"/>
  <c r="AM226" i="10"/>
  <c r="AN226" i="10"/>
  <c r="AO226" i="10" s="1"/>
  <c r="AP226" i="10"/>
  <c r="AA225" i="10"/>
  <c r="AB225" i="10"/>
  <c r="AE225" i="10"/>
  <c r="AJ225" i="10"/>
  <c r="AU225" i="10"/>
  <c r="R225" i="10"/>
  <c r="S225" i="10"/>
  <c r="T225" i="10" s="1"/>
  <c r="U225" i="10"/>
  <c r="Y225" i="10" s="1"/>
  <c r="AG225" i="10" s="1"/>
  <c r="AH225" i="10" s="1"/>
  <c r="AI225" i="10" s="1"/>
  <c r="AM225" i="10"/>
  <c r="AN225" i="10"/>
  <c r="AO225" i="10"/>
  <c r="AP225" i="10"/>
  <c r="AA224" i="10"/>
  <c r="AB224" i="10"/>
  <c r="AE224" i="10"/>
  <c r="AJ224" i="10"/>
  <c r="AU224" i="10"/>
  <c r="R224" i="10"/>
  <c r="S224" i="10"/>
  <c r="T224" i="10" s="1"/>
  <c r="U224" i="10" s="1"/>
  <c r="Y224" i="10" s="1"/>
  <c r="AG224" i="10" s="1"/>
  <c r="AM224" i="10"/>
  <c r="AN224" i="10" s="1"/>
  <c r="AO224" i="10" s="1"/>
  <c r="AL224" i="10" s="1"/>
  <c r="AP224" i="10"/>
  <c r="AA223" i="10"/>
  <c r="AB223" i="10"/>
  <c r="AJ223" i="10" s="1"/>
  <c r="AE223" i="10"/>
  <c r="AU223" i="10"/>
  <c r="R223" i="10"/>
  <c r="S223" i="10"/>
  <c r="T223" i="10" s="1"/>
  <c r="U223" i="10" s="1"/>
  <c r="Y223" i="10" s="1"/>
  <c r="AM223" i="10"/>
  <c r="AN223" i="10" s="1"/>
  <c r="AO223" i="10" s="1"/>
  <c r="AL223" i="10" s="1"/>
  <c r="AP223" i="10"/>
  <c r="AA222" i="10"/>
  <c r="AB222" i="10"/>
  <c r="AJ222" i="10" s="1"/>
  <c r="AE222" i="10"/>
  <c r="AU222" i="10"/>
  <c r="R222" i="10"/>
  <c r="S222" i="10"/>
  <c r="T222" i="10" s="1"/>
  <c r="U222" i="10"/>
  <c r="Y222" i="10" s="1"/>
  <c r="AM222" i="10"/>
  <c r="AN222" i="10"/>
  <c r="AO222" i="10"/>
  <c r="AP222" i="10"/>
  <c r="AA221" i="10"/>
  <c r="AB221" i="10"/>
  <c r="AJ221" i="10" s="1"/>
  <c r="AE221" i="10"/>
  <c r="AU221" i="10"/>
  <c r="R221" i="10"/>
  <c r="S221" i="10"/>
  <c r="T221" i="10" s="1"/>
  <c r="U221" i="10"/>
  <c r="Y221" i="10" s="1"/>
  <c r="AM221" i="10"/>
  <c r="AN221" i="10"/>
  <c r="AO221" i="10"/>
  <c r="AL221" i="10" s="1"/>
  <c r="AP221" i="10"/>
  <c r="AA220" i="10"/>
  <c r="AB220" i="10"/>
  <c r="AJ220" i="10" s="1"/>
  <c r="AE220" i="10"/>
  <c r="AU220" i="10"/>
  <c r="R220" i="10"/>
  <c r="S220" i="10"/>
  <c r="T220" i="10" s="1"/>
  <c r="AM220" i="10"/>
  <c r="AN220" i="10" s="1"/>
  <c r="AO220" i="10" s="1"/>
  <c r="AL220" i="10" s="1"/>
  <c r="AP220" i="10"/>
  <c r="AA219" i="10"/>
  <c r="AB219" i="10"/>
  <c r="AJ219" i="10" s="1"/>
  <c r="AE219" i="10"/>
  <c r="AU219" i="10"/>
  <c r="R219" i="10"/>
  <c r="S219" i="10"/>
  <c r="T219" i="10" s="1"/>
  <c r="U219" i="10"/>
  <c r="Y219" i="10" s="1"/>
  <c r="AM219" i="10"/>
  <c r="AN219" i="10"/>
  <c r="AO219" i="10" s="1"/>
  <c r="AL219" i="10" s="1"/>
  <c r="AP219" i="10"/>
  <c r="AA218" i="10"/>
  <c r="AB218" i="10"/>
  <c r="AE218" i="10"/>
  <c r="AJ218" i="10"/>
  <c r="AU218" i="10"/>
  <c r="R218" i="10"/>
  <c r="S218" i="10"/>
  <c r="T218" i="10" s="1"/>
  <c r="U218" i="10"/>
  <c r="Y218" i="10" s="1"/>
  <c r="AG218" i="10" s="1"/>
  <c r="AM218" i="10"/>
  <c r="AN218" i="10" s="1"/>
  <c r="AO218" i="10" s="1"/>
  <c r="AL218" i="10" s="1"/>
  <c r="AP218" i="10"/>
  <c r="AA217" i="10"/>
  <c r="AB217" i="10"/>
  <c r="AJ217" i="10" s="1"/>
  <c r="AE217" i="10"/>
  <c r="AU217" i="10"/>
  <c r="R217" i="10"/>
  <c r="S217" i="10"/>
  <c r="T217" i="10" s="1"/>
  <c r="U217" i="10"/>
  <c r="Y217" i="10" s="1"/>
  <c r="AM217" i="10"/>
  <c r="AN217" i="10"/>
  <c r="AO217" i="10" s="1"/>
  <c r="AL217" i="10" s="1"/>
  <c r="AP217" i="10"/>
  <c r="AA216" i="10"/>
  <c r="AB216" i="10"/>
  <c r="AE216" i="10"/>
  <c r="AJ216" i="10"/>
  <c r="AU216" i="10"/>
  <c r="R216" i="10"/>
  <c r="S216" i="10"/>
  <c r="T216" i="10" s="1"/>
  <c r="U216" i="10"/>
  <c r="Y216" i="10" s="1"/>
  <c r="AG216" i="10" s="1"/>
  <c r="AH216" i="10" s="1"/>
  <c r="AI216" i="10" s="1"/>
  <c r="AM216" i="10"/>
  <c r="AN216" i="10"/>
  <c r="AO216" i="10" s="1"/>
  <c r="AP216" i="10"/>
  <c r="AA215" i="10"/>
  <c r="AB215" i="10"/>
  <c r="AJ215" i="10" s="1"/>
  <c r="AE215" i="10"/>
  <c r="AU215" i="10"/>
  <c r="R215" i="10"/>
  <c r="S215" i="10"/>
  <c r="T215" i="10" s="1"/>
  <c r="U215" i="10"/>
  <c r="Y215" i="10" s="1"/>
  <c r="AM215" i="10"/>
  <c r="AN215" i="10"/>
  <c r="AO215" i="10"/>
  <c r="AL215" i="10" s="1"/>
  <c r="AP215" i="10"/>
  <c r="AA208" i="10"/>
  <c r="AB208" i="10"/>
  <c r="AJ208" i="10" s="1"/>
  <c r="AE208" i="10"/>
  <c r="AU208" i="10"/>
  <c r="R208" i="10"/>
  <c r="S208" i="10"/>
  <c r="T208" i="10" s="1"/>
  <c r="U208" i="10"/>
  <c r="Y208" i="10" s="1"/>
  <c r="AM208" i="10"/>
  <c r="AN208" i="10"/>
  <c r="AO208" i="10"/>
  <c r="AL208" i="10" s="1"/>
  <c r="AP208" i="10"/>
  <c r="AA197" i="10"/>
  <c r="AB197" i="10"/>
  <c r="AE197" i="10"/>
  <c r="AJ197" i="10"/>
  <c r="AU197" i="10"/>
  <c r="R197" i="10"/>
  <c r="S197" i="10"/>
  <c r="T197" i="10" s="1"/>
  <c r="U197" i="10"/>
  <c r="Y197" i="10" s="1"/>
  <c r="AG197" i="10" s="1"/>
  <c r="AH197" i="10" s="1"/>
  <c r="AI197" i="10" s="1"/>
  <c r="AM197" i="10"/>
  <c r="AN197" i="10"/>
  <c r="AO197" i="10" s="1"/>
  <c r="AP197" i="10"/>
  <c r="AA186" i="10"/>
  <c r="AB186" i="10"/>
  <c r="AE186" i="10"/>
  <c r="AJ186" i="10"/>
  <c r="AU186" i="10"/>
  <c r="R186" i="10"/>
  <c r="S186" i="10"/>
  <c r="T186" i="10" s="1"/>
  <c r="U186" i="10"/>
  <c r="Y186" i="10" s="1"/>
  <c r="AM186" i="10"/>
  <c r="AN186" i="10" s="1"/>
  <c r="AO186" i="10" s="1"/>
  <c r="AL186" i="10" s="1"/>
  <c r="AP186" i="10"/>
  <c r="AA137" i="10"/>
  <c r="AB137" i="10"/>
  <c r="AJ137" i="10" s="1"/>
  <c r="AE137" i="10"/>
  <c r="AU137" i="10"/>
  <c r="R137" i="10"/>
  <c r="S137" i="10"/>
  <c r="T137" i="10" s="1"/>
  <c r="AM137" i="10"/>
  <c r="AN137" i="10" s="1"/>
  <c r="AO137" i="10" s="1"/>
  <c r="AL137" i="10" s="1"/>
  <c r="AP137" i="10"/>
  <c r="AA115" i="10"/>
  <c r="AB115" i="10"/>
  <c r="AJ115" i="10" s="1"/>
  <c r="AE115" i="10"/>
  <c r="AU115" i="10"/>
  <c r="R115" i="10"/>
  <c r="S115" i="10"/>
  <c r="T115" i="10" s="1"/>
  <c r="U115" i="10"/>
  <c r="Y115" i="10" s="1"/>
  <c r="AM115" i="10"/>
  <c r="AN115" i="10"/>
  <c r="AO115" i="10" s="1"/>
  <c r="AL115" i="10" s="1"/>
  <c r="AP115" i="10"/>
  <c r="AA105" i="10"/>
  <c r="AB105" i="10"/>
  <c r="AJ105" i="10" s="1"/>
  <c r="AE105" i="10"/>
  <c r="AU105" i="10"/>
  <c r="R105" i="10"/>
  <c r="S105" i="10"/>
  <c r="T105" i="10" s="1"/>
  <c r="U105" i="10"/>
  <c r="Y105" i="10" s="1"/>
  <c r="AM105" i="10"/>
  <c r="AN105" i="10"/>
  <c r="AO105" i="10"/>
  <c r="AL105" i="10" s="1"/>
  <c r="AP105" i="10"/>
  <c r="R57" i="10"/>
  <c r="S57" i="10"/>
  <c r="T57" i="10" s="1"/>
  <c r="U57" i="10"/>
  <c r="AM57" i="10"/>
  <c r="AN57" i="10"/>
  <c r="AO57" i="10" s="1"/>
  <c r="AP57" i="10"/>
  <c r="AB47" i="10"/>
  <c r="AJ47" i="10" s="1"/>
  <c r="AE47" i="10"/>
  <c r="AU47" i="10"/>
  <c r="R47" i="10"/>
  <c r="S47" i="10"/>
  <c r="T47" i="10" s="1"/>
  <c r="U47" i="10"/>
  <c r="Y47" i="10" s="1"/>
  <c r="AM47" i="10"/>
  <c r="AN47" i="10"/>
  <c r="AO47" i="10"/>
  <c r="AP47" i="10"/>
  <c r="R32" i="10"/>
  <c r="S32" i="10"/>
  <c r="T32" i="10" s="1"/>
  <c r="U32" i="10"/>
  <c r="AM32" i="10"/>
  <c r="AN32" i="10"/>
  <c r="AO32" i="10"/>
  <c r="AP32" i="10"/>
  <c r="AA171" i="10"/>
  <c r="AB171" i="10"/>
  <c r="AE171" i="10"/>
  <c r="AJ171" i="10"/>
  <c r="AU171" i="10"/>
  <c r="R171" i="10"/>
  <c r="S171" i="10"/>
  <c r="T171" i="10" s="1"/>
  <c r="U171" i="10"/>
  <c r="Y171" i="10" s="1"/>
  <c r="AG171" i="10" s="1"/>
  <c r="AM171" i="10"/>
  <c r="AN171" i="10"/>
  <c r="AO171" i="10"/>
  <c r="AL171" i="10" s="1"/>
  <c r="AP171" i="10"/>
  <c r="AA170" i="10"/>
  <c r="AB170" i="10"/>
  <c r="AE170" i="10"/>
  <c r="AJ170" i="10"/>
  <c r="AU170" i="10"/>
  <c r="R170" i="10"/>
  <c r="S170" i="10"/>
  <c r="T170" i="10" s="1"/>
  <c r="U170" i="10"/>
  <c r="Y170" i="10" s="1"/>
  <c r="AM170" i="10"/>
  <c r="AN170" i="10"/>
  <c r="AO170" i="10"/>
  <c r="AL170" i="10" s="1"/>
  <c r="AP170" i="10"/>
  <c r="AA169" i="10"/>
  <c r="AB169" i="10"/>
  <c r="AE169" i="10"/>
  <c r="AJ169" i="10"/>
  <c r="AU169" i="10"/>
  <c r="R169" i="10"/>
  <c r="S169" i="10"/>
  <c r="T169" i="10" s="1"/>
  <c r="U169" i="10"/>
  <c r="Y169" i="10" s="1"/>
  <c r="AG169" i="10" s="1"/>
  <c r="AM169" i="10"/>
  <c r="AN169" i="10"/>
  <c r="AO169" i="10"/>
  <c r="AL169" i="10" s="1"/>
  <c r="AP169" i="10"/>
  <c r="R168" i="10"/>
  <c r="S168" i="10"/>
  <c r="T168" i="10" s="1"/>
  <c r="U168" i="10"/>
  <c r="AM168" i="10"/>
  <c r="AN168" i="10"/>
  <c r="AO168" i="10"/>
  <c r="AP168" i="10"/>
  <c r="R167" i="10"/>
  <c r="S167" i="10"/>
  <c r="T167" i="10" s="1"/>
  <c r="U167" i="10"/>
  <c r="AM167" i="10"/>
  <c r="AN167" i="10"/>
  <c r="AO167" i="10"/>
  <c r="AP167" i="10"/>
  <c r="AA166" i="10"/>
  <c r="AB166" i="10"/>
  <c r="AE166" i="10"/>
  <c r="AJ166" i="10"/>
  <c r="AU166" i="10"/>
  <c r="R166" i="10"/>
  <c r="S166" i="10"/>
  <c r="T166" i="10" s="1"/>
  <c r="U166" i="10"/>
  <c r="Y166" i="10" s="1"/>
  <c r="AG166" i="10" s="1"/>
  <c r="AM166" i="10"/>
  <c r="AN166" i="10"/>
  <c r="AO166" i="10"/>
  <c r="AL166" i="10" s="1"/>
  <c r="AP166" i="10"/>
  <c r="AA165" i="10"/>
  <c r="AB165" i="10"/>
  <c r="AE165" i="10"/>
  <c r="AJ165" i="10"/>
  <c r="AU165" i="10"/>
  <c r="R165" i="10"/>
  <c r="S165" i="10"/>
  <c r="T165" i="10" s="1"/>
  <c r="U165" i="10"/>
  <c r="Y165" i="10" s="1"/>
  <c r="AG165" i="10" s="1"/>
  <c r="AM165" i="10"/>
  <c r="AN165" i="10"/>
  <c r="AO165" i="10"/>
  <c r="AL165" i="10" s="1"/>
  <c r="AP165" i="10"/>
  <c r="R164" i="10"/>
  <c r="S164" i="10"/>
  <c r="T164" i="10" s="1"/>
  <c r="U164" i="10"/>
  <c r="AM164" i="10"/>
  <c r="AN164" i="10"/>
  <c r="AO164" i="10"/>
  <c r="AL164" i="10" s="1"/>
  <c r="AP164" i="10"/>
  <c r="AA163" i="10"/>
  <c r="AB163" i="10"/>
  <c r="AE163" i="10"/>
  <c r="AJ163" i="10"/>
  <c r="AU163" i="10"/>
  <c r="R163" i="10"/>
  <c r="S163" i="10"/>
  <c r="T163" i="10" s="1"/>
  <c r="U163" i="10"/>
  <c r="Y163" i="10" s="1"/>
  <c r="AG163" i="10" s="1"/>
  <c r="AM163" i="10"/>
  <c r="AN163" i="10"/>
  <c r="AO163" i="10"/>
  <c r="AL163" i="10" s="1"/>
  <c r="AP163" i="10"/>
  <c r="R162" i="10"/>
  <c r="S162" i="10"/>
  <c r="T162" i="10" s="1"/>
  <c r="U162" i="10"/>
  <c r="AM162" i="10"/>
  <c r="AN162" i="10"/>
  <c r="AO162" i="10"/>
  <c r="AL162" i="10" s="1"/>
  <c r="AP162" i="10"/>
  <c r="AA161" i="10"/>
  <c r="AB161" i="10"/>
  <c r="AE161" i="10"/>
  <c r="AJ161" i="10"/>
  <c r="AU161" i="10"/>
  <c r="R161" i="10"/>
  <c r="S161" i="10"/>
  <c r="T161" i="10" s="1"/>
  <c r="U161" i="10"/>
  <c r="Y161" i="10" s="1"/>
  <c r="AG161" i="10" s="1"/>
  <c r="AM161" i="10"/>
  <c r="AN161" i="10"/>
  <c r="AO161" i="10"/>
  <c r="AL161" i="10" s="1"/>
  <c r="AP161" i="10"/>
  <c r="AA160" i="10"/>
  <c r="AB160" i="10"/>
  <c r="AE160" i="10"/>
  <c r="AJ160" i="10"/>
  <c r="AU160" i="10"/>
  <c r="R160" i="10"/>
  <c r="S160" i="10"/>
  <c r="T160" i="10" s="1"/>
  <c r="U160" i="10"/>
  <c r="Y160" i="10" s="1"/>
  <c r="AG160" i="10" s="1"/>
  <c r="AM160" i="10"/>
  <c r="AN160" i="10"/>
  <c r="AO160" i="10"/>
  <c r="AL160" i="10" s="1"/>
  <c r="AP160" i="10"/>
  <c r="AA159" i="10"/>
  <c r="AB159" i="10"/>
  <c r="AE159" i="10"/>
  <c r="AJ159" i="10"/>
  <c r="AU159" i="10"/>
  <c r="R159" i="10"/>
  <c r="S159" i="10"/>
  <c r="T159" i="10" s="1"/>
  <c r="U159" i="10"/>
  <c r="Y159" i="10" s="1"/>
  <c r="AG159" i="10" s="1"/>
  <c r="AM159" i="10"/>
  <c r="AN159" i="10"/>
  <c r="AO159" i="10"/>
  <c r="AP159" i="10"/>
  <c r="R158" i="10"/>
  <c r="S158" i="10"/>
  <c r="T158" i="10" s="1"/>
  <c r="U158" i="10"/>
  <c r="AM158" i="10"/>
  <c r="AN158" i="10"/>
  <c r="AO158" i="10"/>
  <c r="AP158" i="10"/>
  <c r="AN157" i="10"/>
  <c r="AP157" i="10"/>
  <c r="AM157" i="10"/>
  <c r="AO157" i="10"/>
  <c r="AA157" i="10"/>
  <c r="AE157" i="10"/>
  <c r="AJ157" i="10"/>
  <c r="AB157" i="10"/>
  <c r="AU157" i="10"/>
  <c r="S157" i="10"/>
  <c r="T157" i="10" s="1"/>
  <c r="U157" i="10"/>
  <c r="Y157" i="10" s="1"/>
  <c r="AG157" i="10" s="1"/>
  <c r="AH157" i="10" s="1"/>
  <c r="AI157" i="10" s="1"/>
  <c r="R157" i="10"/>
  <c r="AM156" i="10"/>
  <c r="AN156" i="10"/>
  <c r="AO156" i="10" s="1"/>
  <c r="AL156" i="10" s="1"/>
  <c r="AP156" i="10"/>
  <c r="S156" i="10"/>
  <c r="T156" i="10" s="1"/>
  <c r="U156" i="10"/>
  <c r="R156" i="10"/>
  <c r="R153" i="10"/>
  <c r="S153" i="10"/>
  <c r="T153" i="10" s="1"/>
  <c r="U153" i="10"/>
  <c r="AM153" i="10"/>
  <c r="AN153" i="10"/>
  <c r="AO153" i="10"/>
  <c r="AP153" i="10"/>
  <c r="R151" i="10"/>
  <c r="S151" i="10"/>
  <c r="T151" i="10" s="1"/>
  <c r="U151" i="10"/>
  <c r="AM151" i="10"/>
  <c r="AN151" i="10"/>
  <c r="AO151" i="10"/>
  <c r="AL151" i="10" s="1"/>
  <c r="AP151" i="10"/>
  <c r="AA150" i="10"/>
  <c r="AB150" i="10"/>
  <c r="AE150" i="10"/>
  <c r="AJ150" i="10"/>
  <c r="AU150" i="10"/>
  <c r="R150" i="10"/>
  <c r="S150" i="10"/>
  <c r="T150" i="10" s="1"/>
  <c r="U150" i="10"/>
  <c r="Y150" i="10" s="1"/>
  <c r="AG150" i="10" s="1"/>
  <c r="AM150" i="10"/>
  <c r="AN150" i="10"/>
  <c r="AO150" i="10"/>
  <c r="AL150" i="10" s="1"/>
  <c r="AP150" i="10"/>
  <c r="AA149" i="10"/>
  <c r="AB149" i="10"/>
  <c r="AE149" i="10"/>
  <c r="AJ149" i="10"/>
  <c r="AU149" i="10"/>
  <c r="R149" i="10"/>
  <c r="S149" i="10"/>
  <c r="T149" i="10" s="1"/>
  <c r="U149" i="10"/>
  <c r="Y149" i="10" s="1"/>
  <c r="AG149" i="10" s="1"/>
  <c r="AM149" i="10"/>
  <c r="AN149" i="10"/>
  <c r="AO149" i="10"/>
  <c r="AL149" i="10" s="1"/>
  <c r="AP149" i="10"/>
  <c r="R147" i="10"/>
  <c r="S147" i="10"/>
  <c r="T147" i="10" s="1"/>
  <c r="U147" i="10"/>
  <c r="AM147" i="10"/>
  <c r="AN147" i="10"/>
  <c r="AO147" i="10"/>
  <c r="AL147" i="10" s="1"/>
  <c r="AP147" i="10"/>
  <c r="AA145" i="10"/>
  <c r="AB145" i="10"/>
  <c r="AE145" i="10"/>
  <c r="AJ145" i="10"/>
  <c r="AU145" i="10"/>
  <c r="R145" i="10"/>
  <c r="S145" i="10"/>
  <c r="T145" i="10" s="1"/>
  <c r="U145" i="10"/>
  <c r="Y145" i="10" s="1"/>
  <c r="AG145" i="10" s="1"/>
  <c r="AH145" i="10" s="1"/>
  <c r="AI145" i="10" s="1"/>
  <c r="AM145" i="10"/>
  <c r="AN145" i="10"/>
  <c r="AO145" i="10"/>
  <c r="AL145" i="10" s="1"/>
  <c r="AP145" i="10"/>
  <c r="AA144" i="10"/>
  <c r="AB144" i="10"/>
  <c r="AE144" i="10"/>
  <c r="AJ144" i="10"/>
  <c r="AU144" i="10"/>
  <c r="R144" i="10"/>
  <c r="S144" i="10"/>
  <c r="T144" i="10" s="1"/>
  <c r="U144" i="10"/>
  <c r="Y144" i="10" s="1"/>
  <c r="AG144" i="10" s="1"/>
  <c r="AM144" i="10"/>
  <c r="AN144" i="10"/>
  <c r="AO144" i="10"/>
  <c r="AL144" i="10" s="1"/>
  <c r="AP144" i="10"/>
  <c r="AA143" i="10"/>
  <c r="AB143" i="10"/>
  <c r="AE143" i="10"/>
  <c r="AJ143" i="10"/>
  <c r="AU143" i="10"/>
  <c r="R143" i="10"/>
  <c r="S143" i="10"/>
  <c r="T143" i="10" s="1"/>
  <c r="U143" i="10"/>
  <c r="Y143" i="10" s="1"/>
  <c r="AG143" i="10" s="1"/>
  <c r="AM143" i="10"/>
  <c r="AN143" i="10"/>
  <c r="AO143" i="10"/>
  <c r="AL143" i="10" s="1"/>
  <c r="AP143" i="10"/>
  <c r="AA142" i="10"/>
  <c r="AB142" i="10"/>
  <c r="AE142" i="10"/>
  <c r="AJ142" i="10"/>
  <c r="AU142" i="10"/>
  <c r="R142" i="10"/>
  <c r="S142" i="10"/>
  <c r="T142" i="10" s="1"/>
  <c r="U142" i="10"/>
  <c r="Y142" i="10" s="1"/>
  <c r="AG142" i="10" s="1"/>
  <c r="AM142" i="10"/>
  <c r="AN142" i="10"/>
  <c r="AO142" i="10"/>
  <c r="AL142" i="10" s="1"/>
  <c r="AP142" i="10"/>
  <c r="AA141" i="10"/>
  <c r="AB141" i="10"/>
  <c r="AE141" i="10"/>
  <c r="AJ141" i="10"/>
  <c r="AU141" i="10"/>
  <c r="R141" i="10"/>
  <c r="S141" i="10"/>
  <c r="T141" i="10" s="1"/>
  <c r="U141" i="10"/>
  <c r="Y141" i="10" s="1"/>
  <c r="AG141" i="10" s="1"/>
  <c r="AH141" i="10" s="1"/>
  <c r="AI141" i="10" s="1"/>
  <c r="AM141" i="10"/>
  <c r="AN141" i="10"/>
  <c r="AO141" i="10"/>
  <c r="AL141" i="10" s="1"/>
  <c r="AP141" i="10"/>
  <c r="AA140" i="10"/>
  <c r="AB140" i="10"/>
  <c r="AE140" i="10"/>
  <c r="AJ140" i="10"/>
  <c r="AU140" i="10"/>
  <c r="R140" i="10"/>
  <c r="S140" i="10"/>
  <c r="T140" i="10" s="1"/>
  <c r="U140" i="10"/>
  <c r="Y140" i="10" s="1"/>
  <c r="AG140" i="10" s="1"/>
  <c r="AM140" i="10"/>
  <c r="AN140" i="10"/>
  <c r="AO140" i="10"/>
  <c r="AL140" i="10" s="1"/>
  <c r="AP140" i="10"/>
  <c r="AA139" i="10"/>
  <c r="AB139" i="10"/>
  <c r="AE139" i="10"/>
  <c r="AJ139" i="10"/>
  <c r="AU139" i="10"/>
  <c r="R139" i="10"/>
  <c r="S139" i="10"/>
  <c r="T139" i="10" s="1"/>
  <c r="U139" i="10"/>
  <c r="Y139" i="10" s="1"/>
  <c r="AG139" i="10" s="1"/>
  <c r="AM139" i="10"/>
  <c r="AN139" i="10"/>
  <c r="AO139" i="10"/>
  <c r="AP139" i="10"/>
  <c r="AA138" i="10"/>
  <c r="AB138" i="10"/>
  <c r="AE138" i="10"/>
  <c r="AJ138" i="10"/>
  <c r="AU138" i="10"/>
  <c r="R138" i="10"/>
  <c r="S138" i="10"/>
  <c r="T138" i="10" s="1"/>
  <c r="U138" i="10"/>
  <c r="Y138" i="10" s="1"/>
  <c r="AG138" i="10" s="1"/>
  <c r="AH138" i="10" s="1"/>
  <c r="AI138" i="10" s="1"/>
  <c r="AM138" i="10"/>
  <c r="AN138" i="10"/>
  <c r="AO138" i="10"/>
  <c r="AP138" i="10"/>
  <c r="AA125" i="10"/>
  <c r="AB125" i="10"/>
  <c r="AE125" i="10"/>
  <c r="AJ125" i="10"/>
  <c r="AU125" i="10"/>
  <c r="R125" i="10"/>
  <c r="S125" i="10"/>
  <c r="T125" i="10" s="1"/>
  <c r="U125" i="10"/>
  <c r="Y125" i="10" s="1"/>
  <c r="AG125" i="10" s="1"/>
  <c r="AM125" i="10"/>
  <c r="AN125" i="10"/>
  <c r="AO125" i="10"/>
  <c r="AL125" i="10" s="1"/>
  <c r="AP125" i="10"/>
  <c r="AA107" i="10"/>
  <c r="AB107" i="10"/>
  <c r="AE107" i="10"/>
  <c r="AJ107" i="10"/>
  <c r="AU107" i="10"/>
  <c r="R107" i="10"/>
  <c r="S107" i="10"/>
  <c r="T107" i="10" s="1"/>
  <c r="U107" i="10"/>
  <c r="Y107" i="10" s="1"/>
  <c r="AG107" i="10" s="1"/>
  <c r="AM107" i="10"/>
  <c r="AN107" i="10"/>
  <c r="AO107" i="10"/>
  <c r="AL107" i="10" s="1"/>
  <c r="AP107" i="10"/>
  <c r="AA96" i="10"/>
  <c r="AB96" i="10"/>
  <c r="AE96" i="10"/>
  <c r="AJ96" i="10"/>
  <c r="AU96" i="10"/>
  <c r="R96" i="10"/>
  <c r="S96" i="10"/>
  <c r="T96" i="10" s="1"/>
  <c r="U96" i="10"/>
  <c r="Y96" i="10" s="1"/>
  <c r="AG96" i="10" s="1"/>
  <c r="AM96" i="10"/>
  <c r="AN96" i="10"/>
  <c r="AO96" i="10"/>
  <c r="AL96" i="10" s="1"/>
  <c r="AP96" i="10"/>
  <c r="AA48" i="10"/>
  <c r="AB48" i="10"/>
  <c r="AE48" i="10"/>
  <c r="AJ48" i="10"/>
  <c r="AU48" i="10"/>
  <c r="R48" i="10"/>
  <c r="S48" i="10"/>
  <c r="T48" i="10" s="1"/>
  <c r="U48" i="10"/>
  <c r="Y48" i="10" s="1"/>
  <c r="AG48" i="10" s="1"/>
  <c r="AM48" i="10"/>
  <c r="AN48" i="10"/>
  <c r="AO48" i="10"/>
  <c r="AL48" i="10" s="1"/>
  <c r="AP48" i="10"/>
  <c r="AA36" i="10"/>
  <c r="AB36" i="10"/>
  <c r="AE36" i="10"/>
  <c r="AJ36" i="10"/>
  <c r="AU36" i="10"/>
  <c r="R36" i="10"/>
  <c r="S36" i="10"/>
  <c r="T36" i="10" s="1"/>
  <c r="U36" i="10"/>
  <c r="Y36" i="10" s="1"/>
  <c r="AG36" i="10" s="1"/>
  <c r="AM36" i="10"/>
  <c r="AN36" i="10"/>
  <c r="AO36" i="10"/>
  <c r="AL36" i="10" s="1"/>
  <c r="AP36" i="10"/>
  <c r="AA94" i="10"/>
  <c r="AB94" i="10"/>
  <c r="AJ94" i="10" s="1"/>
  <c r="AE94" i="10"/>
  <c r="AU94" i="10"/>
  <c r="R94" i="10"/>
  <c r="S94" i="10"/>
  <c r="T94" i="10" s="1"/>
  <c r="U94" i="10"/>
  <c r="Y94" i="10" s="1"/>
  <c r="AM94" i="10"/>
  <c r="AN94" i="10"/>
  <c r="AO94" i="10"/>
  <c r="AL94" i="10" s="1"/>
  <c r="AP94" i="10"/>
  <c r="AA93" i="10"/>
  <c r="AB93" i="10"/>
  <c r="AE93" i="10"/>
  <c r="AJ93" i="10"/>
  <c r="AU93" i="10"/>
  <c r="R93" i="10"/>
  <c r="S93" i="10"/>
  <c r="T93" i="10" s="1"/>
  <c r="AM93" i="10"/>
  <c r="AN93" i="10"/>
  <c r="AO93" i="10"/>
  <c r="AL93" i="10" s="1"/>
  <c r="AP93" i="10"/>
  <c r="AA92" i="10"/>
  <c r="AB92" i="10"/>
  <c r="AJ92" i="10" s="1"/>
  <c r="AE92" i="10"/>
  <c r="AU92" i="10"/>
  <c r="R92" i="10"/>
  <c r="S92" i="10"/>
  <c r="T92" i="10" s="1"/>
  <c r="AM92" i="10"/>
  <c r="AN92" i="10"/>
  <c r="AO92" i="10"/>
  <c r="AL92" i="10" s="1"/>
  <c r="AP92" i="10"/>
  <c r="AA91" i="10"/>
  <c r="AB91" i="10"/>
  <c r="AE91" i="10"/>
  <c r="AJ91" i="10"/>
  <c r="AU91" i="10"/>
  <c r="R91" i="10"/>
  <c r="S91" i="10"/>
  <c r="T91" i="10" s="1"/>
  <c r="AM91" i="10"/>
  <c r="AN91" i="10" s="1"/>
  <c r="AO91" i="10" s="1"/>
  <c r="AL91" i="10" s="1"/>
  <c r="AP91" i="10"/>
  <c r="AA90" i="10"/>
  <c r="AB90" i="10"/>
  <c r="AJ90" i="10" s="1"/>
  <c r="AE90" i="10"/>
  <c r="AU90" i="10"/>
  <c r="R90" i="10"/>
  <c r="S90" i="10"/>
  <c r="T90" i="10" s="1"/>
  <c r="U90" i="10"/>
  <c r="Y90" i="10" s="1"/>
  <c r="AM90" i="10"/>
  <c r="AN90" i="10"/>
  <c r="AO90" i="10"/>
  <c r="AL90" i="10" s="1"/>
  <c r="AP90" i="10"/>
  <c r="AA89" i="10"/>
  <c r="AB89" i="10"/>
  <c r="AE89" i="10"/>
  <c r="AJ89" i="10"/>
  <c r="AU89" i="10"/>
  <c r="R89" i="10"/>
  <c r="S89" i="10"/>
  <c r="T89" i="10" s="1"/>
  <c r="AM89" i="10"/>
  <c r="AN89" i="10" s="1"/>
  <c r="AO89" i="10" s="1"/>
  <c r="AL89" i="10" s="1"/>
  <c r="AP89" i="10"/>
  <c r="AA87" i="10"/>
  <c r="AB87" i="10"/>
  <c r="AE87" i="10"/>
  <c r="AJ87" i="10"/>
  <c r="AU87" i="10"/>
  <c r="R87" i="10"/>
  <c r="S87" i="10"/>
  <c r="T87" i="10" s="1"/>
  <c r="U87" i="10"/>
  <c r="Y87" i="10" s="1"/>
  <c r="AG87" i="10" s="1"/>
  <c r="AM87" i="10"/>
  <c r="AN87" i="10" s="1"/>
  <c r="AO87" i="10" s="1"/>
  <c r="AL87" i="10" s="1"/>
  <c r="AP87" i="10"/>
  <c r="AA86" i="10"/>
  <c r="AB86" i="10"/>
  <c r="AJ86" i="10" s="1"/>
  <c r="AE86" i="10"/>
  <c r="AU86" i="10"/>
  <c r="R86" i="10"/>
  <c r="S86" i="10"/>
  <c r="T86" i="10" s="1"/>
  <c r="U86" i="10"/>
  <c r="Y86" i="10" s="1"/>
  <c r="AM86" i="10"/>
  <c r="AN86" i="10"/>
  <c r="AO86" i="10"/>
  <c r="AL86" i="10" s="1"/>
  <c r="AP86" i="10"/>
  <c r="AA85" i="10"/>
  <c r="AB85" i="10"/>
  <c r="AJ85" i="10" s="1"/>
  <c r="AE85" i="10"/>
  <c r="AU85" i="10"/>
  <c r="R85" i="10"/>
  <c r="S85" i="10"/>
  <c r="T85" i="10" s="1"/>
  <c r="U85" i="10"/>
  <c r="Y85" i="10" s="1"/>
  <c r="AM85" i="10"/>
  <c r="AN85" i="10"/>
  <c r="AO85" i="10" s="1"/>
  <c r="AL85" i="10" s="1"/>
  <c r="AP85" i="10"/>
  <c r="AA84" i="10"/>
  <c r="AB84" i="10"/>
  <c r="AE84" i="10"/>
  <c r="AJ84" i="10"/>
  <c r="AU84" i="10"/>
  <c r="R84" i="10"/>
  <c r="S84" i="10"/>
  <c r="T84" i="10" s="1"/>
  <c r="U84" i="10"/>
  <c r="Y84" i="10" s="1"/>
  <c r="AG84" i="10" s="1"/>
  <c r="AM84" i="10"/>
  <c r="AN84" i="10" s="1"/>
  <c r="AO84" i="10" s="1"/>
  <c r="AL84" i="10" s="1"/>
  <c r="AP84" i="10"/>
  <c r="AA82" i="10"/>
  <c r="AB82" i="10"/>
  <c r="AE82" i="10"/>
  <c r="AJ82" i="10"/>
  <c r="AU82" i="10"/>
  <c r="R82" i="10"/>
  <c r="S82" i="10"/>
  <c r="T82" i="10" s="1"/>
  <c r="U82" i="10"/>
  <c r="Y82" i="10" s="1"/>
  <c r="AM82" i="10"/>
  <c r="AN82" i="10"/>
  <c r="AO82" i="10" s="1"/>
  <c r="AL82" i="10" s="1"/>
  <c r="AP82" i="10"/>
  <c r="AA81" i="10"/>
  <c r="AB81" i="10"/>
  <c r="AJ81" i="10" s="1"/>
  <c r="AE81" i="10"/>
  <c r="AU81" i="10"/>
  <c r="R81" i="10"/>
  <c r="S81" i="10"/>
  <c r="T81" i="10" s="1"/>
  <c r="U81" i="10"/>
  <c r="Y81" i="10" s="1"/>
  <c r="AM81" i="10"/>
  <c r="AN81" i="10"/>
  <c r="AO81" i="10"/>
  <c r="AP81" i="10"/>
  <c r="AA80" i="10"/>
  <c r="AB80" i="10"/>
  <c r="AE80" i="10"/>
  <c r="AJ80" i="10"/>
  <c r="AU80" i="10"/>
  <c r="R80" i="10"/>
  <c r="S80" i="10"/>
  <c r="T80" i="10" s="1"/>
  <c r="U80" i="10"/>
  <c r="Y80" i="10" s="1"/>
  <c r="AM80" i="10"/>
  <c r="AN80" i="10"/>
  <c r="AO80" i="10"/>
  <c r="AL80" i="10" s="1"/>
  <c r="AP80" i="10"/>
  <c r="AA78" i="10"/>
  <c r="AB78" i="10"/>
  <c r="AE78" i="10"/>
  <c r="AJ78" i="10"/>
  <c r="AU78" i="10"/>
  <c r="R78" i="10"/>
  <c r="S78" i="10"/>
  <c r="T78" i="10" s="1"/>
  <c r="U78" i="10"/>
  <c r="Y78" i="10" s="1"/>
  <c r="AG78" i="10" s="1"/>
  <c r="AM78" i="10"/>
  <c r="AN78" i="10"/>
  <c r="AO78" i="10"/>
  <c r="AL78" i="10" s="1"/>
  <c r="AP78" i="10"/>
  <c r="AA77" i="10"/>
  <c r="AB77" i="10"/>
  <c r="AE77" i="10"/>
  <c r="AJ77" i="10"/>
  <c r="AU77" i="10"/>
  <c r="R77" i="10"/>
  <c r="S77" i="10"/>
  <c r="T77" i="10" s="1"/>
  <c r="U77" i="10"/>
  <c r="Y77" i="10" s="1"/>
  <c r="AG77" i="10" s="1"/>
  <c r="AM77" i="10"/>
  <c r="AN77" i="10"/>
  <c r="AO77" i="10"/>
  <c r="AL77" i="10" s="1"/>
  <c r="AP77" i="10"/>
  <c r="AA76" i="10"/>
  <c r="AB76" i="10"/>
  <c r="AE76" i="10"/>
  <c r="AJ76" i="10"/>
  <c r="AU76" i="10"/>
  <c r="R76" i="10"/>
  <c r="S76" i="10"/>
  <c r="T76" i="10" s="1"/>
  <c r="U76" i="10"/>
  <c r="Y76" i="10" s="1"/>
  <c r="AG76" i="10" s="1"/>
  <c r="AM76" i="10"/>
  <c r="AN76" i="10"/>
  <c r="AO76" i="10"/>
  <c r="AL76" i="10" s="1"/>
  <c r="AP76" i="10"/>
  <c r="AA75" i="10"/>
  <c r="AB75" i="10"/>
  <c r="AE75" i="10"/>
  <c r="AJ75" i="10"/>
  <c r="AU75" i="10"/>
  <c r="R75" i="10"/>
  <c r="S75" i="10"/>
  <c r="T75" i="10" s="1"/>
  <c r="U75" i="10"/>
  <c r="Y75" i="10" s="1"/>
  <c r="AG75" i="10" s="1"/>
  <c r="AM75" i="10"/>
  <c r="AN75" i="10"/>
  <c r="AO75" i="10"/>
  <c r="AP75" i="10"/>
  <c r="AA74" i="10"/>
  <c r="AB74" i="10"/>
  <c r="AE74" i="10"/>
  <c r="AJ74" i="10"/>
  <c r="AU74" i="10"/>
  <c r="R74" i="10"/>
  <c r="S74" i="10"/>
  <c r="T74" i="10" s="1"/>
  <c r="U74" i="10"/>
  <c r="Y74" i="10" s="1"/>
  <c r="AG74" i="10" s="1"/>
  <c r="AM74" i="10"/>
  <c r="AN74" i="10"/>
  <c r="AO74" i="10"/>
  <c r="AL74" i="10" s="1"/>
  <c r="AP74" i="10"/>
  <c r="AA73" i="10"/>
  <c r="AB73" i="10"/>
  <c r="AE73" i="10"/>
  <c r="AJ73" i="10"/>
  <c r="AU73" i="10"/>
  <c r="R73" i="10"/>
  <c r="S73" i="10"/>
  <c r="T73" i="10" s="1"/>
  <c r="U73" i="10"/>
  <c r="Y73" i="10" s="1"/>
  <c r="AG73" i="10" s="1"/>
  <c r="AM73" i="10"/>
  <c r="AN73" i="10"/>
  <c r="AO73" i="10"/>
  <c r="AP73" i="10"/>
  <c r="AA72" i="10"/>
  <c r="AB72" i="10"/>
  <c r="AE72" i="10"/>
  <c r="AJ72" i="10"/>
  <c r="AU72" i="10"/>
  <c r="R72" i="10"/>
  <c r="S72" i="10"/>
  <c r="T72" i="10" s="1"/>
  <c r="U72" i="10"/>
  <c r="Y72" i="10" s="1"/>
  <c r="AG72" i="10" s="1"/>
  <c r="AM72" i="10"/>
  <c r="AN72" i="10"/>
  <c r="AO72" i="10"/>
  <c r="AL72" i="10" s="1"/>
  <c r="AP72" i="10"/>
  <c r="AA71" i="10"/>
  <c r="AB71" i="10"/>
  <c r="AE71" i="10"/>
  <c r="AJ71" i="10"/>
  <c r="AU71" i="10"/>
  <c r="R71" i="10"/>
  <c r="S71" i="10"/>
  <c r="T71" i="10" s="1"/>
  <c r="U71" i="10"/>
  <c r="Y71" i="10" s="1"/>
  <c r="AG71" i="10" s="1"/>
  <c r="AM71" i="10"/>
  <c r="AN71" i="10"/>
  <c r="AO71" i="10"/>
  <c r="AL71" i="10" s="1"/>
  <c r="AP71" i="10"/>
  <c r="AA70" i="10"/>
  <c r="AB70" i="10"/>
  <c r="AE70" i="10"/>
  <c r="AJ70" i="10"/>
  <c r="AU70" i="10"/>
  <c r="R70" i="10"/>
  <c r="S70" i="10"/>
  <c r="T70" i="10" s="1"/>
  <c r="U70" i="10"/>
  <c r="Y70" i="10" s="1"/>
  <c r="AG70" i="10" s="1"/>
  <c r="AM70" i="10"/>
  <c r="AN70" i="10"/>
  <c r="AO70" i="10"/>
  <c r="AL70" i="10" s="1"/>
  <c r="AP70" i="10"/>
  <c r="AA69" i="10"/>
  <c r="AB69" i="10"/>
  <c r="AE69" i="10"/>
  <c r="AJ69" i="10"/>
  <c r="AU69" i="10"/>
  <c r="R69" i="10"/>
  <c r="S69" i="10"/>
  <c r="T69" i="10" s="1"/>
  <c r="U69" i="10"/>
  <c r="Y69" i="10" s="1"/>
  <c r="AG69" i="10" s="1"/>
  <c r="AM69" i="10"/>
  <c r="AN69" i="10"/>
  <c r="AO69" i="10"/>
  <c r="AL69" i="10" s="1"/>
  <c r="AP69" i="10"/>
  <c r="AA68" i="10"/>
  <c r="AB68" i="10"/>
  <c r="AE68" i="10"/>
  <c r="AJ68" i="10"/>
  <c r="AU68" i="10"/>
  <c r="R68" i="10"/>
  <c r="S68" i="10"/>
  <c r="T68" i="10" s="1"/>
  <c r="U68" i="10"/>
  <c r="Y68" i="10" s="1"/>
  <c r="AG68" i="10" s="1"/>
  <c r="AM68" i="10"/>
  <c r="AN68" i="10"/>
  <c r="AO68" i="10"/>
  <c r="AL68" i="10" s="1"/>
  <c r="AP68" i="10"/>
  <c r="AA67" i="10"/>
  <c r="AB67" i="10"/>
  <c r="AE67" i="10"/>
  <c r="AJ67" i="10"/>
  <c r="AU67" i="10"/>
  <c r="R67" i="10"/>
  <c r="S67" i="10"/>
  <c r="T67" i="10" s="1"/>
  <c r="U67" i="10"/>
  <c r="Y67" i="10" s="1"/>
  <c r="AG67" i="10" s="1"/>
  <c r="AM67" i="10"/>
  <c r="AN67" i="10"/>
  <c r="AO67" i="10"/>
  <c r="AP67" i="10"/>
  <c r="AA66" i="10"/>
  <c r="AB66" i="10"/>
  <c r="AE66" i="10"/>
  <c r="AJ66" i="10"/>
  <c r="AU66" i="10"/>
  <c r="R66" i="10"/>
  <c r="S66" i="10"/>
  <c r="T66" i="10" s="1"/>
  <c r="U66" i="10"/>
  <c r="Y66" i="10" s="1"/>
  <c r="AG66" i="10" s="1"/>
  <c r="AM66" i="10"/>
  <c r="AN66" i="10"/>
  <c r="AO66" i="10"/>
  <c r="AP66" i="10"/>
  <c r="AA65" i="10"/>
  <c r="AB65" i="10"/>
  <c r="AE65" i="10"/>
  <c r="AJ65" i="10"/>
  <c r="AU65" i="10"/>
  <c r="R65" i="10"/>
  <c r="S65" i="10"/>
  <c r="T65" i="10" s="1"/>
  <c r="U65" i="10"/>
  <c r="Y65" i="10" s="1"/>
  <c r="AG65" i="10" s="1"/>
  <c r="AM65" i="10"/>
  <c r="AN65" i="10"/>
  <c r="AO65" i="10"/>
  <c r="AP65" i="10"/>
  <c r="AA64" i="10"/>
  <c r="AB64" i="10"/>
  <c r="AE64" i="10"/>
  <c r="AJ64" i="10"/>
  <c r="AU64" i="10"/>
  <c r="R64" i="10"/>
  <c r="S64" i="10"/>
  <c r="T64" i="10" s="1"/>
  <c r="U64" i="10"/>
  <c r="Y64" i="10" s="1"/>
  <c r="AG64" i="10" s="1"/>
  <c r="AM64" i="10"/>
  <c r="AN64" i="10"/>
  <c r="AO64" i="10"/>
  <c r="AL64" i="10" s="1"/>
  <c r="AP64" i="10"/>
  <c r="AA63" i="10"/>
  <c r="AB63" i="10"/>
  <c r="AE63" i="10"/>
  <c r="AJ63" i="10"/>
  <c r="AU63" i="10"/>
  <c r="R63" i="10"/>
  <c r="S63" i="10"/>
  <c r="T63" i="10" s="1"/>
  <c r="U63" i="10"/>
  <c r="Y63" i="10" s="1"/>
  <c r="AG63" i="10" s="1"/>
  <c r="AM63" i="10"/>
  <c r="AN63" i="10"/>
  <c r="AO63" i="10"/>
  <c r="AP63" i="10"/>
  <c r="AA62" i="10"/>
  <c r="AB62" i="10"/>
  <c r="AE62" i="10"/>
  <c r="AJ62" i="10"/>
  <c r="AU62" i="10"/>
  <c r="R62" i="10"/>
  <c r="S62" i="10"/>
  <c r="T62" i="10" s="1"/>
  <c r="U62" i="10"/>
  <c r="Y62" i="10" s="1"/>
  <c r="AG62" i="10" s="1"/>
  <c r="AM62" i="10"/>
  <c r="AN62" i="10"/>
  <c r="AO62" i="10"/>
  <c r="AL62" i="10" s="1"/>
  <c r="AP62" i="10"/>
  <c r="AA61" i="10"/>
  <c r="AB61" i="10"/>
  <c r="AE61" i="10"/>
  <c r="AJ61" i="10"/>
  <c r="AU61" i="10"/>
  <c r="R61" i="10"/>
  <c r="S61" i="10"/>
  <c r="T61" i="10" s="1"/>
  <c r="U61" i="10"/>
  <c r="Y61" i="10" s="1"/>
  <c r="AG61" i="10" s="1"/>
  <c r="AM61" i="10"/>
  <c r="AN61" i="10"/>
  <c r="AO61" i="10"/>
  <c r="AL61" i="10" s="1"/>
  <c r="AP61" i="10"/>
  <c r="AA60" i="10"/>
  <c r="AB60" i="10"/>
  <c r="AE60" i="10"/>
  <c r="AJ60" i="10"/>
  <c r="AU60" i="10"/>
  <c r="R60" i="10"/>
  <c r="S60" i="10"/>
  <c r="T60" i="10" s="1"/>
  <c r="U60" i="10"/>
  <c r="Y60" i="10" s="1"/>
  <c r="AG60" i="10" s="1"/>
  <c r="AM60" i="10"/>
  <c r="AN60" i="10"/>
  <c r="AO60" i="10"/>
  <c r="AL60" i="10" s="1"/>
  <c r="AP60" i="10"/>
  <c r="AA52" i="10"/>
  <c r="AB52" i="10"/>
  <c r="AE52" i="10"/>
  <c r="AJ52" i="10"/>
  <c r="AU52" i="10"/>
  <c r="R52" i="10"/>
  <c r="S52" i="10"/>
  <c r="T52" i="10" s="1"/>
  <c r="U52" i="10"/>
  <c r="Y52" i="10" s="1"/>
  <c r="AG52" i="10" s="1"/>
  <c r="AM52" i="10"/>
  <c r="AN52" i="10"/>
  <c r="AO52" i="10"/>
  <c r="AL52" i="10" s="1"/>
  <c r="AP52" i="10"/>
  <c r="AA40" i="10"/>
  <c r="AB40" i="10"/>
  <c r="AE40" i="10"/>
  <c r="AJ40" i="10"/>
  <c r="AU40" i="10"/>
  <c r="R40" i="10"/>
  <c r="S40" i="10"/>
  <c r="T40" i="10" s="1"/>
  <c r="U40" i="10" s="1"/>
  <c r="Y40" i="10" s="1"/>
  <c r="AG40" i="10" s="1"/>
  <c r="AM40" i="10"/>
  <c r="AN40" i="10" s="1"/>
  <c r="AO40" i="10" s="1"/>
  <c r="AP40" i="10"/>
  <c r="AA23" i="10"/>
  <c r="AB23" i="10"/>
  <c r="AE23" i="10"/>
  <c r="AJ23" i="10"/>
  <c r="AU23" i="10"/>
  <c r="R23" i="10"/>
  <c r="S23" i="10"/>
  <c r="T23" i="10" s="1"/>
  <c r="U23" i="10" s="1"/>
  <c r="Y23" i="10" s="1"/>
  <c r="AG23" i="10" s="1"/>
  <c r="AM23" i="10"/>
  <c r="AN23" i="10" s="1"/>
  <c r="AO23" i="10" s="1"/>
  <c r="AP23" i="10"/>
  <c r="AA21" i="10"/>
  <c r="AB21" i="10"/>
  <c r="AE21" i="10"/>
  <c r="AJ21" i="10"/>
  <c r="AU21" i="10"/>
  <c r="R21" i="10"/>
  <c r="S21" i="10"/>
  <c r="T21" i="10" s="1"/>
  <c r="U21" i="10" s="1"/>
  <c r="Y21" i="10" s="1"/>
  <c r="AG21" i="10" s="1"/>
  <c r="AM21" i="10"/>
  <c r="AN21" i="10"/>
  <c r="AO21" i="10"/>
  <c r="AP21" i="10"/>
  <c r="AA20" i="10"/>
  <c r="AB20" i="10"/>
  <c r="AE20" i="10"/>
  <c r="AJ20" i="10"/>
  <c r="AU20" i="10"/>
  <c r="R20" i="10"/>
  <c r="S20" i="10"/>
  <c r="T20" i="10" s="1"/>
  <c r="U20" i="10"/>
  <c r="Y20" i="10" s="1"/>
  <c r="AG20" i="10" s="1"/>
  <c r="AH20" i="10" s="1"/>
  <c r="AI20" i="10" s="1"/>
  <c r="AM20" i="10"/>
  <c r="AN20" i="10"/>
  <c r="AO20" i="10"/>
  <c r="AP20" i="10"/>
  <c r="AA19" i="10"/>
  <c r="AB19" i="10"/>
  <c r="AE19" i="10"/>
  <c r="AJ19" i="10"/>
  <c r="AU19" i="10"/>
  <c r="R19" i="10"/>
  <c r="S19" i="10"/>
  <c r="T19" i="10" s="1"/>
  <c r="U19" i="10" s="1"/>
  <c r="Y19" i="10" s="1"/>
  <c r="AG19" i="10" s="1"/>
  <c r="AM19" i="10"/>
  <c r="AN19" i="10" s="1"/>
  <c r="AO19" i="10" s="1"/>
  <c r="AP19" i="10"/>
  <c r="AA18" i="10"/>
  <c r="AB18" i="10"/>
  <c r="AE18" i="10"/>
  <c r="AJ18" i="10"/>
  <c r="AU18" i="10"/>
  <c r="R18" i="10"/>
  <c r="S18" i="10"/>
  <c r="T18" i="10" s="1"/>
  <c r="U18" i="10" s="1"/>
  <c r="Y18" i="10" s="1"/>
  <c r="AG18" i="10" s="1"/>
  <c r="AM18" i="10"/>
  <c r="AN18" i="10"/>
  <c r="AO18" i="10" s="1"/>
  <c r="AL18" i="10" s="1"/>
  <c r="AP18" i="10"/>
  <c r="AA17" i="10"/>
  <c r="AB17" i="10"/>
  <c r="AE17" i="10"/>
  <c r="AJ17" i="10"/>
  <c r="AU17" i="10"/>
  <c r="R17" i="10"/>
  <c r="S17" i="10"/>
  <c r="T17" i="10" s="1"/>
  <c r="U17" i="10" s="1"/>
  <c r="Y17" i="10" s="1"/>
  <c r="AG17" i="10" s="1"/>
  <c r="AM17" i="10"/>
  <c r="AN17" i="10"/>
  <c r="AO17" i="10"/>
  <c r="AL17" i="10" s="1"/>
  <c r="AP17" i="10"/>
  <c r="AA16" i="10"/>
  <c r="AB16" i="10"/>
  <c r="AE16" i="10"/>
  <c r="AJ16" i="10"/>
  <c r="AU16" i="10"/>
  <c r="R16" i="10"/>
  <c r="S16" i="10"/>
  <c r="T16" i="10" s="1"/>
  <c r="U16" i="10"/>
  <c r="Y16" i="10" s="1"/>
  <c r="AG16" i="10" s="1"/>
  <c r="AM16" i="10"/>
  <c r="AN16" i="10" s="1"/>
  <c r="AO16" i="10" s="1"/>
  <c r="AP16" i="10"/>
  <c r="AA14" i="10"/>
  <c r="AB14" i="10"/>
  <c r="AE14" i="10"/>
  <c r="AJ14" i="10"/>
  <c r="AU14" i="10"/>
  <c r="R14" i="10"/>
  <c r="S14" i="10"/>
  <c r="T14" i="10" s="1"/>
  <c r="U14" i="10" s="1"/>
  <c r="Y14" i="10" s="1"/>
  <c r="AG14" i="10" s="1"/>
  <c r="AM14" i="10"/>
  <c r="AN14" i="10" s="1"/>
  <c r="AO14" i="10" s="1"/>
  <c r="AP14" i="10"/>
  <c r="AA13" i="10"/>
  <c r="AB13" i="10"/>
  <c r="AE13" i="10"/>
  <c r="AJ13" i="10"/>
  <c r="AU13" i="10"/>
  <c r="R13" i="10"/>
  <c r="S13" i="10"/>
  <c r="T13" i="10" s="1"/>
  <c r="U13" i="10" s="1"/>
  <c r="Y13" i="10" s="1"/>
  <c r="AG13" i="10" s="1"/>
  <c r="AM13" i="10"/>
  <c r="AN13" i="10" s="1"/>
  <c r="AO13" i="10" s="1"/>
  <c r="AP13" i="10"/>
  <c r="AA12" i="10"/>
  <c r="AB12" i="10"/>
  <c r="AE12" i="10"/>
  <c r="AJ12" i="10"/>
  <c r="AU12" i="10"/>
  <c r="R12" i="10"/>
  <c r="S12" i="10"/>
  <c r="T12" i="10" s="1"/>
  <c r="U12" i="10"/>
  <c r="Y12" i="10" s="1"/>
  <c r="AG12" i="10" s="1"/>
  <c r="AM12" i="10"/>
  <c r="AN12" i="10" s="1"/>
  <c r="AO12" i="10" s="1"/>
  <c r="AP12" i="10"/>
  <c r="AA11" i="10"/>
  <c r="AB11" i="10"/>
  <c r="AE11" i="10"/>
  <c r="AJ11" i="10"/>
  <c r="AU11" i="10"/>
  <c r="R11" i="10"/>
  <c r="S11" i="10"/>
  <c r="T11" i="10" s="1"/>
  <c r="U11" i="10"/>
  <c r="Y11" i="10" s="1"/>
  <c r="AG11" i="10" s="1"/>
  <c r="AM11" i="10"/>
  <c r="AN11" i="10" s="1"/>
  <c r="AO11" i="10" s="1"/>
  <c r="AL11" i="10" s="1"/>
  <c r="AP11" i="10"/>
  <c r="AA10" i="10"/>
  <c r="AB10" i="10"/>
  <c r="AE10" i="10"/>
  <c r="AJ10" i="10"/>
  <c r="AU10" i="10"/>
  <c r="R10" i="10"/>
  <c r="S10" i="10"/>
  <c r="T10" i="10" s="1"/>
  <c r="U10" i="10" s="1"/>
  <c r="Y10" i="10" s="1"/>
  <c r="AG10" i="10" s="1"/>
  <c r="AM10" i="10"/>
  <c r="AN10" i="10" s="1"/>
  <c r="AO10" i="10" s="1"/>
  <c r="AL10" i="10" s="1"/>
  <c r="AP10" i="10"/>
  <c r="AA9" i="10"/>
  <c r="AE9" i="10"/>
  <c r="AU9" i="10"/>
  <c r="AB9" i="10"/>
  <c r="AJ9" i="10" s="1"/>
  <c r="R9" i="10"/>
  <c r="S9" i="10"/>
  <c r="T9" i="10" s="1"/>
  <c r="AM9" i="10"/>
  <c r="AN9" i="10" s="1"/>
  <c r="AO9" i="10" s="1"/>
  <c r="AP9" i="10"/>
  <c r="AA8" i="10"/>
  <c r="AB8" i="10"/>
  <c r="AJ8" i="10"/>
  <c r="AU8" i="10"/>
  <c r="AE8" i="10"/>
  <c r="R8" i="10"/>
  <c r="S8" i="10"/>
  <c r="T8" i="10" s="1"/>
  <c r="AN8" i="10"/>
  <c r="AP8" i="10"/>
  <c r="AM8" i="10"/>
  <c r="AO8" i="10"/>
  <c r="AL8" i="10" s="1"/>
  <c r="AB7" i="10"/>
  <c r="AU7" i="10"/>
  <c r="AA7" i="10"/>
  <c r="AE7" i="10"/>
  <c r="AJ7" i="10"/>
  <c r="S7" i="10"/>
  <c r="T7" i="10" s="1"/>
  <c r="U7" i="10"/>
  <c r="Y7" i="10" s="1"/>
  <c r="R7" i="10"/>
  <c r="AM7" i="10"/>
  <c r="AN7" i="10"/>
  <c r="AO7" i="10" s="1"/>
  <c r="AP7" i="10"/>
  <c r="AA4" i="10"/>
  <c r="AB4" i="10"/>
  <c r="AE4" i="10"/>
  <c r="AJ4" i="10"/>
  <c r="AU4" i="10"/>
  <c r="R4" i="10"/>
  <c r="S4" i="10"/>
  <c r="T4" i="10" s="1"/>
  <c r="U4" i="10"/>
  <c r="Y4" i="10" s="1"/>
  <c r="AM4" i="10"/>
  <c r="AN4" i="10"/>
  <c r="AO4" i="10"/>
  <c r="AP4" i="10"/>
  <c r="AA3" i="10"/>
  <c r="AB3" i="10"/>
  <c r="AE3" i="10"/>
  <c r="AJ3" i="10"/>
  <c r="AU3" i="10"/>
  <c r="R3" i="10"/>
  <c r="S3" i="10"/>
  <c r="T3" i="10" s="1"/>
  <c r="U3" i="10"/>
  <c r="Y3" i="10" s="1"/>
  <c r="AM3" i="10"/>
  <c r="AN3" i="10"/>
  <c r="AO3" i="10" s="1"/>
  <c r="AP3" i="10"/>
  <c r="AA407" i="10"/>
  <c r="AB407" i="10"/>
  <c r="AE407" i="10"/>
  <c r="AJ407" i="10"/>
  <c r="AU407" i="10"/>
  <c r="R407" i="10"/>
  <c r="S407" i="10"/>
  <c r="T407" i="10" s="1"/>
  <c r="U407" i="10"/>
  <c r="Y407" i="10" s="1"/>
  <c r="AG407" i="10" s="1"/>
  <c r="AH407" i="10" s="1"/>
  <c r="AI407" i="10" s="1"/>
  <c r="AM407" i="10"/>
  <c r="AN407" i="10" s="1"/>
  <c r="AO407" i="10" s="1"/>
  <c r="AL407" i="10" s="1"/>
  <c r="AP407" i="10"/>
  <c r="AA368" i="10"/>
  <c r="AB368" i="10"/>
  <c r="AJ368" i="10" s="1"/>
  <c r="AE368" i="10"/>
  <c r="AU368" i="10"/>
  <c r="R368" i="10"/>
  <c r="S368" i="10"/>
  <c r="T368" i="10" s="1"/>
  <c r="U368" i="10"/>
  <c r="Y368" i="10" s="1"/>
  <c r="AM368" i="10"/>
  <c r="AN368" i="10"/>
  <c r="AO368" i="10"/>
  <c r="AL368" i="10" s="1"/>
  <c r="AP368" i="10"/>
  <c r="AA360" i="10"/>
  <c r="AB360" i="10"/>
  <c r="AE360" i="10"/>
  <c r="AJ360" i="10"/>
  <c r="AU360" i="10"/>
  <c r="R360" i="10"/>
  <c r="S360" i="10"/>
  <c r="T360" i="10" s="1"/>
  <c r="U360" i="10"/>
  <c r="Y360" i="10" s="1"/>
  <c r="AG360" i="10" s="1"/>
  <c r="AH360" i="10" s="1"/>
  <c r="AI360" i="10" s="1"/>
  <c r="AM360" i="10"/>
  <c r="AN360" i="10"/>
  <c r="AO360" i="10" s="1"/>
  <c r="AP360" i="10"/>
  <c r="AA352" i="10"/>
  <c r="AB352" i="10"/>
  <c r="AJ352" i="10" s="1"/>
  <c r="AE352" i="10"/>
  <c r="AU352" i="10"/>
  <c r="R352" i="10"/>
  <c r="S352" i="10"/>
  <c r="T352" i="10" s="1"/>
  <c r="AM352" i="10"/>
  <c r="AN352" i="10" s="1"/>
  <c r="AO352" i="10" s="1"/>
  <c r="AL352" i="10" s="1"/>
  <c r="AP352" i="10"/>
  <c r="AA342" i="10"/>
  <c r="AB342" i="10"/>
  <c r="AE342" i="10"/>
  <c r="AJ342" i="10"/>
  <c r="AU342" i="10"/>
  <c r="R342" i="10"/>
  <c r="S342" i="10"/>
  <c r="T342" i="10" s="1"/>
  <c r="U342" i="10"/>
  <c r="Y342" i="10" s="1"/>
  <c r="AG342" i="10" s="1"/>
  <c r="AH342" i="10" s="1"/>
  <c r="AI342" i="10" s="1"/>
  <c r="AM342" i="10"/>
  <c r="AN342" i="10"/>
  <c r="AO342" i="10" s="1"/>
  <c r="AP342" i="10"/>
  <c r="AA328" i="10"/>
  <c r="AB328" i="10"/>
  <c r="AJ328" i="10" s="1"/>
  <c r="AE328" i="10"/>
  <c r="AU328" i="10"/>
  <c r="R328" i="10"/>
  <c r="S328" i="10"/>
  <c r="T328" i="10" s="1"/>
  <c r="U328" i="10"/>
  <c r="Y328" i="10" s="1"/>
  <c r="AM328" i="10"/>
  <c r="AN328" i="10" s="1"/>
  <c r="AO328" i="10" s="1"/>
  <c r="AL328" i="10" s="1"/>
  <c r="AP328" i="10"/>
  <c r="AA320" i="10"/>
  <c r="AB320" i="10"/>
  <c r="AE320" i="10"/>
  <c r="AJ320" i="10"/>
  <c r="AU320" i="10"/>
  <c r="R320" i="10"/>
  <c r="S320" i="10"/>
  <c r="T320" i="10" s="1"/>
  <c r="U320" i="10"/>
  <c r="Y320" i="10" s="1"/>
  <c r="AG320" i="10" s="1"/>
  <c r="AH320" i="10" s="1"/>
  <c r="AI320" i="10" s="1"/>
  <c r="AM320" i="10"/>
  <c r="AN320" i="10"/>
  <c r="AO320" i="10"/>
  <c r="AL320" i="10" s="1"/>
  <c r="AP320" i="10"/>
  <c r="AA270" i="10"/>
  <c r="AB270" i="10"/>
  <c r="AJ270" i="10" s="1"/>
  <c r="AE270" i="10"/>
  <c r="AU270" i="10"/>
  <c r="R270" i="10"/>
  <c r="S270" i="10"/>
  <c r="T270" i="10" s="1"/>
  <c r="U270" i="10"/>
  <c r="Y270" i="10" s="1"/>
  <c r="AM270" i="10"/>
  <c r="AN270" i="10"/>
  <c r="AO270" i="10"/>
  <c r="AL270" i="10" s="1"/>
  <c r="AP270" i="10"/>
  <c r="AA262" i="10"/>
  <c r="AB262" i="10"/>
  <c r="AJ262" i="10" s="1"/>
  <c r="AE262" i="10"/>
  <c r="AU262" i="10"/>
  <c r="R262" i="10"/>
  <c r="S262" i="10"/>
  <c r="T262" i="10" s="1"/>
  <c r="U262" i="10"/>
  <c r="Y262" i="10" s="1"/>
  <c r="AM262" i="10"/>
  <c r="AN262" i="10"/>
  <c r="AO262" i="10" s="1"/>
  <c r="AP262" i="10"/>
  <c r="AA253" i="10"/>
  <c r="AB253" i="10"/>
  <c r="AE253" i="10"/>
  <c r="AJ253" i="10"/>
  <c r="AU253" i="10"/>
  <c r="R253" i="10"/>
  <c r="S253" i="10"/>
  <c r="T253" i="10" s="1"/>
  <c r="U253" i="10"/>
  <c r="Y253" i="10" s="1"/>
  <c r="AG253" i="10" s="1"/>
  <c r="AM253" i="10"/>
  <c r="AN253" i="10"/>
  <c r="AO253" i="10"/>
  <c r="AL253" i="10" s="1"/>
  <c r="AP253" i="10"/>
  <c r="AA212" i="10"/>
  <c r="AB212" i="10"/>
  <c r="AE212" i="10"/>
  <c r="AJ212" i="10"/>
  <c r="AU212" i="10"/>
  <c r="R212" i="10"/>
  <c r="S212" i="10"/>
  <c r="T212" i="10" s="1"/>
  <c r="U212" i="10"/>
  <c r="Y212" i="10" s="1"/>
  <c r="AG212" i="10" s="1"/>
  <c r="AM212" i="10"/>
  <c r="AN212" i="10"/>
  <c r="AO212" i="10"/>
  <c r="AL212" i="10" s="1"/>
  <c r="AP212" i="10"/>
  <c r="AA198" i="10"/>
  <c r="AB198" i="10"/>
  <c r="AE198" i="10"/>
  <c r="AJ198" i="10"/>
  <c r="AU198" i="10"/>
  <c r="R198" i="10"/>
  <c r="S198" i="10"/>
  <c r="T198" i="10" s="1"/>
  <c r="U198" i="10"/>
  <c r="Y198" i="10" s="1"/>
  <c r="AG198" i="10" s="1"/>
  <c r="AM198" i="10"/>
  <c r="AN198" i="10"/>
  <c r="AO198" i="10"/>
  <c r="AP198" i="10"/>
  <c r="AA180" i="10"/>
  <c r="AB180" i="10"/>
  <c r="AE180" i="10"/>
  <c r="AJ180" i="10"/>
  <c r="AU180" i="10"/>
  <c r="R180" i="10"/>
  <c r="S180" i="10"/>
  <c r="T180" i="10" s="1"/>
  <c r="U180" i="10"/>
  <c r="Y180" i="10" s="1"/>
  <c r="AG180" i="10" s="1"/>
  <c r="AH180" i="10" s="1"/>
  <c r="AI180" i="10" s="1"/>
  <c r="AM180" i="10"/>
  <c r="AN180" i="10"/>
  <c r="AO180" i="10"/>
  <c r="AP180" i="10"/>
  <c r="AA129" i="10"/>
  <c r="AB129" i="10"/>
  <c r="AE129" i="10"/>
  <c r="AJ129" i="10"/>
  <c r="AU129" i="10"/>
  <c r="R129" i="10"/>
  <c r="S129" i="10"/>
  <c r="T129" i="10" s="1"/>
  <c r="U129" i="10"/>
  <c r="Y129" i="10" s="1"/>
  <c r="AG129" i="10" s="1"/>
  <c r="AM129" i="10"/>
  <c r="AN129" i="10"/>
  <c r="AO129" i="10"/>
  <c r="AL129" i="10" s="1"/>
  <c r="AP129" i="10"/>
  <c r="AB110" i="10"/>
  <c r="AE110" i="10"/>
  <c r="AJ110" i="10"/>
  <c r="AU110" i="10"/>
  <c r="R110" i="10"/>
  <c r="S110" i="10"/>
  <c r="T110" i="10" s="1"/>
  <c r="U110" i="10"/>
  <c r="Y110" i="10" s="1"/>
  <c r="AM110" i="10"/>
  <c r="AN110" i="10"/>
  <c r="AO110" i="10"/>
  <c r="AL110" i="10" s="1"/>
  <c r="AP110" i="10"/>
  <c r="AA99" i="10"/>
  <c r="AB99" i="10"/>
  <c r="AE99" i="10"/>
  <c r="AJ99" i="10"/>
  <c r="AU99" i="10"/>
  <c r="R99" i="10"/>
  <c r="S99" i="10"/>
  <c r="T99" i="10" s="1"/>
  <c r="U99" i="10"/>
  <c r="Y99" i="10" s="1"/>
  <c r="AG99" i="10" s="1"/>
  <c r="AM99" i="10"/>
  <c r="AN99" i="10"/>
  <c r="AO99" i="10"/>
  <c r="AL99" i="10" s="1"/>
  <c r="AP99" i="10"/>
  <c r="AA51" i="10"/>
  <c r="AB51" i="10"/>
  <c r="AE51" i="10"/>
  <c r="AJ51" i="10"/>
  <c r="AU51" i="10"/>
  <c r="R51" i="10"/>
  <c r="S51" i="10"/>
  <c r="T51" i="10" s="1"/>
  <c r="U51" i="10"/>
  <c r="Y51" i="10" s="1"/>
  <c r="AG51" i="10" s="1"/>
  <c r="AM51" i="10"/>
  <c r="AN51" i="10"/>
  <c r="AO51" i="10"/>
  <c r="AP51" i="10"/>
  <c r="AA38" i="10"/>
  <c r="AB38" i="10"/>
  <c r="AE38" i="10"/>
  <c r="AJ38" i="10"/>
  <c r="AU38" i="10"/>
  <c r="R38" i="10"/>
  <c r="S38" i="10"/>
  <c r="T38" i="10" s="1"/>
  <c r="U38" i="10"/>
  <c r="Y38" i="10" s="1"/>
  <c r="AG38" i="10" s="1"/>
  <c r="AM38" i="10"/>
  <c r="AN38" i="10"/>
  <c r="AO38" i="10"/>
  <c r="AP38" i="10"/>
  <c r="AA517" i="10"/>
  <c r="AB517" i="10"/>
  <c r="AE517" i="10"/>
  <c r="AJ517" i="10"/>
  <c r="AU517" i="10"/>
  <c r="R517" i="10"/>
  <c r="S517" i="10"/>
  <c r="T517" i="10" s="1"/>
  <c r="U517" i="10"/>
  <c r="Y517" i="10" s="1"/>
  <c r="AG517" i="10" s="1"/>
  <c r="AM517" i="10"/>
  <c r="AN517" i="10"/>
  <c r="AO517" i="10"/>
  <c r="AL517" i="10" s="1"/>
  <c r="AP517" i="10"/>
  <c r="AA510" i="10"/>
  <c r="AB510" i="10"/>
  <c r="AE510" i="10"/>
  <c r="AJ510" i="10"/>
  <c r="AU510" i="10"/>
  <c r="R510" i="10"/>
  <c r="S510" i="10"/>
  <c r="T510" i="10" s="1"/>
  <c r="U510" i="10"/>
  <c r="Y510" i="10" s="1"/>
  <c r="AG510" i="10" s="1"/>
  <c r="AM510" i="10"/>
  <c r="AN510" i="10"/>
  <c r="AO510" i="10"/>
  <c r="AL510" i="10" s="1"/>
  <c r="AP510" i="10"/>
  <c r="AA506" i="10"/>
  <c r="AB506" i="10"/>
  <c r="AE506" i="10"/>
  <c r="AJ506" i="10"/>
  <c r="AU506" i="10"/>
  <c r="R506" i="10"/>
  <c r="S506" i="10"/>
  <c r="T506" i="10" s="1"/>
  <c r="U506" i="10"/>
  <c r="Y506" i="10" s="1"/>
  <c r="AG506" i="10" s="1"/>
  <c r="AH506" i="10" s="1"/>
  <c r="AI506" i="10" s="1"/>
  <c r="AM506" i="10"/>
  <c r="AN506" i="10"/>
  <c r="AO506" i="10"/>
  <c r="AL506" i="10" s="1"/>
  <c r="AP506" i="10"/>
  <c r="AA501" i="10"/>
  <c r="AB501" i="10"/>
  <c r="AJ501" i="10" s="1"/>
  <c r="AE501" i="10"/>
  <c r="AU501" i="10"/>
  <c r="R501" i="10"/>
  <c r="S501" i="10"/>
  <c r="T501" i="10" s="1"/>
  <c r="U501" i="10"/>
  <c r="Y501" i="10" s="1"/>
  <c r="AM501" i="10"/>
  <c r="AN501" i="10"/>
  <c r="AO501" i="10"/>
  <c r="AL501" i="10" s="1"/>
  <c r="AP501" i="10"/>
  <c r="AA496" i="10"/>
  <c r="AB496" i="10"/>
  <c r="AE496" i="10"/>
  <c r="AJ496" i="10"/>
  <c r="AU496" i="10"/>
  <c r="R496" i="10"/>
  <c r="S496" i="10"/>
  <c r="T496" i="10" s="1"/>
  <c r="U496" i="10"/>
  <c r="Y496" i="10" s="1"/>
  <c r="AG496" i="10" s="1"/>
  <c r="AH496" i="10" s="1"/>
  <c r="AI496" i="10" s="1"/>
  <c r="AM496" i="10"/>
  <c r="AN496" i="10"/>
  <c r="AO496" i="10"/>
  <c r="AP496" i="10"/>
  <c r="AA490" i="10"/>
  <c r="AB490" i="10"/>
  <c r="AJ490" i="10" s="1"/>
  <c r="AE490" i="10"/>
  <c r="AU490" i="10"/>
  <c r="R490" i="10"/>
  <c r="S490" i="10"/>
  <c r="T490" i="10" s="1"/>
  <c r="U490" i="10"/>
  <c r="Y490" i="10" s="1"/>
  <c r="AM490" i="10"/>
  <c r="AN490" i="10"/>
  <c r="AO490" i="10"/>
  <c r="AL490" i="10" s="1"/>
  <c r="AP490" i="10"/>
  <c r="AA485" i="10"/>
  <c r="AB485" i="10"/>
  <c r="AJ485" i="10" s="1"/>
  <c r="AE485" i="10"/>
  <c r="AU485" i="10"/>
  <c r="R485" i="10"/>
  <c r="S485" i="10"/>
  <c r="T485" i="10" s="1"/>
  <c r="U485" i="10"/>
  <c r="Y485" i="10" s="1"/>
  <c r="AM485" i="10"/>
  <c r="AN485" i="10"/>
  <c r="AO485" i="10"/>
  <c r="AL485" i="10" s="1"/>
  <c r="AP485" i="10"/>
  <c r="AA480" i="10"/>
  <c r="AB480" i="10"/>
  <c r="AJ480" i="10" s="1"/>
  <c r="AE480" i="10"/>
  <c r="AU480" i="10"/>
  <c r="R480" i="10"/>
  <c r="S480" i="10"/>
  <c r="T480" i="10" s="1"/>
  <c r="U480" i="10"/>
  <c r="Y480" i="10" s="1"/>
  <c r="AM480" i="10"/>
  <c r="AN480" i="10"/>
  <c r="AO480" i="10"/>
  <c r="AL480" i="10" s="1"/>
  <c r="AP480" i="10"/>
  <c r="AA475" i="10"/>
  <c r="AB475" i="10"/>
  <c r="AE475" i="10"/>
  <c r="AJ475" i="10"/>
  <c r="AU475" i="10"/>
  <c r="R475" i="10"/>
  <c r="S475" i="10"/>
  <c r="T475" i="10" s="1"/>
  <c r="U475" i="10"/>
  <c r="Y475" i="10" s="1"/>
  <c r="AG475" i="10" s="1"/>
  <c r="AM475" i="10"/>
  <c r="AN475" i="10" s="1"/>
  <c r="AO475" i="10" s="1"/>
  <c r="AL475" i="10" s="1"/>
  <c r="AP475" i="10"/>
  <c r="AA470" i="10"/>
  <c r="AB470" i="10"/>
  <c r="AJ470" i="10" s="1"/>
  <c r="AE470" i="10"/>
  <c r="AU470" i="10"/>
  <c r="R470" i="10"/>
  <c r="S470" i="10"/>
  <c r="T470" i="10" s="1"/>
  <c r="U470" i="10"/>
  <c r="Y470" i="10" s="1"/>
  <c r="AM470" i="10"/>
  <c r="AN470" i="10"/>
  <c r="AO470" i="10"/>
  <c r="AL470" i="10" s="1"/>
  <c r="AP470" i="10"/>
  <c r="AA455" i="10"/>
  <c r="AB455" i="10"/>
  <c r="AJ455" i="10" s="1"/>
  <c r="AE455" i="10"/>
  <c r="AU455" i="10"/>
  <c r="R455" i="10"/>
  <c r="S455" i="10"/>
  <c r="T455" i="10" s="1"/>
  <c r="U455" i="10" s="1"/>
  <c r="Y455" i="10" s="1"/>
  <c r="AM455" i="10"/>
  <c r="AN455" i="10"/>
  <c r="AO455" i="10"/>
  <c r="AL455" i="10" s="1"/>
  <c r="AP455" i="10"/>
  <c r="AA447" i="10"/>
  <c r="AB447" i="10"/>
  <c r="AE447" i="10"/>
  <c r="AJ447" i="10"/>
  <c r="AU447" i="10"/>
  <c r="R447" i="10"/>
  <c r="S447" i="10"/>
  <c r="T447" i="10" s="1"/>
  <c r="U447" i="10"/>
  <c r="Y447" i="10" s="1"/>
  <c r="AG447" i="10" s="1"/>
  <c r="AH447" i="10" s="1"/>
  <c r="AI447" i="10" s="1"/>
  <c r="AM447" i="10"/>
  <c r="AN447" i="10"/>
  <c r="AO447" i="10" s="1"/>
  <c r="AP447" i="10"/>
  <c r="AA439" i="10"/>
  <c r="AB439" i="10"/>
  <c r="AJ439" i="10" s="1"/>
  <c r="AE439" i="10"/>
  <c r="AU439" i="10"/>
  <c r="R439" i="10"/>
  <c r="S439" i="10"/>
  <c r="T439" i="10" s="1"/>
  <c r="AM439" i="10"/>
  <c r="AN439" i="10" s="1"/>
  <c r="AO439" i="10" s="1"/>
  <c r="AL439" i="10" s="1"/>
  <c r="AP439" i="10"/>
  <c r="AA427" i="10"/>
  <c r="AB427" i="10"/>
  <c r="AJ427" i="10" s="1"/>
  <c r="AE427" i="10"/>
  <c r="AU427" i="10"/>
  <c r="R427" i="10"/>
  <c r="S427" i="10"/>
  <c r="T427" i="10" s="1"/>
  <c r="AM427" i="10"/>
  <c r="AN427" i="10" s="1"/>
  <c r="AO427" i="10" s="1"/>
  <c r="AL427" i="10" s="1"/>
  <c r="AP427" i="10"/>
  <c r="AA421" i="10"/>
  <c r="AB421" i="10"/>
  <c r="AJ421" i="10" s="1"/>
  <c r="AE421" i="10"/>
  <c r="AU421" i="10"/>
  <c r="R421" i="10"/>
  <c r="S421" i="10"/>
  <c r="T421" i="10" s="1"/>
  <c r="U421" i="10"/>
  <c r="Y421" i="10" s="1"/>
  <c r="AG421" i="10" s="1"/>
  <c r="AM421" i="10"/>
  <c r="AN421" i="10" s="1"/>
  <c r="AO421" i="10" s="1"/>
  <c r="AL421" i="10" s="1"/>
  <c r="AP421" i="10"/>
  <c r="AA414" i="10"/>
  <c r="AB414" i="10"/>
  <c r="AJ414" i="10" s="1"/>
  <c r="AE414" i="10"/>
  <c r="AU414" i="10"/>
  <c r="R414" i="10"/>
  <c r="S414" i="10"/>
  <c r="T414" i="10" s="1"/>
  <c r="U414" i="10" s="1"/>
  <c r="Y414" i="10" s="1"/>
  <c r="AM414" i="10"/>
  <c r="AN414" i="10"/>
  <c r="AO414" i="10"/>
  <c r="AL414" i="10" s="1"/>
  <c r="AP414" i="10"/>
  <c r="AA405" i="10"/>
  <c r="AB405" i="10"/>
  <c r="AJ405" i="10" s="1"/>
  <c r="AE405" i="10"/>
  <c r="AU405" i="10"/>
  <c r="R405" i="10"/>
  <c r="S405" i="10"/>
  <c r="T405" i="10" s="1"/>
  <c r="U405" i="10"/>
  <c r="Y405" i="10" s="1"/>
  <c r="AM405" i="10"/>
  <c r="AN405" i="10"/>
  <c r="AO405" i="10"/>
  <c r="AL405" i="10" s="1"/>
  <c r="AP405" i="10"/>
  <c r="AA397" i="10"/>
  <c r="AB397" i="10"/>
  <c r="AJ397" i="10" s="1"/>
  <c r="AE397" i="10"/>
  <c r="AU397" i="10"/>
  <c r="R397" i="10"/>
  <c r="S397" i="10"/>
  <c r="T397" i="10" s="1"/>
  <c r="U397" i="10"/>
  <c r="Y397" i="10" s="1"/>
  <c r="AM397" i="10"/>
  <c r="AN397" i="10"/>
  <c r="AO397" i="10"/>
  <c r="AP397" i="10"/>
  <c r="AA361" i="10"/>
  <c r="AB361" i="10"/>
  <c r="AJ361" i="10" s="1"/>
  <c r="AE361" i="10"/>
  <c r="AU361" i="10"/>
  <c r="R361" i="10"/>
  <c r="S361" i="10"/>
  <c r="T361" i="10" s="1"/>
  <c r="U361" i="10"/>
  <c r="Y361" i="10" s="1"/>
  <c r="AM361" i="10"/>
  <c r="AN361" i="10"/>
  <c r="AO361" i="10"/>
  <c r="AL361" i="10" s="1"/>
  <c r="AP361" i="10"/>
  <c r="AA351" i="10"/>
  <c r="AB351" i="10"/>
  <c r="AJ351" i="10" s="1"/>
  <c r="AE351" i="10"/>
  <c r="AU351" i="10"/>
  <c r="R351" i="10"/>
  <c r="S351" i="10"/>
  <c r="T351" i="10" s="1"/>
  <c r="U351" i="10"/>
  <c r="Y351" i="10" s="1"/>
  <c r="AM351" i="10"/>
  <c r="AN351" i="10"/>
  <c r="AO351" i="10" s="1"/>
  <c r="AL351" i="10" s="1"/>
  <c r="AP351" i="10"/>
  <c r="R339" i="10"/>
  <c r="S339" i="10"/>
  <c r="T339" i="10" s="1"/>
  <c r="U339" i="10"/>
  <c r="AM339" i="10"/>
  <c r="AN339" i="10" s="1"/>
  <c r="AO339" i="10" s="1"/>
  <c r="AL339" i="10" s="1"/>
  <c r="AP339" i="10"/>
  <c r="AA326" i="10"/>
  <c r="AB326" i="10"/>
  <c r="AJ326" i="10" s="1"/>
  <c r="AE326" i="10"/>
  <c r="AU326" i="10"/>
  <c r="R326" i="10"/>
  <c r="S326" i="10"/>
  <c r="T326" i="10" s="1"/>
  <c r="U326" i="10"/>
  <c r="Y326" i="10" s="1"/>
  <c r="AG326" i="10" s="1"/>
  <c r="AM326" i="10"/>
  <c r="AN326" i="10" s="1"/>
  <c r="AO326" i="10" s="1"/>
  <c r="AL326" i="10" s="1"/>
  <c r="AP326" i="10"/>
  <c r="AA284" i="10"/>
  <c r="AB284" i="10"/>
  <c r="AJ284" i="10" s="1"/>
  <c r="AE284" i="10"/>
  <c r="AU284" i="10"/>
  <c r="R284" i="10"/>
  <c r="S284" i="10"/>
  <c r="T284" i="10" s="1"/>
  <c r="U284" i="10"/>
  <c r="Y284" i="10" s="1"/>
  <c r="AM284" i="10"/>
  <c r="AN284" i="10" s="1"/>
  <c r="AO284" i="10" s="1"/>
  <c r="AL284" i="10" s="1"/>
  <c r="AP284" i="10"/>
  <c r="AA269" i="10"/>
  <c r="AB269" i="10"/>
  <c r="AJ269" i="10" s="1"/>
  <c r="AE269" i="10"/>
  <c r="AU269" i="10"/>
  <c r="R269" i="10"/>
  <c r="S269" i="10"/>
  <c r="T269" i="10" s="1"/>
  <c r="U269" i="10"/>
  <c r="Y269" i="10" s="1"/>
  <c r="AM269" i="10"/>
  <c r="AN269" i="10"/>
  <c r="AO269" i="10"/>
  <c r="AP269" i="10"/>
  <c r="AA260" i="10"/>
  <c r="AB260" i="10"/>
  <c r="AJ260" i="10" s="1"/>
  <c r="AE260" i="10"/>
  <c r="AU260" i="10"/>
  <c r="R260" i="10"/>
  <c r="S260" i="10"/>
  <c r="T260" i="10" s="1"/>
  <c r="U260" i="10" s="1"/>
  <c r="Y260" i="10" s="1"/>
  <c r="AM260" i="10"/>
  <c r="AN260" i="10"/>
  <c r="AO260" i="10"/>
  <c r="AL260" i="10" s="1"/>
  <c r="AP260" i="10"/>
  <c r="AA250" i="10"/>
  <c r="AB250" i="10"/>
  <c r="AJ250" i="10" s="1"/>
  <c r="AE250" i="10"/>
  <c r="AU250" i="10"/>
  <c r="R250" i="10"/>
  <c r="S250" i="10"/>
  <c r="T250" i="10" s="1"/>
  <c r="U250" i="10"/>
  <c r="Y250" i="10" s="1"/>
  <c r="AM250" i="10"/>
  <c r="AN250" i="10" s="1"/>
  <c r="AO250" i="10" s="1"/>
  <c r="AL250" i="10" s="1"/>
  <c r="AP250" i="10"/>
  <c r="AA209" i="10"/>
  <c r="AB209" i="10"/>
  <c r="AJ209" i="10" s="1"/>
  <c r="AE209" i="10"/>
  <c r="AU209" i="10"/>
  <c r="R209" i="10"/>
  <c r="S209" i="10"/>
  <c r="T209" i="10" s="1"/>
  <c r="U209" i="10"/>
  <c r="Y209" i="10" s="1"/>
  <c r="AM209" i="10"/>
  <c r="AN209" i="10"/>
  <c r="AO209" i="10" s="1"/>
  <c r="AL209" i="10" s="1"/>
  <c r="AP209" i="10"/>
  <c r="AA193" i="10"/>
  <c r="AB193" i="10"/>
  <c r="AJ193" i="10" s="1"/>
  <c r="AE193" i="10"/>
  <c r="AU193" i="10"/>
  <c r="R193" i="10"/>
  <c r="S193" i="10"/>
  <c r="T193" i="10" s="1"/>
  <c r="U193" i="10"/>
  <c r="Y193" i="10" s="1"/>
  <c r="AM193" i="10"/>
  <c r="AN193" i="10" s="1"/>
  <c r="AO193" i="10" s="1"/>
  <c r="AL193" i="10" s="1"/>
  <c r="AP193" i="10"/>
  <c r="AA175" i="10"/>
  <c r="AB175" i="10"/>
  <c r="AJ175" i="10" s="1"/>
  <c r="AE175" i="10"/>
  <c r="AU175" i="10"/>
  <c r="R175" i="10"/>
  <c r="S175" i="10"/>
  <c r="T175" i="10" s="1"/>
  <c r="U175" i="10"/>
  <c r="Y175" i="10" s="1"/>
  <c r="AM175" i="10"/>
  <c r="AN175" i="10"/>
  <c r="AO175" i="10" s="1"/>
  <c r="AP175" i="10"/>
  <c r="AA126" i="10"/>
  <c r="AB126" i="10"/>
  <c r="AJ126" i="10" s="1"/>
  <c r="AE126" i="10"/>
  <c r="AU126" i="10"/>
  <c r="R126" i="10"/>
  <c r="S126" i="10"/>
  <c r="T126" i="10" s="1"/>
  <c r="U126" i="10"/>
  <c r="Y126" i="10" s="1"/>
  <c r="AM126" i="10"/>
  <c r="AN126" i="10"/>
  <c r="AO126" i="10" s="1"/>
  <c r="AL126" i="10" s="1"/>
  <c r="AP126" i="10"/>
  <c r="AA108" i="10"/>
  <c r="AB108" i="10"/>
  <c r="AJ108" i="10" s="1"/>
  <c r="AE108" i="10"/>
  <c r="AU108" i="10"/>
  <c r="R108" i="10"/>
  <c r="S108" i="10"/>
  <c r="T108" i="10" s="1"/>
  <c r="U108" i="10"/>
  <c r="Y108" i="10" s="1"/>
  <c r="AM108" i="10"/>
  <c r="AN108" i="10" s="1"/>
  <c r="AO108" i="10" s="1"/>
  <c r="AL108" i="10" s="1"/>
  <c r="AP108" i="10"/>
  <c r="AA97" i="10"/>
  <c r="AB97" i="10"/>
  <c r="AJ97" i="10" s="1"/>
  <c r="AE97" i="10"/>
  <c r="AU97" i="10"/>
  <c r="R97" i="10"/>
  <c r="S97" i="10"/>
  <c r="T97" i="10" s="1"/>
  <c r="U97" i="10"/>
  <c r="Y97" i="10" s="1"/>
  <c r="AM97" i="10"/>
  <c r="AN97" i="10"/>
  <c r="AO97" i="10"/>
  <c r="AP97" i="10"/>
  <c r="AA49" i="10"/>
  <c r="AB49" i="10"/>
  <c r="AJ49" i="10" s="1"/>
  <c r="AE49" i="10"/>
  <c r="AU49" i="10"/>
  <c r="R49" i="10"/>
  <c r="S49" i="10"/>
  <c r="T49" i="10" s="1"/>
  <c r="AM49" i="10"/>
  <c r="AN49" i="10" s="1"/>
  <c r="AO49" i="10" s="1"/>
  <c r="AL49" i="10" s="1"/>
  <c r="AP49" i="10"/>
  <c r="AA37" i="10"/>
  <c r="AB37" i="10"/>
  <c r="AJ37" i="10" s="1"/>
  <c r="AE37" i="10"/>
  <c r="AU37" i="10"/>
  <c r="R37" i="10"/>
  <c r="S37" i="10"/>
  <c r="T37" i="10" s="1"/>
  <c r="U37" i="10"/>
  <c r="Y37" i="10" s="1"/>
  <c r="AM37" i="10"/>
  <c r="AN37" i="10" s="1"/>
  <c r="AO37" i="10" s="1"/>
  <c r="AL37" i="10" s="1"/>
  <c r="AP37" i="10"/>
  <c r="AA515" i="10"/>
  <c r="AB515" i="10"/>
  <c r="AJ515" i="10" s="1"/>
  <c r="AE515" i="10"/>
  <c r="AU515" i="10"/>
  <c r="R515" i="10"/>
  <c r="S515" i="10"/>
  <c r="T515" i="10" s="1"/>
  <c r="U515" i="10"/>
  <c r="Y515" i="10" s="1"/>
  <c r="AM515" i="10"/>
  <c r="AN515" i="10"/>
  <c r="AO515" i="10"/>
  <c r="AL515" i="10" s="1"/>
  <c r="AP515" i="10"/>
  <c r="AA509" i="10"/>
  <c r="AB509" i="10"/>
  <c r="AJ509" i="10" s="1"/>
  <c r="AE509" i="10"/>
  <c r="AU509" i="10"/>
  <c r="R509" i="10"/>
  <c r="S509" i="10"/>
  <c r="T509" i="10" s="1"/>
  <c r="U509" i="10"/>
  <c r="Y509" i="10" s="1"/>
  <c r="AM509" i="10"/>
  <c r="AN509" i="10"/>
  <c r="AO509" i="10" s="1"/>
  <c r="AL509" i="10" s="1"/>
  <c r="AP509" i="10"/>
  <c r="AA504" i="10"/>
  <c r="AB504" i="10"/>
  <c r="AJ504" i="10" s="1"/>
  <c r="AE504" i="10"/>
  <c r="AU504" i="10"/>
  <c r="R504" i="10"/>
  <c r="S504" i="10"/>
  <c r="T504" i="10" s="1"/>
  <c r="U504" i="10"/>
  <c r="Y504" i="10" s="1"/>
  <c r="AM504" i="10"/>
  <c r="AN504" i="10"/>
  <c r="AO504" i="10"/>
  <c r="AL504" i="10" s="1"/>
  <c r="AP504" i="10"/>
  <c r="AA498" i="10"/>
  <c r="AB498" i="10"/>
  <c r="AE498" i="10"/>
  <c r="AJ498" i="10"/>
  <c r="AU498" i="10"/>
  <c r="R498" i="10"/>
  <c r="S498" i="10"/>
  <c r="T498" i="10" s="1"/>
  <c r="U498" i="10"/>
  <c r="Y498" i="10" s="1"/>
  <c r="AG498" i="10" s="1"/>
  <c r="AH498" i="10" s="1"/>
  <c r="AI498" i="10" s="1"/>
  <c r="AM498" i="10"/>
  <c r="AN498" i="10"/>
  <c r="AO498" i="10"/>
  <c r="AL498" i="10" s="1"/>
  <c r="AP498" i="10"/>
  <c r="AA493" i="10"/>
  <c r="AB493" i="10"/>
  <c r="AE493" i="10"/>
  <c r="AJ493" i="10"/>
  <c r="AU493" i="10"/>
  <c r="R493" i="10"/>
  <c r="S493" i="10"/>
  <c r="T493" i="10" s="1"/>
  <c r="U493" i="10"/>
  <c r="Y493" i="10" s="1"/>
  <c r="AG493" i="10" s="1"/>
  <c r="AM493" i="10"/>
  <c r="AN493" i="10"/>
  <c r="AO493" i="10"/>
  <c r="AL493" i="10" s="1"/>
  <c r="AP493" i="10"/>
  <c r="AA488" i="10"/>
  <c r="AB488" i="10"/>
  <c r="AE488" i="10"/>
  <c r="AJ488" i="10"/>
  <c r="AU488" i="10"/>
  <c r="R488" i="10"/>
  <c r="S488" i="10"/>
  <c r="T488" i="10" s="1"/>
  <c r="U488" i="10"/>
  <c r="Y488" i="10" s="1"/>
  <c r="AG488" i="10" s="1"/>
  <c r="AM488" i="10"/>
  <c r="AN488" i="10"/>
  <c r="AO488" i="10"/>
  <c r="AL488" i="10" s="1"/>
  <c r="AP488" i="10"/>
  <c r="AA483" i="10"/>
  <c r="AB483" i="10"/>
  <c r="AE483" i="10"/>
  <c r="AJ483" i="10"/>
  <c r="AU483" i="10"/>
  <c r="R483" i="10"/>
  <c r="S483" i="10"/>
  <c r="T483" i="10" s="1"/>
  <c r="U483" i="10"/>
  <c r="Y483" i="10" s="1"/>
  <c r="AG483" i="10" s="1"/>
  <c r="AM483" i="10"/>
  <c r="AN483" i="10"/>
  <c r="AO483" i="10"/>
  <c r="AL483" i="10" s="1"/>
  <c r="AP483" i="10"/>
  <c r="R478" i="10"/>
  <c r="S478" i="10"/>
  <c r="T478" i="10" s="1"/>
  <c r="U478" i="10"/>
  <c r="AM478" i="10"/>
  <c r="AN478" i="10"/>
  <c r="AO478" i="10"/>
  <c r="AL478" i="10" s="1"/>
  <c r="AP478" i="10"/>
  <c r="AA473" i="10"/>
  <c r="AB473" i="10"/>
  <c r="AE473" i="10"/>
  <c r="AJ473" i="10"/>
  <c r="AU473" i="10"/>
  <c r="R473" i="10"/>
  <c r="S473" i="10"/>
  <c r="T473" i="10" s="1"/>
  <c r="U473" i="10"/>
  <c r="Y473" i="10" s="1"/>
  <c r="AG473" i="10" s="1"/>
  <c r="AH473" i="10" s="1"/>
  <c r="AI473" i="10" s="1"/>
  <c r="AM473" i="10"/>
  <c r="AN473" i="10"/>
  <c r="AO473" i="10"/>
  <c r="AL473" i="10" s="1"/>
  <c r="AP473" i="10"/>
  <c r="R458" i="10"/>
  <c r="S458" i="10"/>
  <c r="T458" i="10" s="1"/>
  <c r="U458" i="10"/>
  <c r="AM458" i="10"/>
  <c r="AN458" i="10"/>
  <c r="AO458" i="10"/>
  <c r="AL458" i="10" s="1"/>
  <c r="AP458" i="10"/>
  <c r="R451" i="10"/>
  <c r="S451" i="10"/>
  <c r="T451" i="10" s="1"/>
  <c r="U451" i="10"/>
  <c r="AM451" i="10"/>
  <c r="AN451" i="10"/>
  <c r="AO451" i="10"/>
  <c r="AL451" i="10" s="1"/>
  <c r="AP451" i="10"/>
  <c r="R444" i="10"/>
  <c r="S444" i="10"/>
  <c r="T444" i="10" s="1"/>
  <c r="U444" i="10"/>
  <c r="AM444" i="10"/>
  <c r="AN444" i="10"/>
  <c r="AO444" i="10"/>
  <c r="AL444" i="10" s="1"/>
  <c r="AP444" i="10"/>
  <c r="R433" i="10"/>
  <c r="S433" i="10"/>
  <c r="T433" i="10" s="1"/>
  <c r="U433" i="10"/>
  <c r="AM433" i="10"/>
  <c r="AN433" i="10"/>
  <c r="AO433" i="10"/>
  <c r="AL433" i="10" s="1"/>
  <c r="AP433" i="10"/>
  <c r="AA423" i="10"/>
  <c r="AB423" i="10"/>
  <c r="AE423" i="10"/>
  <c r="AJ423" i="10"/>
  <c r="AU423" i="10"/>
  <c r="R423" i="10"/>
  <c r="S423" i="10"/>
  <c r="T423" i="10" s="1"/>
  <c r="U423" i="10"/>
  <c r="Y423" i="10" s="1"/>
  <c r="AG423" i="10" s="1"/>
  <c r="AM423" i="10"/>
  <c r="AN423" i="10"/>
  <c r="AO423" i="10"/>
  <c r="AL423" i="10" s="1"/>
  <c r="AP423" i="10"/>
  <c r="AA416" i="10"/>
  <c r="AB416" i="10"/>
  <c r="AE416" i="10"/>
  <c r="AJ416" i="10"/>
  <c r="AU416" i="10"/>
  <c r="R416" i="10"/>
  <c r="S416" i="10"/>
  <c r="T416" i="10" s="1"/>
  <c r="U416" i="10"/>
  <c r="Y416" i="10" s="1"/>
  <c r="AG416" i="10" s="1"/>
  <c r="AH416" i="10" s="1"/>
  <c r="AI416" i="10" s="1"/>
  <c r="AM416" i="10"/>
  <c r="AN416" i="10"/>
  <c r="AO416" i="10"/>
  <c r="AL416" i="10" s="1"/>
  <c r="AP416" i="10"/>
  <c r="AA409" i="10"/>
  <c r="AB409" i="10"/>
  <c r="AE409" i="10"/>
  <c r="AJ409" i="10"/>
  <c r="AU409" i="10"/>
  <c r="R409" i="10"/>
  <c r="S409" i="10"/>
  <c r="T409" i="10" s="1"/>
  <c r="U409" i="10"/>
  <c r="Y409" i="10" s="1"/>
  <c r="AG409" i="10" s="1"/>
  <c r="AH409" i="10" s="1"/>
  <c r="AI409" i="10" s="1"/>
  <c r="AM409" i="10"/>
  <c r="AN409" i="10"/>
  <c r="AO409" i="10"/>
  <c r="AL409" i="10" s="1"/>
  <c r="AP409" i="10"/>
  <c r="AA401" i="10"/>
  <c r="AB401" i="10"/>
  <c r="AE401" i="10"/>
  <c r="AJ401" i="10"/>
  <c r="AU401" i="10"/>
  <c r="R401" i="10"/>
  <c r="S401" i="10"/>
  <c r="T401" i="10" s="1"/>
  <c r="U401" i="10"/>
  <c r="Y401" i="10" s="1"/>
  <c r="AG401" i="10" s="1"/>
  <c r="AH401" i="10" s="1"/>
  <c r="AI401" i="10" s="1"/>
  <c r="AM401" i="10"/>
  <c r="AN401" i="10"/>
  <c r="AO401" i="10"/>
  <c r="AL401" i="10" s="1"/>
  <c r="AP401" i="10"/>
  <c r="AA365" i="10"/>
  <c r="AB365" i="10"/>
  <c r="AE365" i="10"/>
  <c r="AJ365" i="10"/>
  <c r="AU365" i="10"/>
  <c r="R365" i="10"/>
  <c r="S365" i="10"/>
  <c r="T365" i="10" s="1"/>
  <c r="U365" i="10"/>
  <c r="Y365" i="10" s="1"/>
  <c r="AG365" i="10" s="1"/>
  <c r="AM365" i="10"/>
  <c r="AN365" i="10"/>
  <c r="AO365" i="10"/>
  <c r="AL365" i="10" s="1"/>
  <c r="AP365" i="10"/>
  <c r="AA355" i="10"/>
  <c r="AB355" i="10"/>
  <c r="AE355" i="10"/>
  <c r="AJ355" i="10"/>
  <c r="AU355" i="10"/>
  <c r="R355" i="10"/>
  <c r="S355" i="10"/>
  <c r="T355" i="10" s="1"/>
  <c r="U355" i="10"/>
  <c r="Y355" i="10" s="1"/>
  <c r="AG355" i="10" s="1"/>
  <c r="AM355" i="10"/>
  <c r="AN355" i="10"/>
  <c r="AO355" i="10"/>
  <c r="AL355" i="10" s="1"/>
  <c r="AP355" i="10"/>
  <c r="AA345" i="10"/>
  <c r="AB345" i="10"/>
  <c r="AE345" i="10"/>
  <c r="AJ345" i="10"/>
  <c r="AU345" i="10"/>
  <c r="R345" i="10"/>
  <c r="S345" i="10"/>
  <c r="T345" i="10" s="1"/>
  <c r="U345" i="10"/>
  <c r="Y345" i="10" s="1"/>
  <c r="AG345" i="10" s="1"/>
  <c r="AM345" i="10"/>
  <c r="AN345" i="10"/>
  <c r="AO345" i="10"/>
  <c r="AL345" i="10" s="1"/>
  <c r="AP345" i="10"/>
  <c r="AA332" i="10"/>
  <c r="AB332" i="10"/>
  <c r="AE332" i="10"/>
  <c r="AJ332" i="10"/>
  <c r="AU332" i="10"/>
  <c r="R332" i="10"/>
  <c r="S332" i="10"/>
  <c r="T332" i="10" s="1"/>
  <c r="U332" i="10"/>
  <c r="Y332" i="10" s="1"/>
  <c r="AG332" i="10" s="1"/>
  <c r="AM332" i="10"/>
  <c r="AN332" i="10"/>
  <c r="AO332" i="10"/>
  <c r="AL332" i="10" s="1"/>
  <c r="AP332" i="10"/>
  <c r="AA321" i="10"/>
  <c r="AB321" i="10"/>
  <c r="AE321" i="10"/>
  <c r="AJ321" i="10"/>
  <c r="AU321" i="10"/>
  <c r="R321" i="10"/>
  <c r="S321" i="10"/>
  <c r="T321" i="10" s="1"/>
  <c r="U321" i="10"/>
  <c r="Y321" i="10" s="1"/>
  <c r="AG321" i="10" s="1"/>
  <c r="AM321" i="10"/>
  <c r="AN321" i="10"/>
  <c r="AO321" i="10"/>
  <c r="AL321" i="10" s="1"/>
  <c r="AP321" i="10"/>
  <c r="AA278" i="10"/>
  <c r="AB278" i="10"/>
  <c r="AE278" i="10"/>
  <c r="AJ278" i="10"/>
  <c r="AU278" i="10"/>
  <c r="R278" i="10"/>
  <c r="S278" i="10"/>
  <c r="T278" i="10" s="1"/>
  <c r="U278" i="10"/>
  <c r="Y278" i="10" s="1"/>
  <c r="AG278" i="10" s="1"/>
  <c r="AM278" i="10"/>
  <c r="AN278" i="10"/>
  <c r="AO278" i="10"/>
  <c r="AP278" i="10"/>
  <c r="AA265" i="10"/>
  <c r="AB265" i="10"/>
  <c r="AE265" i="10"/>
  <c r="AJ265" i="10"/>
  <c r="AU265" i="10"/>
  <c r="R265" i="10"/>
  <c r="S265" i="10"/>
  <c r="T265" i="10" s="1"/>
  <c r="U265" i="10"/>
  <c r="Y265" i="10" s="1"/>
  <c r="AG265" i="10" s="1"/>
  <c r="AM265" i="10"/>
  <c r="AN265" i="10" s="1"/>
  <c r="AO265" i="10" s="1"/>
  <c r="AL265" i="10" s="1"/>
  <c r="AP265" i="10"/>
  <c r="AA255" i="10"/>
  <c r="AB255" i="10"/>
  <c r="AJ255" i="10" s="1"/>
  <c r="AE255" i="10"/>
  <c r="AU255" i="10"/>
  <c r="R255" i="10"/>
  <c r="S255" i="10"/>
  <c r="T255" i="10" s="1"/>
  <c r="U255" i="10" s="1"/>
  <c r="Y255" i="10" s="1"/>
  <c r="AM255" i="10"/>
  <c r="AN255" i="10"/>
  <c r="AO255" i="10"/>
  <c r="AL255" i="10" s="1"/>
  <c r="AP255" i="10"/>
  <c r="AA213" i="10"/>
  <c r="AB213" i="10"/>
  <c r="AJ213" i="10" s="1"/>
  <c r="AE213" i="10"/>
  <c r="AU213" i="10"/>
  <c r="R213" i="10"/>
  <c r="S213" i="10"/>
  <c r="T213" i="10" s="1"/>
  <c r="U213" i="10"/>
  <c r="Y213" i="10" s="1"/>
  <c r="AM213" i="10"/>
  <c r="AN213" i="10"/>
  <c r="AO213" i="10"/>
  <c r="AL213" i="10" s="1"/>
  <c r="AP213" i="10"/>
  <c r="AA199" i="10"/>
  <c r="AB199" i="10"/>
  <c r="AJ199" i="10" s="1"/>
  <c r="AE199" i="10"/>
  <c r="AU199" i="10"/>
  <c r="R199" i="10"/>
  <c r="S199" i="10"/>
  <c r="T199" i="10" s="1"/>
  <c r="U199" i="10"/>
  <c r="Y199" i="10" s="1"/>
  <c r="AM199" i="10"/>
  <c r="AN199" i="10" s="1"/>
  <c r="AO199" i="10" s="1"/>
  <c r="AL199" i="10" s="1"/>
  <c r="AP199" i="10"/>
  <c r="AA188" i="10"/>
  <c r="AB188" i="10"/>
  <c r="AJ188" i="10" s="1"/>
  <c r="AE188" i="10"/>
  <c r="AU188" i="10"/>
  <c r="R188" i="10"/>
  <c r="S188" i="10"/>
  <c r="T188" i="10" s="1"/>
  <c r="AM188" i="10"/>
  <c r="AN188" i="10" s="1"/>
  <c r="AO188" i="10" s="1"/>
  <c r="AL188" i="10" s="1"/>
  <c r="AP188" i="10"/>
  <c r="AA172" i="10"/>
  <c r="AB172" i="10"/>
  <c r="AJ172" i="10" s="1"/>
  <c r="AE172" i="10"/>
  <c r="AU172" i="10"/>
  <c r="R172" i="10"/>
  <c r="S172" i="10"/>
  <c r="T172" i="10" s="1"/>
  <c r="U172" i="10"/>
  <c r="Y172" i="10" s="1"/>
  <c r="AM172" i="10"/>
  <c r="AN172" i="10" s="1"/>
  <c r="AO172" i="10" s="1"/>
  <c r="AL172" i="10" s="1"/>
  <c r="AP172" i="10"/>
  <c r="AA114" i="10"/>
  <c r="AB114" i="10"/>
  <c r="AJ114" i="10" s="1"/>
  <c r="AE114" i="10"/>
  <c r="AU114" i="10"/>
  <c r="R114" i="10"/>
  <c r="S114" i="10"/>
  <c r="T114" i="10" s="1"/>
  <c r="U114" i="10" s="1"/>
  <c r="Y114" i="10" s="1"/>
  <c r="AM114" i="10"/>
  <c r="AN114" i="10" s="1"/>
  <c r="AO114" i="10" s="1"/>
  <c r="AL114" i="10" s="1"/>
  <c r="AP114" i="10"/>
  <c r="R101" i="10"/>
  <c r="S101" i="10"/>
  <c r="T101" i="10" s="1"/>
  <c r="U101" i="10" s="1"/>
  <c r="AM101" i="10"/>
  <c r="AN101" i="10" s="1"/>
  <c r="AO101" i="10" s="1"/>
  <c r="AP101" i="10"/>
  <c r="AA53" i="10"/>
  <c r="AB53" i="10"/>
  <c r="AJ53" i="10" s="1"/>
  <c r="AE53" i="10"/>
  <c r="AU53" i="10"/>
  <c r="R53" i="10"/>
  <c r="S53" i="10"/>
  <c r="T53" i="10" s="1"/>
  <c r="U53" i="10"/>
  <c r="Y53" i="10" s="1"/>
  <c r="AM53" i="10"/>
  <c r="AN53" i="10"/>
  <c r="AO53" i="10" s="1"/>
  <c r="AL53" i="10" s="1"/>
  <c r="AP53" i="10"/>
  <c r="AA41" i="10"/>
  <c r="AB41" i="10"/>
  <c r="AJ41" i="10" s="1"/>
  <c r="AE41" i="10"/>
  <c r="AU41" i="10"/>
  <c r="R41" i="10"/>
  <c r="S41" i="10"/>
  <c r="T41" i="10" s="1"/>
  <c r="U41" i="10"/>
  <c r="Y41" i="10" s="1"/>
  <c r="AM41" i="10"/>
  <c r="AN41" i="10" s="1"/>
  <c r="AO41" i="10" s="1"/>
  <c r="AP41" i="10"/>
  <c r="AA27" i="10"/>
  <c r="AB27" i="10"/>
  <c r="AJ27" i="10" s="1"/>
  <c r="AE27" i="10"/>
  <c r="AU27" i="10"/>
  <c r="R27" i="10"/>
  <c r="S27" i="10"/>
  <c r="T27" i="10" s="1"/>
  <c r="U27" i="10"/>
  <c r="Y27" i="10" s="1"/>
  <c r="AM27" i="10"/>
  <c r="AN27" i="10"/>
  <c r="AO27" i="10" s="1"/>
  <c r="AP27" i="10"/>
  <c r="AA518" i="10"/>
  <c r="AB518" i="10"/>
  <c r="AJ518" i="10" s="1"/>
  <c r="AE518" i="10"/>
  <c r="AU518" i="10"/>
  <c r="R518" i="10"/>
  <c r="S518" i="10"/>
  <c r="T518" i="10" s="1"/>
  <c r="AM518" i="10"/>
  <c r="AN518" i="10"/>
  <c r="AO518" i="10" s="1"/>
  <c r="AL518" i="10" s="1"/>
  <c r="AP518" i="10"/>
  <c r="AA511" i="10"/>
  <c r="AB511" i="10"/>
  <c r="AJ511" i="10" s="1"/>
  <c r="AE511" i="10"/>
  <c r="AU511" i="10"/>
  <c r="R511" i="10"/>
  <c r="S511" i="10"/>
  <c r="T511" i="10" s="1"/>
  <c r="U511" i="10"/>
  <c r="Y511" i="10" s="1"/>
  <c r="AM511" i="10"/>
  <c r="AN511" i="10"/>
  <c r="AO511" i="10" s="1"/>
  <c r="AP511" i="10"/>
  <c r="AA505" i="10"/>
  <c r="AB505" i="10"/>
  <c r="AJ505" i="10" s="1"/>
  <c r="AE505" i="10"/>
  <c r="AU505" i="10"/>
  <c r="R505" i="10"/>
  <c r="S505" i="10"/>
  <c r="T505" i="10" s="1"/>
  <c r="AM505" i="10"/>
  <c r="AN505" i="10" s="1"/>
  <c r="AO505" i="10" s="1"/>
  <c r="AL505" i="10" s="1"/>
  <c r="AP505" i="10"/>
  <c r="AA500" i="10"/>
  <c r="AB500" i="10"/>
  <c r="AJ500" i="10" s="1"/>
  <c r="AE500" i="10"/>
  <c r="AU500" i="10"/>
  <c r="R500" i="10"/>
  <c r="S500" i="10"/>
  <c r="T500" i="10" s="1"/>
  <c r="U500" i="10"/>
  <c r="Y500" i="10" s="1"/>
  <c r="AM500" i="10"/>
  <c r="AN500" i="10"/>
  <c r="AO500" i="10"/>
  <c r="AL500" i="10" s="1"/>
  <c r="AP500" i="10"/>
  <c r="AA495" i="10"/>
  <c r="AB495" i="10"/>
  <c r="AJ495" i="10" s="1"/>
  <c r="AE495" i="10"/>
  <c r="AU495" i="10"/>
  <c r="R495" i="10"/>
  <c r="S495" i="10"/>
  <c r="T495" i="10" s="1"/>
  <c r="U495" i="10"/>
  <c r="Y495" i="10" s="1"/>
  <c r="AM495" i="10"/>
  <c r="AN495" i="10"/>
  <c r="AO495" i="10" s="1"/>
  <c r="AL495" i="10" s="1"/>
  <c r="AP495" i="10"/>
  <c r="AA489" i="10"/>
  <c r="AB489" i="10"/>
  <c r="AJ489" i="10" s="1"/>
  <c r="AE489" i="10"/>
  <c r="AU489" i="10"/>
  <c r="R489" i="10"/>
  <c r="S489" i="10"/>
  <c r="T489" i="10" s="1"/>
  <c r="U489" i="10"/>
  <c r="Y489" i="10" s="1"/>
  <c r="AM489" i="10"/>
  <c r="AN489" i="10" s="1"/>
  <c r="AO489" i="10" s="1"/>
  <c r="AL489" i="10" s="1"/>
  <c r="AP489" i="10"/>
  <c r="AA484" i="10"/>
  <c r="AB484" i="10"/>
  <c r="AJ484" i="10" s="1"/>
  <c r="AE484" i="10"/>
  <c r="AU484" i="10"/>
  <c r="R484" i="10"/>
  <c r="S484" i="10"/>
  <c r="T484" i="10" s="1"/>
  <c r="U484" i="10" s="1"/>
  <c r="Y484" i="10" s="1"/>
  <c r="AM484" i="10"/>
  <c r="AN484" i="10"/>
  <c r="AO484" i="10" s="1"/>
  <c r="AL484" i="10" s="1"/>
  <c r="AP484" i="10"/>
  <c r="AA479" i="10"/>
  <c r="AB479" i="10"/>
  <c r="AJ479" i="10" s="1"/>
  <c r="AE479" i="10"/>
  <c r="AU479" i="10"/>
  <c r="R479" i="10"/>
  <c r="S479" i="10"/>
  <c r="T479" i="10" s="1"/>
  <c r="AM479" i="10"/>
  <c r="AN479" i="10" s="1"/>
  <c r="AO479" i="10" s="1"/>
  <c r="AL479" i="10" s="1"/>
  <c r="AP479" i="10"/>
  <c r="AA474" i="10"/>
  <c r="AB474" i="10"/>
  <c r="AJ474" i="10" s="1"/>
  <c r="AE474" i="10"/>
  <c r="AU474" i="10"/>
  <c r="R474" i="10"/>
  <c r="S474" i="10"/>
  <c r="T474" i="10" s="1"/>
  <c r="U474" i="10"/>
  <c r="Y474" i="10" s="1"/>
  <c r="AM474" i="10"/>
  <c r="AN474" i="10"/>
  <c r="AO474" i="10" s="1"/>
  <c r="AL474" i="10" s="1"/>
  <c r="AP474" i="10"/>
  <c r="AA460" i="10"/>
  <c r="AB460" i="10"/>
  <c r="AJ460" i="10" s="1"/>
  <c r="AE460" i="10"/>
  <c r="AU460" i="10"/>
  <c r="R460" i="10"/>
  <c r="S460" i="10"/>
  <c r="T460" i="10" s="1"/>
  <c r="U460" i="10" s="1"/>
  <c r="Y460" i="10" s="1"/>
  <c r="AM460" i="10"/>
  <c r="AN460" i="10"/>
  <c r="AO460" i="10" s="1"/>
  <c r="AL460" i="10" s="1"/>
  <c r="AP460" i="10"/>
  <c r="AA452" i="10"/>
  <c r="AB452" i="10"/>
  <c r="AJ452" i="10" s="1"/>
  <c r="AE452" i="10"/>
  <c r="AU452" i="10"/>
  <c r="R452" i="10"/>
  <c r="S452" i="10"/>
  <c r="T452" i="10" s="1"/>
  <c r="U452" i="10"/>
  <c r="Y452" i="10" s="1"/>
  <c r="AM452" i="10"/>
  <c r="AN452" i="10"/>
  <c r="AO452" i="10"/>
  <c r="AL452" i="10" s="1"/>
  <c r="AP452" i="10"/>
  <c r="AA445" i="10"/>
  <c r="AB445" i="10"/>
  <c r="AJ445" i="10" s="1"/>
  <c r="AE445" i="10"/>
  <c r="AU445" i="10"/>
  <c r="R445" i="10"/>
  <c r="S445" i="10"/>
  <c r="T445" i="10" s="1"/>
  <c r="AM445" i="10"/>
  <c r="AN445" i="10" s="1"/>
  <c r="AO445" i="10" s="1"/>
  <c r="AL445" i="10" s="1"/>
  <c r="AP445" i="10"/>
  <c r="AA437" i="10"/>
  <c r="AB437" i="10"/>
  <c r="AJ437" i="10" s="1"/>
  <c r="AE437" i="10"/>
  <c r="AU437" i="10"/>
  <c r="R437" i="10"/>
  <c r="S437" i="10"/>
  <c r="T437" i="10" s="1"/>
  <c r="U437" i="10"/>
  <c r="Y437" i="10" s="1"/>
  <c r="AM437" i="10"/>
  <c r="AN437" i="10"/>
  <c r="AO437" i="10" s="1"/>
  <c r="AL437" i="10" s="1"/>
  <c r="AP437" i="10"/>
  <c r="AA426" i="10"/>
  <c r="AB426" i="10"/>
  <c r="AJ426" i="10" s="1"/>
  <c r="AE426" i="10"/>
  <c r="AU426" i="10"/>
  <c r="R426" i="10"/>
  <c r="S426" i="10"/>
  <c r="T426" i="10" s="1"/>
  <c r="U426" i="10" s="1"/>
  <c r="Y426" i="10" s="1"/>
  <c r="AM426" i="10"/>
  <c r="AN426" i="10"/>
  <c r="AO426" i="10" s="1"/>
  <c r="AL426" i="10" s="1"/>
  <c r="AP426" i="10"/>
  <c r="AA420" i="10"/>
  <c r="AB420" i="10"/>
  <c r="AJ420" i="10" s="1"/>
  <c r="AE420" i="10"/>
  <c r="AU420" i="10"/>
  <c r="R420" i="10"/>
  <c r="S420" i="10"/>
  <c r="T420" i="10" s="1"/>
  <c r="U420" i="10"/>
  <c r="Y420" i="10" s="1"/>
  <c r="AM420" i="10"/>
  <c r="AN420" i="10" s="1"/>
  <c r="AO420" i="10" s="1"/>
  <c r="AL420" i="10" s="1"/>
  <c r="AP420" i="10"/>
  <c r="AA413" i="10"/>
  <c r="AB413" i="10"/>
  <c r="AE413" i="10"/>
  <c r="AJ413" i="10"/>
  <c r="AU413" i="10"/>
  <c r="R413" i="10"/>
  <c r="S413" i="10"/>
  <c r="T413" i="10" s="1"/>
  <c r="U413" i="10"/>
  <c r="Y413" i="10" s="1"/>
  <c r="AG413" i="10" s="1"/>
  <c r="AM413" i="10"/>
  <c r="AN413" i="10"/>
  <c r="AO413" i="10"/>
  <c r="AL413" i="10" s="1"/>
  <c r="AP413" i="10"/>
  <c r="AE403" i="10"/>
  <c r="AU403" i="10"/>
  <c r="R403" i="10"/>
  <c r="S403" i="10"/>
  <c r="T403" i="10" s="1"/>
  <c r="U403" i="10"/>
  <c r="Y403" i="10" s="1"/>
  <c r="AM403" i="10"/>
  <c r="AN403" i="10"/>
  <c r="AO403" i="10"/>
  <c r="AL403" i="10" s="1"/>
  <c r="AP403" i="10"/>
  <c r="AA367" i="10"/>
  <c r="AB367" i="10"/>
  <c r="AE367" i="10"/>
  <c r="AJ367" i="10"/>
  <c r="AU367" i="10"/>
  <c r="R367" i="10"/>
  <c r="S367" i="10"/>
  <c r="T367" i="10" s="1"/>
  <c r="U367" i="10"/>
  <c r="Y367" i="10" s="1"/>
  <c r="AG367" i="10" s="1"/>
  <c r="AM367" i="10"/>
  <c r="AN367" i="10"/>
  <c r="AO367" i="10"/>
  <c r="AL367" i="10" s="1"/>
  <c r="AP367" i="10"/>
  <c r="AA359" i="10"/>
  <c r="AB359" i="10"/>
  <c r="AE359" i="10"/>
  <c r="AJ359" i="10"/>
  <c r="AU359" i="10"/>
  <c r="R359" i="10"/>
  <c r="S359" i="10"/>
  <c r="T359" i="10" s="1"/>
  <c r="U359" i="10"/>
  <c r="Y359" i="10" s="1"/>
  <c r="AG359" i="10" s="1"/>
  <c r="AH359" i="10" s="1"/>
  <c r="AI359" i="10" s="1"/>
  <c r="AM359" i="10"/>
  <c r="AN359" i="10"/>
  <c r="AO359" i="10"/>
  <c r="AP359" i="10"/>
  <c r="AA350" i="10"/>
  <c r="AB350" i="10"/>
  <c r="AE350" i="10"/>
  <c r="AJ350" i="10"/>
  <c r="AU350" i="10"/>
  <c r="R350" i="10"/>
  <c r="S350" i="10"/>
  <c r="T350" i="10" s="1"/>
  <c r="U350" i="10"/>
  <c r="Y350" i="10" s="1"/>
  <c r="AG350" i="10" s="1"/>
  <c r="AH350" i="10" s="1"/>
  <c r="AI350" i="10" s="1"/>
  <c r="AM350" i="10"/>
  <c r="AN350" i="10"/>
  <c r="AO350" i="10"/>
  <c r="AL350" i="10" s="1"/>
  <c r="AP350" i="10"/>
  <c r="AA336" i="10"/>
  <c r="AB336" i="10"/>
  <c r="AE336" i="10"/>
  <c r="AJ336" i="10"/>
  <c r="AU336" i="10"/>
  <c r="R336" i="10"/>
  <c r="S336" i="10"/>
  <c r="T336" i="10" s="1"/>
  <c r="U336" i="10"/>
  <c r="Y336" i="10" s="1"/>
  <c r="AG336" i="10" s="1"/>
  <c r="AM336" i="10"/>
  <c r="AN336" i="10"/>
  <c r="AO336" i="10"/>
  <c r="AL336" i="10" s="1"/>
  <c r="AP336" i="10"/>
  <c r="AA324" i="10"/>
  <c r="AB324" i="10"/>
  <c r="AE324" i="10"/>
  <c r="AJ324" i="10"/>
  <c r="AU324" i="10"/>
  <c r="R324" i="10"/>
  <c r="S324" i="10"/>
  <c r="T324" i="10" s="1"/>
  <c r="U324" i="10"/>
  <c r="Y324" i="10" s="1"/>
  <c r="AG324" i="10" s="1"/>
  <c r="AM324" i="10"/>
  <c r="AN324" i="10"/>
  <c r="AO324" i="10"/>
  <c r="AP324" i="10"/>
  <c r="AA283" i="10"/>
  <c r="AB283" i="10"/>
  <c r="AE283" i="10"/>
  <c r="AJ283" i="10"/>
  <c r="AU283" i="10"/>
  <c r="R283" i="10"/>
  <c r="S283" i="10"/>
  <c r="T283" i="10" s="1"/>
  <c r="U283" i="10"/>
  <c r="Y283" i="10" s="1"/>
  <c r="AG283" i="10" s="1"/>
  <c r="AM283" i="10"/>
  <c r="AN283" i="10"/>
  <c r="AO283" i="10"/>
  <c r="AL283" i="10" s="1"/>
  <c r="AP283" i="10"/>
  <c r="AA268" i="10"/>
  <c r="AB268" i="10"/>
  <c r="AE268" i="10"/>
  <c r="AJ268" i="10"/>
  <c r="AU268" i="10"/>
  <c r="R268" i="10"/>
  <c r="S268" i="10"/>
  <c r="T268" i="10" s="1"/>
  <c r="U268" i="10"/>
  <c r="Y268" i="10" s="1"/>
  <c r="AG268" i="10" s="1"/>
  <c r="AH268" i="10" s="1"/>
  <c r="AI268" i="10" s="1"/>
  <c r="AM268" i="10"/>
  <c r="AN268" i="10"/>
  <c r="AO268" i="10"/>
  <c r="AL268" i="10" s="1"/>
  <c r="AP268" i="10"/>
  <c r="AA259" i="10"/>
  <c r="AB259" i="10"/>
  <c r="AE259" i="10"/>
  <c r="AJ259" i="10"/>
  <c r="AU259" i="10"/>
  <c r="R259" i="10"/>
  <c r="S259" i="10"/>
  <c r="T259" i="10" s="1"/>
  <c r="U259" i="10"/>
  <c r="Y259" i="10" s="1"/>
  <c r="AG259" i="10" s="1"/>
  <c r="AM259" i="10"/>
  <c r="AN259" i="10"/>
  <c r="AO259" i="10"/>
  <c r="AL259" i="10" s="1"/>
  <c r="AP259" i="10"/>
  <c r="AA249" i="10"/>
  <c r="AB249" i="10"/>
  <c r="AE249" i="10"/>
  <c r="AJ249" i="10"/>
  <c r="AU249" i="10"/>
  <c r="R249" i="10"/>
  <c r="S249" i="10"/>
  <c r="T249" i="10" s="1"/>
  <c r="U249" i="10"/>
  <c r="Y249" i="10" s="1"/>
  <c r="AG249" i="10" s="1"/>
  <c r="AM249" i="10"/>
  <c r="AN249" i="10"/>
  <c r="AO249" i="10"/>
  <c r="AP249" i="10"/>
  <c r="R206" i="10"/>
  <c r="S206" i="10"/>
  <c r="T206" i="10" s="1"/>
  <c r="U206" i="10"/>
  <c r="AM206" i="10"/>
  <c r="AN206" i="10"/>
  <c r="AO206" i="10"/>
  <c r="AL206" i="10" s="1"/>
  <c r="AP206" i="10"/>
  <c r="AA190" i="10"/>
  <c r="AB190" i="10"/>
  <c r="AE190" i="10"/>
  <c r="AJ190" i="10"/>
  <c r="AU190" i="10"/>
  <c r="R190" i="10"/>
  <c r="S190" i="10"/>
  <c r="T190" i="10" s="1"/>
  <c r="U190" i="10"/>
  <c r="Y190" i="10" s="1"/>
  <c r="AG190" i="10" s="1"/>
  <c r="AM190" i="10"/>
  <c r="AN190" i="10"/>
  <c r="AO190" i="10"/>
  <c r="AL190" i="10" s="1"/>
  <c r="AP190" i="10"/>
  <c r="AA174" i="10"/>
  <c r="AB174" i="10"/>
  <c r="AE174" i="10"/>
  <c r="AJ174" i="10"/>
  <c r="AU174" i="10"/>
  <c r="R174" i="10"/>
  <c r="S174" i="10"/>
  <c r="T174" i="10" s="1"/>
  <c r="U174" i="10"/>
  <c r="Y174" i="10" s="1"/>
  <c r="AG174" i="10" s="1"/>
  <c r="AM174" i="10"/>
  <c r="AN174" i="10"/>
  <c r="AO174" i="10"/>
  <c r="AP174" i="10"/>
  <c r="AA124" i="10"/>
  <c r="AB124" i="10"/>
  <c r="AE124" i="10"/>
  <c r="AJ124" i="10"/>
  <c r="AU124" i="10"/>
  <c r="R124" i="10"/>
  <c r="S124" i="10"/>
  <c r="T124" i="10" s="1"/>
  <c r="U124" i="10"/>
  <c r="Y124" i="10" s="1"/>
  <c r="AG124" i="10" s="1"/>
  <c r="AM124" i="10"/>
  <c r="AN124" i="10"/>
  <c r="AO124" i="10"/>
  <c r="AL124" i="10" s="1"/>
  <c r="AP124" i="10"/>
  <c r="AA106" i="10"/>
  <c r="AB106" i="10"/>
  <c r="AE106" i="10"/>
  <c r="AJ106" i="10"/>
  <c r="AU106" i="10"/>
  <c r="R106" i="10"/>
  <c r="S106" i="10"/>
  <c r="T106" i="10" s="1"/>
  <c r="U106" i="10"/>
  <c r="Y106" i="10" s="1"/>
  <c r="AG106" i="10" s="1"/>
  <c r="AM106" i="10"/>
  <c r="AN106" i="10"/>
  <c r="AO106" i="10"/>
  <c r="AL106" i="10" s="1"/>
  <c r="AP106" i="10"/>
  <c r="AA59" i="10"/>
  <c r="AB59" i="10"/>
  <c r="AE59" i="10"/>
  <c r="AJ59" i="10"/>
  <c r="AU59" i="10"/>
  <c r="R59" i="10"/>
  <c r="S59" i="10"/>
  <c r="T59" i="10" s="1"/>
  <c r="U59" i="10"/>
  <c r="Y59" i="10" s="1"/>
  <c r="AG59" i="10" s="1"/>
  <c r="AM59" i="10"/>
  <c r="AN59" i="10"/>
  <c r="AO59" i="10"/>
  <c r="AP59" i="10"/>
  <c r="R46" i="10"/>
  <c r="S46" i="10"/>
  <c r="T46" i="10" s="1"/>
  <c r="U46" i="10"/>
  <c r="AM46" i="10"/>
  <c r="AN46" i="10"/>
  <c r="AO46" i="10"/>
  <c r="AL46" i="10" s="1"/>
  <c r="AP46" i="10"/>
  <c r="AA30" i="10"/>
  <c r="AB30" i="10"/>
  <c r="AE30" i="10"/>
  <c r="AJ30" i="10"/>
  <c r="AU30" i="10"/>
  <c r="R30" i="10"/>
  <c r="S30" i="10"/>
  <c r="T30" i="10" s="1"/>
  <c r="U30" i="10"/>
  <c r="Y30" i="10" s="1"/>
  <c r="AG30" i="10" s="1"/>
  <c r="AM30" i="10"/>
  <c r="AN30" i="10"/>
  <c r="AO30" i="10"/>
  <c r="AP30" i="10"/>
  <c r="AR6" i="10"/>
  <c r="AR155" i="10"/>
  <c r="AR304" i="10"/>
  <c r="AR453" i="10"/>
  <c r="AR400" i="10"/>
  <c r="AR434" i="10"/>
  <c r="AR516" i="10"/>
  <c r="AR274" i="10"/>
  <c r="AR520" i="10"/>
  <c r="AR251" i="10"/>
  <c r="AR118" i="10"/>
  <c r="AR154" i="10"/>
  <c r="AR25" i="10"/>
  <c r="AR184" i="10"/>
  <c r="AR148" i="10"/>
  <c r="AR95" i="10"/>
  <c r="AR122" i="10"/>
  <c r="AR396" i="10"/>
  <c r="AR419" i="10"/>
  <c r="AR436" i="10"/>
  <c r="AR210" i="10"/>
  <c r="AR179" i="10"/>
  <c r="AR344" i="10"/>
  <c r="AR330" i="10"/>
  <c r="AR117" i="10"/>
  <c r="AR133" i="10"/>
  <c r="AR273" i="10"/>
  <c r="AR194" i="10"/>
  <c r="AR88" i="10"/>
  <c r="AR201" i="10"/>
  <c r="AR277" i="10"/>
  <c r="AR281" i="10"/>
  <c r="AR282" i="10"/>
  <c r="AR152" i="10"/>
  <c r="AR33" i="10"/>
  <c r="AR440" i="10"/>
  <c r="AR457" i="10"/>
  <c r="AR410" i="10"/>
  <c r="AR391" i="10"/>
  <c r="AR356" i="10"/>
  <c r="AR435" i="10"/>
  <c r="AR116" i="10"/>
  <c r="AR131" i="10"/>
  <c r="AR120" i="10"/>
  <c r="AR295" i="10"/>
  <c r="AR5" i="10"/>
  <c r="AR127" i="10"/>
  <c r="AR83" i="10"/>
  <c r="AR305" i="10"/>
  <c r="AR315" i="10"/>
  <c r="AR357" i="10"/>
  <c r="AR512" i="10"/>
  <c r="AR319" i="10"/>
  <c r="AR346" i="10"/>
  <c r="AR79" i="10"/>
  <c r="AR130" i="10"/>
  <c r="AR331" i="10"/>
  <c r="AR205" i="10"/>
  <c r="AR327" i="10"/>
  <c r="AR387" i="10"/>
  <c r="AR276" i="10"/>
  <c r="AR519" i="10"/>
  <c r="AR388" i="10"/>
  <c r="AR121" i="10"/>
  <c r="AR146" i="10"/>
  <c r="AR394" i="10"/>
  <c r="AR200" i="10"/>
  <c r="AR185" i="10"/>
  <c r="AR35" i="10"/>
  <c r="AR432" i="10"/>
  <c r="AR429" i="10"/>
  <c r="AR134" i="10"/>
  <c r="AR119" i="10"/>
  <c r="AR521" i="10"/>
  <c r="AR508" i="10"/>
  <c r="AR431" i="10"/>
  <c r="AR503" i="10"/>
  <c r="AR494" i="10"/>
  <c r="AR491" i="10"/>
  <c r="AR486" i="10"/>
  <c r="AR481" i="10"/>
  <c r="AR472" i="10"/>
  <c r="AR459" i="10"/>
  <c r="AR448" i="10"/>
  <c r="AR441" i="10"/>
  <c r="AR428" i="10"/>
  <c r="AR424" i="10"/>
  <c r="AR418" i="10"/>
  <c r="AR411" i="10"/>
  <c r="AR404" i="10"/>
  <c r="AR399" i="10"/>
  <c r="AR354" i="10"/>
  <c r="AR335" i="10"/>
  <c r="AR323" i="10"/>
  <c r="AR285" i="10"/>
  <c r="AR271" i="10"/>
  <c r="AR263" i="10"/>
  <c r="AR254" i="10"/>
  <c r="AR178" i="10"/>
  <c r="AR132" i="10"/>
  <c r="AR111" i="10"/>
  <c r="AR100" i="10"/>
  <c r="AR54" i="10"/>
  <c r="AR29" i="10"/>
  <c r="AR514" i="10"/>
  <c r="AR450" i="10"/>
  <c r="AR267" i="10"/>
  <c r="AR123" i="10"/>
  <c r="AR482" i="10"/>
  <c r="AR477" i="10"/>
  <c r="AR471" i="10"/>
  <c r="AR456" i="10"/>
  <c r="AR442" i="10"/>
  <c r="AR430" i="10"/>
  <c r="AR422" i="10"/>
  <c r="AR415" i="10"/>
  <c r="AR408" i="10"/>
  <c r="AR398" i="10"/>
  <c r="AR362" i="10"/>
  <c r="AR329" i="10"/>
  <c r="AR286" i="10"/>
  <c r="AR272" i="10"/>
  <c r="AR261" i="10"/>
  <c r="AR211" i="10"/>
  <c r="AR195" i="10"/>
  <c r="AR177" i="10"/>
  <c r="AR109" i="10"/>
  <c r="AR98" i="10"/>
  <c r="AR39" i="10"/>
  <c r="AR26" i="10"/>
  <c r="AR468" i="10"/>
  <c r="AR467" i="10"/>
  <c r="AR466" i="10"/>
  <c r="AR465" i="10"/>
  <c r="AR464" i="10"/>
  <c r="AR463" i="10"/>
  <c r="AR55" i="10"/>
  <c r="AR390" i="10"/>
  <c r="AR375" i="10"/>
  <c r="AR402" i="10"/>
  <c r="AR366" i="10"/>
  <c r="AR358" i="10"/>
  <c r="AR348" i="10"/>
  <c r="AR334" i="10"/>
  <c r="AR322" i="10"/>
  <c r="AR257" i="10"/>
  <c r="AR104" i="10"/>
  <c r="AR377" i="10"/>
  <c r="AR287" i="10"/>
  <c r="AR275" i="10"/>
  <c r="AR256" i="10"/>
  <c r="AR247" i="10"/>
  <c r="AR204" i="10"/>
  <c r="AR192" i="10"/>
  <c r="AR181" i="10"/>
  <c r="AR112" i="10"/>
  <c r="AR102" i="10"/>
  <c r="AR56" i="10"/>
  <c r="AR44" i="10"/>
  <c r="AR31" i="10"/>
  <c r="AR318" i="10"/>
  <c r="AR317" i="10"/>
  <c r="AR316" i="10"/>
  <c r="AR314" i="10"/>
  <c r="AR313" i="10"/>
  <c r="AR312" i="10"/>
  <c r="AR311" i="10"/>
  <c r="AR308" i="10"/>
  <c r="AR307" i="10"/>
  <c r="AR306" i="10"/>
  <c r="AR303" i="10"/>
  <c r="AR302" i="10"/>
  <c r="AR300" i="10"/>
  <c r="AR299" i="10"/>
  <c r="AR298" i="10"/>
  <c r="AR297" i="10"/>
  <c r="AR296" i="10"/>
  <c r="AR294" i="10"/>
  <c r="AR293" i="10"/>
  <c r="AR292" i="10"/>
  <c r="AR291" i="10"/>
  <c r="AR290" i="10"/>
  <c r="AR289" i="10"/>
  <c r="AR288" i="10"/>
  <c r="AR279" i="10"/>
  <c r="AR266" i="10"/>
  <c r="AR258" i="10"/>
  <c r="AR248" i="10"/>
  <c r="AR139" i="10"/>
  <c r="AR48" i="10"/>
  <c r="AR36" i="10"/>
  <c r="AR94" i="10"/>
  <c r="AR380" i="10"/>
  <c r="AR207" i="10"/>
  <c r="AR196" i="10"/>
  <c r="AR183" i="10"/>
  <c r="AR136" i="10"/>
  <c r="AR113" i="10"/>
  <c r="AR103" i="10"/>
  <c r="AR58" i="10"/>
  <c r="AR45" i="10"/>
  <c r="AR34" i="10"/>
  <c r="AR24" i="10"/>
  <c r="AR244" i="10"/>
  <c r="AR243" i="10"/>
  <c r="AR242" i="10"/>
  <c r="AR241" i="10"/>
  <c r="AR239" i="10"/>
  <c r="AR238" i="10"/>
  <c r="AR237" i="10"/>
  <c r="AR236" i="10"/>
  <c r="AR235" i="10"/>
  <c r="AR234" i="10"/>
  <c r="AR232" i="10"/>
  <c r="AR231" i="10"/>
  <c r="AR229" i="10"/>
  <c r="AR228" i="10"/>
  <c r="AR227" i="10"/>
  <c r="AR226" i="10"/>
  <c r="AR224" i="10"/>
  <c r="AR223" i="10"/>
  <c r="AR222" i="10"/>
  <c r="AR221" i="10"/>
  <c r="AR220" i="10"/>
  <c r="AR219" i="10"/>
  <c r="AR218" i="10"/>
  <c r="AR217" i="10"/>
  <c r="AR215" i="10"/>
  <c r="AR208" i="10"/>
  <c r="AR186" i="10"/>
  <c r="AR170" i="10"/>
  <c r="AR169" i="10"/>
  <c r="AR168" i="10"/>
  <c r="AR167" i="10"/>
  <c r="AR166" i="10"/>
  <c r="AR165" i="10"/>
  <c r="AR164" i="10"/>
  <c r="AR162" i="10"/>
  <c r="AR160" i="10"/>
  <c r="AR153" i="10"/>
  <c r="AR147" i="10"/>
  <c r="AR143" i="10"/>
  <c r="AR142" i="10"/>
  <c r="AR140" i="10"/>
  <c r="AR125" i="10"/>
  <c r="AR96" i="10"/>
  <c r="AR42" i="10"/>
  <c r="AR389" i="10"/>
  <c r="AR371" i="10"/>
  <c r="AR137" i="10"/>
  <c r="AR115" i="10"/>
  <c r="AR105" i="10"/>
  <c r="AR57" i="10"/>
  <c r="AR47" i="10"/>
  <c r="AR32" i="10"/>
  <c r="AR161" i="10"/>
  <c r="AR159" i="10"/>
  <c r="AR156" i="10"/>
  <c r="AR151" i="10"/>
  <c r="AR150" i="10"/>
  <c r="AR149" i="10"/>
  <c r="AR144" i="10"/>
  <c r="AR107" i="10"/>
  <c r="AR92" i="10"/>
  <c r="AR384" i="10"/>
  <c r="AR90" i="10"/>
  <c r="AR89" i="10"/>
  <c r="AR87" i="10"/>
  <c r="AR86" i="10"/>
  <c r="AR85" i="10"/>
  <c r="AR84" i="10"/>
  <c r="AR80" i="10"/>
  <c r="AR78" i="10"/>
  <c r="AR77" i="10"/>
  <c r="AR76" i="10"/>
  <c r="AR75" i="10"/>
  <c r="AR74" i="10"/>
  <c r="AR73" i="10"/>
  <c r="AR72" i="10"/>
  <c r="AR71" i="10"/>
  <c r="AR70" i="10"/>
  <c r="AR69" i="10"/>
  <c r="AR68" i="10"/>
  <c r="AR67" i="10"/>
  <c r="AR66" i="10"/>
  <c r="AR65" i="10"/>
  <c r="AR64" i="10"/>
  <c r="AR63" i="10"/>
  <c r="AR62" i="10"/>
  <c r="AR61" i="10"/>
  <c r="AR60" i="10"/>
  <c r="AR52" i="10"/>
  <c r="AR40" i="10"/>
  <c r="AR23" i="10"/>
  <c r="AR21" i="10"/>
  <c r="AR19" i="10"/>
  <c r="AR18" i="10"/>
  <c r="AR17" i="10"/>
  <c r="AR16" i="10"/>
  <c r="AR14" i="10"/>
  <c r="AR13" i="10"/>
  <c r="AR12" i="10"/>
  <c r="AR11" i="10"/>
  <c r="AR510" i="10"/>
  <c r="AR501" i="10"/>
  <c r="AR485" i="10"/>
  <c r="AR475" i="10"/>
  <c r="AR414" i="10"/>
  <c r="AR397" i="10"/>
  <c r="AR351" i="10"/>
  <c r="AR438" i="10"/>
  <c r="AR492" i="10"/>
  <c r="AR417" i="10"/>
  <c r="AR173" i="10"/>
  <c r="AR382" i="10"/>
  <c r="AR370" i="10"/>
  <c r="AR9" i="10"/>
  <c r="AR8" i="10"/>
  <c r="AR7" i="10"/>
  <c r="AR4" i="10"/>
  <c r="AR3" i="10"/>
  <c r="AR368" i="10"/>
  <c r="AR352" i="10"/>
  <c r="AR328" i="10"/>
  <c r="AR270" i="10"/>
  <c r="AR262" i="10"/>
  <c r="AR253" i="10"/>
  <c r="AR212" i="10"/>
  <c r="AR198" i="10"/>
  <c r="AR129" i="10"/>
  <c r="AR110" i="10"/>
  <c r="AR99" i="10"/>
  <c r="AR51" i="10"/>
  <c r="AR38" i="10"/>
  <c r="AR517" i="10"/>
  <c r="AR490" i="10"/>
  <c r="AR480" i="10"/>
  <c r="AR470" i="10"/>
  <c r="AR421" i="10"/>
  <c r="AR405" i="10"/>
  <c r="AR355" i="10"/>
  <c r="AR345" i="10"/>
  <c r="AR278" i="10"/>
  <c r="AR265" i="10"/>
  <c r="AR213" i="10"/>
  <c r="AR188" i="10"/>
  <c r="AR114" i="10"/>
  <c r="AR43" i="10"/>
  <c r="AR497" i="10"/>
  <c r="AR443" i="10"/>
  <c r="AR202" i="10"/>
  <c r="AR379" i="10"/>
  <c r="AR339" i="10"/>
  <c r="AR326" i="10"/>
  <c r="AR284" i="10"/>
  <c r="AR269" i="10"/>
  <c r="AR260" i="10"/>
  <c r="AR250" i="10"/>
  <c r="AR209" i="10"/>
  <c r="AR193" i="10"/>
  <c r="AR175" i="10"/>
  <c r="AR126" i="10"/>
  <c r="AR108" i="10"/>
  <c r="AR97" i="10"/>
  <c r="AR49" i="10"/>
  <c r="AR37" i="10"/>
  <c r="AR515" i="10"/>
  <c r="AR493" i="10"/>
  <c r="AR488" i="10"/>
  <c r="AR483" i="10"/>
  <c r="AR458" i="10"/>
  <c r="AR444" i="10"/>
  <c r="AR423" i="10"/>
  <c r="AR365" i="10"/>
  <c r="AR321" i="10"/>
  <c r="AR199" i="10"/>
  <c r="AR172" i="10"/>
  <c r="AR101" i="10"/>
  <c r="AR487" i="10"/>
  <c r="AR425" i="10"/>
  <c r="AR53" i="10"/>
  <c r="AR41" i="10"/>
  <c r="AR27" i="10"/>
  <c r="AR505" i="10"/>
  <c r="AR500" i="10"/>
  <c r="AR495" i="10"/>
  <c r="AR489" i="10"/>
  <c r="AR474" i="10"/>
  <c r="AR460" i="10"/>
  <c r="AR452" i="10"/>
  <c r="AR445" i="10"/>
  <c r="AR437" i="10"/>
  <c r="AR426" i="10"/>
  <c r="AR420" i="10"/>
  <c r="AR413" i="10"/>
  <c r="AR367" i="10"/>
  <c r="AR336" i="10"/>
  <c r="AR324" i="10"/>
  <c r="AR283" i="10"/>
  <c r="AR259" i="10"/>
  <c r="AR249" i="10"/>
  <c r="AR190" i="10"/>
  <c r="AR174" i="10"/>
  <c r="AR124" i="10"/>
  <c r="AR106" i="10"/>
  <c r="AR59" i="10"/>
  <c r="AR46" i="10"/>
  <c r="AR30" i="10"/>
  <c r="AR246" i="10"/>
  <c r="AR393" i="10"/>
  <c r="AR374" i="10"/>
  <c r="B7" i="6"/>
  <c r="B6" i="6"/>
  <c r="X232" i="10"/>
  <c r="X233" i="10"/>
  <c r="X339" i="10"/>
  <c r="X101" i="10"/>
  <c r="B13" i="5" s="1"/>
  <c r="Y330" i="10" l="1"/>
  <c r="AG330" i="10" s="1"/>
  <c r="U205" i="10"/>
  <c r="Y205" i="10" s="1"/>
  <c r="U299" i="10"/>
  <c r="Y299" i="10" s="1"/>
  <c r="AG299" i="10" s="1"/>
  <c r="U309" i="10"/>
  <c r="Y309" i="10" s="1"/>
  <c r="AG309" i="10" s="1"/>
  <c r="AH309" i="10" s="1"/>
  <c r="AI309" i="10" s="1"/>
  <c r="U9" i="10"/>
  <c r="Y9" i="10" s="1"/>
  <c r="AG9" i="10" s="1"/>
  <c r="U352" i="10"/>
  <c r="Y352" i="10" s="1"/>
  <c r="U505" i="10"/>
  <c r="Y505" i="10" s="1"/>
  <c r="AG505" i="10" s="1"/>
  <c r="AJ330" i="10"/>
  <c r="AU330" i="10"/>
  <c r="U363" i="10"/>
  <c r="Y363" i="10" s="1"/>
  <c r="AG363" i="10" s="1"/>
  <c r="AH363" i="10" s="1"/>
  <c r="AI363" i="10" s="1"/>
  <c r="U8" i="10"/>
  <c r="Y8" i="10" s="1"/>
  <c r="AG8" i="10" s="1"/>
  <c r="AG411" i="10"/>
  <c r="AG335" i="10"/>
  <c r="Y117" i="10"/>
  <c r="U519" i="10"/>
  <c r="Y519" i="10" s="1"/>
  <c r="AG519" i="10" s="1"/>
  <c r="AG354" i="10"/>
  <c r="AG347" i="10"/>
  <c r="AG418" i="10"/>
  <c r="Y111" i="10"/>
  <c r="AG369" i="10"/>
  <c r="AH369" i="10" s="1"/>
  <c r="AI369" i="10" s="1"/>
  <c r="AG186" i="10"/>
  <c r="AA117" i="10"/>
  <c r="AB117" i="10"/>
  <c r="AE117" i="10"/>
  <c r="AJ117" i="10"/>
  <c r="AU117" i="10"/>
  <c r="AA111" i="10"/>
  <c r="AB111" i="10"/>
  <c r="AJ111" i="10" s="1"/>
  <c r="AE111" i="10"/>
  <c r="AU111" i="10"/>
  <c r="U445" i="10"/>
  <c r="Y445" i="10" s="1"/>
  <c r="AG445" i="10" s="1"/>
  <c r="AA100" i="10"/>
  <c r="AB100" i="10"/>
  <c r="AJ100" i="10" s="1"/>
  <c r="AG338" i="10"/>
  <c r="AH338" i="10" s="1"/>
  <c r="AI338" i="10" s="1"/>
  <c r="AG379" i="10"/>
  <c r="Y100" i="10"/>
  <c r="AG227" i="10"/>
  <c r="AG501" i="10"/>
  <c r="AG485" i="10"/>
  <c r="AG490" i="10"/>
  <c r="AG223" i="10"/>
  <c r="AE100" i="10"/>
  <c r="AU100" i="10"/>
  <c r="U130" i="10"/>
  <c r="Y130" i="10" s="1"/>
  <c r="AG130" i="10" s="1"/>
  <c r="AG176" i="10"/>
  <c r="AG121" i="10"/>
  <c r="U466" i="10"/>
  <c r="Y466" i="10" s="1"/>
  <c r="AG466" i="10" s="1"/>
  <c r="U465" i="10"/>
  <c r="Y465" i="10" s="1"/>
  <c r="AG465" i="10" s="1"/>
  <c r="U308" i="10"/>
  <c r="Y308" i="10" s="1"/>
  <c r="AG308" i="10" s="1"/>
  <c r="U137" i="10"/>
  <c r="Y137" i="10" s="1"/>
  <c r="AG137" i="10" s="1"/>
  <c r="U93" i="10"/>
  <c r="Y93" i="10" s="1"/>
  <c r="AG93" i="10" s="1"/>
  <c r="AH93" i="10" s="1"/>
  <c r="AI93" i="10" s="1"/>
  <c r="U92" i="10"/>
  <c r="Y92" i="10" s="1"/>
  <c r="AG92" i="10" s="1"/>
  <c r="U91" i="10"/>
  <c r="Y91" i="10" s="1"/>
  <c r="AG91" i="10" s="1"/>
  <c r="AH91" i="10" s="1"/>
  <c r="AI91" i="10" s="1"/>
  <c r="U89" i="10"/>
  <c r="Y89" i="10" s="1"/>
  <c r="AG89" i="10" s="1"/>
  <c r="AG306" i="10"/>
  <c r="AG2" i="10"/>
  <c r="AG378" i="10"/>
  <c r="AG312" i="10"/>
  <c r="AG310" i="10"/>
  <c r="AH310" i="10" s="1"/>
  <c r="AI310" i="10" s="1"/>
  <c r="AG307" i="10"/>
  <c r="AG86" i="10"/>
  <c r="AG384" i="10"/>
  <c r="AG380" i="10"/>
  <c r="AG90" i="10"/>
  <c r="AG85" i="10"/>
  <c r="AG303" i="10"/>
  <c r="AG302" i="10"/>
  <c r="AG300" i="10"/>
  <c r="AG298" i="10"/>
  <c r="AG94" i="10"/>
  <c r="AA394" i="10"/>
  <c r="AB394" i="10"/>
  <c r="AJ394" i="10" s="1"/>
  <c r="AE394" i="10"/>
  <c r="AU394" i="10"/>
  <c r="Y394" i="10"/>
  <c r="AG296" i="10"/>
  <c r="AG292" i="10"/>
  <c r="AG226" i="10"/>
  <c r="AG222" i="10"/>
  <c r="AG4" i="10"/>
  <c r="U263" i="10"/>
  <c r="Y263" i="10" s="1"/>
  <c r="AG263" i="10" s="1"/>
  <c r="AG221" i="10"/>
  <c r="AG82" i="10"/>
  <c r="AH82" i="10" s="1"/>
  <c r="AI82" i="10" s="1"/>
  <c r="AA201" i="10"/>
  <c r="AB201" i="10"/>
  <c r="AJ201" i="10" s="1"/>
  <c r="AG468" i="10"/>
  <c r="Y201" i="10"/>
  <c r="AG29" i="10"/>
  <c r="U427" i="10"/>
  <c r="Y427" i="10" s="1"/>
  <c r="AG427" i="10" s="1"/>
  <c r="AH427" i="10" s="1"/>
  <c r="AI427" i="10" s="1"/>
  <c r="U188" i="10"/>
  <c r="Y188" i="10" s="1"/>
  <c r="AG188" i="10" s="1"/>
  <c r="AE201" i="10"/>
  <c r="AU201" i="10"/>
  <c r="AG395" i="10"/>
  <c r="AH395" i="10" s="1"/>
  <c r="AI395" i="10" s="1"/>
  <c r="U461" i="10"/>
  <c r="Y461" i="10" s="1"/>
  <c r="AG461" i="10" s="1"/>
  <c r="AH461" i="10" s="1"/>
  <c r="AI461" i="10" s="1"/>
  <c r="U49" i="10"/>
  <c r="Y49" i="10" s="1"/>
  <c r="AG49" i="10" s="1"/>
  <c r="U462" i="10"/>
  <c r="Y462" i="10" s="1"/>
  <c r="AG462" i="10" s="1"/>
  <c r="AH462" i="10" s="1"/>
  <c r="AI462" i="10" s="1"/>
  <c r="U518" i="10"/>
  <c r="Y518" i="10" s="1"/>
  <c r="AG518" i="10" s="1"/>
  <c r="AH518" i="10" s="1"/>
  <c r="AI518" i="10" s="1"/>
  <c r="AG357" i="10"/>
  <c r="AG346" i="10"/>
  <c r="AG512" i="10"/>
  <c r="U285" i="10"/>
  <c r="Y285" i="10" s="1"/>
  <c r="AG285" i="10" s="1"/>
  <c r="AG81" i="10"/>
  <c r="AH81" i="10" s="1"/>
  <c r="AI81" i="10" s="1"/>
  <c r="U439" i="10"/>
  <c r="Y439" i="10" s="1"/>
  <c r="AG439" i="10" s="1"/>
  <c r="AH439" i="10" s="1"/>
  <c r="AI439" i="10" s="1"/>
  <c r="AG79" i="10"/>
  <c r="AG35" i="10"/>
  <c r="U323" i="10"/>
  <c r="Y323" i="10" s="1"/>
  <c r="AG323" i="10" s="1"/>
  <c r="U325" i="10"/>
  <c r="Y325" i="10" s="1"/>
  <c r="AA406" i="10"/>
  <c r="AB406" i="10"/>
  <c r="AA57" i="10"/>
  <c r="AB57" i="10"/>
  <c r="AJ57" i="10" s="1"/>
  <c r="AA325" i="10"/>
  <c r="AB325" i="10"/>
  <c r="AJ325" i="10" s="1"/>
  <c r="AE325" i="10"/>
  <c r="AU325" i="10"/>
  <c r="AG271" i="10"/>
  <c r="AG254" i="10"/>
  <c r="Y508" i="10"/>
  <c r="AG178" i="10"/>
  <c r="Y478" i="10"/>
  <c r="Y458" i="10"/>
  <c r="Y451" i="10"/>
  <c r="Y444" i="10"/>
  <c r="Y433" i="10"/>
  <c r="AU458" i="10"/>
  <c r="AB458" i="10"/>
  <c r="AJ458" i="10" s="1"/>
  <c r="AA458" i="10"/>
  <c r="AE458" i="10"/>
  <c r="AJ478" i="10"/>
  <c r="AA478" i="10"/>
  <c r="AB478" i="10"/>
  <c r="AE478" i="10"/>
  <c r="AU478" i="10"/>
  <c r="AU451" i="10"/>
  <c r="AJ451" i="10"/>
  <c r="AE451" i="10"/>
  <c r="AB451" i="10"/>
  <c r="AA451" i="10"/>
  <c r="AU444" i="10"/>
  <c r="AE444" i="10"/>
  <c r="AB444" i="10"/>
  <c r="AJ444" i="10" s="1"/>
  <c r="AA444" i="10"/>
  <c r="AA429" i="10"/>
  <c r="AG429" i="10" s="1"/>
  <c r="AE433" i="10"/>
  <c r="AU433" i="10"/>
  <c r="AA433" i="10"/>
  <c r="AB433" i="10"/>
  <c r="AJ433" i="10" s="1"/>
  <c r="AA513" i="10"/>
  <c r="AB513" i="10"/>
  <c r="AJ513" i="10" s="1"/>
  <c r="AU508" i="10"/>
  <c r="AE508" i="10"/>
  <c r="AB508" i="10"/>
  <c r="AJ508" i="10" s="1"/>
  <c r="AA508" i="10"/>
  <c r="AG200" i="10"/>
  <c r="AG432" i="10"/>
  <c r="AG294" i="10"/>
  <c r="AG47" i="10"/>
  <c r="AG480" i="10"/>
  <c r="AG387" i="10"/>
  <c r="AG132" i="10"/>
  <c r="AG341" i="10"/>
  <c r="AH341" i="10" s="1"/>
  <c r="AI341" i="10" s="1"/>
  <c r="AG205" i="10"/>
  <c r="AG383" i="10"/>
  <c r="AH383" i="10" s="1"/>
  <c r="AI383" i="10" s="1"/>
  <c r="AG54" i="10"/>
  <c r="Y502" i="10"/>
  <c r="U258" i="10"/>
  <c r="Y258" i="10" s="1"/>
  <c r="AG258" i="10" s="1"/>
  <c r="U220" i="10"/>
  <c r="Y220" i="10" s="1"/>
  <c r="AG220" i="10" s="1"/>
  <c r="AA502" i="10"/>
  <c r="AB502" i="10"/>
  <c r="AJ502" i="10" s="1"/>
  <c r="AE502" i="10"/>
  <c r="AU502" i="10"/>
  <c r="AA410" i="10"/>
  <c r="AB410" i="10"/>
  <c r="AJ410" i="10" s="1"/>
  <c r="AG115" i="10"/>
  <c r="AG467" i="10"/>
  <c r="AG464" i="10"/>
  <c r="AG371" i="10"/>
  <c r="AG219" i="10"/>
  <c r="AG377" i="10"/>
  <c r="AG375" i="10"/>
  <c r="AG370" i="10"/>
  <c r="AG266" i="10"/>
  <c r="AG374" i="10"/>
  <c r="AG372" i="10"/>
  <c r="AH372" i="10" s="1"/>
  <c r="AI372" i="10" s="1"/>
  <c r="AG287" i="10"/>
  <c r="AG405" i="10"/>
  <c r="AG397" i="10"/>
  <c r="U479" i="10"/>
  <c r="Y479" i="10" s="1"/>
  <c r="AG479" i="10" s="1"/>
  <c r="AH479" i="10" s="1"/>
  <c r="AI479" i="10" s="1"/>
  <c r="AG289" i="10"/>
  <c r="AG217" i="10"/>
  <c r="AG470" i="10"/>
  <c r="AG414" i="10"/>
  <c r="AG105" i="10"/>
  <c r="AG455" i="10"/>
  <c r="AH455" i="10" s="1"/>
  <c r="AI455" i="10" s="1"/>
  <c r="AG273" i="10"/>
  <c r="AG88" i="10"/>
  <c r="AG279" i="10"/>
  <c r="AG215" i="10"/>
  <c r="AG208" i="10"/>
  <c r="AG194" i="10"/>
  <c r="AG291" i="10"/>
  <c r="AG288" i="10"/>
  <c r="AG248" i="10"/>
  <c r="AU57" i="10"/>
  <c r="AE57" i="10"/>
  <c r="AE410" i="10"/>
  <c r="AU410" i="10"/>
  <c r="AG146" i="10"/>
  <c r="AG497" i="10"/>
  <c r="AG450" i="10"/>
  <c r="AG356" i="10"/>
  <c r="AG349" i="10"/>
  <c r="AG185" i="10"/>
  <c r="AG43" i="10"/>
  <c r="AG431" i="10"/>
  <c r="AG514" i="10"/>
  <c r="AG457" i="10"/>
  <c r="Y492" i="10"/>
  <c r="Y487" i="10"/>
  <c r="AG425" i="10"/>
  <c r="Y410" i="10"/>
  <c r="AG364" i="10"/>
  <c r="AG207" i="10"/>
  <c r="AG361" i="10"/>
  <c r="AH361" i="10" s="1"/>
  <c r="AI361" i="10" s="1"/>
  <c r="AG351" i="10"/>
  <c r="Y57" i="10"/>
  <c r="Y32" i="10"/>
  <c r="AG7" i="10"/>
  <c r="AG3" i="10"/>
  <c r="AG352" i="10"/>
  <c r="AG255" i="10"/>
  <c r="AH255" i="10" s="1"/>
  <c r="AI255" i="10" s="1"/>
  <c r="AG80" i="10"/>
  <c r="AG368" i="10"/>
  <c r="AG53" i="10"/>
  <c r="AG260" i="10"/>
  <c r="AG437" i="10"/>
  <c r="AG337" i="10"/>
  <c r="AA32" i="10"/>
  <c r="AB32" i="10"/>
  <c r="AJ32" i="10" s="1"/>
  <c r="AU32" i="10"/>
  <c r="AE32" i="10"/>
  <c r="AE492" i="10"/>
  <c r="AU492" i="10"/>
  <c r="AA492" i="10"/>
  <c r="AB492" i="10"/>
  <c r="AJ492" i="10" s="1"/>
  <c r="AA487" i="10"/>
  <c r="AB487" i="10"/>
  <c r="AJ487" i="10" s="1"/>
  <c r="AE487" i="10"/>
  <c r="AU487" i="10"/>
  <c r="Y22" i="10"/>
  <c r="AU22" i="10"/>
  <c r="AE22" i="10"/>
  <c r="AB22" i="10"/>
  <c r="AJ22" i="10" s="1"/>
  <c r="AA22" i="10"/>
  <c r="AG438" i="10"/>
  <c r="Y446" i="10"/>
  <c r="AG484" i="10"/>
  <c r="AH484" i="10" s="1"/>
  <c r="AI484" i="10" s="1"/>
  <c r="AG281" i="10"/>
  <c r="Y513" i="10"/>
  <c r="AG277" i="10"/>
  <c r="AG15" i="10"/>
  <c r="Y456" i="10"/>
  <c r="Y430" i="10"/>
  <c r="AG474" i="10"/>
  <c r="AG199" i="10"/>
  <c r="AG495" i="10"/>
  <c r="AG489" i="10"/>
  <c r="AG152" i="10"/>
  <c r="AG256" i="10"/>
  <c r="Y247" i="10"/>
  <c r="AG183" i="10"/>
  <c r="AG136" i="10"/>
  <c r="AG426" i="10"/>
  <c r="AG282" i="10"/>
  <c r="AG440" i="10"/>
  <c r="AG113" i="10"/>
  <c r="Y242" i="10"/>
  <c r="Y237" i="10"/>
  <c r="AG328" i="10"/>
  <c r="AG262" i="10"/>
  <c r="AG250" i="10"/>
  <c r="AG193" i="10"/>
  <c r="AG126" i="10"/>
  <c r="AG108" i="10"/>
  <c r="AG37" i="10"/>
  <c r="AG509" i="10"/>
  <c r="AH509" i="10" s="1"/>
  <c r="AI509" i="10" s="1"/>
  <c r="AG504" i="10"/>
  <c r="AH504" i="10" s="1"/>
  <c r="AI504" i="10" s="1"/>
  <c r="AG213" i="10"/>
  <c r="AG41" i="10"/>
  <c r="AG460" i="10"/>
  <c r="AG452" i="10"/>
  <c r="AG170" i="10"/>
  <c r="Y168" i="10"/>
  <c r="Y167" i="10"/>
  <c r="Y164" i="10"/>
  <c r="Y162" i="10"/>
  <c r="Y158" i="10"/>
  <c r="Y156" i="10"/>
  <c r="Y153" i="10"/>
  <c r="Y151" i="10"/>
  <c r="Y147" i="10"/>
  <c r="AG270" i="10"/>
  <c r="AG284" i="10"/>
  <c r="AG269" i="10"/>
  <c r="AG209" i="10"/>
  <c r="AG175" i="10"/>
  <c r="AG97" i="10"/>
  <c r="AG515" i="10"/>
  <c r="AG114" i="10"/>
  <c r="AG27" i="10"/>
  <c r="AG511" i="10"/>
  <c r="AG500" i="10"/>
  <c r="AG172" i="10"/>
  <c r="AG187" i="10"/>
  <c r="AG420" i="10"/>
  <c r="Y206" i="10"/>
  <c r="Y46" i="10"/>
  <c r="AE430" i="10"/>
  <c r="AB430" i="10"/>
  <c r="AJ430" i="10" s="1"/>
  <c r="AA430" i="10"/>
  <c r="AU430" i="10"/>
  <c r="AA446" i="10"/>
  <c r="AB446" i="10"/>
  <c r="AE446" i="10"/>
  <c r="AJ446" i="10"/>
  <c r="AU446" i="10"/>
  <c r="AJ168" i="10"/>
  <c r="AE168" i="10"/>
  <c r="AU168" i="10"/>
  <c r="AB168" i="10"/>
  <c r="AA168" i="10"/>
  <c r="AU513" i="10"/>
  <c r="AE513" i="10"/>
  <c r="AA123" i="10"/>
  <c r="AG123" i="10" s="1"/>
  <c r="AB162" i="10"/>
  <c r="AU162" i="10"/>
  <c r="AA162" i="10"/>
  <c r="AJ162" i="10"/>
  <c r="AE162" i="10"/>
  <c r="AU158" i="10"/>
  <c r="AE158" i="10"/>
  <c r="AB158" i="10"/>
  <c r="AJ158" i="10" s="1"/>
  <c r="AA158" i="10"/>
  <c r="AA110" i="10"/>
  <c r="AG110" i="10" s="1"/>
  <c r="AE156" i="10"/>
  <c r="AA156" i="10"/>
  <c r="AB156" i="10"/>
  <c r="AJ156" i="10" s="1"/>
  <c r="AU156" i="10"/>
  <c r="AA153" i="10"/>
  <c r="AB153" i="10"/>
  <c r="AJ153" i="10" s="1"/>
  <c r="AE153" i="10"/>
  <c r="AU153" i="10"/>
  <c r="AE247" i="10"/>
  <c r="AB247" i="10"/>
  <c r="AJ247" i="10" s="1"/>
  <c r="AU247" i="10"/>
  <c r="AA247" i="10"/>
  <c r="AB499" i="10"/>
  <c r="AA499" i="10"/>
  <c r="AB151" i="10"/>
  <c r="AJ151" i="10" s="1"/>
  <c r="AA151" i="10"/>
  <c r="AE151" i="10"/>
  <c r="AU151" i="10"/>
  <c r="AU242" i="10"/>
  <c r="AB242" i="10"/>
  <c r="AJ242" i="10" s="1"/>
  <c r="AA242" i="10"/>
  <c r="AE242" i="10"/>
  <c r="AU237" i="10"/>
  <c r="AA237" i="10"/>
  <c r="AB237" i="10"/>
  <c r="AJ237" i="10" s="1"/>
  <c r="AE237" i="10"/>
  <c r="AB403" i="10"/>
  <c r="AA403" i="10"/>
  <c r="AA167" i="10"/>
  <c r="AB167" i="10"/>
  <c r="AJ167" i="10" s="1"/>
  <c r="AU167" i="10"/>
  <c r="AE167" i="10"/>
  <c r="AA164" i="10"/>
  <c r="AB164" i="10"/>
  <c r="AJ164" i="10" s="1"/>
  <c r="AE164" i="10"/>
  <c r="AU164" i="10"/>
  <c r="AA392" i="10"/>
  <c r="AB392" i="10"/>
  <c r="AU456" i="10"/>
  <c r="AA456" i="10"/>
  <c r="AB456" i="10"/>
  <c r="AJ456" i="10" s="1"/>
  <c r="AE456" i="10"/>
  <c r="AU46" i="10"/>
  <c r="AA46" i="10"/>
  <c r="AB46" i="10"/>
  <c r="AJ46" i="10" s="1"/>
  <c r="AE46" i="10"/>
  <c r="AA147" i="10"/>
  <c r="AB147" i="10"/>
  <c r="AJ147" i="10" s="1"/>
  <c r="AE147" i="10"/>
  <c r="AU147" i="10"/>
  <c r="AE206" i="10"/>
  <c r="AB206" i="10"/>
  <c r="AJ206" i="10" s="1"/>
  <c r="AA206" i="10"/>
  <c r="AU206" i="10"/>
  <c r="AL6" i="10"/>
  <c r="G26" i="7"/>
  <c r="H26" i="7" s="1"/>
  <c r="AL25" i="10"/>
  <c r="G72" i="7"/>
  <c r="H72" i="7" s="1"/>
  <c r="AL281" i="10"/>
  <c r="G55" i="7"/>
  <c r="H55" i="7" s="1"/>
  <c r="AL15" i="10"/>
  <c r="G82" i="7"/>
  <c r="H82" i="7" s="1"/>
  <c r="AL33" i="10"/>
  <c r="G19" i="7"/>
  <c r="H19" i="7" s="1"/>
  <c r="AL440" i="10"/>
  <c r="G85" i="7"/>
  <c r="H85" i="7" s="1"/>
  <c r="AL83" i="10"/>
  <c r="G11" i="7"/>
  <c r="H11" i="7" s="1"/>
  <c r="B54" i="5"/>
  <c r="B63" i="5"/>
  <c r="AL2" i="10"/>
  <c r="B9" i="5"/>
  <c r="B10" i="5"/>
  <c r="C6" i="6"/>
  <c r="D6" i="6" s="1"/>
  <c r="C7" i="6"/>
  <c r="D7" i="6" s="1"/>
  <c r="G40" i="7"/>
  <c r="H40" i="7" s="1"/>
  <c r="AL79" i="10"/>
  <c r="G81" i="7"/>
  <c r="H81" i="7" s="1"/>
  <c r="AL130" i="10"/>
  <c r="G75" i="7"/>
  <c r="H75" i="7" s="1"/>
  <c r="AL276" i="10"/>
  <c r="G62" i="7"/>
  <c r="H62" i="7" s="1"/>
  <c r="AL185" i="10"/>
  <c r="G31" i="7"/>
  <c r="H31" i="7" s="1"/>
  <c r="AL432" i="10"/>
  <c r="G56" i="7"/>
  <c r="H56" i="7" s="1"/>
  <c r="AL486" i="10"/>
  <c r="G76" i="7"/>
  <c r="H76" i="7" s="1"/>
  <c r="AL476" i="10"/>
  <c r="G61" i="7"/>
  <c r="H61" i="7" s="1"/>
  <c r="AL285" i="10"/>
  <c r="G43" i="7"/>
  <c r="H43" i="7" s="1"/>
  <c r="AL203" i="10"/>
  <c r="G70" i="7"/>
  <c r="H70" i="7" s="1"/>
  <c r="AL132" i="10"/>
  <c r="G20" i="7"/>
  <c r="H20" i="7" s="1"/>
  <c r="AL514" i="10"/>
  <c r="G51" i="7"/>
  <c r="H51" i="7" s="1"/>
  <c r="AL482" i="10"/>
  <c r="G73" i="7"/>
  <c r="H73" i="7" s="1"/>
  <c r="AL408" i="10"/>
  <c r="G48" i="7"/>
  <c r="H48" i="7" s="1"/>
  <c r="AL177" i="10"/>
  <c r="G59" i="7"/>
  <c r="H59" i="7" s="1"/>
  <c r="AL128" i="10"/>
  <c r="G79" i="7"/>
  <c r="H79" i="7" s="1"/>
  <c r="AL98" i="10"/>
  <c r="G78" i="7"/>
  <c r="H78" i="7" s="1"/>
  <c r="AL348" i="10"/>
  <c r="G87" i="7"/>
  <c r="H87" i="7" s="1"/>
  <c r="AL28" i="10"/>
  <c r="G7" i="7"/>
  <c r="H7" i="7" s="1"/>
  <c r="AL377" i="10"/>
  <c r="G32" i="7"/>
  <c r="H32" i="7" s="1"/>
  <c r="AL376" i="10"/>
  <c r="G42" i="7"/>
  <c r="H42" i="7" s="1"/>
  <c r="AL372" i="10"/>
  <c r="G86" i="7"/>
  <c r="H86" i="7" s="1"/>
  <c r="AL298" i="10"/>
  <c r="G66" i="7"/>
  <c r="H66" i="7" s="1"/>
  <c r="AL196" i="10"/>
  <c r="G21" i="7"/>
  <c r="H21" i="7" s="1"/>
  <c r="AL45" i="10"/>
  <c r="G29" i="7"/>
  <c r="H29" i="7" s="1"/>
  <c r="AL34" i="10"/>
  <c r="G10" i="7"/>
  <c r="H10" i="7" s="1"/>
  <c r="AL24" i="10"/>
  <c r="G18" i="7"/>
  <c r="H18" i="7" s="1"/>
  <c r="AL235" i="10"/>
  <c r="G74" i="7"/>
  <c r="H74" i="7" s="1"/>
  <c r="AL230" i="10"/>
  <c r="G65" i="7"/>
  <c r="H65" i="7" s="1"/>
  <c r="AL226" i="10"/>
  <c r="G84" i="7"/>
  <c r="H84" i="7" s="1"/>
  <c r="AL222" i="10"/>
  <c r="G14" i="7"/>
  <c r="H14" i="7" s="1"/>
  <c r="AL57" i="10"/>
  <c r="G77" i="7"/>
  <c r="H77" i="7" s="1"/>
  <c r="AL47" i="10"/>
  <c r="G8" i="7"/>
  <c r="H8" i="7" s="1"/>
  <c r="AL32" i="10"/>
  <c r="G28" i="7"/>
  <c r="H28" i="7" s="1"/>
  <c r="AL168" i="10"/>
  <c r="G88" i="7"/>
  <c r="H88" i="7" s="1"/>
  <c r="AL167" i="10"/>
  <c r="G23" i="7"/>
  <c r="H23" i="7" s="1"/>
  <c r="AL159" i="10"/>
  <c r="G45" i="7"/>
  <c r="H45" i="7" s="1"/>
  <c r="AL158" i="10"/>
  <c r="G58" i="7"/>
  <c r="H58" i="7" s="1"/>
  <c r="AL153" i="10"/>
  <c r="G67" i="7"/>
  <c r="H67" i="7" s="1"/>
  <c r="AL139" i="10"/>
  <c r="G69" i="7"/>
  <c r="H69" i="7" s="1"/>
  <c r="AL81" i="10"/>
  <c r="G3" i="7"/>
  <c r="H3" i="7" s="1"/>
  <c r="AL75" i="10"/>
  <c r="G35" i="7"/>
  <c r="H35" i="7" s="1"/>
  <c r="AL73" i="10"/>
  <c r="G49" i="7"/>
  <c r="H49" i="7" s="1"/>
  <c r="AL67" i="10"/>
  <c r="G38" i="7"/>
  <c r="H38" i="7" s="1"/>
  <c r="AL66" i="10"/>
  <c r="G37" i="7"/>
  <c r="H37" i="7" s="1"/>
  <c r="AL65" i="10"/>
  <c r="G50" i="7"/>
  <c r="H50" i="7" s="1"/>
  <c r="AL63" i="10"/>
  <c r="G30" i="7"/>
  <c r="H30" i="7" s="1"/>
  <c r="AL40" i="10"/>
  <c r="G13" i="7"/>
  <c r="H13" i="7" s="1"/>
  <c r="AL23" i="10"/>
  <c r="G15" i="7"/>
  <c r="H15" i="7" s="1"/>
  <c r="AL21" i="10"/>
  <c r="G33" i="7"/>
  <c r="H33" i="7" s="1"/>
  <c r="AL20" i="10"/>
  <c r="G17" i="7"/>
  <c r="H17" i="7" s="1"/>
  <c r="AL19" i="10"/>
  <c r="G4" i="7"/>
  <c r="H4" i="7" s="1"/>
  <c r="AL16" i="10"/>
  <c r="G5" i="7"/>
  <c r="H5" i="7" s="1"/>
  <c r="AL14" i="10"/>
  <c r="G12" i="7"/>
  <c r="H12" i="7" s="1"/>
  <c r="AL13" i="10"/>
  <c r="G53" i="7"/>
  <c r="H53" i="7" s="1"/>
  <c r="AL12" i="10"/>
  <c r="G41" i="7"/>
  <c r="H41" i="7" s="1"/>
  <c r="AL9" i="10"/>
  <c r="G44" i="7"/>
  <c r="H44" i="7" s="1"/>
  <c r="AL7" i="10"/>
  <c r="G27" i="7"/>
  <c r="H27" i="7" s="1"/>
  <c r="AL4" i="10"/>
  <c r="G2" i="7"/>
  <c r="H2" i="7" s="1"/>
  <c r="AL3" i="10"/>
  <c r="G9" i="7"/>
  <c r="H9" i="7" s="1"/>
  <c r="AL262" i="10"/>
  <c r="G63" i="7"/>
  <c r="H63" i="7" s="1"/>
  <c r="AL198" i="10"/>
  <c r="G36" i="7"/>
  <c r="H36" i="7" s="1"/>
  <c r="AL51" i="10"/>
  <c r="G6" i="7"/>
  <c r="H6" i="7" s="1"/>
  <c r="AL38" i="10"/>
  <c r="G47" i="7"/>
  <c r="H47" i="7" s="1"/>
  <c r="AL397" i="10"/>
  <c r="G83" i="7"/>
  <c r="H83" i="7" s="1"/>
  <c r="AL269" i="10"/>
  <c r="G25" i="7"/>
  <c r="H25" i="7" s="1"/>
  <c r="AL175" i="10"/>
  <c r="G57" i="7"/>
  <c r="H57" i="7" s="1"/>
  <c r="AL97" i="10"/>
  <c r="G34" i="7"/>
  <c r="H34" i="7" s="1"/>
  <c r="AL278" i="10"/>
  <c r="G80" i="7"/>
  <c r="H80" i="7" s="1"/>
  <c r="AL101" i="10"/>
  <c r="G46" i="7"/>
  <c r="H46" i="7" s="1"/>
  <c r="AL41" i="10"/>
  <c r="G24" i="7"/>
  <c r="H24" i="7" s="1"/>
  <c r="AL27" i="10"/>
  <c r="G60" i="7"/>
  <c r="H60" i="7" s="1"/>
  <c r="AL511" i="10"/>
  <c r="G64" i="7"/>
  <c r="H64" i="7" s="1"/>
  <c r="AL324" i="10"/>
  <c r="G54" i="7"/>
  <c r="H54" i="7" s="1"/>
  <c r="AL249" i="10"/>
  <c r="G68" i="7"/>
  <c r="H68" i="7" s="1"/>
  <c r="AL174" i="10"/>
  <c r="G71" i="7"/>
  <c r="H71" i="7" s="1"/>
  <c r="AL59" i="10"/>
  <c r="G16" i="7"/>
  <c r="H16" i="7" s="1"/>
  <c r="AL30" i="10"/>
  <c r="G22" i="7"/>
  <c r="H22" i="7" s="1"/>
  <c r="AB232" i="10"/>
  <c r="AJ232" i="10" s="1"/>
  <c r="AA232" i="10"/>
  <c r="Y232" i="10"/>
  <c r="AU232" i="10"/>
  <c r="AE232" i="10"/>
  <c r="AU233" i="10"/>
  <c r="AJ233" i="10"/>
  <c r="AB233" i="10"/>
  <c r="Y233" i="10"/>
  <c r="AG233" i="10" s="1"/>
  <c r="AH233" i="10" s="1"/>
  <c r="AI233" i="10" s="1"/>
  <c r="AE233" i="10"/>
  <c r="AA233" i="10"/>
  <c r="AU339" i="10"/>
  <c r="AE339" i="10"/>
  <c r="AB339" i="10"/>
  <c r="AJ339" i="10" s="1"/>
  <c r="AA339" i="10"/>
  <c r="Y339" i="10"/>
  <c r="AU101" i="10"/>
  <c r="AE101" i="10"/>
  <c r="AB101" i="10"/>
  <c r="AJ101" i="10" s="1"/>
  <c r="AA101" i="10"/>
  <c r="Y101" i="10"/>
  <c r="AG6" i="10"/>
  <c r="AG155" i="10"/>
  <c r="AG304" i="10"/>
  <c r="AG453" i="10"/>
  <c r="AG246" i="10"/>
  <c r="AG348" i="10"/>
  <c r="AG235" i="10"/>
  <c r="G39" i="7"/>
  <c r="H39" i="7" s="1"/>
  <c r="AG503" i="10"/>
  <c r="G52" i="7"/>
  <c r="H52" i="7" s="1"/>
  <c r="B3" i="5"/>
  <c r="C3" i="5" s="1"/>
  <c r="AG111" i="10" l="1"/>
  <c r="AG117" i="10"/>
  <c r="AG100" i="10"/>
  <c r="AG394" i="10"/>
  <c r="AG201" i="10"/>
  <c r="AG502" i="10"/>
  <c r="AH502" i="10" s="1"/>
  <c r="AI502" i="10" s="1"/>
  <c r="AG446" i="10"/>
  <c r="AH446" i="10" s="1"/>
  <c r="AI446" i="10" s="1"/>
  <c r="AG325" i="10"/>
  <c r="AH325" i="10" s="1"/>
  <c r="AI325" i="10" s="1"/>
  <c r="AG508" i="10"/>
  <c r="AG513" i="10"/>
  <c r="AH513" i="10" s="1"/>
  <c r="AI513" i="10" s="1"/>
  <c r="AJ406" i="10"/>
  <c r="AG406" i="10"/>
  <c r="AH406" i="10" s="1"/>
  <c r="AI406" i="10" s="1"/>
  <c r="AG478" i="10"/>
  <c r="AH478" i="10" s="1"/>
  <c r="AI478" i="10" s="1"/>
  <c r="AG444" i="10"/>
  <c r="AG458" i="10"/>
  <c r="AG451" i="10"/>
  <c r="AH451" i="10" s="1"/>
  <c r="AI451" i="10" s="1"/>
  <c r="AG433" i="10"/>
  <c r="AH433" i="10" s="1"/>
  <c r="AI433" i="10" s="1"/>
  <c r="AG410" i="10"/>
  <c r="AG57" i="10"/>
  <c r="AG32" i="10"/>
  <c r="AG492" i="10"/>
  <c r="AG487" i="10"/>
  <c r="AG430" i="10"/>
  <c r="AG237" i="10"/>
  <c r="AG168" i="10"/>
  <c r="AG167" i="10"/>
  <c r="AG162" i="10"/>
  <c r="AG158" i="10"/>
  <c r="AH158" i="10" s="1"/>
  <c r="AI158" i="10" s="1"/>
  <c r="AG156" i="10"/>
  <c r="B16" i="5"/>
  <c r="B15" i="5"/>
  <c r="AG499" i="10"/>
  <c r="AJ499" i="10"/>
  <c r="AG403" i="10"/>
  <c r="AH403" i="10" s="1"/>
  <c r="AI403" i="10" s="1"/>
  <c r="AJ403" i="10"/>
  <c r="AG392" i="10"/>
  <c r="AH392" i="10" s="1"/>
  <c r="AI392" i="10" s="1"/>
  <c r="AJ392" i="10"/>
  <c r="AG153" i="10"/>
  <c r="AG151" i="10"/>
  <c r="AG147" i="10"/>
  <c r="AG206" i="10"/>
  <c r="AH206" i="10" s="1"/>
  <c r="AI206" i="10" s="1"/>
  <c r="AG46" i="10"/>
  <c r="AG164" i="10"/>
  <c r="AG22" i="10"/>
  <c r="AG242" i="10"/>
  <c r="AG456" i="10"/>
  <c r="AG247" i="10"/>
  <c r="B58" i="5"/>
  <c r="B56" i="5"/>
  <c r="B57" i="5"/>
  <c r="B59" i="5" s="1"/>
  <c r="B12" i="5"/>
  <c r="B19" i="5"/>
  <c r="C19" i="5" s="1"/>
  <c r="B20" i="5"/>
  <c r="C20" i="5" s="1"/>
  <c r="B21" i="5"/>
  <c r="C21" i="5" s="1"/>
  <c r="B22" i="5"/>
  <c r="C22" i="5" s="1"/>
  <c r="B23" i="5"/>
  <c r="C23" i="5" s="1"/>
  <c r="B24" i="5"/>
  <c r="C24" i="5" s="1"/>
  <c r="B25" i="5"/>
  <c r="C25" i="5" s="1"/>
  <c r="B26" i="5"/>
  <c r="C26" i="5" s="1"/>
  <c r="B27" i="5"/>
  <c r="C27" i="5" s="1"/>
  <c r="B60" i="5"/>
  <c r="B61" i="5" s="1"/>
  <c r="B11" i="5"/>
  <c r="D35" i="5" s="1"/>
  <c r="B35" i="5" s="1"/>
  <c r="AG232" i="10"/>
  <c r="AG339" i="10"/>
  <c r="AG101" i="10"/>
  <c r="AH463" i="10"/>
  <c r="AI463" i="10" s="1"/>
  <c r="AH443" i="10"/>
  <c r="AI443" i="10" s="1"/>
  <c r="AH378" i="10" l="1"/>
  <c r="AI378" i="10" s="1"/>
  <c r="J4" i="3"/>
  <c r="AH274" i="10"/>
  <c r="AI274" i="10" s="1"/>
  <c r="AH465" i="10"/>
  <c r="AI465" i="10" s="1"/>
  <c r="AH251" i="10"/>
  <c r="AI251" i="10" s="1"/>
  <c r="AH499" i="10"/>
  <c r="AI499" i="10" s="1"/>
  <c r="L4" i="2"/>
  <c r="K4" i="3"/>
  <c r="J4" i="2"/>
  <c r="AH511" i="10"/>
  <c r="AI511" i="10" s="1"/>
  <c r="K4" i="2"/>
  <c r="L4" i="3"/>
  <c r="AH109" i="10"/>
  <c r="AI109" i="10" s="1"/>
  <c r="AH118" i="10"/>
  <c r="AI118" i="10" s="1"/>
  <c r="AH456" i="10"/>
  <c r="AI456" i="10" s="1"/>
  <c r="AH520" i="10"/>
  <c r="AI520" i="10" s="1"/>
  <c r="AH98" i="10"/>
  <c r="AI98" i="10" s="1"/>
  <c r="AH339" i="10"/>
  <c r="AI339" i="10" s="1"/>
  <c r="AH385" i="10"/>
  <c r="AI385" i="10" s="1"/>
  <c r="AH347" i="10"/>
  <c r="AI347" i="10" s="1"/>
  <c r="AH39" i="10"/>
  <c r="AI39" i="10" s="1"/>
  <c r="AH26" i="10"/>
  <c r="AI26" i="10" s="1"/>
  <c r="AH468" i="10"/>
  <c r="AI468" i="10" s="1"/>
  <c r="AH464" i="10"/>
  <c r="AI464" i="10" s="1"/>
  <c r="AH457" i="10"/>
  <c r="AI457" i="10" s="1"/>
  <c r="AH450" i="10"/>
  <c r="AI450" i="10" s="1"/>
  <c r="AH332" i="10"/>
  <c r="AI332" i="10" s="1"/>
  <c r="AH171" i="10"/>
  <c r="AI171" i="10" s="1"/>
  <c r="AH163" i="10"/>
  <c r="AI163" i="10" s="1"/>
  <c r="AH176" i="10"/>
  <c r="AI176" i="10" s="1"/>
  <c r="AH187" i="10"/>
  <c r="AI187" i="10" s="1"/>
  <c r="AH333" i="10"/>
  <c r="AI333" i="10" s="1"/>
  <c r="AH467" i="10"/>
  <c r="AI467" i="10" s="1"/>
  <c r="AH364" i="10"/>
  <c r="AI364" i="10" s="1"/>
  <c r="AH384" i="10"/>
  <c r="AI384" i="10" s="1"/>
  <c r="AH2" i="10"/>
  <c r="AI2" i="10" s="1"/>
  <c r="AH516" i="10"/>
  <c r="AI516" i="10" s="1"/>
  <c r="AH154" i="10"/>
  <c r="AI154" i="10" s="1"/>
  <c r="AH430" i="10"/>
  <c r="AI430" i="10" s="1"/>
  <c r="AH422" i="10"/>
  <c r="AI422" i="10" s="1"/>
  <c r="AH415" i="10"/>
  <c r="AI415" i="10" s="1"/>
  <c r="AH408" i="10"/>
  <c r="AI408" i="10" s="1"/>
  <c r="AH398" i="10"/>
  <c r="AI398" i="10" s="1"/>
  <c r="AH362" i="10"/>
  <c r="AI362" i="10" s="1"/>
  <c r="AH329" i="10"/>
  <c r="AI329" i="10" s="1"/>
  <c r="AH286" i="10"/>
  <c r="AI286" i="10" s="1"/>
  <c r="AH272" i="10"/>
  <c r="AI272" i="10" s="1"/>
  <c r="AH261" i="10"/>
  <c r="AI261" i="10" s="1"/>
  <c r="AH211" i="10"/>
  <c r="AI211" i="10" s="1"/>
  <c r="AH195" i="10"/>
  <c r="AI195" i="10" s="1"/>
  <c r="AH177" i="10"/>
  <c r="AI177" i="10" s="1"/>
  <c r="AH466" i="10"/>
  <c r="AI466" i="10" s="1"/>
  <c r="AH431" i="10"/>
  <c r="AI431" i="10" s="1"/>
  <c r="AH425" i="10"/>
  <c r="AI425" i="10" s="1"/>
  <c r="AH417" i="10"/>
  <c r="AI417" i="10" s="1"/>
  <c r="AH410" i="10"/>
  <c r="AI410" i="10" s="1"/>
  <c r="AH402" i="10"/>
  <c r="AI402" i="10" s="1"/>
  <c r="AH322" i="10"/>
  <c r="AI322" i="10" s="1"/>
  <c r="AH193" i="10"/>
  <c r="AI193" i="10" s="1"/>
  <c r="AH267" i="10"/>
  <c r="AI267" i="10" s="1"/>
  <c r="AH257" i="10"/>
  <c r="AI257" i="10" s="1"/>
  <c r="AH202" i="10"/>
  <c r="AI202" i="10" s="1"/>
  <c r="AH269" i="10"/>
  <c r="AI269" i="10" s="1"/>
  <c r="AH250" i="10"/>
  <c r="AI250" i="10" s="1"/>
  <c r="AH209" i="10"/>
  <c r="AI209" i="10" s="1"/>
  <c r="B47" i="5"/>
  <c r="B40" i="5"/>
  <c r="B42" i="5" s="1"/>
  <c r="AH304" i="10"/>
  <c r="AI304" i="10" s="1"/>
  <c r="AH348" i="10"/>
  <c r="AI348" i="10" s="1"/>
  <c r="AH235" i="10"/>
  <c r="AI235" i="10" s="1"/>
  <c r="AH437" i="10"/>
  <c r="AI437" i="10" s="1"/>
  <c r="AH400" i="10"/>
  <c r="AI400" i="10" s="1"/>
  <c r="AH492" i="10"/>
  <c r="AI492" i="10" s="1"/>
  <c r="AH80" i="10"/>
  <c r="AI80" i="10" s="1"/>
  <c r="AH503" i="10"/>
  <c r="AI503" i="10" s="1"/>
  <c r="AH131" i="10"/>
  <c r="AI131" i="10" s="1"/>
  <c r="AH453" i="10"/>
  <c r="AI453" i="10" s="1"/>
  <c r="AH434" i="10"/>
  <c r="AI434" i="10" s="1"/>
  <c r="AH246" i="10"/>
  <c r="AI246" i="10" s="1"/>
  <c r="AH155" i="10"/>
  <c r="AI155" i="10" s="1"/>
  <c r="AH101" i="10"/>
  <c r="AI101" i="10" s="1"/>
  <c r="AH232" i="10"/>
  <c r="AI232" i="10" s="1"/>
  <c r="AH356" i="10"/>
  <c r="AI356" i="10" s="1"/>
  <c r="AH377" i="10"/>
  <c r="AI377" i="10" s="1"/>
  <c r="AH393" i="10"/>
  <c r="AI393" i="10" s="1"/>
  <c r="AH270" i="10"/>
  <c r="AI270" i="10" s="1"/>
  <c r="AH352" i="10"/>
  <c r="AI352" i="10" s="1"/>
  <c r="AH3" i="10"/>
  <c r="AI3" i="10" s="1"/>
  <c r="AH107" i="10"/>
  <c r="AI107" i="10" s="1"/>
  <c r="AH375" i="10"/>
  <c r="AI375" i="10" s="1"/>
  <c r="AH42" i="10"/>
  <c r="AI42" i="10" s="1"/>
  <c r="AH337" i="10"/>
  <c r="AI337" i="10" s="1"/>
  <c r="AH379" i="10"/>
  <c r="AI379" i="10" s="1"/>
  <c r="AH390" i="10"/>
  <c r="AI390" i="10" s="1"/>
  <c r="AH366" i="10"/>
  <c r="AI366" i="10" s="1"/>
  <c r="AH371" i="10"/>
  <c r="AI371" i="10" s="1"/>
  <c r="AH380" i="10"/>
  <c r="AI380" i="10" s="1"/>
  <c r="AH391" i="10"/>
  <c r="AI391" i="10" s="1"/>
  <c r="AH471" i="10"/>
  <c r="AI471" i="10" s="1"/>
  <c r="AH349" i="10"/>
  <c r="AI349" i="10" s="1"/>
  <c r="AH389" i="10"/>
  <c r="AI389" i="10" s="1"/>
  <c r="AH358" i="10"/>
  <c r="AI358" i="10" s="1"/>
  <c r="AH287" i="10"/>
  <c r="AI287" i="10" s="1"/>
  <c r="AH374" i="10"/>
  <c r="AI374" i="10" s="1"/>
  <c r="AH25" i="10"/>
  <c r="AI25" i="10" s="1"/>
  <c r="AH184" i="10"/>
  <c r="AI184" i="10" s="1"/>
  <c r="AH148" i="10"/>
  <c r="AI148" i="10" s="1"/>
  <c r="AH95" i="10"/>
  <c r="AI95" i="10" s="1"/>
  <c r="AH122" i="10"/>
  <c r="AI122" i="10" s="1"/>
  <c r="AH396" i="10"/>
  <c r="AI396" i="10" s="1"/>
  <c r="AH419" i="10"/>
  <c r="AI419" i="10" s="1"/>
  <c r="AH436" i="10"/>
  <c r="AI436" i="10" s="1"/>
  <c r="AH210" i="10"/>
  <c r="AI210" i="10" s="1"/>
  <c r="AH179" i="10"/>
  <c r="AI179" i="10" s="1"/>
  <c r="AH344" i="10"/>
  <c r="AI344" i="10" s="1"/>
  <c r="AH330" i="10"/>
  <c r="AI330" i="10" s="1"/>
  <c r="AH117" i="10"/>
  <c r="AI117" i="10" s="1"/>
  <c r="AH133" i="10"/>
  <c r="AI133" i="10" s="1"/>
  <c r="AH273" i="10"/>
  <c r="AI273" i="10" s="1"/>
  <c r="AH194" i="10"/>
  <c r="AI194" i="10" s="1"/>
  <c r="AH88" i="10"/>
  <c r="AI88" i="10" s="1"/>
  <c r="AH201" i="10"/>
  <c r="AI201" i="10" s="1"/>
  <c r="AH277" i="10"/>
  <c r="AI277" i="10" s="1"/>
  <c r="AH281" i="10"/>
  <c r="AI281" i="10" s="1"/>
  <c r="AH282" i="10"/>
  <c r="AI282" i="10" s="1"/>
  <c r="AH15" i="10"/>
  <c r="AI15" i="10" s="1"/>
  <c r="AH33" i="10"/>
  <c r="AI33" i="10" s="1"/>
  <c r="AH438" i="10"/>
  <c r="AI438" i="10" s="1"/>
  <c r="AH435" i="10"/>
  <c r="AI435" i="10" s="1"/>
  <c r="AH394" i="10"/>
  <c r="AI394" i="10" s="1"/>
  <c r="AH432" i="10"/>
  <c r="AI432" i="10" s="1"/>
  <c r="AH521" i="10"/>
  <c r="AI521" i="10" s="1"/>
  <c r="AH508" i="10"/>
  <c r="AI508" i="10" s="1"/>
  <c r="AH477" i="10"/>
  <c r="AI477" i="10" s="1"/>
  <c r="AH120" i="10"/>
  <c r="AI120" i="10" s="1"/>
  <c r="AH295" i="10"/>
  <c r="AI295" i="10" s="1"/>
  <c r="AH5" i="10"/>
  <c r="AI5" i="10" s="1"/>
  <c r="AH127" i="10"/>
  <c r="AI127" i="10" s="1"/>
  <c r="AH83" i="10"/>
  <c r="AI83" i="10" s="1"/>
  <c r="AH494" i="10"/>
  <c r="AI494" i="10" s="1"/>
  <c r="AH305" i="10"/>
  <c r="AI305" i="10" s="1"/>
  <c r="AH315" i="10"/>
  <c r="AI315" i="10" s="1"/>
  <c r="AH357" i="10"/>
  <c r="AI357" i="10" s="1"/>
  <c r="AH512" i="10"/>
  <c r="AI512" i="10" s="1"/>
  <c r="AH132" i="10"/>
  <c r="AI132" i="10" s="1"/>
  <c r="AH100" i="10"/>
  <c r="AI100" i="10" s="1"/>
  <c r="AH497" i="10"/>
  <c r="AI497" i="10" s="1"/>
  <c r="AH44" i="10"/>
  <c r="AI44" i="10" s="1"/>
  <c r="AH45" i="10"/>
  <c r="AI45" i="10" s="1"/>
  <c r="AH24" i="10"/>
  <c r="AI24" i="10" s="1"/>
  <c r="AH241" i="10"/>
  <c r="AI241" i="10" s="1"/>
  <c r="AH86" i="10"/>
  <c r="AI86" i="10" s="1"/>
  <c r="AH12" i="10"/>
  <c r="AI12" i="10" s="1"/>
  <c r="AH168" i="10"/>
  <c r="AI168" i="10" s="1"/>
  <c r="AH63" i="10"/>
  <c r="AI63" i="10" s="1"/>
  <c r="AH423" i="10"/>
  <c r="AI423" i="10" s="1"/>
  <c r="AH324" i="10"/>
  <c r="AI324" i="10" s="1"/>
  <c r="AH190" i="10"/>
  <c r="AI190" i="10" s="1"/>
  <c r="AH319" i="10"/>
  <c r="AI319" i="10" s="1"/>
  <c r="AH346" i="10"/>
  <c r="AI346" i="10" s="1"/>
  <c r="AH79" i="10"/>
  <c r="AI79" i="10" s="1"/>
  <c r="AH130" i="10"/>
  <c r="AI130" i="10" s="1"/>
  <c r="AH331" i="10"/>
  <c r="AI331" i="10" s="1"/>
  <c r="AH205" i="10"/>
  <c r="AI205" i="10" s="1"/>
  <c r="AH327" i="10"/>
  <c r="AI327" i="10" s="1"/>
  <c r="AH387" i="10"/>
  <c r="AI387" i="10" s="1"/>
  <c r="AH276" i="10"/>
  <c r="AI276" i="10" s="1"/>
  <c r="AH519" i="10"/>
  <c r="AI519" i="10" s="1"/>
  <c r="AH388" i="10"/>
  <c r="AI388" i="10" s="1"/>
  <c r="AH121" i="10"/>
  <c r="AI121" i="10" s="1"/>
  <c r="AH185" i="10"/>
  <c r="AI185" i="10" s="1"/>
  <c r="AH119" i="10"/>
  <c r="AI119" i="10" s="1"/>
  <c r="AH514" i="10"/>
  <c r="AI514" i="10" s="1"/>
  <c r="AH487" i="10"/>
  <c r="AI487" i="10" s="1"/>
  <c r="AH491" i="10"/>
  <c r="AI491" i="10" s="1"/>
  <c r="AH486" i="10"/>
  <c r="AI486" i="10" s="1"/>
  <c r="AH481" i="10"/>
  <c r="AI481" i="10" s="1"/>
  <c r="AH472" i="10"/>
  <c r="AI472" i="10" s="1"/>
  <c r="AH459" i="10"/>
  <c r="AI459" i="10" s="1"/>
  <c r="AH448" i="10"/>
  <c r="AI448" i="10" s="1"/>
  <c r="AH441" i="10"/>
  <c r="AI441" i="10" s="1"/>
  <c r="AH428" i="10"/>
  <c r="AI428" i="10" s="1"/>
  <c r="AH424" i="10"/>
  <c r="AI424" i="10" s="1"/>
  <c r="AH418" i="10"/>
  <c r="AI418" i="10" s="1"/>
  <c r="AH411" i="10"/>
  <c r="AI411" i="10" s="1"/>
  <c r="AH404" i="10"/>
  <c r="AI404" i="10" s="1"/>
  <c r="AH399" i="10"/>
  <c r="AI399" i="10" s="1"/>
  <c r="AH354" i="10"/>
  <c r="AI354" i="10" s="1"/>
  <c r="AH335" i="10"/>
  <c r="AI335" i="10" s="1"/>
  <c r="AH323" i="10"/>
  <c r="AI323" i="10" s="1"/>
  <c r="AH285" i="10"/>
  <c r="AI285" i="10" s="1"/>
  <c r="AH271" i="10"/>
  <c r="AI271" i="10" s="1"/>
  <c r="AH263" i="10"/>
  <c r="AI263" i="10" s="1"/>
  <c r="AH254" i="10"/>
  <c r="AI254" i="10" s="1"/>
  <c r="AH178" i="10"/>
  <c r="AI178" i="10" s="1"/>
  <c r="AH111" i="10"/>
  <c r="AI111" i="10" s="1"/>
  <c r="AH54" i="10"/>
  <c r="AI54" i="10" s="1"/>
  <c r="AH442" i="10"/>
  <c r="AI442" i="10" s="1"/>
  <c r="AH144" i="10"/>
  <c r="AI144" i="10" s="1"/>
  <c r="AH34" i="10"/>
  <c r="AI34" i="10" s="1"/>
  <c r="AH243" i="10"/>
  <c r="AI243" i="10" s="1"/>
  <c r="AH90" i="10"/>
  <c r="AI90" i="10" s="1"/>
  <c r="AH10" i="10"/>
  <c r="AI10" i="10" s="1"/>
  <c r="AH169" i="10"/>
  <c r="AI169" i="10" s="1"/>
  <c r="AH62" i="10"/>
  <c r="AI62" i="10" s="1"/>
  <c r="AH444" i="10"/>
  <c r="AI444" i="10" s="1"/>
  <c r="AH355" i="10"/>
  <c r="AI355" i="10" s="1"/>
  <c r="AH259" i="10"/>
  <c r="AI259" i="10" s="1"/>
  <c r="AH124" i="10"/>
  <c r="AI124" i="10" s="1"/>
  <c r="AH440" i="10"/>
  <c r="AI440" i="10" s="1"/>
  <c r="AH173" i="10"/>
  <c r="AI173" i="10" s="1"/>
  <c r="AH123" i="10"/>
  <c r="AI123" i="10" s="1"/>
  <c r="AH104" i="10"/>
  <c r="AI104" i="10" s="1"/>
  <c r="AH55" i="10"/>
  <c r="AI55" i="10" s="1"/>
  <c r="AH192" i="10"/>
  <c r="AI192" i="10" s="1"/>
  <c r="AH181" i="10"/>
  <c r="AI181" i="10" s="1"/>
  <c r="AH112" i="10"/>
  <c r="AI112" i="10" s="1"/>
  <c r="AH102" i="10"/>
  <c r="AI102" i="10" s="1"/>
  <c r="AH56" i="10"/>
  <c r="AI56" i="10" s="1"/>
  <c r="AH113" i="10"/>
  <c r="AI113" i="10" s="1"/>
  <c r="AH58" i="10"/>
  <c r="AI58" i="10" s="1"/>
  <c r="AH244" i="10"/>
  <c r="AI244" i="10" s="1"/>
  <c r="AH239" i="10"/>
  <c r="AI239" i="10" s="1"/>
  <c r="AH87" i="10"/>
  <c r="AI87" i="10" s="1"/>
  <c r="AH16" i="10"/>
  <c r="AI16" i="10" s="1"/>
  <c r="AH7" i="10"/>
  <c r="AI7" i="10" s="1"/>
  <c r="AH64" i="10"/>
  <c r="AI64" i="10" s="1"/>
  <c r="AH60" i="10"/>
  <c r="AI60" i="10" s="1"/>
  <c r="AH365" i="10"/>
  <c r="AI365" i="10" s="1"/>
  <c r="AH249" i="10"/>
  <c r="AI249" i="10" s="1"/>
  <c r="AH59" i="10"/>
  <c r="AI59" i="10" s="1"/>
  <c r="AH200" i="10"/>
  <c r="AI200" i="10" s="1"/>
  <c r="AH31" i="10"/>
  <c r="AI31" i="10" s="1"/>
  <c r="AH318" i="10"/>
  <c r="AI318" i="10" s="1"/>
  <c r="AH317" i="10"/>
  <c r="AI317" i="10" s="1"/>
  <c r="AH316" i="10"/>
  <c r="AI316" i="10" s="1"/>
  <c r="AH314" i="10"/>
  <c r="AI314" i="10" s="1"/>
  <c r="AH313" i="10"/>
  <c r="AI313" i="10" s="1"/>
  <c r="AH312" i="10"/>
  <c r="AI312" i="10" s="1"/>
  <c r="AH311" i="10"/>
  <c r="AI311" i="10" s="1"/>
  <c r="AH308" i="10"/>
  <c r="AI308" i="10" s="1"/>
  <c r="AH307" i="10"/>
  <c r="AI307" i="10" s="1"/>
  <c r="AH306" i="10"/>
  <c r="AI306" i="10" s="1"/>
  <c r="AH303" i="10"/>
  <c r="AI303" i="10" s="1"/>
  <c r="AH302" i="10"/>
  <c r="AI302" i="10" s="1"/>
  <c r="AH30" i="10"/>
  <c r="AI30" i="10" s="1"/>
  <c r="AH238" i="10"/>
  <c r="AI238" i="10" s="1"/>
  <c r="AH236" i="10"/>
  <c r="AI236" i="10" s="1"/>
  <c r="AH231" i="10"/>
  <c r="AI231" i="10" s="1"/>
  <c r="AH229" i="10"/>
  <c r="AI229" i="10" s="1"/>
  <c r="AH218" i="10"/>
  <c r="AI218" i="10" s="1"/>
  <c r="AH215" i="10"/>
  <c r="AI215" i="10" s="1"/>
  <c r="AH137" i="10"/>
  <c r="AI137" i="10" s="1"/>
  <c r="AH57" i="10"/>
  <c r="AI57" i="10" s="1"/>
  <c r="AH147" i="10"/>
  <c r="AI147" i="10" s="1"/>
  <c r="AH139" i="10"/>
  <c r="AI139" i="10" s="1"/>
  <c r="AH96" i="10"/>
  <c r="AI96" i="10" s="1"/>
  <c r="AH65" i="10"/>
  <c r="AI65" i="10" s="1"/>
  <c r="AH174" i="10"/>
  <c r="AI174" i="10" s="1"/>
  <c r="AH167" i="10"/>
  <c r="AI167" i="10" s="1"/>
  <c r="AH260" i="10"/>
  <c r="AI260" i="10" s="1"/>
  <c r="AH300" i="10"/>
  <c r="AI300" i="10" s="1"/>
  <c r="AH299" i="10"/>
  <c r="AI299" i="10" s="1"/>
  <c r="AH298" i="10"/>
  <c r="AI298" i="10" s="1"/>
  <c r="AH297" i="10"/>
  <c r="AI297" i="10" s="1"/>
  <c r="AH296" i="10"/>
  <c r="AI296" i="10" s="1"/>
  <c r="AH294" i="10"/>
  <c r="AI294" i="10" s="1"/>
  <c r="AH293" i="10"/>
  <c r="AI293" i="10" s="1"/>
  <c r="AH292" i="10"/>
  <c r="AI292" i="10" s="1"/>
  <c r="AH291" i="10"/>
  <c r="AI291" i="10" s="1"/>
  <c r="AH290" i="10"/>
  <c r="AI290" i="10" s="1"/>
  <c r="AH289" i="10"/>
  <c r="AI289" i="10" s="1"/>
  <c r="AH288" i="10"/>
  <c r="AI288" i="10" s="1"/>
  <c r="AH279" i="10"/>
  <c r="AI279" i="10" s="1"/>
  <c r="AH266" i="10"/>
  <c r="AI266" i="10" s="1"/>
  <c r="AH258" i="10"/>
  <c r="AI258" i="10" s="1"/>
  <c r="AH248" i="10"/>
  <c r="AI248" i="10" s="1"/>
  <c r="AH207" i="10"/>
  <c r="AI207" i="10" s="1"/>
  <c r="AH196" i="10"/>
  <c r="AI196" i="10" s="1"/>
  <c r="AH183" i="10"/>
  <c r="AI183" i="10" s="1"/>
  <c r="AH136" i="10"/>
  <c r="AI136" i="10" s="1"/>
  <c r="AH103" i="10"/>
  <c r="AI103" i="10" s="1"/>
  <c r="AH242" i="10"/>
  <c r="AI242" i="10" s="1"/>
  <c r="AH84" i="10"/>
  <c r="AI84" i="10" s="1"/>
  <c r="AH66" i="10"/>
  <c r="AI66" i="10" s="1"/>
  <c r="AH458" i="10"/>
  <c r="AI458" i="10" s="1"/>
  <c r="AH336" i="10"/>
  <c r="AI336" i="10" s="1"/>
  <c r="AH22" i="10"/>
  <c r="AI22" i="10" s="1"/>
  <c r="AH237" i="10"/>
  <c r="AI237" i="10" s="1"/>
  <c r="AH234" i="10"/>
  <c r="AI234" i="10" s="1"/>
  <c r="AH228" i="10"/>
  <c r="AI228" i="10" s="1"/>
  <c r="AH217" i="10"/>
  <c r="AI217" i="10" s="1"/>
  <c r="AH186" i="10"/>
  <c r="AI186" i="10" s="1"/>
  <c r="AH115" i="10"/>
  <c r="AI115" i="10" s="1"/>
  <c r="AH47" i="10"/>
  <c r="AI47" i="10" s="1"/>
  <c r="AH32" i="10"/>
  <c r="AI32" i="10" s="1"/>
  <c r="AH143" i="10"/>
  <c r="AI143" i="10" s="1"/>
  <c r="AH140" i="10"/>
  <c r="AI140" i="10" s="1"/>
  <c r="AH19" i="10"/>
  <c r="AI19" i="10" s="1"/>
  <c r="AH52" i="10"/>
  <c r="AI52" i="10" s="1"/>
  <c r="AH134" i="10"/>
  <c r="AI134" i="10" s="1"/>
  <c r="AH166" i="10"/>
  <c r="AI166" i="10" s="1"/>
  <c r="AH227" i="10"/>
  <c r="AI227" i="10" s="1"/>
  <c r="AH226" i="10"/>
  <c r="AI226" i="10" s="1"/>
  <c r="AH224" i="10"/>
  <c r="AI224" i="10" s="1"/>
  <c r="AH223" i="10"/>
  <c r="AI223" i="10" s="1"/>
  <c r="AH222" i="10"/>
  <c r="AI222" i="10" s="1"/>
  <c r="AH221" i="10"/>
  <c r="AI221" i="10" s="1"/>
  <c r="AH220" i="10"/>
  <c r="AI220" i="10" s="1"/>
  <c r="AH219" i="10"/>
  <c r="AI219" i="10" s="1"/>
  <c r="AH208" i="10"/>
  <c r="AI208" i="10" s="1"/>
  <c r="AH105" i="10"/>
  <c r="AI105" i="10" s="1"/>
  <c r="AH170" i="10"/>
  <c r="AI170" i="10" s="1"/>
  <c r="AH142" i="10"/>
  <c r="AI142" i="10" s="1"/>
  <c r="AH36" i="10"/>
  <c r="AI36" i="10" s="1"/>
  <c r="AH345" i="10"/>
  <c r="AI345" i="10" s="1"/>
  <c r="AH165" i="10"/>
  <c r="AI165" i="10" s="1"/>
  <c r="AH164" i="10"/>
  <c r="AI164" i="10" s="1"/>
  <c r="AH162" i="10"/>
  <c r="AI162" i="10" s="1"/>
  <c r="AH161" i="10"/>
  <c r="AI161" i="10" s="1"/>
  <c r="AH160" i="10"/>
  <c r="AI160" i="10" s="1"/>
  <c r="AH159" i="10"/>
  <c r="AI159" i="10" s="1"/>
  <c r="AH156" i="10"/>
  <c r="AI156" i="10" s="1"/>
  <c r="AH153" i="10"/>
  <c r="AI153" i="10" s="1"/>
  <c r="AH151" i="10"/>
  <c r="AI151" i="10" s="1"/>
  <c r="AH150" i="10"/>
  <c r="AI150" i="10" s="1"/>
  <c r="AH149" i="10"/>
  <c r="AI149" i="10" s="1"/>
  <c r="AH125" i="10"/>
  <c r="AI125" i="10" s="1"/>
  <c r="AH48" i="10"/>
  <c r="AI48" i="10" s="1"/>
  <c r="AH94" i="10"/>
  <c r="AI94" i="10" s="1"/>
  <c r="AH92" i="10"/>
  <c r="AI92" i="10" s="1"/>
  <c r="AH89" i="10"/>
  <c r="AI89" i="10" s="1"/>
  <c r="AH85" i="10"/>
  <c r="AI85" i="10" s="1"/>
  <c r="AH21" i="10"/>
  <c r="AI21" i="10" s="1"/>
  <c r="AH17" i="10"/>
  <c r="AI17" i="10" s="1"/>
  <c r="AH14" i="10"/>
  <c r="AI14" i="10" s="1"/>
  <c r="AH11" i="10"/>
  <c r="AI11" i="10" s="1"/>
  <c r="AH8" i="10"/>
  <c r="AI8" i="10" s="1"/>
  <c r="AH78" i="10"/>
  <c r="AI78" i="10" s="1"/>
  <c r="AH77" i="10"/>
  <c r="AI77" i="10" s="1"/>
  <c r="AH76" i="10"/>
  <c r="AI76" i="10" s="1"/>
  <c r="AH75" i="10"/>
  <c r="AI75" i="10" s="1"/>
  <c r="AH74" i="10"/>
  <c r="AI74" i="10" s="1"/>
  <c r="AH73" i="10"/>
  <c r="AI73" i="10" s="1"/>
  <c r="AH72" i="10"/>
  <c r="AI72" i="10" s="1"/>
  <c r="AH71" i="10"/>
  <c r="AI71" i="10" s="1"/>
  <c r="AH70" i="10"/>
  <c r="AI70" i="10" s="1"/>
  <c r="AH69" i="10"/>
  <c r="AI69" i="10" s="1"/>
  <c r="AH68" i="10"/>
  <c r="AI68" i="10" s="1"/>
  <c r="AH67" i="10"/>
  <c r="AI67" i="10" s="1"/>
  <c r="AH61" i="10"/>
  <c r="AI61" i="10" s="1"/>
  <c r="AH278" i="10"/>
  <c r="AI278" i="10" s="1"/>
  <c r="AH326" i="10"/>
  <c r="AI326" i="10" s="1"/>
  <c r="AH46" i="10"/>
  <c r="AI46" i="10" s="1"/>
  <c r="AH40" i="10"/>
  <c r="AI40" i="10" s="1"/>
  <c r="AH23" i="10"/>
  <c r="AI23" i="10" s="1"/>
  <c r="AH18" i="10"/>
  <c r="AI18" i="10" s="1"/>
  <c r="AH13" i="10"/>
  <c r="AI13" i="10" s="1"/>
  <c r="AH9" i="10"/>
  <c r="AI9" i="10" s="1"/>
  <c r="AH262" i="10"/>
  <c r="AI262" i="10" s="1"/>
  <c r="AH253" i="10"/>
  <c r="AI253" i="10" s="1"/>
  <c r="AH212" i="10"/>
  <c r="AI212" i="10" s="1"/>
  <c r="AH198" i="10"/>
  <c r="AI198" i="10" s="1"/>
  <c r="AH129" i="10"/>
  <c r="AI129" i="10" s="1"/>
  <c r="AH110" i="10"/>
  <c r="AI110" i="10" s="1"/>
  <c r="AH99" i="10"/>
  <c r="AI99" i="10" s="1"/>
  <c r="AH51" i="10"/>
  <c r="AI51" i="10" s="1"/>
  <c r="AH38" i="10"/>
  <c r="AI38" i="10" s="1"/>
  <c r="AH517" i="10"/>
  <c r="AI517" i="10" s="1"/>
  <c r="AH510" i="10"/>
  <c r="AI510" i="10" s="1"/>
  <c r="AH501" i="10"/>
  <c r="AI501" i="10" s="1"/>
  <c r="AH490" i="10"/>
  <c r="AI490" i="10" s="1"/>
  <c r="AH485" i="10"/>
  <c r="AI485" i="10" s="1"/>
  <c r="AH480" i="10"/>
  <c r="AI480" i="10" s="1"/>
  <c r="AH475" i="10"/>
  <c r="AI475" i="10" s="1"/>
  <c r="AH470" i="10"/>
  <c r="AI470" i="10" s="1"/>
  <c r="AH421" i="10"/>
  <c r="AI421" i="10" s="1"/>
  <c r="AH414" i="10"/>
  <c r="AI414" i="10" s="1"/>
  <c r="AH405" i="10"/>
  <c r="AI405" i="10" s="1"/>
  <c r="AH397" i="10"/>
  <c r="AI397" i="10" s="1"/>
  <c r="AH351" i="10"/>
  <c r="AI351" i="10" s="1"/>
  <c r="AH284" i="10"/>
  <c r="AI284" i="10" s="1"/>
  <c r="AH493" i="10"/>
  <c r="AI493" i="10" s="1"/>
  <c r="AH488" i="10"/>
  <c r="AI488" i="10" s="1"/>
  <c r="AH483" i="10"/>
  <c r="AI483" i="10" s="1"/>
  <c r="AH321" i="10"/>
  <c r="AI321" i="10" s="1"/>
  <c r="AH106" i="10"/>
  <c r="AI106" i="10" s="1"/>
  <c r="AH43" i="10"/>
  <c r="AI43" i="10" s="1"/>
  <c r="AH265" i="10"/>
  <c r="AI265" i="10" s="1"/>
  <c r="AH213" i="10"/>
  <c r="AI213" i="10" s="1"/>
  <c r="AH199" i="10"/>
  <c r="AI199" i="10" s="1"/>
  <c r="AH188" i="10"/>
  <c r="AI188" i="10" s="1"/>
  <c r="AH172" i="10"/>
  <c r="AI172" i="10" s="1"/>
  <c r="AH114" i="10"/>
  <c r="AI114" i="10" s="1"/>
  <c r="AH53" i="10"/>
  <c r="AI53" i="10" s="1"/>
  <c r="AH41" i="10"/>
  <c r="AI41" i="10" s="1"/>
  <c r="AH27" i="10"/>
  <c r="AI27" i="10" s="1"/>
  <c r="AH505" i="10"/>
  <c r="AI505" i="10" s="1"/>
  <c r="AH500" i="10"/>
  <c r="AI500" i="10" s="1"/>
  <c r="AH495" i="10"/>
  <c r="AI495" i="10" s="1"/>
  <c r="AH489" i="10"/>
  <c r="AI489" i="10" s="1"/>
  <c r="AH474" i="10"/>
  <c r="AI474" i="10" s="1"/>
  <c r="AH460" i="10"/>
  <c r="AI460" i="10" s="1"/>
  <c r="AH452" i="10"/>
  <c r="AI452" i="10" s="1"/>
  <c r="AH445" i="10"/>
  <c r="AI445" i="10" s="1"/>
  <c r="AH116" i="10"/>
  <c r="AI116" i="10" s="1"/>
  <c r="AH146" i="10"/>
  <c r="AI146" i="10" s="1"/>
  <c r="AH35" i="10"/>
  <c r="AI35" i="10" s="1"/>
  <c r="AH429" i="10"/>
  <c r="AI429" i="10" s="1"/>
  <c r="AH29" i="10"/>
  <c r="AI29" i="10" s="1"/>
  <c r="AH482" i="10"/>
  <c r="AI482" i="10" s="1"/>
  <c r="AH426" i="10"/>
  <c r="AI426" i="10" s="1"/>
  <c r="AH420" i="10"/>
  <c r="AI420" i="10" s="1"/>
  <c r="AH413" i="10"/>
  <c r="AI413" i="10" s="1"/>
  <c r="AH367" i="10"/>
  <c r="AI367" i="10" s="1"/>
  <c r="AH283" i="10"/>
  <c r="AI283" i="10" s="1"/>
  <c r="AH152" i="10"/>
  <c r="AI152" i="10" s="1"/>
  <c r="AH204" i="10"/>
  <c r="AI204" i="10" s="1"/>
  <c r="AH370" i="10"/>
  <c r="AI370" i="10" s="1"/>
  <c r="AH382" i="10"/>
  <c r="AI382" i="10" s="1"/>
  <c r="AH334" i="10"/>
  <c r="AI334" i="10" s="1"/>
  <c r="AH247" i="10"/>
  <c r="AI247" i="10" s="1"/>
  <c r="AH37" i="10"/>
  <c r="AI37" i="10" s="1"/>
  <c r="AH108" i="10"/>
  <c r="AI108" i="10" s="1"/>
  <c r="AH126" i="10"/>
  <c r="AI126" i="10" s="1"/>
  <c r="AH175" i="10"/>
  <c r="AI175" i="10" s="1"/>
  <c r="AH256" i="10"/>
  <c r="AI256" i="10" s="1"/>
  <c r="AH49" i="10"/>
  <c r="AI49" i="10" s="1"/>
  <c r="AH368" i="10"/>
  <c r="AI368" i="10" s="1"/>
  <c r="AH275" i="10"/>
  <c r="AI275" i="10" s="1"/>
  <c r="AH515" i="10"/>
  <c r="AI515" i="10" s="1"/>
  <c r="AH97" i="10"/>
  <c r="AI97" i="10" s="1"/>
  <c r="AH328" i="10"/>
  <c r="AI328" i="10" s="1"/>
  <c r="AH4" i="10"/>
  <c r="AI4" i="10" s="1"/>
  <c r="AH28" i="10"/>
  <c r="AI28" i="10" s="1"/>
  <c r="AH6" i="10"/>
  <c r="AI6" i="10" s="1"/>
  <c r="D42" i="5" l="1"/>
  <c r="B43" i="5" s="1"/>
  <c r="E42" i="5"/>
  <c r="O18" i="2"/>
  <c r="O9" i="3"/>
  <c r="O12" i="3"/>
  <c r="O11" i="3"/>
  <c r="O10" i="3"/>
  <c r="O8" i="3"/>
  <c r="O7" i="3"/>
  <c r="O31" i="2"/>
  <c r="O28" i="2"/>
  <c r="O27" i="2"/>
  <c r="O25" i="2"/>
  <c r="O24" i="2"/>
  <c r="O23" i="2"/>
  <c r="O22" i="2"/>
  <c r="O21" i="2"/>
  <c r="O20" i="2"/>
  <c r="O19" i="2"/>
  <c r="O17" i="2"/>
  <c r="O15" i="2"/>
  <c r="O13" i="2"/>
  <c r="O12" i="2"/>
  <c r="O9" i="2"/>
  <c r="C3" i="3"/>
  <c r="O18" i="3"/>
  <c r="O17" i="3"/>
  <c r="O16" i="3"/>
  <c r="O16" i="2"/>
  <c r="O14" i="3"/>
  <c r="O13" i="3"/>
  <c r="C3" i="2"/>
  <c r="O29" i="2"/>
  <c r="O14" i="2"/>
  <c r="O15" i="3"/>
  <c r="O11" i="2"/>
  <c r="O7" i="2"/>
  <c r="O30" i="2"/>
  <c r="O10" i="2"/>
  <c r="O26" i="2"/>
  <c r="O8" i="2"/>
  <c r="O31" i="3"/>
  <c r="O30" i="3"/>
  <c r="O29" i="3"/>
  <c r="O28" i="3"/>
  <c r="O27" i="3"/>
  <c r="O26" i="3"/>
  <c r="O21" i="3"/>
  <c r="O25" i="3"/>
  <c r="O24" i="3"/>
  <c r="O23" i="3"/>
  <c r="O22" i="3"/>
  <c r="O20" i="3"/>
  <c r="O19" i="3"/>
  <c r="G2" i="3" l="1"/>
  <c r="A3" i="3"/>
  <c r="D43" i="5"/>
  <c r="B44" i="5"/>
  <c r="B18" i="2"/>
  <c r="C18" i="2"/>
  <c r="D18" i="2" s="1"/>
  <c r="E18" i="2"/>
  <c r="F18" i="2"/>
  <c r="P18" i="2" s="1"/>
  <c r="M18" i="2" s="1"/>
  <c r="I18" i="2" s="1"/>
  <c r="G18" i="2"/>
  <c r="H18" i="2"/>
  <c r="J18" i="2"/>
  <c r="K18" i="2"/>
  <c r="L18" i="2"/>
  <c r="B9" i="3"/>
  <c r="C9" i="3"/>
  <c r="D9" i="3"/>
  <c r="E9" i="3"/>
  <c r="F9" i="3"/>
  <c r="P9" i="3" s="1"/>
  <c r="M9" i="3" s="1"/>
  <c r="I9" i="3" s="1"/>
  <c r="G9" i="3"/>
  <c r="H9" i="3"/>
  <c r="J9" i="3"/>
  <c r="K9" i="3"/>
  <c r="L9" i="3"/>
  <c r="B12" i="3"/>
  <c r="C12" i="3"/>
  <c r="D12" i="3"/>
  <c r="E12" i="3"/>
  <c r="F12" i="3"/>
  <c r="P12" i="3" s="1"/>
  <c r="M12" i="3" s="1"/>
  <c r="I12" i="3" s="1"/>
  <c r="G12" i="3"/>
  <c r="H12" i="3"/>
  <c r="J12" i="3"/>
  <c r="K12" i="3"/>
  <c r="L12" i="3"/>
  <c r="B11" i="3"/>
  <c r="C11" i="3"/>
  <c r="D11" i="3"/>
  <c r="E11" i="3"/>
  <c r="F11" i="3"/>
  <c r="P11" i="3" s="1"/>
  <c r="M11" i="3" s="1"/>
  <c r="G11" i="3"/>
  <c r="J11" i="3"/>
  <c r="B10" i="3"/>
  <c r="C10" i="3"/>
  <c r="D10" i="3"/>
  <c r="E10" i="3"/>
  <c r="F10" i="3"/>
  <c r="P10" i="3" s="1"/>
  <c r="M10" i="3" s="1"/>
  <c r="I10" i="3" s="1"/>
  <c r="G10" i="3"/>
  <c r="H10" i="3"/>
  <c r="J10" i="3"/>
  <c r="K10" i="3"/>
  <c r="L10" i="3"/>
  <c r="B8" i="3"/>
  <c r="C8" i="3"/>
  <c r="D8" i="3"/>
  <c r="E8" i="3"/>
  <c r="F8" i="3"/>
  <c r="P8" i="3" s="1"/>
  <c r="M8" i="3" s="1"/>
  <c r="I8" i="3" s="1"/>
  <c r="G8" i="3"/>
  <c r="H8" i="3"/>
  <c r="J8" i="3"/>
  <c r="K8" i="3"/>
  <c r="L8" i="3"/>
  <c r="B7" i="3"/>
  <c r="C7" i="3"/>
  <c r="H7" i="3" s="1"/>
  <c r="D7" i="3"/>
  <c r="E7" i="3"/>
  <c r="F7" i="3"/>
  <c r="J7" i="3"/>
  <c r="B31" i="2"/>
  <c r="C31" i="2"/>
  <c r="E31" i="2"/>
  <c r="F31" i="2"/>
  <c r="J31" i="2"/>
  <c r="B28" i="2"/>
  <c r="C28" i="2"/>
  <c r="E28" i="2"/>
  <c r="F28" i="2"/>
  <c r="P28" i="2" s="1"/>
  <c r="M28" i="2" s="1"/>
  <c r="G28" i="2"/>
  <c r="J28" i="2"/>
  <c r="B27" i="2"/>
  <c r="C27" i="2"/>
  <c r="D27" i="2"/>
  <c r="E27" i="2"/>
  <c r="F27" i="2"/>
  <c r="P27" i="2" s="1"/>
  <c r="M27" i="2" s="1"/>
  <c r="I27" i="2" s="1"/>
  <c r="G27" i="2"/>
  <c r="H27" i="2"/>
  <c r="J27" i="2"/>
  <c r="K27" i="2"/>
  <c r="L27" i="2"/>
  <c r="B25" i="2"/>
  <c r="C25" i="2"/>
  <c r="D25" i="2"/>
  <c r="E25" i="2"/>
  <c r="F25" i="2"/>
  <c r="P25" i="2" s="1"/>
  <c r="M25" i="2" s="1"/>
  <c r="I25" i="2" s="1"/>
  <c r="G25" i="2"/>
  <c r="H25" i="2"/>
  <c r="J25" i="2"/>
  <c r="K25" i="2"/>
  <c r="L25" i="2"/>
  <c r="B24" i="2"/>
  <c r="C24" i="2"/>
  <c r="H24" i="2" s="1"/>
  <c r="D24" i="2"/>
  <c r="E24" i="2"/>
  <c r="F24" i="2"/>
  <c r="J24" i="2"/>
  <c r="B23" i="2"/>
  <c r="C23" i="2"/>
  <c r="E23" i="2"/>
  <c r="F23" i="2"/>
  <c r="J23" i="2"/>
  <c r="B22" i="2"/>
  <c r="C22" i="2"/>
  <c r="D22" i="2"/>
  <c r="E22" i="2"/>
  <c r="F22" i="2"/>
  <c r="H22" i="2"/>
  <c r="J22" i="2"/>
  <c r="K22" i="2"/>
  <c r="L22" i="2"/>
  <c r="B21" i="2"/>
  <c r="C21" i="2"/>
  <c r="D21" i="2"/>
  <c r="E21" i="2"/>
  <c r="F21" i="2"/>
  <c r="P21" i="2" s="1"/>
  <c r="M21" i="2" s="1"/>
  <c r="I21" i="2" s="1"/>
  <c r="G21" i="2"/>
  <c r="H21" i="2"/>
  <c r="J21" i="2"/>
  <c r="K21" i="2"/>
  <c r="L21" i="2"/>
  <c r="B20" i="2"/>
  <c r="C20" i="2"/>
  <c r="D20" i="2"/>
  <c r="E20" i="2"/>
  <c r="F20" i="2"/>
  <c r="H20" i="2"/>
  <c r="J20" i="2"/>
  <c r="K20" i="2"/>
  <c r="L20" i="2"/>
  <c r="B19" i="2"/>
  <c r="C19" i="2"/>
  <c r="D19" i="2"/>
  <c r="E19" i="2"/>
  <c r="F19" i="2"/>
  <c r="J19" i="2"/>
  <c r="B17" i="2"/>
  <c r="C17" i="2"/>
  <c r="E17" i="2"/>
  <c r="F17" i="2"/>
  <c r="P17" i="2" s="1"/>
  <c r="M17" i="2" s="1"/>
  <c r="G17" i="2"/>
  <c r="J17" i="2"/>
  <c r="B15" i="2"/>
  <c r="C15" i="2"/>
  <c r="D15" i="2"/>
  <c r="E15" i="2"/>
  <c r="F15" i="2"/>
  <c r="P15" i="2" s="1"/>
  <c r="M15" i="2" s="1"/>
  <c r="I15" i="2" s="1"/>
  <c r="G15" i="2"/>
  <c r="H15" i="2"/>
  <c r="J15" i="2"/>
  <c r="K15" i="2"/>
  <c r="L15" i="2"/>
  <c r="C13" i="2"/>
  <c r="E13" i="2"/>
  <c r="F13" i="2"/>
  <c r="P13" i="2" s="1"/>
  <c r="M13" i="2" s="1"/>
  <c r="I13" i="2" s="1"/>
  <c r="K13" i="2"/>
  <c r="B13" i="2"/>
  <c r="D13" i="2"/>
  <c r="G13" i="2"/>
  <c r="H13" i="2"/>
  <c r="J13" i="2"/>
  <c r="L13" i="2"/>
  <c r="B12" i="2"/>
  <c r="F12" i="2"/>
  <c r="G12" i="2"/>
  <c r="J12" i="2"/>
  <c r="P12" i="2"/>
  <c r="M12" i="2" s="1"/>
  <c r="C12" i="2"/>
  <c r="E12" i="2"/>
  <c r="C9" i="2"/>
  <c r="B9" i="2"/>
  <c r="E9" i="2"/>
  <c r="F9" i="2"/>
  <c r="J9" i="2"/>
  <c r="B18" i="3"/>
  <c r="C18" i="3"/>
  <c r="D18" i="3"/>
  <c r="E18" i="3"/>
  <c r="F18" i="3"/>
  <c r="P18" i="3" s="1"/>
  <c r="M18" i="3" s="1"/>
  <c r="I18" i="3" s="1"/>
  <c r="G18" i="3"/>
  <c r="H18" i="3"/>
  <c r="J18" i="3"/>
  <c r="K18" i="3"/>
  <c r="L18" i="3"/>
  <c r="B17" i="3"/>
  <c r="C17" i="3"/>
  <c r="D17" i="3"/>
  <c r="E17" i="3"/>
  <c r="F17" i="3"/>
  <c r="H17" i="3"/>
  <c r="J17" i="3"/>
  <c r="K17" i="3"/>
  <c r="L17" i="3"/>
  <c r="B16" i="3"/>
  <c r="C16" i="3"/>
  <c r="D16" i="3"/>
  <c r="E16" i="3"/>
  <c r="F16" i="3"/>
  <c r="H16" i="3"/>
  <c r="J16" i="3"/>
  <c r="K16" i="3"/>
  <c r="L16" i="3"/>
  <c r="B16" i="2"/>
  <c r="C16" i="2"/>
  <c r="D16" i="2" s="1"/>
  <c r="E16" i="2"/>
  <c r="F16" i="2"/>
  <c r="J16" i="2"/>
  <c r="B14" i="3"/>
  <c r="C14" i="3"/>
  <c r="D14" i="3"/>
  <c r="E14" i="3"/>
  <c r="F14" i="3"/>
  <c r="P14" i="3" s="1"/>
  <c r="M14" i="3" s="1"/>
  <c r="I14" i="3" s="1"/>
  <c r="G14" i="3"/>
  <c r="H14" i="3"/>
  <c r="J14" i="3"/>
  <c r="K14" i="3"/>
  <c r="L14" i="3"/>
  <c r="B13" i="3"/>
  <c r="C13" i="3"/>
  <c r="D13" i="3"/>
  <c r="E13" i="3"/>
  <c r="F13" i="3"/>
  <c r="P13" i="3" s="1"/>
  <c r="M13" i="3" s="1"/>
  <c r="I13" i="3" s="1"/>
  <c r="G13" i="3"/>
  <c r="H13" i="3"/>
  <c r="J13" i="3"/>
  <c r="K13" i="3"/>
  <c r="L13" i="3"/>
  <c r="A3" i="2"/>
  <c r="G2" i="2"/>
  <c r="B29" i="2"/>
  <c r="C29" i="2"/>
  <c r="D29" i="2"/>
  <c r="E29" i="2"/>
  <c r="F29" i="2"/>
  <c r="H29" i="2"/>
  <c r="J29" i="2"/>
  <c r="B14" i="2"/>
  <c r="C14" i="2"/>
  <c r="D14" i="2"/>
  <c r="E14" i="2"/>
  <c r="F14" i="2"/>
  <c r="J14" i="2"/>
  <c r="B15" i="3"/>
  <c r="C15" i="3"/>
  <c r="E15" i="3"/>
  <c r="F15" i="3"/>
  <c r="P15" i="3" s="1"/>
  <c r="M15" i="3" s="1"/>
  <c r="G15" i="3"/>
  <c r="J15" i="3"/>
  <c r="B11" i="2"/>
  <c r="C11" i="2"/>
  <c r="D11" i="2"/>
  <c r="E11" i="2"/>
  <c r="F11" i="2"/>
  <c r="P11" i="2" s="1"/>
  <c r="M11" i="2" s="1"/>
  <c r="I11" i="2" s="1"/>
  <c r="G11" i="2"/>
  <c r="H11" i="2"/>
  <c r="J11" i="2"/>
  <c r="K11" i="2"/>
  <c r="L11" i="2"/>
  <c r="B7" i="2"/>
  <c r="C7" i="2"/>
  <c r="E7" i="2"/>
  <c r="F7" i="2"/>
  <c r="H7" i="2"/>
  <c r="P7" i="2"/>
  <c r="D7" i="2"/>
  <c r="G7" i="2"/>
  <c r="J7" i="2"/>
  <c r="K7" i="2"/>
  <c r="L7" i="2"/>
  <c r="M7" i="2"/>
  <c r="I7" i="2" s="1"/>
  <c r="B30" i="2"/>
  <c r="C30" i="2"/>
  <c r="E30" i="2"/>
  <c r="F30" i="2"/>
  <c r="P30" i="2" s="1"/>
  <c r="M30" i="2" s="1"/>
  <c r="G30" i="2"/>
  <c r="J30" i="2"/>
  <c r="C10" i="2"/>
  <c r="J10" i="2"/>
  <c r="B10" i="2"/>
  <c r="E10" i="2"/>
  <c r="F10" i="2"/>
  <c r="B26" i="2"/>
  <c r="C26" i="2"/>
  <c r="D26" i="2"/>
  <c r="E26" i="2"/>
  <c r="F26" i="2"/>
  <c r="P26" i="2" s="1"/>
  <c r="M26" i="2" s="1"/>
  <c r="I26" i="2" s="1"/>
  <c r="G26" i="2"/>
  <c r="H26" i="2"/>
  <c r="J26" i="2"/>
  <c r="K26" i="2"/>
  <c r="L26" i="2"/>
  <c r="F8" i="2"/>
  <c r="J8" i="2"/>
  <c r="P8" i="2"/>
  <c r="M8" i="2" s="1"/>
  <c r="B8" i="2"/>
  <c r="C8" i="2"/>
  <c r="E8" i="2"/>
  <c r="G8" i="2"/>
  <c r="K8" i="2"/>
  <c r="B31" i="3"/>
  <c r="C31" i="3"/>
  <c r="D31" i="3"/>
  <c r="E31" i="3"/>
  <c r="F31" i="3"/>
  <c r="P31" i="3" s="1"/>
  <c r="M31" i="3" s="1"/>
  <c r="I31" i="3" s="1"/>
  <c r="G31" i="3"/>
  <c r="H31" i="3"/>
  <c r="J31" i="3"/>
  <c r="K31" i="3"/>
  <c r="L31" i="3"/>
  <c r="B30" i="3"/>
  <c r="C30" i="3"/>
  <c r="H30" i="3" s="1"/>
  <c r="D30" i="3"/>
  <c r="E30" i="3"/>
  <c r="F30" i="3"/>
  <c r="J30" i="3"/>
  <c r="B29" i="3"/>
  <c r="C29" i="3"/>
  <c r="D29" i="3"/>
  <c r="E29" i="3"/>
  <c r="F29" i="3"/>
  <c r="P29" i="3" s="1"/>
  <c r="M29" i="3" s="1"/>
  <c r="I29" i="3" s="1"/>
  <c r="G29" i="3"/>
  <c r="H29" i="3"/>
  <c r="J29" i="3"/>
  <c r="K29" i="3"/>
  <c r="L29" i="3"/>
  <c r="B28" i="3"/>
  <c r="C28" i="3"/>
  <c r="D28" i="3"/>
  <c r="E28" i="3"/>
  <c r="F28" i="3"/>
  <c r="P28" i="3" s="1"/>
  <c r="M28" i="3" s="1"/>
  <c r="I28" i="3" s="1"/>
  <c r="G28" i="3"/>
  <c r="H28" i="3"/>
  <c r="J28" i="3"/>
  <c r="K28" i="3"/>
  <c r="L28" i="3"/>
  <c r="B27" i="3"/>
  <c r="C27" i="3"/>
  <c r="D27" i="3"/>
  <c r="E27" i="3"/>
  <c r="F27" i="3"/>
  <c r="P27" i="3" s="1"/>
  <c r="M27" i="3" s="1"/>
  <c r="I27" i="3" s="1"/>
  <c r="G27" i="3"/>
  <c r="H27" i="3"/>
  <c r="J27" i="3"/>
  <c r="K27" i="3"/>
  <c r="L27" i="3"/>
  <c r="B26" i="3"/>
  <c r="C26" i="3"/>
  <c r="D26" i="3" s="1"/>
  <c r="E26" i="3"/>
  <c r="F26" i="3"/>
  <c r="J26" i="3"/>
  <c r="B21" i="3"/>
  <c r="C21" i="3"/>
  <c r="D21" i="3"/>
  <c r="E21" i="3"/>
  <c r="F21" i="3"/>
  <c r="P21" i="3" s="1"/>
  <c r="M21" i="3" s="1"/>
  <c r="I21" i="3" s="1"/>
  <c r="G21" i="3"/>
  <c r="H21" i="3"/>
  <c r="J21" i="3"/>
  <c r="K21" i="3"/>
  <c r="L21" i="3"/>
  <c r="B25" i="3"/>
  <c r="C25" i="3"/>
  <c r="D25" i="3"/>
  <c r="E25" i="3"/>
  <c r="F25" i="3"/>
  <c r="P25" i="3" s="1"/>
  <c r="M25" i="3" s="1"/>
  <c r="I25" i="3" s="1"/>
  <c r="G25" i="3"/>
  <c r="H25" i="3"/>
  <c r="J25" i="3"/>
  <c r="K25" i="3"/>
  <c r="L25" i="3"/>
  <c r="B24" i="3"/>
  <c r="C24" i="3"/>
  <c r="D24" i="3"/>
  <c r="E24" i="3"/>
  <c r="F24" i="3"/>
  <c r="P24" i="3" s="1"/>
  <c r="M24" i="3" s="1"/>
  <c r="I24" i="3" s="1"/>
  <c r="G24" i="3"/>
  <c r="H24" i="3"/>
  <c r="J24" i="3"/>
  <c r="K24" i="3"/>
  <c r="L24" i="3"/>
  <c r="P23" i="3"/>
  <c r="M23" i="3" s="1"/>
  <c r="B23" i="3"/>
  <c r="C23" i="3"/>
  <c r="D23" i="3" s="1"/>
  <c r="E23" i="3"/>
  <c r="F23" i="3"/>
  <c r="G23" i="3"/>
  <c r="J23" i="3"/>
  <c r="B22" i="3"/>
  <c r="C22" i="3"/>
  <c r="D22" i="3"/>
  <c r="E22" i="3"/>
  <c r="F22" i="3"/>
  <c r="P22" i="3" s="1"/>
  <c r="M22" i="3" s="1"/>
  <c r="I22" i="3" s="1"/>
  <c r="G22" i="3"/>
  <c r="H22" i="3"/>
  <c r="J22" i="3"/>
  <c r="K22" i="3"/>
  <c r="L22" i="3"/>
  <c r="B20" i="3"/>
  <c r="C20" i="3"/>
  <c r="D20" i="3" s="1"/>
  <c r="E20" i="3"/>
  <c r="F20" i="3"/>
  <c r="P20" i="3" s="1"/>
  <c r="M20" i="3" s="1"/>
  <c r="I20" i="3" s="1"/>
  <c r="G20" i="3"/>
  <c r="H20" i="3"/>
  <c r="J20" i="3"/>
  <c r="K20" i="3"/>
  <c r="L20" i="3"/>
  <c r="B19" i="3"/>
  <c r="C19" i="3"/>
  <c r="D19" i="3"/>
  <c r="E19" i="3"/>
  <c r="F19" i="3"/>
  <c r="H19" i="3"/>
  <c r="J19" i="3"/>
  <c r="K19" i="3"/>
  <c r="L19" i="3"/>
  <c r="E43" i="5"/>
  <c r="P7" i="3" l="1"/>
  <c r="M7" i="3" s="1"/>
  <c r="I7" i="3" s="1"/>
  <c r="G7" i="3"/>
  <c r="P17" i="3"/>
  <c r="M17" i="3" s="1"/>
  <c r="I17" i="3" s="1"/>
  <c r="G17" i="3"/>
  <c r="P16" i="3"/>
  <c r="M16" i="3" s="1"/>
  <c r="I16" i="3" s="1"/>
  <c r="G16" i="3"/>
  <c r="P19" i="3"/>
  <c r="M19" i="3" s="1"/>
  <c r="I19" i="3" s="1"/>
  <c r="G19" i="3"/>
  <c r="I15" i="3"/>
  <c r="K7" i="3"/>
  <c r="L7" i="3"/>
  <c r="D15" i="3"/>
  <c r="H15" i="3"/>
  <c r="K15" i="3"/>
  <c r="L15" i="3"/>
  <c r="P24" i="2"/>
  <c r="M24" i="2" s="1"/>
  <c r="I24" i="2" s="1"/>
  <c r="G24" i="2"/>
  <c r="P19" i="2"/>
  <c r="M19" i="2" s="1"/>
  <c r="I19" i="2" s="1"/>
  <c r="G19" i="2"/>
  <c r="P26" i="3"/>
  <c r="M26" i="3" s="1"/>
  <c r="I26" i="3" s="1"/>
  <c r="G26" i="3"/>
  <c r="P16" i="2"/>
  <c r="M16" i="2" s="1"/>
  <c r="I16" i="2" s="1"/>
  <c r="G16" i="2"/>
  <c r="P29" i="2"/>
  <c r="M29" i="2" s="1"/>
  <c r="I29" i="2" s="1"/>
  <c r="G29" i="2"/>
  <c r="P30" i="3"/>
  <c r="M30" i="3" s="1"/>
  <c r="I30" i="3" s="1"/>
  <c r="G30" i="3"/>
  <c r="I12" i="2"/>
  <c r="H11" i="3"/>
  <c r="I11" i="3"/>
  <c r="K11" i="3"/>
  <c r="L11" i="3"/>
  <c r="D31" i="2"/>
  <c r="H31" i="2"/>
  <c r="P20" i="2"/>
  <c r="M20" i="2" s="1"/>
  <c r="I20" i="2" s="1"/>
  <c r="G20" i="2"/>
  <c r="H16" i="2"/>
  <c r="K16" i="2"/>
  <c r="L16" i="2"/>
  <c r="L30" i="3"/>
  <c r="K30" i="3"/>
  <c r="H26" i="3"/>
  <c r="K26" i="3"/>
  <c r="L26" i="3"/>
  <c r="H23" i="3"/>
  <c r="I23" i="3"/>
  <c r="K23" i="3"/>
  <c r="L23" i="3"/>
  <c r="I17" i="2"/>
  <c r="P23" i="2"/>
  <c r="M23" i="2" s="1"/>
  <c r="I23" i="2" s="1"/>
  <c r="G23" i="2"/>
  <c r="D17" i="2"/>
  <c r="H17" i="2"/>
  <c r="K17" i="2"/>
  <c r="L17" i="2"/>
  <c r="P14" i="2"/>
  <c r="M14" i="2" s="1"/>
  <c r="I14" i="2" s="1"/>
  <c r="G14" i="2"/>
  <c r="D10" i="2"/>
  <c r="H10" i="2"/>
  <c r="K10" i="2"/>
  <c r="L10" i="2"/>
  <c r="I28" i="2"/>
  <c r="D28" i="2"/>
  <c r="H28" i="2"/>
  <c r="K28" i="2"/>
  <c r="L28" i="2"/>
  <c r="H23" i="2"/>
  <c r="K23" i="2"/>
  <c r="L23" i="2"/>
  <c r="D23" i="2"/>
  <c r="K9" i="2"/>
  <c r="L9" i="2"/>
  <c r="D9" i="2"/>
  <c r="H9" i="2"/>
  <c r="H14" i="2"/>
  <c r="K14" i="2"/>
  <c r="L14" i="2"/>
  <c r="K31" i="2"/>
  <c r="L31" i="2"/>
  <c r="K24" i="2"/>
  <c r="L24" i="2"/>
  <c r="K12" i="2"/>
  <c r="L12" i="2"/>
  <c r="K29" i="2"/>
  <c r="L29" i="2"/>
  <c r="D44" i="5"/>
  <c r="E44" i="5"/>
  <c r="B45" i="5" s="1"/>
  <c r="P31" i="2"/>
  <c r="M31" i="2" s="1"/>
  <c r="I31" i="2" s="1"/>
  <c r="G31" i="2"/>
  <c r="P22" i="2"/>
  <c r="M22" i="2" s="1"/>
  <c r="I22" i="2" s="1"/>
  <c r="G22" i="2"/>
  <c r="K19" i="2"/>
  <c r="H19" i="2"/>
  <c r="L19" i="2"/>
  <c r="D12" i="2"/>
  <c r="H12" i="2"/>
  <c r="G9" i="2"/>
  <c r="P9" i="2"/>
  <c r="M9" i="2" s="1"/>
  <c r="I9" i="2" s="1"/>
  <c r="L30" i="2"/>
  <c r="K30" i="2"/>
  <c r="I30" i="2"/>
  <c r="H30" i="2"/>
  <c r="D30" i="2"/>
  <c r="G10" i="2"/>
  <c r="P10" i="2"/>
  <c r="M10" i="2" s="1"/>
  <c r="I10" i="2" s="1"/>
  <c r="L8" i="2"/>
  <c r="D8" i="2"/>
  <c r="H8" i="2"/>
  <c r="I8" i="2"/>
  <c r="B46" i="5" l="1"/>
  <c r="B48" i="5"/>
  <c r="B49" i="5" s="1"/>
  <c r="B62" i="5" s="1"/>
  <c r="B50" i="5" l="1"/>
</calcChain>
</file>

<file path=xl/sharedStrings.xml><?xml version="1.0" encoding="utf-8"?>
<sst xmlns="http://schemas.openxmlformats.org/spreadsheetml/2006/main" count="6849" uniqueCount="2133">
  <si>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</si>
  <si>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</si>
  <si>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</si>
  <si>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</si>
  <si>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</si>
  <si>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</si>
  <si>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</si>
  <si>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</si>
  <si>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</si>
  <si>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</si>
  <si>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</si>
  <si>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</si>
  <si>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</si>
  <si>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</si>
  <si>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</si>
  <si>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</si>
  <si>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</si>
  <si>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</si>
  <si>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</si>
  <si>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</si>
  <si>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</si>
  <si>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</si>
  <si>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</si>
  <si>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(partner does not let us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</si>
  <si>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</si>
  <si>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</si>
  <si>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</si>
  <si>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</si>
  <si>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</si>
  <si>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</si>
  <si>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</si>
  <si>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</si>
  <si>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</si>
  <si>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the company in E.</t>
  </si>
  <si>
    <t>Good to know</t>
  </si>
  <si>
    <t>Two companies, two answers</t>
  </si>
  <si>
    <t>Yes to one, no to the other? Write two lines: BOOKED and NOT_INTERESTED, each with the company in column E.</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</si>
  <si>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</si>
  <si>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</si>
  <si>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</si>
  <si>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</si>
  <si>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</si>
  <si>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</si>
  <si>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</si>
  <si>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</si>
  <si>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</si>
  <si>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</si>
  <si>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</si>
  <si>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</si>
  <si>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</si>
  <si>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</si>
  <si>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</si>
  <si>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</si>
  <si>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</si>
  <si>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</si>
  <si>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</si>
  <si>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</si>
  <si>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</si>
  <si>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</si>
  <si>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</si>
  <si>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</si>
  <si>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</si>
  <si>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</si>
  <si>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</si>
  <si>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</si>
  <si>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</si>
  <si>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</si>
  <si>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</si>
  <si>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</si>
  <si>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</si>
  <si>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</si>
  <si>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</si>
  <si>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Company (blank = all of theirs)</t>
  </si>
  <si>
    <t>Notes</t>
  </si>
  <si>
    <t>time used (auto)</t>
  </si>
  <si>
    <t>try? (auto)</t>
  </si>
  <si>
    <t>try key (auto)</t>
  </si>
  <si>
    <t>Check (auto)</t>
  </si>
  <si>
    <t>DASHBOARD (lead). Everything updates live.</t>
  </si>
  <si>
    <t>Scheduled within 24h (share of all unique requests)</t>
  </si>
  <si>
    <t>Today</t>
  </si>
  <si>
    <t>Unique requests (the denominator for every share)</t>
  </si>
  <si>
    <t>Duplicate rows removed</t>
  </si>
  <si>
    <t>People</t>
  </si>
  <si>
    <t>Scheduled within 24h</t>
  </si>
  <si>
    <t xml:space="preserve">   booked by an intern</t>
  </si>
  <si>
    <t xml:space="preserve">   booked by the candidate</t>
  </si>
  <si>
    <t>Open now</t>
  </si>
  <si>
    <t>At risk (open, deadline within the urgent window)</t>
  </si>
  <si>
    <t>Tries made</t>
  </si>
  <si>
    <t>Requests booked per try (measured)</t>
  </si>
  <si>
    <t>Intern minutes per interview booked</t>
  </si>
  <si>
    <t>Why requests are not scheduled</t>
  </si>
  <si>
    <t>Open</t>
  </si>
  <si>
    <t>Missed deadline: never tried</t>
  </si>
  <si>
    <t>Missed deadline: tried, not booked</t>
  </si>
  <si>
    <t>No reply after max tries</t>
  </si>
  <si>
    <t>Bad contact details</t>
  </si>
  <si>
    <t>Stopped / wrong number</t>
  </si>
  <si>
    <t>Not interested</t>
  </si>
  <si>
    <t>Partner has no slots</t>
  </si>
  <si>
    <t>Scheduled late</t>
  </si>
  <si>
    <t>Day-1 readout: planning values vs what the log shows (the sheet switches to measured once there is enough data)</t>
  </si>
  <si>
    <t>Measure</t>
  </si>
  <si>
    <t>Used</t>
  </si>
  <si>
    <t>Planning</t>
  </si>
  <si>
    <t>Measured</t>
  </si>
  <si>
    <t>Based on</t>
  </si>
  <si>
    <t>How it is measured</t>
  </si>
  <si>
    <t>Minutes per try</t>
  </si>
  <si>
    <t>Time between an intern's consecutive tries, breaks included.</t>
  </si>
  <si>
    <t>Try 1: share where the person said yes</t>
  </si>
  <si>
    <t>BOOKED or SENT_LINK on a first try.</t>
  </si>
  <si>
    <t>Try 2: share where the person said yes</t>
  </si>
  <si>
    <t>If this is far below try 1, extra interns buy little.</t>
  </si>
  <si>
    <t>Try 3: share where the person said yes</t>
  </si>
  <si>
    <t>Share of requests candidates booked themselves</t>
  </si>
  <si>
    <t>Read after the deadline; until then the planning value is used.</t>
  </si>
  <si>
    <t>Can we reach the target?  (people who said yes are counted as booked)</t>
  </si>
  <si>
    <t>Intern minutes before the deadline (Ram + Shyam)</t>
  </si>
  <si>
    <t>Tries today's staff can make</t>
  </si>
  <si>
    <t>People to reach by phone (not self-booked, contacts usable)</t>
  </si>
  <si>
    <t>Round</t>
  </si>
  <si>
    <t>People waiting</t>
  </si>
  <si>
    <t>Say yes</t>
  </si>
  <si>
    <t>Booked if all tried</t>
  </si>
  <si>
    <t>Tries by today's staff</t>
  </si>
  <si>
    <t>Try 1</t>
  </si>
  <si>
    <t>Try 2</t>
  </si>
  <si>
    <t>Try 3</t>
  </si>
  <si>
    <t>Expected share with today's staff</t>
  </si>
  <si>
    <t>Best case with unlimited interns (3 tries each)</t>
  </si>
  <si>
    <t>People interns must book to hit the target</t>
  </si>
  <si>
    <t>Tries needed</t>
  </si>
  <si>
    <t>Interns needed (same shift length as today)</t>
  </si>
  <si>
    <t>Verdict</t>
  </si>
  <si>
    <t>Cost: is extra capacity worth paying for, and how wrong can the assumptions be?</t>
  </si>
  <si>
    <t>Cost of one intern-day (Rs)</t>
  </si>
  <si>
    <t>Cost per try (Rs)</t>
  </si>
  <si>
    <t>Expected value of one scheduled interview to Weekday (Rs)</t>
  </si>
  <si>
    <t>Fee x CTC x hires per interview, all from SETTINGS.</t>
  </si>
  <si>
    <t>Cost per interview from a first try (Rs)</t>
  </si>
  <si>
    <t>Cost per interview from a third try (Rs): what the last extra intern buys</t>
  </si>
  <si>
    <t>Extra tries still pay if at least 1 in N books. N =</t>
  </si>
  <si>
    <t>Compare with the try-3 rate above. While try 3 books more often than 1 in N, adding interns pays.</t>
  </si>
  <si>
    <t>Hire rate at which third tries stop paying</t>
  </si>
  <si>
    <t>If Weekday's real hire rate per interview is above this, the staffing decision holds.</t>
  </si>
  <si>
    <t>Gap to target today (requests)</t>
  </si>
  <si>
    <t>Revenue at risk from the gap, per day (Rs)</t>
  </si>
  <si>
    <t>Only late requests that are never interviewed count as lost.</t>
  </si>
  <si>
    <t>Extra interns needed, cost per day (Rs)</t>
  </si>
  <si>
    <t>Evening WhatsApp to everyone, 2 messages, cost per day (Rs)</t>
  </si>
  <si>
    <t>Utility vs marketing rate (Meta decides). Plus the provider's monthly fee. Effect unknown until the MESSAGES pilot.</t>
  </si>
  <si>
    <t>MESSAGES (lead): evening WhatsApp through a provider. A PILOT, not a proven step.</t>
  </si>
  <si>
    <t>Template A (partner lets us book)</t>
  </si>
  <si>
    <t>Hi {{1}}, Weekday here. You have an interview request from {{2}}. Reply YES and we'll book the first free slot for you. Reply STOP to opt out.</t>
  </si>
  <si>
    <t>Send to</t>
  </si>
  <si>
    <t>SEND group only</t>
  </si>
  <si>
    <t>Template B (partner wants its own link)</t>
  </si>
  <si>
    <t>Hi {{1}}, Weekday here. You have an interview request from {{2}}. Pick a time: {{3}}. Reply STOP to opt out.</t>
  </si>
  <si>
    <t>Pilot: people are split SEND / HOLD by a phone digit. Both groups are called as normal; only SEND gets the evening message. Compare the two rows below after the deadline.</t>
  </si>
  <si>
    <t>Pilot group</t>
  </si>
  <si>
    <t>Requests</t>
  </si>
  <si>
    <t>Scheduled in 24h</t>
  </si>
  <si>
    <t>Share</t>
  </si>
  <si>
    <t>Delivered</t>
  </si>
  <si>
    <t>Failed</t>
  </si>
  <si>
    <t>Replied YES</t>
  </si>
  <si>
    <t>Replied STOP</t>
  </si>
  <si>
    <t>SEND</t>
  </si>
  <si>
    <t>HOLD</t>
  </si>
  <si>
    <t>Phone (with 91)</t>
  </si>
  <si>
    <t>Template</t>
  </si>
  <si>
    <t>{{1}} first name</t>
  </si>
  <si>
    <t>{{2}} company</t>
  </si>
  <si>
    <t>{{3}} link</t>
  </si>
  <si>
    <t>PASTE provider report (any order): phone</t>
  </si>
  <si>
    <t>Status (DELIVERED / READ / FAILED)</t>
  </si>
  <si>
    <t>Reply text</t>
  </si>
  <si>
    <t>Reply time</t>
  </si>
  <si>
    <t>phone (auto)</t>
  </si>
  <si>
    <t>Company</t>
  </si>
  <si>
    <t>Booking link (their calendar)</t>
  </si>
  <si>
    <t>We may book for candidates? (YES / NO)</t>
  </si>
  <si>
    <t>Slots (OK / NO SLOTS / REOPENED)</t>
  </si>
  <si>
    <t>Partner contact</t>
  </si>
  <si>
    <t>Requests today</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</si>
  <si>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</si>
  <si>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</si>
  <si>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</si>
  <si>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</si>
  <si>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</si>
  <si>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</si>
  <si>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</si>
  <si>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</si>
  <si>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</si>
  <si>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</si>
  <si>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</si>
  <si>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</si>
  <si>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</si>
  <si>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</si>
  <si>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</si>
  <si>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</si>
  <si>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</si>
  <si>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</si>
  <si>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</si>
  <si>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</si>
  <si>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</si>
  <si>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</si>
  <si>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</si>
  <si>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</si>
  <si>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</si>
  <si>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</si>
  <si>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</si>
  <si>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</si>
  <si>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</si>
  <si>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</si>
  <si>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</si>
  <si>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</si>
  <si>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</si>
  <si>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</si>
  <si>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</si>
  <si>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</si>
  <si>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</si>
  <si>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</si>
  <si>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</si>
  <si>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</si>
  <si>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</si>
  <si>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</si>
  <si>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</si>
  <si>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</si>
  <si>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</si>
  <si>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</si>
  <si>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</si>
  <si>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</si>
  <si>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</si>
  <si>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</si>
  <si>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</si>
  <si>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</si>
  <si>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</si>
  <si>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</si>
  <si>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</si>
  <si>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</si>
  <si>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</si>
  <si>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</si>
  <si>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</si>
  <si>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</si>
  <si>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</si>
  <si>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</si>
  <si>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</si>
  <si>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</si>
  <si>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</si>
  <si>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</si>
  <si>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</si>
  <si>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</si>
  <si>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</si>
  <si>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</si>
  <si>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</si>
  <si>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</si>
  <si>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</si>
  <si>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</si>
  <si>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</si>
  <si>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</si>
  <si>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</si>
  <si>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</si>
  <si>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</si>
  <si>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</si>
  <si>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</si>
  <si>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</si>
  <si>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</si>
  <si>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</si>
  <si>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</si>
  <si>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</si>
  <si>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</si>
  <si>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</si>
  <si>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</si>
  <si>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</si>
  <si>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</si>
  <si>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</si>
  <si>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</si>
  <si>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</si>
  <si>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</si>
  <si>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</si>
  <si>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</si>
  <si>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</si>
  <si>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</si>
  <si>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</si>
  <si>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</si>
  <si>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</si>
  <si>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</si>
  <si>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</si>
  <si>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</si>
  <si>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</si>
  <si>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</si>
  <si>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</si>
  <si>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</si>
  <si>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</si>
  <si>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</si>
  <si>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</si>
  <si>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</si>
  <si>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</si>
  <si>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</si>
  <si>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</si>
  <si>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</si>
  <si>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</si>
  <si>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</si>
  <si>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</si>
  <si>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</si>
  <si>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</si>
  <si>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</si>
  <si>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</si>
  <si>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</si>
  <si>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</si>
  <si>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</si>
  <si>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</si>
  <si>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</si>
  <si>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</si>
  <si>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</si>
  <si>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</si>
  <si>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</si>
  <si>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</si>
  <si>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</si>
  <si>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</si>
  <si>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</si>
  <si>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</si>
  <si>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</si>
  <si>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</si>
  <si>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</si>
  <si>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</si>
  <si>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</si>
  <si>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</si>
  <si>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</si>
  <si>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</si>
  <si>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</si>
  <si>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</si>
  <si>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</si>
  <si>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</si>
  <si>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</si>
  <si>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</si>
  <si>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</si>
  <si>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</si>
  <si>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</si>
  <si>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</si>
  <si>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</si>
  <si>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</si>
  <si>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</si>
  <si>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</si>
  <si>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</si>
  <si>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</si>
  <si>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</si>
  <si>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</si>
  <si>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</si>
  <si>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</si>
  <si>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</si>
  <si>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</si>
  <si>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</si>
  <si>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</si>
  <si>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</si>
  <si>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</si>
  <si>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</si>
  <si>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</si>
  <si>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</si>
  <si>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</si>
  <si>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</si>
  <si>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</si>
  <si>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</si>
  <si>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</si>
  <si>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</si>
  <si>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</si>
  <si>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</si>
  <si>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</si>
  <si>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</si>
  <si>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</si>
  <si>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</si>
  <si>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</si>
  <si>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</si>
  <si>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</si>
  <si>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</si>
  <si>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</si>
  <si>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</si>
  <si>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</si>
  <si>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</si>
  <si>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</si>
  <si>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</si>
  <si>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</si>
  <si>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</si>
  <si>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</si>
  <si>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</si>
  <si>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</si>
  <si>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</si>
  <si>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</si>
  <si>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</si>
  <si>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</si>
  <si>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</si>
  <si>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</si>
  <si>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</si>
  <si>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</si>
  <si>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</si>
  <si>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</si>
  <si>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</si>
  <si>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</si>
  <si>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</si>
  <si>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</si>
  <si>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</si>
  <si>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</si>
  <si>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</si>
  <si>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</si>
  <si>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</si>
  <si>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</si>
  <si>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</si>
  <si>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</si>
  <si>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</si>
  <si>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</si>
  <si>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</si>
  <si>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</si>
  <si>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</si>
  <si>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</si>
  <si>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</si>
  <si>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</si>
  <si>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</si>
  <si>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</si>
  <si>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</si>
  <si>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</si>
  <si>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</si>
  <si>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</si>
  <si>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</si>
  <si>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</si>
  <si>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</si>
  <si>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</si>
  <si>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</si>
  <si>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</si>
  <si>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</si>
  <si>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</si>
  <si>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</si>
  <si>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</si>
  <si>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</si>
  <si>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</si>
  <si>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</si>
  <si>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</si>
  <si>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</si>
  <si>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</si>
  <si>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</si>
  <si>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</si>
  <si>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</si>
  <si>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</si>
  <si>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</si>
  <si>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</si>
  <si>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</si>
  <si>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</si>
  <si>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</si>
  <si>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</si>
  <si>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</si>
  <si>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</si>
  <si>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</si>
  <si>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</si>
  <si>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</si>
  <si>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</si>
  <si>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</si>
  <si>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</si>
  <si>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Added On</t>
  </si>
  <si>
    <t>Signal (optional: Clicked / Opened / None)</t>
  </si>
  <si>
    <t>PASTE the partner sheet into columns A-I from row 2 (same 9 columns as the sheet Weekday sends). Column J is optional. Demo rows below are SYNTHETIC (example.com addresses, fake numbers).</t>
  </si>
  <si>
    <t>Interviewer 2</t>
  </si>
  <si>
    <t>interviewer1@partner039.example.com</t>
  </si>
  <si>
    <t>Yash D.</t>
  </si>
  <si>
    <t>yash.d106@example.com</t>
  </si>
  <si>
    <t>9000001385</t>
  </si>
  <si>
    <t>https://calendly.com/partner039/r1</t>
  </si>
  <si>
    <t>Round1</t>
  </si>
  <si>
    <t>None</t>
  </si>
  <si>
    <t>interviewer1@partner007.example.com</t>
  </si>
  <si>
    <t>Saanvi G.</t>
  </si>
  <si>
    <t>saanvi.g189@example.com</t>
  </si>
  <si>
    <t>9000002464</t>
  </si>
  <si>
    <t>https://calendly.com/partner007/r1</t>
  </si>
  <si>
    <t>Interviewer 1</t>
  </si>
  <si>
    <t>interviewer0@partner000.example.com</t>
  </si>
  <si>
    <t>Ananya D.</t>
  </si>
  <si>
    <t>ananya.d093@example.com</t>
  </si>
  <si>
    <t>9000001216</t>
  </si>
  <si>
    <t>https://calendly.com/partner000/r1</t>
  </si>
  <si>
    <t>Opened</t>
  </si>
  <si>
    <t>Interviewer 3</t>
  </si>
  <si>
    <t>interviewer2@partner000.example.com</t>
  </si>
  <si>
    <t>Rahul L.</t>
  </si>
  <si>
    <t>rahul.l326@example.com</t>
  </si>
  <si>
    <t>9000004245</t>
  </si>
  <si>
    <t>interviewer0@partner024.example.com</t>
  </si>
  <si>
    <t>Ananya H.</t>
  </si>
  <si>
    <t>ananya.h213@example.com</t>
  </si>
  <si>
    <t>9000002776</t>
  </si>
  <si>
    <t>https://calendly.com/partner024/r1</t>
  </si>
  <si>
    <t>interviewer0@partner025.example.com</t>
  </si>
  <si>
    <t>Arjun J.</t>
  </si>
  <si>
    <t>arjun.j248@example.com</t>
  </si>
  <si>
    <t>9000003231</t>
  </si>
  <si>
    <t>https://calendly.com/partner025/r1</t>
  </si>
  <si>
    <t>interviewer1@partner000.example.com</t>
  </si>
  <si>
    <t>Meera H.</t>
  </si>
  <si>
    <t>meera.h217@example.com</t>
  </si>
  <si>
    <t>9000002828</t>
  </si>
  <si>
    <t>interviewer1@partner043.example.com</t>
  </si>
  <si>
    <t>Aarav D.</t>
  </si>
  <si>
    <t>aarav.d090@example.com</t>
  </si>
  <si>
    <t>9000001177</t>
  </si>
  <si>
    <t>https://calendly.com/partner043/r1</t>
  </si>
  <si>
    <t>Aditya P.</t>
  </si>
  <si>
    <t>aditya.p412@example.com</t>
  </si>
  <si>
    <t>9000005363</t>
  </si>
  <si>
    <t>Clicked</t>
  </si>
  <si>
    <t>Vihaan M.</t>
  </si>
  <si>
    <t>vihaan.m334@example.com</t>
  </si>
  <si>
    <t>9000004349</t>
  </si>
  <si>
    <t>interviewer1@partner040.example.com</t>
  </si>
  <si>
    <t>Tara F.</t>
  </si>
  <si>
    <t>tara.f165@example.com</t>
  </si>
  <si>
    <t>9000002152</t>
  </si>
  <si>
    <t>https://calendly.com/partner040/r1</t>
  </si>
  <si>
    <t>interviewer0@partner053.example.com</t>
  </si>
  <si>
    <t>Meera F.</t>
  </si>
  <si>
    <t>meera.f157@example.com</t>
  </si>
  <si>
    <t>9000002048</t>
  </si>
  <si>
    <t>https://calendly.com/partner053/r1</t>
  </si>
  <si>
    <t>interviewer0@partner010.example.com</t>
  </si>
  <si>
    <t>Ira N.</t>
  </si>
  <si>
    <t>ira.n365@example.com</t>
  </si>
  <si>
    <t>9000004752</t>
  </si>
  <si>
    <t>https://calendly.com/partner010/r1</t>
  </si>
  <si>
    <t>interviewer1@partner092.example.com</t>
  </si>
  <si>
    <t>Zoya C.</t>
  </si>
  <si>
    <t>zoya.c077@example.com</t>
  </si>
  <si>
    <t>9000001008</t>
  </si>
  <si>
    <t>https://calendly.com/partner092/r1</t>
  </si>
  <si>
    <t>interviewer0@partner003.example.com</t>
  </si>
  <si>
    <t>Saanvi M.</t>
  </si>
  <si>
    <t>saanvi.m339@example.com</t>
  </si>
  <si>
    <t>9000004414</t>
  </si>
  <si>
    <t>https://calendly.com/partner003/r1</t>
  </si>
  <si>
    <t>Sneha B.</t>
  </si>
  <si>
    <t>sneha.b053@example.com</t>
  </si>
  <si>
    <t>9000000696</t>
  </si>
  <si>
    <t>interviewer1@partner024.example.com</t>
  </si>
  <si>
    <t>Varun L.</t>
  </si>
  <si>
    <t>varun.l328@example.com</t>
  </si>
  <si>
    <t>9000004271</t>
  </si>
  <si>
    <t>interviewer0@partner002.example.com</t>
  </si>
  <si>
    <t>Aditya M.</t>
  </si>
  <si>
    <t>aditya.m352@example.com</t>
  </si>
  <si>
    <t>9000004583</t>
  </si>
  <si>
    <t>https://calendly.com/partner002/r1</t>
  </si>
  <si>
    <t>interviewer1@partner015.example.com</t>
  </si>
  <si>
    <t>Rohan J.</t>
  </si>
  <si>
    <t>rohan.j250@example.com</t>
  </si>
  <si>
    <t>900000325</t>
  </si>
  <si>
    <t>https://calendly.com/partner015/r1</t>
  </si>
  <si>
    <t>interviewer0@partner032.example.com</t>
  </si>
  <si>
    <t>Navya B.</t>
  </si>
  <si>
    <t>navya.b043@example.com</t>
  </si>
  <si>
    <t>9000000566</t>
  </si>
  <si>
    <t>https://calendly.com/partner032/r1</t>
  </si>
  <si>
    <t>interviewer1@partner002.example.com</t>
  </si>
  <si>
    <t>Kabir R.</t>
  </si>
  <si>
    <t>kabir.r422@example.com</t>
  </si>
  <si>
    <t>9000005493</t>
  </si>
  <si>
    <t>interviewer0@partner013.example.com</t>
  </si>
  <si>
    <t>Ishaan F.</t>
  </si>
  <si>
    <t>ishaan.f164@example.com</t>
  </si>
  <si>
    <t>9000002139</t>
  </si>
  <si>
    <t>https://calendly.com/partner013/r1</t>
  </si>
  <si>
    <t>interviewer1@partner016.example.com</t>
  </si>
  <si>
    <t>Manav F.</t>
  </si>
  <si>
    <t>manav.f174@example.com</t>
  </si>
  <si>
    <t>9000002269</t>
  </si>
  <si>
    <t>https://calendly.com/partner016/r1</t>
  </si>
  <si>
    <t>interviewer0@partner074.example.com</t>
  </si>
  <si>
    <t>Aditya B.</t>
  </si>
  <si>
    <t>aditya.b052@example.com</t>
  </si>
  <si>
    <t>9000000683</t>
  </si>
  <si>
    <t>https://calendly.com/partner074/r1</t>
  </si>
  <si>
    <t>interviewer2@partner010.example.com</t>
  </si>
  <si>
    <t>Meera E.</t>
  </si>
  <si>
    <t>meera.e127@example.com</t>
  </si>
  <si>
    <t>9000001658</t>
  </si>
  <si>
    <t>interviewer0@partner061.example.com</t>
  </si>
  <si>
    <t>Sneha C.</t>
  </si>
  <si>
    <t>sneha.c083@example.com</t>
  </si>
  <si>
    <t>9000001086</t>
  </si>
  <si>
    <t>https://calendly.com/partner061/r1</t>
  </si>
  <si>
    <t>interviewer1@partner005.example.com</t>
  </si>
  <si>
    <t>Sneha G.</t>
  </si>
  <si>
    <t>sneha.g203@example.com</t>
  </si>
  <si>
    <t>9000002646</t>
  </si>
  <si>
    <t>https://calendly.com/partner005/r1</t>
  </si>
  <si>
    <t>Kiara K.</t>
  </si>
  <si>
    <t>kiara.k281@example.com</t>
  </si>
  <si>
    <t>9000003660</t>
  </si>
  <si>
    <t>interviewer1@partner020.example.com</t>
  </si>
  <si>
    <t>Kabir D.</t>
  </si>
  <si>
    <t>kabir.d092@example.com</t>
  </si>
  <si>
    <t>9000001203</t>
  </si>
  <si>
    <t>https://calendly.com/partner020/r1</t>
  </si>
  <si>
    <t>interviewer1@partner013.example.com</t>
  </si>
  <si>
    <t>Aarav R.</t>
  </si>
  <si>
    <t>aarav.r420@example.com</t>
  </si>
  <si>
    <t>9000005467</t>
  </si>
  <si>
    <t>interviewer2@partner026.example.com</t>
  </si>
  <si>
    <t>Dev L.</t>
  </si>
  <si>
    <t>dev.l312@example.com</t>
  </si>
  <si>
    <t>9000004063</t>
  </si>
  <si>
    <t>https://calendly.com/partner026/r1</t>
  </si>
  <si>
    <t>interviewer1@partner017.example.com</t>
  </si>
  <si>
    <t>Rahul N.</t>
  </si>
  <si>
    <t>rahul.n386@example.com</t>
  </si>
  <si>
    <t>9000005025</t>
  </si>
  <si>
    <t>https://calendly.com/partner017/r1</t>
  </si>
  <si>
    <t>interviewer1@partner008.example.com</t>
  </si>
  <si>
    <t>Sneha P.</t>
  </si>
  <si>
    <t>sneha.p413@example.com</t>
  </si>
  <si>
    <t>9000005376</t>
  </si>
  <si>
    <t>https://calendly.com/partner008/r1</t>
  </si>
  <si>
    <t>Varun P.</t>
  </si>
  <si>
    <t>varun.p418@example.com</t>
  </si>
  <si>
    <t>9000005441</t>
  </si>
  <si>
    <t>Yash L.</t>
  </si>
  <si>
    <t>yash.l316@example.com</t>
  </si>
  <si>
    <t>9000004115</t>
  </si>
  <si>
    <t>Pooja P.</t>
  </si>
  <si>
    <t>pooja.p411@example.com</t>
  </si>
  <si>
    <t>9000005350</t>
  </si>
  <si>
    <t>interviewer0@partner046.example.com</t>
  </si>
  <si>
    <t>Ishaan B.</t>
  </si>
  <si>
    <t>ishaan.b044@example.com</t>
  </si>
  <si>
    <t>9000000579</t>
  </si>
  <si>
    <t>https://calendly.com/partner046/r3</t>
  </si>
  <si>
    <t>Round3</t>
  </si>
  <si>
    <t>interviewer1@partner003.example.com</t>
  </si>
  <si>
    <t>Vihaan R.</t>
  </si>
  <si>
    <t>vihaan.r424@example.com</t>
  </si>
  <si>
    <t>9000005519</t>
  </si>
  <si>
    <t>interviewer0@partner011.example.com</t>
  </si>
  <si>
    <t>Navya M.</t>
  </si>
  <si>
    <t>navya.m343@example.com</t>
  </si>
  <si>
    <t>9000004466</t>
  </si>
  <si>
    <t>https://calendly.com/partner011/r1</t>
  </si>
  <si>
    <t>interviewer2@partner022.example.com</t>
  </si>
  <si>
    <t>Yash N.</t>
  </si>
  <si>
    <t>yash.n376@example.com</t>
  </si>
  <si>
    <t>9000004895</t>
  </si>
  <si>
    <t>https://calendly.com/partner022/r1</t>
  </si>
  <si>
    <t>interviewer2@partner008.example.com</t>
  </si>
  <si>
    <t>Tara M.</t>
  </si>
  <si>
    <t>tara.m345@example.com</t>
  </si>
  <si>
    <t>9000004492</t>
  </si>
  <si>
    <t>Pooja N.</t>
  </si>
  <si>
    <t>pooja.n381@example.com</t>
  </si>
  <si>
    <t>9000004960</t>
  </si>
  <si>
    <t>Kavya P.</t>
  </si>
  <si>
    <t>kavya.p419@example.com</t>
  </si>
  <si>
    <t>9000005454</t>
  </si>
  <si>
    <t>interviewer2@partner027.example.com</t>
  </si>
  <si>
    <t>Zoya F.</t>
  </si>
  <si>
    <t>zoya.f167@example.com</t>
  </si>
  <si>
    <t>9000002178</t>
  </si>
  <si>
    <t>https://calendly.com/partner027/r1</t>
  </si>
  <si>
    <t>interviewer0@partner026.example.com</t>
  </si>
  <si>
    <t>Riya P.</t>
  </si>
  <si>
    <t>riya.p409@example.com</t>
  </si>
  <si>
    <t>9000005324</t>
  </si>
  <si>
    <t>interviewer1@partner006.example.com</t>
  </si>
  <si>
    <t>Aditya H.</t>
  </si>
  <si>
    <t>aditya.h232@example.com</t>
  </si>
  <si>
    <t>9000003023</t>
  </si>
  <si>
    <t>https://calendly.com/partner006/r1</t>
  </si>
  <si>
    <t>Ira H.</t>
  </si>
  <si>
    <t>ira.h215@example.com</t>
  </si>
  <si>
    <t>9000002802</t>
  </si>
  <si>
    <t>Aarav E.</t>
  </si>
  <si>
    <t>aarav.e120@example.com</t>
  </si>
  <si>
    <t>9000001567</t>
  </si>
  <si>
    <t>Tara N.</t>
  </si>
  <si>
    <t>tara.n375@example.com</t>
  </si>
  <si>
    <t>9000004882</t>
  </si>
  <si>
    <t>interviewer2@partner004.example.com</t>
  </si>
  <si>
    <t>Yash G.</t>
  </si>
  <si>
    <t>yash.g196@example.com</t>
  </si>
  <si>
    <t>9000002555</t>
  </si>
  <si>
    <t>https://calendly.com/partner004/r1</t>
  </si>
  <si>
    <t>Zoya E.</t>
  </si>
  <si>
    <t>zoya.e137@example.com</t>
  </si>
  <si>
    <t>9000001788</t>
  </si>
  <si>
    <t>Manav N.</t>
  </si>
  <si>
    <t>manav.n384@example.com</t>
  </si>
  <si>
    <t>9000004999</t>
  </si>
  <si>
    <t>Rahul A.</t>
  </si>
  <si>
    <t>rahul.a026@example.com</t>
  </si>
  <si>
    <t>9000000345</t>
  </si>
  <si>
    <t>Ananya K.</t>
  </si>
  <si>
    <t>ananya.k273@example.com</t>
  </si>
  <si>
    <t>9000003556</t>
  </si>
  <si>
    <t>interviewer1@partner004.example.com</t>
  </si>
  <si>
    <t>Dev A.</t>
  </si>
  <si>
    <t>dev.a012@example.com</t>
  </si>
  <si>
    <t>9000000163</t>
  </si>
  <si>
    <t>interviewer1@partner081.example.com</t>
  </si>
  <si>
    <t>Diya G.</t>
  </si>
  <si>
    <t>diya.g181@example.com</t>
  </si>
  <si>
    <t>9000002360</t>
  </si>
  <si>
    <t>https://calendly.com/partner081/r1</t>
  </si>
  <si>
    <t>Karan F.</t>
  </si>
  <si>
    <t>karan.f170@example.com</t>
  </si>
  <si>
    <t>9000002217</t>
  </si>
  <si>
    <t>interviewer0@partner014.example.com</t>
  </si>
  <si>
    <t>Vihaan P.</t>
  </si>
  <si>
    <t>vihaan.p394@example.com</t>
  </si>
  <si>
    <t>9000005129</t>
  </si>
  <si>
    <t>https://calendly.com/partner014/r1</t>
  </si>
  <si>
    <t>Diya E.</t>
  </si>
  <si>
    <t>diya.e121@example.com</t>
  </si>
  <si>
    <t>9000001580</t>
  </si>
  <si>
    <t>interviewer2@partner007.example.com</t>
  </si>
  <si>
    <t>Vihaan H.</t>
  </si>
  <si>
    <t>vihaan.h214@example.com</t>
  </si>
  <si>
    <t>9000002789</t>
  </si>
  <si>
    <t>interviewer1@partner025.example.com</t>
  </si>
  <si>
    <t>Dev G.</t>
  </si>
  <si>
    <t>dev.g192@example.com</t>
  </si>
  <si>
    <t>9000002503</t>
  </si>
  <si>
    <t>interviewer2@partner028.example.com</t>
  </si>
  <si>
    <t>Navya F.</t>
  </si>
  <si>
    <t>navya.f163@example.com</t>
  </si>
  <si>
    <t>9000002126</t>
  </si>
  <si>
    <t>https://calendly.com/partner028/r1</t>
  </si>
  <si>
    <t>Varun F.</t>
  </si>
  <si>
    <t>varun.f178@example.com</t>
  </si>
  <si>
    <t>9000002321</t>
  </si>
  <si>
    <t>interviewer2@partner049.example.com</t>
  </si>
  <si>
    <t>Rohan K.</t>
  </si>
  <si>
    <t>rohan.k280@example.com</t>
  </si>
  <si>
    <t>9000003647</t>
  </si>
  <si>
    <t>https://calendly.com/partner049/r1</t>
  </si>
  <si>
    <t>interviewer1@partner036.example.com</t>
  </si>
  <si>
    <t>Riya D.</t>
  </si>
  <si>
    <t>riya.d109@example.com</t>
  </si>
  <si>
    <t>9000001424</t>
  </si>
  <si>
    <t>https://calendly.com/partner036/r1</t>
  </si>
  <si>
    <t>interviewer1@partner037.example.com</t>
  </si>
  <si>
    <t>Tara H.</t>
  </si>
  <si>
    <t>tara.h225@example.com</t>
  </si>
  <si>
    <t>9000002932</t>
  </si>
  <si>
    <t>https://calendly.com/partner037/r1</t>
  </si>
  <si>
    <t>interviewer2@partner040.example.com</t>
  </si>
  <si>
    <t>Diya K.</t>
  </si>
  <si>
    <t>diya.k271@example.com</t>
  </si>
  <si>
    <t>9000003530</t>
  </si>
  <si>
    <t>interviewer0@partner005.example.com</t>
  </si>
  <si>
    <t>Varun B.</t>
  </si>
  <si>
    <t>varun.b058@example.com</t>
  </si>
  <si>
    <t>9000000761</t>
  </si>
  <si>
    <t>interviewer0@partner008.example.com</t>
  </si>
  <si>
    <t>Varun N.</t>
  </si>
  <si>
    <t>varun.n388@example.com</t>
  </si>
  <si>
    <t>9000005051</t>
  </si>
  <si>
    <t>Arjun C.</t>
  </si>
  <si>
    <t>arjun.c068@example.com</t>
  </si>
  <si>
    <t>9000000891</t>
  </si>
  <si>
    <t>Kavya E.</t>
  </si>
  <si>
    <t>kavya.e149@example.com</t>
  </si>
  <si>
    <t>9000001944</t>
  </si>
  <si>
    <t>interviewer2@partner048.example.com</t>
  </si>
  <si>
    <t>Karan M.</t>
  </si>
  <si>
    <t>karan.m350@example.com</t>
  </si>
  <si>
    <t>9000004557</t>
  </si>
  <si>
    <t>https://calendly.com/partner048/r1</t>
  </si>
  <si>
    <t>Vihaan B.</t>
  </si>
  <si>
    <t>vihaan.b034@example.com</t>
  </si>
  <si>
    <t>9000000449</t>
  </si>
  <si>
    <t>interviewer2@partner034.example.com</t>
  </si>
  <si>
    <t>Isha B.</t>
  </si>
  <si>
    <t>isha.b055@example.com</t>
  </si>
  <si>
    <t>9000000722</t>
  </si>
  <si>
    <t>https://calendly.com/partner034/r1</t>
  </si>
  <si>
    <t>Isha H.</t>
  </si>
  <si>
    <t>isha.h235@example.com</t>
  </si>
  <si>
    <t>9000003062</t>
  </si>
  <si>
    <t>Rohan H.</t>
  </si>
  <si>
    <t>rohan.h220@example.com</t>
  </si>
  <si>
    <t>9000002867</t>
  </si>
  <si>
    <t>interviewer0@partner015.example.com</t>
  </si>
  <si>
    <t>Ananya G.</t>
  </si>
  <si>
    <t>ananya.g183@example.com</t>
  </si>
  <si>
    <t>9000002386</t>
  </si>
  <si>
    <t>interviewer0@partner087.example.com</t>
  </si>
  <si>
    <t>Ananya J.</t>
  </si>
  <si>
    <t>ananya.j243@example.com</t>
  </si>
  <si>
    <t>9000003166</t>
  </si>
  <si>
    <t>https://calendly.com/partner087/r1</t>
  </si>
  <si>
    <t>Zoya D.</t>
  </si>
  <si>
    <t>zoya.d107@example.com</t>
  </si>
  <si>
    <t>9000001398</t>
  </si>
  <si>
    <t>interviewer1@partner001.example.com</t>
  </si>
  <si>
    <t>https://calendly.com/partner001/r1</t>
  </si>
  <si>
    <t>interviewer1@partner009.example.com</t>
  </si>
  <si>
    <t>Varun J.</t>
  </si>
  <si>
    <t>varun.j268@example.com</t>
  </si>
  <si>
    <t>9000003491</t>
  </si>
  <si>
    <t>https://calendly.com/partner009/r1</t>
  </si>
  <si>
    <t>Varun K.</t>
  </si>
  <si>
    <t>varun.k298@example.com</t>
  </si>
  <si>
    <t>9000003881</t>
  </si>
  <si>
    <t>Aditya N.</t>
  </si>
  <si>
    <t>aditya.n382@example.com</t>
  </si>
  <si>
    <t>9000004973</t>
  </si>
  <si>
    <t>Neil A.</t>
  </si>
  <si>
    <t>neil.a018@example.com</t>
  </si>
  <si>
    <t>9000000241</t>
  </si>
  <si>
    <t>Navya C.</t>
  </si>
  <si>
    <t>navya.c073@example.com</t>
  </si>
  <si>
    <t>9000000956</t>
  </si>
  <si>
    <t>Pooja E.</t>
  </si>
  <si>
    <t>pooja.e141@example.com</t>
  </si>
  <si>
    <t>9000001840</t>
  </si>
  <si>
    <t>interviewer1@partner010.example.com</t>
  </si>
  <si>
    <t>Neil J.</t>
  </si>
  <si>
    <t>neil.j258@example.com</t>
  </si>
  <si>
    <t>9000003361</t>
  </si>
  <si>
    <t>Neil D.</t>
  </si>
  <si>
    <t>neil.d108@example.com</t>
  </si>
  <si>
    <t>9000001411</t>
  </si>
  <si>
    <t>interviewer0@partner004.example.com</t>
  </si>
  <si>
    <t>Nisha F.</t>
  </si>
  <si>
    <t>nisha.f177@example.com</t>
  </si>
  <si>
    <t>9000002308</t>
  </si>
  <si>
    <t>Vihaan K.</t>
  </si>
  <si>
    <t>vihaan.k274@example.com</t>
  </si>
  <si>
    <t>9000003569</t>
  </si>
  <si>
    <t>Ishaan K.</t>
  </si>
  <si>
    <t>ishaan.k284@example.com</t>
  </si>
  <si>
    <t>9000003699</t>
  </si>
  <si>
    <t>Rohan F.</t>
  </si>
  <si>
    <t>rohan.f160@example.com</t>
  </si>
  <si>
    <t>9000002087</t>
  </si>
  <si>
    <t>interviewer2@partner033.example.com</t>
  </si>
  <si>
    <t>Kavya J.</t>
  </si>
  <si>
    <t>kavya.j269@example.com</t>
  </si>
  <si>
    <t>9000003504</t>
  </si>
  <si>
    <t>https://calendly.com/partner033/r1</t>
  </si>
  <si>
    <t>interviewer0@partner082.example.com</t>
  </si>
  <si>
    <t>Rahul M.</t>
  </si>
  <si>
    <t>rahul.m356@example.com</t>
  </si>
  <si>
    <t>9000004635</t>
  </si>
  <si>
    <t>https://calendly.com/partner082/r1</t>
  </si>
  <si>
    <t>Ira B.</t>
  </si>
  <si>
    <t>ira.b035@example.com</t>
  </si>
  <si>
    <t>9000000462</t>
  </si>
  <si>
    <t>Karan C.</t>
  </si>
  <si>
    <t>karan.c080@example.com</t>
  </si>
  <si>
    <t>9000001047</t>
  </si>
  <si>
    <t>interviewer0@partner045.example.com</t>
  </si>
  <si>
    <t>Ananya A.</t>
  </si>
  <si>
    <t>ananya.a003@example.com</t>
  </si>
  <si>
    <t>9000000046</t>
  </si>
  <si>
    <t>https://calendly.com/partner045/r1</t>
  </si>
  <si>
    <t>interviewer1@partner048.example.com</t>
  </si>
  <si>
    <t>Aditya G.</t>
  </si>
  <si>
    <t>aditya.g202@example.com</t>
  </si>
  <si>
    <t>9000002633</t>
  </si>
  <si>
    <t>Saanvi H.</t>
  </si>
  <si>
    <t>saanvi.h219@example.com</t>
  </si>
  <si>
    <t>9000002854</t>
  </si>
  <si>
    <t>Navya G.</t>
  </si>
  <si>
    <t>navya.g193@example.com</t>
  </si>
  <si>
    <t>9000002516</t>
  </si>
  <si>
    <t>Vihaan C.</t>
  </si>
  <si>
    <t>vihaan.c064@example.com</t>
  </si>
  <si>
    <t>9000000839</t>
  </si>
  <si>
    <t>Manav M.</t>
  </si>
  <si>
    <t>manav.m354@example.com</t>
  </si>
  <si>
    <t>9000004609</t>
  </si>
  <si>
    <t>interviewer0@partner020.example.com</t>
  </si>
  <si>
    <t>Diya P.</t>
  </si>
  <si>
    <t>diya.p391@example.com</t>
  </si>
  <si>
    <t>9000005090</t>
  </si>
  <si>
    <t>Rohan M.</t>
  </si>
  <si>
    <t>rohan.m340@example.com</t>
  </si>
  <si>
    <t>9000004427</t>
  </si>
  <si>
    <t>interviewer0@partner016.example.com</t>
  </si>
  <si>
    <t>Kabir G.</t>
  </si>
  <si>
    <t>kabir.g182@example.com</t>
  </si>
  <si>
    <t>9000002373</t>
  </si>
  <si>
    <t>interviewer1@partner061.example.com</t>
  </si>
  <si>
    <t>Aarav F.</t>
  </si>
  <si>
    <t>aarav.f150@example.com</t>
  </si>
  <si>
    <t>9000001957</t>
  </si>
  <si>
    <t>Kiara E.</t>
  </si>
  <si>
    <t>kiara.e131@example.com</t>
  </si>
  <si>
    <t>9000001710</t>
  </si>
  <si>
    <t>Kabir K.</t>
  </si>
  <si>
    <t>kabir.k272@example.com</t>
  </si>
  <si>
    <t>9000003543</t>
  </si>
  <si>
    <t>Nisha B.</t>
  </si>
  <si>
    <t>nisha.b057@example.com</t>
  </si>
  <si>
    <t>9000000748</t>
  </si>
  <si>
    <t>Diya F.</t>
  </si>
  <si>
    <t>diya.f151@example.com</t>
  </si>
  <si>
    <t>9000001970</t>
  </si>
  <si>
    <t>https://calendly.com/partner005/r2</t>
  </si>
  <si>
    <t>Round2</t>
  </si>
  <si>
    <t>Navya D.</t>
  </si>
  <si>
    <t>navya.d103@example.com</t>
  </si>
  <si>
    <t>9000001346</t>
  </si>
  <si>
    <t>interviewer0@partner006.example.com</t>
  </si>
  <si>
    <t>Dev K.</t>
  </si>
  <si>
    <t>dev.k282@example.com</t>
  </si>
  <si>
    <t>9000003673</t>
  </si>
  <si>
    <t>Manav E.</t>
  </si>
  <si>
    <t>manav.e144@example.com</t>
  </si>
  <si>
    <t>9000001879</t>
  </si>
  <si>
    <t>interviewer0@partner001.example.com</t>
  </si>
  <si>
    <t>Arjun F.</t>
  </si>
  <si>
    <t>arjun.f158@example.com</t>
  </si>
  <si>
    <t>9000002061</t>
  </si>
  <si>
    <t>interviewer2@partner005.example.com</t>
  </si>
  <si>
    <t>Reyansh F.</t>
  </si>
  <si>
    <t>reyansh.f156@example.com</t>
  </si>
  <si>
    <t>9000002035</t>
  </si>
  <si>
    <t>Diya J.</t>
  </si>
  <si>
    <t>diya.j241@example.com</t>
  </si>
  <si>
    <t>9000003140</t>
  </si>
  <si>
    <t>Riya B.</t>
  </si>
  <si>
    <t>riya.b049@example.com</t>
  </si>
  <si>
    <t>9000000644</t>
  </si>
  <si>
    <t>Arjun N.</t>
  </si>
  <si>
    <t>arjun.n368@example.com</t>
  </si>
  <si>
    <t>9000004791</t>
  </si>
  <si>
    <t>Nisha M.</t>
  </si>
  <si>
    <t>nisha.m357@example.com</t>
  </si>
  <si>
    <t>9000004648</t>
  </si>
  <si>
    <t>Manav D.</t>
  </si>
  <si>
    <t>manav.d114@example.com</t>
  </si>
  <si>
    <t>9000001489</t>
  </si>
  <si>
    <t>Isha K.</t>
  </si>
  <si>
    <t>isha.k295@example.com</t>
  </si>
  <si>
    <t>9000003842</t>
  </si>
  <si>
    <t>Manav C.</t>
  </si>
  <si>
    <t>manav.c084@example.com</t>
  </si>
  <si>
    <t>9000001099</t>
  </si>
  <si>
    <t>interviewer2@partner085.example.com</t>
  </si>
  <si>
    <t>https://calendly.com/partner085/r1</t>
  </si>
  <si>
    <t>Navya K.</t>
  </si>
  <si>
    <t>navya.k283@example.com</t>
  </si>
  <si>
    <t>9000003686</t>
  </si>
  <si>
    <t>interviewer2@partner078.example.com</t>
  </si>
  <si>
    <t>Rahul F.</t>
  </si>
  <si>
    <t>rahul.f176@example.com</t>
  </si>
  <si>
    <t>9000002295</t>
  </si>
  <si>
    <t>https://calendly.com/partner078/r1</t>
  </si>
  <si>
    <t>interviewer2@partner003.example.com</t>
  </si>
  <si>
    <t>Karan J.</t>
  </si>
  <si>
    <t>karan.j260@example.com</t>
  </si>
  <si>
    <t>9000003387</t>
  </si>
  <si>
    <t>interviewer2@partner018.example.com</t>
  </si>
  <si>
    <t>Kabir N.</t>
  </si>
  <si>
    <t>kabir.n362@example.com</t>
  </si>
  <si>
    <t>9000004713</t>
  </si>
  <si>
    <t>https://calendly.com/partner018/r1</t>
  </si>
  <si>
    <t>Neil G.</t>
  </si>
  <si>
    <t>neil.g198@example.com</t>
  </si>
  <si>
    <t>9000002581</t>
  </si>
  <si>
    <t>Rahul J.</t>
  </si>
  <si>
    <t>rahul.j266@example.com</t>
  </si>
  <si>
    <t>9000003465</t>
  </si>
  <si>
    <t>Tara K.</t>
  </si>
  <si>
    <t>tara.k285example.com</t>
  </si>
  <si>
    <t>9000003712</t>
  </si>
  <si>
    <t>Riya C.</t>
  </si>
  <si>
    <t>riya.c079@example.com</t>
  </si>
  <si>
    <t>9000001034</t>
  </si>
  <si>
    <t>interviewer0@partner009.example.com</t>
  </si>
  <si>
    <t>Aarav G.</t>
  </si>
  <si>
    <t>aarav.g180@example.com</t>
  </si>
  <si>
    <t>9000002347</t>
  </si>
  <si>
    <t>interviewer0@partner052.example.com</t>
  </si>
  <si>
    <t>Karan L.</t>
  </si>
  <si>
    <t>karan.l320@example.com</t>
  </si>
  <si>
    <t>9000004167</t>
  </si>
  <si>
    <t>https://calendly.com/partner052/r1</t>
  </si>
  <si>
    <t>interviewer2@partner071.example.com</t>
  </si>
  <si>
    <t>Nisha H.</t>
  </si>
  <si>
    <t>nisha.h237@example.com</t>
  </si>
  <si>
    <t>9000003088</t>
  </si>
  <si>
    <t>https://calendly.com/partner071/r1</t>
  </si>
  <si>
    <t>interviewer2@partner001.example.com</t>
  </si>
  <si>
    <t>Aditya L.</t>
  </si>
  <si>
    <t>aditya.l322@example.com</t>
  </si>
  <si>
    <t>9000004193</t>
  </si>
  <si>
    <t>Varun M.</t>
  </si>
  <si>
    <t>varun.m358@example.com</t>
  </si>
  <si>
    <t>9000004661</t>
  </si>
  <si>
    <t>Zoya P.</t>
  </si>
  <si>
    <t>zoya.p407@example.com</t>
  </si>
  <si>
    <t>9000005298</t>
  </si>
  <si>
    <t>Tara A.</t>
  </si>
  <si>
    <t>tara.a015@example.com</t>
  </si>
  <si>
    <t>9000000202</t>
  </si>
  <si>
    <t>Kiara L.</t>
  </si>
  <si>
    <t>kiara.l311@example.com</t>
  </si>
  <si>
    <t>9000004050</t>
  </si>
  <si>
    <t>Aarav L.</t>
  </si>
  <si>
    <t>aarav.l300@example.com</t>
  </si>
  <si>
    <t>9000003907</t>
  </si>
  <si>
    <t>Tara B.</t>
  </si>
  <si>
    <t>tara.b045@example.com</t>
  </si>
  <si>
    <t>9000000592</t>
  </si>
  <si>
    <t>Navya P.</t>
  </si>
  <si>
    <t>navya.p403@example.com</t>
  </si>
  <si>
    <t>9000005246</t>
  </si>
  <si>
    <t>Diya R.</t>
  </si>
  <si>
    <t>diya.r421@example.com</t>
  </si>
  <si>
    <t>9000005480</t>
  </si>
  <si>
    <t>Kiara P.</t>
  </si>
  <si>
    <t>kiara.p401@example.com</t>
  </si>
  <si>
    <t>9000005220</t>
  </si>
  <si>
    <t>Meera B.</t>
  </si>
  <si>
    <t>meera.b037@example.com</t>
  </si>
  <si>
    <t>9000000488</t>
  </si>
  <si>
    <t>interviewer2@partner068.example.com</t>
  </si>
  <si>
    <t>Dev P.</t>
  </si>
  <si>
    <t>dev.p402@example.com</t>
  </si>
  <si>
    <t>9000005233</t>
  </si>
  <si>
    <t>https://calendly.com/partner068/r1</t>
  </si>
  <si>
    <t>interviewer1@partner049.example.com</t>
  </si>
  <si>
    <t>Reyansh C.</t>
  </si>
  <si>
    <t>reyansh.c066@example.com</t>
  </si>
  <si>
    <t>9000000865</t>
  </si>
  <si>
    <t>Vihaan L.</t>
  </si>
  <si>
    <t>vihaan.l304@example.com</t>
  </si>
  <si>
    <t>9000003959</t>
  </si>
  <si>
    <t>Varun H.</t>
  </si>
  <si>
    <t>varun.h238@example.com</t>
  </si>
  <si>
    <t>9000003101</t>
  </si>
  <si>
    <t>interviewer1@partner059.example.com</t>
  </si>
  <si>
    <t>https://calendly.com/partner059/r1</t>
  </si>
  <si>
    <t>interviewer1@partner044.example.com</t>
  </si>
  <si>
    <t>Kavya F.</t>
  </si>
  <si>
    <t>kavya.f179@example.com</t>
  </si>
  <si>
    <t>9000002334</t>
  </si>
  <si>
    <t>https://calendly.com/partner044/r1</t>
  </si>
  <si>
    <t>Isha G.</t>
  </si>
  <si>
    <t>isha.g205@example.com</t>
  </si>
  <si>
    <t>9000002672</t>
  </si>
  <si>
    <t>Ishaan D.</t>
  </si>
  <si>
    <t>ishaan.d104@example.com</t>
  </si>
  <si>
    <t>9000001359</t>
  </si>
  <si>
    <t>Ira G.</t>
  </si>
  <si>
    <t>ira.g185@example.com</t>
  </si>
  <si>
    <t>9000002412</t>
  </si>
  <si>
    <t>Reyansh L.</t>
  </si>
  <si>
    <t>reyansh.l306@example.com</t>
  </si>
  <si>
    <t>9000003985</t>
  </si>
  <si>
    <t>Reyansh N.</t>
  </si>
  <si>
    <t>reyansh.n366@example.com</t>
  </si>
  <si>
    <t>9000004765</t>
  </si>
  <si>
    <t>Reyansh G.</t>
  </si>
  <si>
    <t>reyansh.g186@example.com</t>
  </si>
  <si>
    <t>9000002425</t>
  </si>
  <si>
    <t>interviewer2@partner021.example.com</t>
  </si>
  <si>
    <t>Kavya B.</t>
  </si>
  <si>
    <t>kavya.b059@example.com</t>
  </si>
  <si>
    <t>9000000774</t>
  </si>
  <si>
    <t>https://calendly.com/partner021/r1</t>
  </si>
  <si>
    <t>interviewer1@partner099.example.com</t>
  </si>
  <si>
    <t>Diya H.</t>
  </si>
  <si>
    <t>diya.h211@example.com</t>
  </si>
  <si>
    <t>9000002750</t>
  </si>
  <si>
    <t>https://calendly.com/partner099/r1</t>
  </si>
  <si>
    <t>Manav H.</t>
  </si>
  <si>
    <t>manav.h234@example.com</t>
  </si>
  <si>
    <t>9000003049</t>
  </si>
  <si>
    <t>Varun D.</t>
  </si>
  <si>
    <t>varun.d118@example.com</t>
  </si>
  <si>
    <t>9000001541</t>
  </si>
  <si>
    <t>Navya N.</t>
  </si>
  <si>
    <t>navya.n373@example.com</t>
  </si>
  <si>
    <t>9000004856</t>
  </si>
  <si>
    <t>Kabir M.</t>
  </si>
  <si>
    <t>kabir.m332@example.com</t>
  </si>
  <si>
    <t>9000004323</t>
  </si>
  <si>
    <t>interviewer0@partner073.example.com</t>
  </si>
  <si>
    <t>Arjun P.</t>
  </si>
  <si>
    <t>arjun.p398@example.com</t>
  </si>
  <si>
    <t>9000005181</t>
  </si>
  <si>
    <t>https://calendly.com/partner073/r1</t>
  </si>
  <si>
    <t>interviewer0@partner058.example.com</t>
  </si>
  <si>
    <t>Ira J.</t>
  </si>
  <si>
    <t>ira.j245@example.com</t>
  </si>
  <si>
    <t>9000003192</t>
  </si>
  <si>
    <t>https://calendly.com/partner058/r1</t>
  </si>
  <si>
    <t>interviewer1@partner060.example.com</t>
  </si>
  <si>
    <t>Rohan G.</t>
  </si>
  <si>
    <t>rohan.g190@example.com</t>
  </si>
  <si>
    <t>9000002477</t>
  </si>
  <si>
    <t>https://calendly.com/partner060/r3</t>
  </si>
  <si>
    <t>Meera J.</t>
  </si>
  <si>
    <t>meera.j247@example.com</t>
  </si>
  <si>
    <t>9000003218</t>
  </si>
  <si>
    <t>Isha E.</t>
  </si>
  <si>
    <t>isha.e145@example.com</t>
  </si>
  <si>
    <t>9000001892</t>
  </si>
  <si>
    <t>Karan A.</t>
  </si>
  <si>
    <t>karan.a020@example.com</t>
  </si>
  <si>
    <t>9000000267</t>
  </si>
  <si>
    <t>Isha N.</t>
  </si>
  <si>
    <t>isha.n385@example.com</t>
  </si>
  <si>
    <t>9000005012</t>
  </si>
  <si>
    <t>Neil N.</t>
  </si>
  <si>
    <t>neil.n378@example.com</t>
  </si>
  <si>
    <t>9000004921</t>
  </si>
  <si>
    <t>Kavya K.</t>
  </si>
  <si>
    <t>kavya.k299@example.com</t>
  </si>
  <si>
    <t>9000003894</t>
  </si>
  <si>
    <t>interviewer2@partner029.example.com</t>
  </si>
  <si>
    <t>Manav J.</t>
  </si>
  <si>
    <t>manav.j264@example.com</t>
  </si>
  <si>
    <t>9000003439</t>
  </si>
  <si>
    <t>https://calendly.com/partner029/r1</t>
  </si>
  <si>
    <t>interviewer2@partner013.example.com</t>
  </si>
  <si>
    <t>Navya E.</t>
  </si>
  <si>
    <t>navya.e133@example.com</t>
  </si>
  <si>
    <t>9000001736</t>
  </si>
  <si>
    <t>interviewer1@partner027.example.com</t>
  </si>
  <si>
    <t>Yash K.</t>
  </si>
  <si>
    <t>yash.k286@example.com</t>
  </si>
  <si>
    <t>9000003725</t>
  </si>
  <si>
    <t>Kavya L.</t>
  </si>
  <si>
    <t>kavya.l329@example.com</t>
  </si>
  <si>
    <t>9000004284</t>
  </si>
  <si>
    <t>interviewer2@partner009.example.com</t>
  </si>
  <si>
    <t>Kiara N.</t>
  </si>
  <si>
    <t>kiara.n371@example.com</t>
  </si>
  <si>
    <t>9000004830</t>
  </si>
  <si>
    <t>Ishaan M.</t>
  </si>
  <si>
    <t>ishaan.m344@example.com</t>
  </si>
  <si>
    <t>9000004479</t>
  </si>
  <si>
    <t>Manav G.</t>
  </si>
  <si>
    <t>manav.g204@example.com</t>
  </si>
  <si>
    <t>9000002659</t>
  </si>
  <si>
    <t>Dev H.</t>
  </si>
  <si>
    <t>dev.h222@example.com</t>
  </si>
  <si>
    <t>9000002893</t>
  </si>
  <si>
    <t>interviewer2@partner017.example.com</t>
  </si>
  <si>
    <t>Reyansh D.</t>
  </si>
  <si>
    <t>reyansh.d096@example.com</t>
  </si>
  <si>
    <t>9000001255</t>
  </si>
  <si>
    <t>interviewer2@partner019.example.com</t>
  </si>
  <si>
    <t>Aditya K.</t>
  </si>
  <si>
    <t>aditya.k292@example.com</t>
  </si>
  <si>
    <t>9000003803</t>
  </si>
  <si>
    <t>https://calendly.com/partner019/r1</t>
  </si>
  <si>
    <t>interviewer0@partner035.example.com</t>
  </si>
  <si>
    <t>Meera K.</t>
  </si>
  <si>
    <t>meera.k277@example.com</t>
  </si>
  <si>
    <t>9000003608</t>
  </si>
  <si>
    <t>https://calendly.com/partner035/r1</t>
  </si>
  <si>
    <t>interviewer0@partner039.example.com</t>
  </si>
  <si>
    <t>Aarav P.</t>
  </si>
  <si>
    <t>aarav.p390@example.com</t>
  </si>
  <si>
    <t>9000005077</t>
  </si>
  <si>
    <t>interviewer2@partner002.example.com</t>
  </si>
  <si>
    <t>Saanvi P.</t>
  </si>
  <si>
    <t>saanvi.p399@example.com</t>
  </si>
  <si>
    <t>9000005194</t>
  </si>
  <si>
    <t>interviewer0@partner022.example.com</t>
  </si>
  <si>
    <t>Kiara D.</t>
  </si>
  <si>
    <t>kiara.d101@example.com</t>
  </si>
  <si>
    <t>9000001320</t>
  </si>
  <si>
    <t>Meera P.</t>
  </si>
  <si>
    <t>meera.p397@example.com</t>
  </si>
  <si>
    <t>9000005168</t>
  </si>
  <si>
    <t>interviewer0@partner072.example.com</t>
  </si>
  <si>
    <t>https://calendly.com/partner072/r1</t>
  </si>
  <si>
    <t>Dev D.</t>
  </si>
  <si>
    <t>dev.d102@example.com</t>
  </si>
  <si>
    <t>9000001333</t>
  </si>
  <si>
    <t>interviewer2@partner015.example.com</t>
  </si>
  <si>
    <t>Kiara A.</t>
  </si>
  <si>
    <t>kiara.a011@example.com</t>
  </si>
  <si>
    <t>9000000150</t>
  </si>
  <si>
    <t>interviewer1@partner014.example.com</t>
  </si>
  <si>
    <t>Reyansh J.</t>
  </si>
  <si>
    <t>reyansh.j246@example.com</t>
  </si>
  <si>
    <t>9000003205</t>
  </si>
  <si>
    <t>Dev M.</t>
  </si>
  <si>
    <t>dev.m342@example.com</t>
  </si>
  <si>
    <t>9000004453</t>
  </si>
  <si>
    <t>Ananya F.</t>
  </si>
  <si>
    <t>ananya.f153@example.com</t>
  </si>
  <si>
    <t>9000001996</t>
  </si>
  <si>
    <t>Ira R.</t>
  </si>
  <si>
    <t>ira.r425@example.com</t>
  </si>
  <si>
    <t>9000005532</t>
  </si>
  <si>
    <t>Zoya N.</t>
  </si>
  <si>
    <t>zoya.n377@example.com</t>
  </si>
  <si>
    <t>9000004908</t>
  </si>
  <si>
    <t>Saanvi F.</t>
  </si>
  <si>
    <t>saanvi.f159@example.com</t>
  </si>
  <si>
    <t>9000002074</t>
  </si>
  <si>
    <t>Neil H.</t>
  </si>
  <si>
    <t>neil.h228@example.com</t>
  </si>
  <si>
    <t>9000002971</t>
  </si>
  <si>
    <t>Saanvi A.</t>
  </si>
  <si>
    <t>saanvi.a009@example.com</t>
  </si>
  <si>
    <t>9000000124</t>
  </si>
  <si>
    <t>interviewer2@partner038.example.com</t>
  </si>
  <si>
    <t>Pooja D.</t>
  </si>
  <si>
    <t>pooja.d111@example.com</t>
  </si>
  <si>
    <t>9000001450</t>
  </si>
  <si>
    <t>https://calendly.com/partner038/r1</t>
  </si>
  <si>
    <t>Arjun A.</t>
  </si>
  <si>
    <t>arjun.a008@example.com</t>
  </si>
  <si>
    <t>9000000111</t>
  </si>
  <si>
    <t>interviewer1@partner019.example.com</t>
  </si>
  <si>
    <t>Neil L.</t>
  </si>
  <si>
    <t>neil.l318@example.com</t>
  </si>
  <si>
    <t>9000004141</t>
  </si>
  <si>
    <t>Kavya M.</t>
  </si>
  <si>
    <t>kavya.m359@example.com</t>
  </si>
  <si>
    <t>9000004674</t>
  </si>
  <si>
    <t>Zoya J.</t>
  </si>
  <si>
    <t>zoya.j257@example.com</t>
  </si>
  <si>
    <t>9000003348</t>
  </si>
  <si>
    <t>Ananya R.</t>
  </si>
  <si>
    <t>ananya.r423@example.com</t>
  </si>
  <si>
    <t>9000005506</t>
  </si>
  <si>
    <t>interviewer0@partner012.example.com</t>
  </si>
  <si>
    <t>Saanvi J.</t>
  </si>
  <si>
    <t>saanvi.j249@example.com</t>
  </si>
  <si>
    <t>9000003244</t>
  </si>
  <si>
    <t>https://calendly.com/partner012/r1</t>
  </si>
  <si>
    <t>Yash M.</t>
  </si>
  <si>
    <t>yash.m346@example.com</t>
  </si>
  <si>
    <t>9000004505</t>
  </si>
  <si>
    <t>Riya L.</t>
  </si>
  <si>
    <t>riya.l319@example.com</t>
  </si>
  <si>
    <t>9000004154</t>
  </si>
  <si>
    <t>interviewer2@partner094.example.com</t>
  </si>
  <si>
    <t>Yash P.</t>
  </si>
  <si>
    <t>yash.p406@example.com</t>
  </si>
  <si>
    <t>9000005285</t>
  </si>
  <si>
    <t>https://calendly.com/partner094/r1</t>
  </si>
  <si>
    <t>Kavya H.</t>
  </si>
  <si>
    <t>kavya.h239@example.com</t>
  </si>
  <si>
    <t>9000003114</t>
  </si>
  <si>
    <t>Yash C.</t>
  </si>
  <si>
    <t>yash.c076@example.com</t>
  </si>
  <si>
    <t>9000000995</t>
  </si>
  <si>
    <t>Isha F.</t>
  </si>
  <si>
    <t>isha.f175@example.com</t>
  </si>
  <si>
    <t>9000002282</t>
  </si>
  <si>
    <t>interviewer0@partner066.example.com</t>
  </si>
  <si>
    <t>https://calendly.com/partner066/r1</t>
  </si>
  <si>
    <t>Tara G.</t>
  </si>
  <si>
    <t>tara.g195@example.com</t>
  </si>
  <si>
    <t>9000002542</t>
  </si>
  <si>
    <t>Diya C.</t>
  </si>
  <si>
    <t>diya.c061example.com</t>
  </si>
  <si>
    <t>9000000800</t>
  </si>
  <si>
    <t>https://calendly.com/partner032/r2</t>
  </si>
  <si>
    <t>interviewer0@partner029.example.com</t>
  </si>
  <si>
    <t>Navya A.</t>
  </si>
  <si>
    <t>navya.a013@example.com</t>
  </si>
  <si>
    <t>9000000176</t>
  </si>
  <si>
    <t>interviewer1@partner076.example.com</t>
  </si>
  <si>
    <t>Tara J.</t>
  </si>
  <si>
    <t>tara.j255@example.com</t>
  </si>
  <si>
    <t>9000003322</t>
  </si>
  <si>
    <t>https://calendly.com/partner076/r1</t>
  </si>
  <si>
    <t>interviewer0@partner044.example.com</t>
  </si>
  <si>
    <t>Rohan B.</t>
  </si>
  <si>
    <t>rohan.b040@example.com</t>
  </si>
  <si>
    <t>9000000527</t>
  </si>
  <si>
    <t>interviewer0@partner078.example.com</t>
  </si>
  <si>
    <t>Pooja A.</t>
  </si>
  <si>
    <t>pooja.a021@example.com</t>
  </si>
  <si>
    <t>9000000280</t>
  </si>
  <si>
    <t>Ananya B.</t>
  </si>
  <si>
    <t>ananya.b033@example.com</t>
  </si>
  <si>
    <t>9000000436</t>
  </si>
  <si>
    <t>Yash F.</t>
  </si>
  <si>
    <t>yash.f166@example.com</t>
  </si>
  <si>
    <t>9000002165</t>
  </si>
  <si>
    <t>Ananya E.</t>
  </si>
  <si>
    <t>ananya.e123@example.com</t>
  </si>
  <si>
    <t>9000001606</t>
  </si>
  <si>
    <t>Neil C.</t>
  </si>
  <si>
    <t>neil.c078@example.com</t>
  </si>
  <si>
    <t>9000001021</t>
  </si>
  <si>
    <t>Ira E.</t>
  </si>
  <si>
    <t>ira.e125@example.com</t>
  </si>
  <si>
    <t>9000001632</t>
  </si>
  <si>
    <t>Riya H.</t>
  </si>
  <si>
    <t>riya.h229@example.com</t>
  </si>
  <si>
    <t>9000002984</t>
  </si>
  <si>
    <t>Riya N.</t>
  </si>
  <si>
    <t>riya.n379@example.com</t>
  </si>
  <si>
    <t>9000004934</t>
  </si>
  <si>
    <t>Meera G.</t>
  </si>
  <si>
    <t>meera.g187@example.com</t>
  </si>
  <si>
    <t>9000002438</t>
  </si>
  <si>
    <t>Zoya H.</t>
  </si>
  <si>
    <t>zoya.h227@example.com</t>
  </si>
  <si>
    <t>9000002958</t>
  </si>
  <si>
    <t>https://calendly.com/partner000/r3</t>
  </si>
  <si>
    <t>interviewer0@partner069.example.com</t>
  </si>
  <si>
    <t>Nisha C.</t>
  </si>
  <si>
    <t>nisha.c087@example.com</t>
  </si>
  <si>
    <t>9000001138</t>
  </si>
  <si>
    <t>https://calendly.com/partner069/r1</t>
  </si>
  <si>
    <t>Rohan L.</t>
  </si>
  <si>
    <t>rohan.l310@example.com</t>
  </si>
  <si>
    <t>9000004037</t>
  </si>
  <si>
    <t>interviewer0@partner017.example.com</t>
  </si>
  <si>
    <t>Yash J.</t>
  </si>
  <si>
    <t>yash.j256@example.com</t>
  </si>
  <si>
    <t>9000003335</t>
  </si>
  <si>
    <t>Kabir E.</t>
  </si>
  <si>
    <t>kabir.e122@example.com</t>
  </si>
  <si>
    <t>9000001593</t>
  </si>
  <si>
    <t>Diya A.</t>
  </si>
  <si>
    <t>diya.a001@example.com</t>
  </si>
  <si>
    <t>9000000020</t>
  </si>
  <si>
    <t>interviewer0@partner028.example.com</t>
  </si>
  <si>
    <t>Ishaan J.</t>
  </si>
  <si>
    <t>ishaan.j254@example.com</t>
  </si>
  <si>
    <t>9000003309</t>
  </si>
  <si>
    <t>interviewer0@partner007.example.com</t>
  </si>
  <si>
    <t>Ishaan N.</t>
  </si>
  <si>
    <t>ishaan.n374@example.com</t>
  </si>
  <si>
    <t>9000004869</t>
  </si>
  <si>
    <t>https://calendly.com/partner007/r2</t>
  </si>
  <si>
    <t>Diya B.</t>
  </si>
  <si>
    <t>diya.b031@example.com</t>
  </si>
  <si>
    <t>9000000410</t>
  </si>
  <si>
    <t>Kabir J.</t>
  </si>
  <si>
    <t>kabir.j242@example.com</t>
  </si>
  <si>
    <t>9000003153</t>
  </si>
  <si>
    <t>Nisha E.</t>
  </si>
  <si>
    <t>nisha.e147@example.com</t>
  </si>
  <si>
    <t>9000001918</t>
  </si>
  <si>
    <t>interviewer2@partner064.example.com</t>
  </si>
  <si>
    <t>Vihaan E.</t>
  </si>
  <si>
    <t>vihaan.e124@example.com</t>
  </si>
  <si>
    <t>9000001619</t>
  </si>
  <si>
    <t>https://calendly.com/partner064/r1</t>
  </si>
  <si>
    <t>Navya L.</t>
  </si>
  <si>
    <t>navya.l313@example.com</t>
  </si>
  <si>
    <t>9000004076</t>
  </si>
  <si>
    <t>Aarav K.</t>
  </si>
  <si>
    <t>aarav.k270@example.com</t>
  </si>
  <si>
    <t>9000003517</t>
  </si>
  <si>
    <t>Ira L.</t>
  </si>
  <si>
    <t>ira.l305@example.com</t>
  </si>
  <si>
    <t>9000003972</t>
  </si>
  <si>
    <t>Diya M.</t>
  </si>
  <si>
    <t>diya.m331@example.com</t>
  </si>
  <si>
    <t>9000004310</t>
  </si>
  <si>
    <t>interviewer2@partner023.example.com</t>
  </si>
  <si>
    <t>Saanvi D.</t>
  </si>
  <si>
    <t>saanvi.d099@example.com</t>
  </si>
  <si>
    <t>9000001294</t>
  </si>
  <si>
    <t>https://calendly.com/partner023/r1</t>
  </si>
  <si>
    <t>Ira A.</t>
  </si>
  <si>
    <t>ira.a005@example.com</t>
  </si>
  <si>
    <t>9000000072</t>
  </si>
  <si>
    <t>interviewer1@partner029.example.com</t>
  </si>
  <si>
    <t>Kabir H.</t>
  </si>
  <si>
    <t>kabir.h212@example.com</t>
  </si>
  <si>
    <t>9000002763</t>
  </si>
  <si>
    <t>Neil P.</t>
  </si>
  <si>
    <t>neil.p408@example.com</t>
  </si>
  <si>
    <t>9000005311</t>
  </si>
  <si>
    <t>Sneha N.</t>
  </si>
  <si>
    <t>sneha.n383@example.com</t>
  </si>
  <si>
    <t>9000004986</t>
  </si>
  <si>
    <t>Zoya B.</t>
  </si>
  <si>
    <t>zoya.b047@example.com</t>
  </si>
  <si>
    <t>9000000618</t>
  </si>
  <si>
    <t>https://calendly.com/partner000/r2</t>
  </si>
  <si>
    <t>Ananya L.</t>
  </si>
  <si>
    <t>ananya.l303@example.com</t>
  </si>
  <si>
    <t>9000003946</t>
  </si>
  <si>
    <t>interviewer2@partner063.example.com</t>
  </si>
  <si>
    <t>Kabir A.</t>
  </si>
  <si>
    <t>kabir.a002@example.com</t>
  </si>
  <si>
    <t>9000000033</t>
  </si>
  <si>
    <t>https://calendly.com/partner063/r1</t>
  </si>
  <si>
    <t>interviewer1@partner011.example.com</t>
  </si>
  <si>
    <t>Kiara J.</t>
  </si>
  <si>
    <t>kiara.j251@example.com</t>
  </si>
  <si>
    <t>9000003270</t>
  </si>
  <si>
    <t>interviewer0@partner086.example.com</t>
  </si>
  <si>
    <t>Varun C.</t>
  </si>
  <si>
    <t>varun.c088@example.com</t>
  </si>
  <si>
    <t>9000001151</t>
  </si>
  <si>
    <t>https://calendly.com/partner086/r1</t>
  </si>
  <si>
    <t>Meera D.</t>
  </si>
  <si>
    <t>meera.d097@example.com</t>
  </si>
  <si>
    <t>9000001268</t>
  </si>
  <si>
    <t>Yash B.</t>
  </si>
  <si>
    <t>yash.b046@example.com</t>
  </si>
  <si>
    <t>900000060</t>
  </si>
  <si>
    <t>interviewer0@partner055.example.com</t>
  </si>
  <si>
    <t>Ishaan P.</t>
  </si>
  <si>
    <t>ishaan.p404@example.com</t>
  </si>
  <si>
    <t>9000005259</t>
  </si>
  <si>
    <t>https://calendly.com/partner055/r1</t>
  </si>
  <si>
    <t>interviewer1@partner021.example.com</t>
  </si>
  <si>
    <t>Navya J.</t>
  </si>
  <si>
    <t>navya.j253@example.com</t>
  </si>
  <si>
    <t>9000003296</t>
  </si>
  <si>
    <t>interviewer2@partner036.example.com</t>
  </si>
  <si>
    <t>Arjun D.</t>
  </si>
  <si>
    <t>arjun.d098@example.com</t>
  </si>
  <si>
    <t>9000001281</t>
  </si>
  <si>
    <t>Sneha D.</t>
  </si>
  <si>
    <t>sneha.d113@example.com</t>
  </si>
  <si>
    <t>9000001476</t>
  </si>
  <si>
    <t>interviewer2@partner042.example.com</t>
  </si>
  <si>
    <t>Ira C.</t>
  </si>
  <si>
    <t>ira.c065@example.com</t>
  </si>
  <si>
    <t>9000000852</t>
  </si>
  <si>
    <t>https://calendly.com/partner042/r1</t>
  </si>
  <si>
    <t>interviewer0@partner021.example.com</t>
  </si>
  <si>
    <t>Ananya M.</t>
  </si>
  <si>
    <t>ananya.m333@example.com</t>
  </si>
  <si>
    <t>9000004336</t>
  </si>
  <si>
    <t>Reyansh H.</t>
  </si>
  <si>
    <t>reyansh.h216@example.com</t>
  </si>
  <si>
    <t>9000002815</t>
  </si>
  <si>
    <t>Sneha F.</t>
  </si>
  <si>
    <t>sneha.f173@example.com</t>
  </si>
  <si>
    <t>9000002256</t>
  </si>
  <si>
    <t>Nisha L.</t>
  </si>
  <si>
    <t>nisha.l327@example.com</t>
  </si>
  <si>
    <t>9000004258</t>
  </si>
  <si>
    <t>interviewer2@partner032.example.com</t>
  </si>
  <si>
    <t>Dev B.</t>
  </si>
  <si>
    <t>dev.b042@example.com</t>
  </si>
  <si>
    <t>9000000553</t>
  </si>
  <si>
    <t>Aditya D.</t>
  </si>
  <si>
    <t>aditya.d112@example.com</t>
  </si>
  <si>
    <t>9000001463</t>
  </si>
  <si>
    <t>Saanvi C.</t>
  </si>
  <si>
    <t>saanvi.c069@example.com</t>
  </si>
  <si>
    <t>9000000904</t>
  </si>
  <si>
    <t>Saanvi E.</t>
  </si>
  <si>
    <t>saanvi.e129@example.com</t>
  </si>
  <si>
    <t>9000001684</t>
  </si>
  <si>
    <t>Riya E.</t>
  </si>
  <si>
    <t>riya.e139@example.com</t>
  </si>
  <si>
    <t>9000001814</t>
  </si>
  <si>
    <t>Aarav A.</t>
  </si>
  <si>
    <t>aarav.a000@example.com</t>
  </si>
  <si>
    <t>9000000007</t>
  </si>
  <si>
    <t>Rohan P.</t>
  </si>
  <si>
    <t>rohan.p400@example.com</t>
  </si>
  <si>
    <t>9000005207</t>
  </si>
  <si>
    <t>Aarav J.</t>
  </si>
  <si>
    <t>aarav.j240@example.com</t>
  </si>
  <si>
    <t>9000003127</t>
  </si>
  <si>
    <t>interviewer1@partner067.example.com</t>
  </si>
  <si>
    <t>Aarav M.</t>
  </si>
  <si>
    <t>aarav.m330@example.com</t>
  </si>
  <si>
    <t>9000004297</t>
  </si>
  <si>
    <t>https://calendly.com/partner067/r1</t>
  </si>
  <si>
    <t>Reyansh M.</t>
  </si>
  <si>
    <t>reyansh.m336@example.com</t>
  </si>
  <si>
    <t>9000004375</t>
  </si>
  <si>
    <t>Vihaan F.</t>
  </si>
  <si>
    <t>vihaan.f154@example.com</t>
  </si>
  <si>
    <t>9000002009</t>
  </si>
  <si>
    <t>Zoya L.</t>
  </si>
  <si>
    <t>zoya.l317@example.com</t>
  </si>
  <si>
    <t>9000004128</t>
  </si>
  <si>
    <t>Rohan A.</t>
  </si>
  <si>
    <t>rohan.a010@example.com</t>
  </si>
  <si>
    <t>9000000137</t>
  </si>
  <si>
    <t>Isha L.</t>
  </si>
  <si>
    <t>isha.l325@example.com</t>
  </si>
  <si>
    <t>9000004232</t>
  </si>
  <si>
    <t>https://calendly.com/partner001/r2</t>
  </si>
  <si>
    <t>Ishaan H.</t>
  </si>
  <si>
    <t>ishaan.h224@example.com</t>
  </si>
  <si>
    <t>9000002919</t>
  </si>
  <si>
    <t>Karan B.</t>
  </si>
  <si>
    <t>karan.b050@example.com</t>
  </si>
  <si>
    <t>9000000657</t>
  </si>
  <si>
    <t>Pooja M.</t>
  </si>
  <si>
    <t>pooja.m351@example.com</t>
  </si>
  <si>
    <t>9000004570</t>
  </si>
  <si>
    <t>Riya M.</t>
  </si>
  <si>
    <t>riya.m349@example.com</t>
  </si>
  <si>
    <t>9000004544</t>
  </si>
  <si>
    <t>interviewer0@partner023.example.com</t>
  </si>
  <si>
    <t>Dev E.</t>
  </si>
  <si>
    <t>dev.e132@example.com</t>
  </si>
  <si>
    <t>9000001723</t>
  </si>
  <si>
    <t>Manav A.</t>
  </si>
  <si>
    <t>manav.a024@example.com</t>
  </si>
  <si>
    <t>9000000319</t>
  </si>
  <si>
    <t>Vihaan N.</t>
  </si>
  <si>
    <t>vihaan.n364@example.com</t>
  </si>
  <si>
    <t>9000004739</t>
  </si>
  <si>
    <t>Rahul B.</t>
  </si>
  <si>
    <t>rahul.b056@example.com</t>
  </si>
  <si>
    <t>9000000735</t>
  </si>
  <si>
    <t>Vihaan G.</t>
  </si>
  <si>
    <t>vihaan.g184@example.com</t>
  </si>
  <si>
    <t>9000002399</t>
  </si>
  <si>
    <t>Meera L.</t>
  </si>
  <si>
    <t>meera.l307@example.com</t>
  </si>
  <si>
    <t>9000003998</t>
  </si>
  <si>
    <t>Ira P.</t>
  </si>
  <si>
    <t>ira.p395@example.com</t>
  </si>
  <si>
    <t>9000005142</t>
  </si>
  <si>
    <t>Riya A.</t>
  </si>
  <si>
    <t>riya.a019@example.com</t>
  </si>
  <si>
    <t>9000000254</t>
  </si>
  <si>
    <t>Rahul E.</t>
  </si>
  <si>
    <t>rahul.e146@example.com</t>
  </si>
  <si>
    <t>900000190</t>
  </si>
  <si>
    <t>Sneha K.</t>
  </si>
  <si>
    <t>sneha.k293@example.com</t>
  </si>
  <si>
    <t>9000003816</t>
  </si>
  <si>
    <t>https://calendly.com/partner022/r3</t>
  </si>
  <si>
    <t>Isha P.</t>
  </si>
  <si>
    <t>isha.p415@example.com</t>
  </si>
  <si>
    <t>9000005402</t>
  </si>
  <si>
    <t>Varun G.</t>
  </si>
  <si>
    <t>varun.g208@example.com</t>
  </si>
  <si>
    <t>9000002711</t>
  </si>
  <si>
    <t>interviewer2@partner054.example.com</t>
  </si>
  <si>
    <t>Zoya G.</t>
  </si>
  <si>
    <t>zoya.g197@example.com</t>
  </si>
  <si>
    <t>9000002568</t>
  </si>
  <si>
    <t>https://calendly.com/partner054/r1</t>
  </si>
  <si>
    <t>interviewer1@partner045.example.com</t>
  </si>
  <si>
    <t>Diya N.</t>
  </si>
  <si>
    <t>diya.n361@example.com</t>
  </si>
  <si>
    <t>9000004700</t>
  </si>
  <si>
    <t>Ananya N.</t>
  </si>
  <si>
    <t>ananya.n363@example.com</t>
  </si>
  <si>
    <t>9000004726</t>
  </si>
  <si>
    <t>Rohan E.</t>
  </si>
  <si>
    <t>rohan.e130@example.com</t>
  </si>
  <si>
    <t>9000001697</t>
  </si>
  <si>
    <t>interviewer0@partner040.example.com</t>
  </si>
  <si>
    <t>Karan N.</t>
  </si>
  <si>
    <t>karan.n380@example.com</t>
  </si>
  <si>
    <t>9000004947</t>
  </si>
  <si>
    <t>interviewer1@partner022.example.com</t>
  </si>
  <si>
    <t>Reyansh P.</t>
  </si>
  <si>
    <t>reyansh.p396@example.com</t>
  </si>
  <si>
    <t>9000005155</t>
  </si>
  <si>
    <t>Kavya A.</t>
  </si>
  <si>
    <t>kavya.a029@example.com</t>
  </si>
  <si>
    <t>9000000384</t>
  </si>
  <si>
    <t>https://calendly.com/partner046/r1</t>
  </si>
  <si>
    <t>Rohan C.</t>
  </si>
  <si>
    <t>rohan.c070@example.com</t>
  </si>
  <si>
    <t>9000000917</t>
  </si>
  <si>
    <t>Karan D.</t>
  </si>
  <si>
    <t>karan.d110@example.com</t>
  </si>
  <si>
    <t>9000001437</t>
  </si>
  <si>
    <t>Arjun B.</t>
  </si>
  <si>
    <t>arjun.b038@example.com</t>
  </si>
  <si>
    <t>9000000501</t>
  </si>
  <si>
    <t>Reyansh A.</t>
  </si>
  <si>
    <t>reyansh.a006@example.com</t>
  </si>
  <si>
    <t>9000000085</t>
  </si>
  <si>
    <t>Sneha M.</t>
  </si>
  <si>
    <t>sneha.m353@example.com</t>
  </si>
  <si>
    <t>9000004596</t>
  </si>
  <si>
    <t>Dev J.</t>
  </si>
  <si>
    <t>dev.j252@example.com</t>
  </si>
  <si>
    <t>9000003283</t>
  </si>
  <si>
    <t>Pooja C.</t>
  </si>
  <si>
    <t>pooja.c081@example.com</t>
  </si>
  <si>
    <t>9000001060</t>
  </si>
  <si>
    <t>interviewer2@partner098.example.com</t>
  </si>
  <si>
    <t>Manav L.</t>
  </si>
  <si>
    <t>manav.l324@example.com</t>
  </si>
  <si>
    <t>9000004219</t>
  </si>
  <si>
    <t>https://calendly.com/partner098/r1</t>
  </si>
  <si>
    <t>Aditya E.</t>
  </si>
  <si>
    <t>aditya.e142@example.com</t>
  </si>
  <si>
    <t>9000001853</t>
  </si>
  <si>
    <t>Karan K.</t>
  </si>
  <si>
    <t>karan.k290@example.com</t>
  </si>
  <si>
    <t>900000377</t>
  </si>
  <si>
    <t>Rohan D.</t>
  </si>
  <si>
    <t>rohan.d100@example.com</t>
  </si>
  <si>
    <t>9000001307</t>
  </si>
  <si>
    <t>Dev N.</t>
  </si>
  <si>
    <t>dev.n372@example.com</t>
  </si>
  <si>
    <t>9000004843</t>
  </si>
  <si>
    <t>Ishaan E.</t>
  </si>
  <si>
    <t>ishaan.e134@example.com</t>
  </si>
  <si>
    <t>9000001749</t>
  </si>
  <si>
    <t>Yash H.</t>
  </si>
  <si>
    <t>yash.h226@example.com</t>
  </si>
  <si>
    <t>9000002945</t>
  </si>
  <si>
    <t>interviewer2@partner045.example.com</t>
  </si>
  <si>
    <t>Arjun K.</t>
  </si>
  <si>
    <t>arjun.k278@example.com</t>
  </si>
  <si>
    <t>9000003621</t>
  </si>
  <si>
    <t>Nisha N.</t>
  </si>
  <si>
    <t>nisha.n387@example.com</t>
  </si>
  <si>
    <t>9000005038</t>
  </si>
  <si>
    <t>Tara L.</t>
  </si>
  <si>
    <t>tara.l315@example.com</t>
  </si>
  <si>
    <t>9000004102</t>
  </si>
  <si>
    <t>Pooja F.</t>
  </si>
  <si>
    <t>pooja.f171@example.com</t>
  </si>
  <si>
    <t>9000002230</t>
  </si>
  <si>
    <t>Rahul C.</t>
  </si>
  <si>
    <t>rahul.c086@example.com</t>
  </si>
  <si>
    <t>9000001125</t>
  </si>
  <si>
    <t>interviewer2@partner058.example.com</t>
  </si>
  <si>
    <t>Riya G.</t>
  </si>
  <si>
    <t>riya.g199@example.com</t>
  </si>
  <si>
    <t>9000002594</t>
  </si>
  <si>
    <t>Neil B.</t>
  </si>
  <si>
    <t>neil.b048@example.com</t>
  </si>
  <si>
    <t>9000000631</t>
  </si>
  <si>
    <t>Isha D.</t>
  </si>
  <si>
    <t>isha.d115@example.com</t>
  </si>
  <si>
    <t>9000001502</t>
  </si>
  <si>
    <t>Dev C.</t>
  </si>
  <si>
    <t>dev.c072@example.com</t>
  </si>
  <si>
    <t>9000000943</t>
  </si>
  <si>
    <t>Dev F.</t>
  </si>
  <si>
    <t>dev.f162@example.com</t>
  </si>
  <si>
    <t>9000002113</t>
  </si>
  <si>
    <t>interviewer1@partner096.example.com</t>
  </si>
  <si>
    <t>https://calendly.com/partner096/r1</t>
  </si>
  <si>
    <t>Nisha D.</t>
  </si>
  <si>
    <t>nisha.d117@example.com</t>
  </si>
  <si>
    <t>9000001528</t>
  </si>
  <si>
    <t>Isha C.</t>
  </si>
  <si>
    <t>isha.c085@example.com</t>
  </si>
  <si>
    <t>9000001112</t>
  </si>
  <si>
    <t>interviewer0@partner041.example.com</t>
  </si>
  <si>
    <t>https://calendly.com/partner041/r1</t>
  </si>
  <si>
    <t>interviewer0@partner031.example.com</t>
  </si>
  <si>
    <t>Ishaan G.</t>
  </si>
  <si>
    <t>ishaan.g194@example.com</t>
  </si>
  <si>
    <t>9000002529</t>
  </si>
  <si>
    <t>https://calendly.com/partner031/r1</t>
  </si>
  <si>
    <t>interviewer0@partner063.example.com</t>
  </si>
  <si>
    <t>Kiara B.</t>
  </si>
  <si>
    <t>kiara.b041@example.com</t>
  </si>
  <si>
    <t>9000000540</t>
  </si>
  <si>
    <t>Rahul H.</t>
  </si>
  <si>
    <t>rahul.h236@example.com</t>
  </si>
  <si>
    <t>9000003075</t>
  </si>
  <si>
    <t>Kavya C.</t>
  </si>
  <si>
    <t>kavya.c089@example.com</t>
  </si>
  <si>
    <t>9000001164</t>
  </si>
  <si>
    <t>Pooja K.</t>
  </si>
  <si>
    <t>pooja.k291@example.com</t>
  </si>
  <si>
    <t>9000003790</t>
  </si>
  <si>
    <t>interviewer2@partner016.example.com</t>
  </si>
  <si>
    <t>Ira D.</t>
  </si>
  <si>
    <t>ira.d095@example.com</t>
  </si>
  <si>
    <t>9000001242</t>
  </si>
  <si>
    <t>interviewer2@partner055.example.com</t>
  </si>
  <si>
    <t>Aditya C.</t>
  </si>
  <si>
    <t>aditya.c082@example.com</t>
  </si>
  <si>
    <t>9000001073</t>
  </si>
  <si>
    <t>Manav P.</t>
  </si>
  <si>
    <t>manav.p414@example.com</t>
  </si>
  <si>
    <t>9000005389</t>
  </si>
  <si>
    <t>Pooja J.</t>
  </si>
  <si>
    <t>pooja.j261@example.com</t>
  </si>
  <si>
    <t>9000003400</t>
  </si>
  <si>
    <t>Arjun E.</t>
  </si>
  <si>
    <t>arjun.e128@example.com</t>
  </si>
  <si>
    <t>9000001671</t>
  </si>
  <si>
    <t>Ishaan L.</t>
  </si>
  <si>
    <t>ishaan.l314@example.com</t>
  </si>
  <si>
    <t>9000004089</t>
  </si>
  <si>
    <t>Arjun H.</t>
  </si>
  <si>
    <t>arjun.h218@example.com</t>
  </si>
  <si>
    <t>9000002841</t>
  </si>
  <si>
    <t>Zoya A.</t>
  </si>
  <si>
    <t>zoya.a017@example.com</t>
  </si>
  <si>
    <t>9000000228</t>
  </si>
  <si>
    <t>interviewer0@partner085.example.com</t>
  </si>
  <si>
    <t>Rahul K.</t>
  </si>
  <si>
    <t>rahul.k296@example.com</t>
  </si>
  <si>
    <t>9000003855</t>
  </si>
  <si>
    <t>interviewer0@partner093.example.com</t>
  </si>
  <si>
    <t>Nisha G.</t>
  </si>
  <si>
    <t>nisha.g207@example.com</t>
  </si>
  <si>
    <t>9000002698</t>
  </si>
  <si>
    <t>https://calendly.com/partner093/r1</t>
  </si>
  <si>
    <t>Isha J.</t>
  </si>
  <si>
    <t>isha.j265@example.com</t>
  </si>
  <si>
    <t>9000003452</t>
  </si>
  <si>
    <t>Varun E.</t>
  </si>
  <si>
    <t>varun.e148@example.com</t>
  </si>
  <si>
    <t>9000001931</t>
  </si>
  <si>
    <t>Tara E.</t>
  </si>
  <si>
    <t>tara.e135@example.com</t>
  </si>
  <si>
    <t>9000001762</t>
  </si>
  <si>
    <t>Isha A.</t>
  </si>
  <si>
    <t>isha.a025@example.com</t>
  </si>
  <si>
    <t>9000000332</t>
  </si>
  <si>
    <t>interviewer1@partner093.example.com</t>
  </si>
  <si>
    <t>Aditya J.</t>
  </si>
  <si>
    <t>aditya.j262@example.com</t>
  </si>
  <si>
    <t>9000003413</t>
  </si>
  <si>
    <t>Ananya C.</t>
  </si>
  <si>
    <t>ananya.c063@example.com</t>
  </si>
  <si>
    <t>9000000826</t>
  </si>
  <si>
    <t>interviewer1@partner047.example.com</t>
  </si>
  <si>
    <t>Arjun M.</t>
  </si>
  <si>
    <t>arjun.m338@example.com</t>
  </si>
  <si>
    <t>9000004401</t>
  </si>
  <si>
    <t>https://calendly.com/partner047/r1</t>
  </si>
  <si>
    <t>Pooja B.</t>
  </si>
  <si>
    <t>pooja.b051example.com</t>
  </si>
  <si>
    <t>9000000670</t>
  </si>
  <si>
    <t>Neil E.</t>
  </si>
  <si>
    <t>neil.e138@example.com</t>
  </si>
  <si>
    <t>9000001801</t>
  </si>
  <si>
    <t>Aditya F.</t>
  </si>
  <si>
    <t>aditya.f172@example.com</t>
  </si>
  <si>
    <t>9000002243</t>
  </si>
  <si>
    <t>Navya H.</t>
  </si>
  <si>
    <t>navya.h223@example.com</t>
  </si>
  <si>
    <t>9000002906</t>
  </si>
  <si>
    <t>interviewer1@partner023.example.com</t>
  </si>
  <si>
    <t>Kiara H.</t>
  </si>
  <si>
    <t>kiara.h221@example.com</t>
  </si>
  <si>
    <t>9000002880</t>
  </si>
  <si>
    <t>Rohan N.</t>
  </si>
  <si>
    <t>rohan.n370@example.com</t>
  </si>
  <si>
    <t>9000004817</t>
  </si>
  <si>
    <t>Sneha J.</t>
  </si>
  <si>
    <t>sneha.j263@example.com</t>
  </si>
  <si>
    <t>9000003426</t>
  </si>
  <si>
    <t>Nisha J.</t>
  </si>
  <si>
    <t>nisha.j267@example.com</t>
  </si>
  <si>
    <t>9000003478</t>
  </si>
  <si>
    <t>Tara D.</t>
  </si>
  <si>
    <t>tara.d105@example.com</t>
  </si>
  <si>
    <t>9000001372</t>
  </si>
  <si>
    <t>Neil F.</t>
  </si>
  <si>
    <t>neil.f168@example.com</t>
  </si>
  <si>
    <t>9000002191</t>
  </si>
  <si>
    <t>Neil K.</t>
  </si>
  <si>
    <t>neil.k288@example.com</t>
  </si>
  <si>
    <t>9000003751</t>
  </si>
  <si>
    <t>Aditya A.</t>
  </si>
  <si>
    <t>aditya.a022@example.com</t>
  </si>
  <si>
    <t>9000000293</t>
  </si>
  <si>
    <t>Zoya K.</t>
  </si>
  <si>
    <t>zoya.k287@example.com</t>
  </si>
  <si>
    <t>9000003738</t>
  </si>
  <si>
    <t>Aarav C.</t>
  </si>
  <si>
    <t>aarav.c060@example.com</t>
  </si>
  <si>
    <t>9000000787</t>
  </si>
  <si>
    <t>interviewer1@partner026.example.com</t>
  </si>
  <si>
    <t>Kabir P.</t>
  </si>
  <si>
    <t>kabir.p392@example.com</t>
  </si>
  <si>
    <t>9000005103</t>
  </si>
  <si>
    <t>Ira M.</t>
  </si>
  <si>
    <t>ira.m335@example.com</t>
  </si>
  <si>
    <t>9000004362</t>
  </si>
  <si>
    <t>Reyansh B.</t>
  </si>
  <si>
    <t>reyansh.b036@example.com</t>
  </si>
  <si>
    <t>9000000475</t>
  </si>
  <si>
    <t>Ishaan C.</t>
  </si>
  <si>
    <t>ishaan.c074@example.com</t>
  </si>
  <si>
    <t>9000000969</t>
  </si>
  <si>
    <t>Tara P.</t>
  </si>
  <si>
    <t>tara.p405@example.com</t>
  </si>
  <si>
    <t>9000005272</t>
  </si>
  <si>
    <t>interviewer1@partner094.example.com</t>
  </si>
  <si>
    <t>Ananya P.</t>
  </si>
  <si>
    <t>ananya.p393@example.com</t>
  </si>
  <si>
    <t>9000005116</t>
  </si>
  <si>
    <t>interviewer2@partner057.example.com</t>
  </si>
  <si>
    <t>Karan G.</t>
  </si>
  <si>
    <t>karan.g200@example.com</t>
  </si>
  <si>
    <t>9000002607</t>
  </si>
  <si>
    <t>https://calendly.com/partner057/r1</t>
  </si>
  <si>
    <t>interviewer2@partner099.example.com</t>
  </si>
  <si>
    <t>Vihaan D.</t>
  </si>
  <si>
    <t>vihaan.d094@example.com</t>
  </si>
  <si>
    <t>9000001229</t>
  </si>
  <si>
    <t>Aarav H.</t>
  </si>
  <si>
    <t>aarav.h210@example.com</t>
  </si>
  <si>
    <t>9000002737</t>
  </si>
  <si>
    <t>Vihaan A.</t>
  </si>
  <si>
    <t>vihaan.a004@example.com</t>
  </si>
  <si>
    <t>9000000059</t>
  </si>
  <si>
    <t>Karan E.</t>
  </si>
  <si>
    <t>karan.e140@example.com</t>
  </si>
  <si>
    <t>9000001827</t>
  </si>
  <si>
    <t>Riya K.</t>
  </si>
  <si>
    <t>riya.k289@example.com</t>
  </si>
  <si>
    <t>9000003764</t>
  </si>
  <si>
    <t>interviewer0@partner018.example.com</t>
  </si>
  <si>
    <t>interviewer2@partner095.example.com</t>
  </si>
  <si>
    <t>Pooja L.</t>
  </si>
  <si>
    <t>pooja.l321@example.com</t>
  </si>
  <si>
    <t>9000004180</t>
  </si>
  <si>
    <t>https://calendly.com/partner095/r1</t>
  </si>
  <si>
    <t>Aarav N.</t>
  </si>
  <si>
    <t>aarav.n360@example.com</t>
  </si>
  <si>
    <t>9000004687</t>
  </si>
  <si>
    <t>Ira K.</t>
  </si>
  <si>
    <t>ira.k275@example.com</t>
  </si>
  <si>
    <t>9000003582</t>
  </si>
  <si>
    <t>Sneha A.</t>
  </si>
  <si>
    <t>sneha.a023@example.com</t>
  </si>
  <si>
    <t>9000000306</t>
  </si>
  <si>
    <t>Neil M.</t>
  </si>
  <si>
    <t>neil.m348@example.com</t>
  </si>
  <si>
    <t>9000004531</t>
  </si>
  <si>
    <t>Diya D.</t>
  </si>
  <si>
    <t>diya.d091@example.com</t>
  </si>
  <si>
    <t>9000001190</t>
  </si>
  <si>
    <t>Nisha K.</t>
  </si>
  <si>
    <t>nisha.k297@example.com</t>
  </si>
  <si>
    <t>9000003868</t>
  </si>
  <si>
    <t>https://calendly.com/partner003/r3</t>
  </si>
  <si>
    <t>Kavya N.</t>
  </si>
  <si>
    <t>kavya.n389@example.com</t>
  </si>
  <si>
    <t>9000005064</t>
  </si>
  <si>
    <t>Tara C.</t>
  </si>
  <si>
    <t>tara.c075example.com</t>
  </si>
  <si>
    <t>9000000982</t>
  </si>
  <si>
    <t>Kiara C.</t>
  </si>
  <si>
    <t>kiara.c071@example.com</t>
  </si>
  <si>
    <t>9000000930</t>
  </si>
  <si>
    <t>interviewer0@partner034.example.com</t>
  </si>
  <si>
    <t>Sneha L.</t>
  </si>
  <si>
    <t>sneha.l323@example.com</t>
  </si>
  <si>
    <t>9000004206</t>
  </si>
  <si>
    <t>interviewer1@partner018.example.com</t>
  </si>
  <si>
    <t>Arjun G.</t>
  </si>
  <si>
    <t>arjun.g188@example.com</t>
  </si>
  <si>
    <t>9000002451</t>
  </si>
  <si>
    <t>Riya F.</t>
  </si>
  <si>
    <t>riya.f169@example.com</t>
  </si>
  <si>
    <t>9000002204</t>
  </si>
  <si>
    <t>Sneha E.</t>
  </si>
  <si>
    <t>sneha.e143@example.com</t>
  </si>
  <si>
    <t>9000001866</t>
  </si>
  <si>
    <t>Ishaan A.</t>
  </si>
  <si>
    <t>ishaan.a014@example.com</t>
  </si>
  <si>
    <t>9000000189</t>
  </si>
  <si>
    <t>interviewer2@partner072.example.com</t>
  </si>
  <si>
    <t>Kavya G.</t>
  </si>
  <si>
    <t>kavya.g209@example.com</t>
  </si>
  <si>
    <t>9000002724</t>
  </si>
  <si>
    <t>interviewer1@partner038.example.com</t>
  </si>
  <si>
    <t>Karan H.</t>
  </si>
  <si>
    <t>karan.h230@example.com</t>
  </si>
  <si>
    <t>9000002997</t>
  </si>
  <si>
    <t>Aarav B.</t>
  </si>
  <si>
    <t>aarav.b030@example.com</t>
  </si>
  <si>
    <t>9000000397</t>
  </si>
  <si>
    <t>Zoya M.</t>
  </si>
  <si>
    <t>zoya.m347@example.com</t>
  </si>
  <si>
    <t>9000004518</t>
  </si>
  <si>
    <t>Isha M.</t>
  </si>
  <si>
    <t>isha.m355@example.com</t>
  </si>
  <si>
    <t>9000004622</t>
  </si>
  <si>
    <t>interviewer2@partner087.example.com</t>
  </si>
  <si>
    <t>Kabir L.</t>
  </si>
  <si>
    <t>kabir.l302@example.com</t>
  </si>
  <si>
    <t>9000003933</t>
  </si>
  <si>
    <t>Ira F.</t>
  </si>
  <si>
    <t>ira.f155@example.com</t>
  </si>
  <si>
    <t>9000002022</t>
  </si>
  <si>
    <t>Kabir C.</t>
  </si>
  <si>
    <t>kabir.c062@example.com</t>
  </si>
  <si>
    <t>9000000813</t>
  </si>
  <si>
    <t>Arjun L.</t>
  </si>
  <si>
    <t>arjun.l308@example.com</t>
  </si>
  <si>
    <t>9000004011</t>
  </si>
  <si>
    <t>Saanvi K.</t>
  </si>
  <si>
    <t>saanvi.k279@example.com</t>
  </si>
  <si>
    <t>9000003634</t>
  </si>
  <si>
    <t>Kiara M.</t>
  </si>
  <si>
    <t>kiara.m341@example.com</t>
  </si>
  <si>
    <t>9000004440</t>
  </si>
  <si>
    <t>interviewer1@partner062.example.com</t>
  </si>
  <si>
    <t>https://calendly.com/partner062/r1</t>
  </si>
  <si>
    <t>Saanvi B.</t>
  </si>
  <si>
    <t>saanvi.b039@example.com</t>
  </si>
  <si>
    <t>9000000514</t>
  </si>
  <si>
    <t>Kiara F.</t>
  </si>
  <si>
    <t>kiara.f161@example.com</t>
  </si>
  <si>
    <t>9000002100</t>
  </si>
  <si>
    <t>Sneha H.</t>
  </si>
  <si>
    <t>sneha.h233@example.com</t>
  </si>
  <si>
    <t>9000003036</t>
  </si>
  <si>
    <t>interviewer0@partner075.example.com</t>
  </si>
  <si>
    <t>Pooja G.</t>
  </si>
  <si>
    <t>pooja.g201@example.com</t>
  </si>
  <si>
    <t>9000002620</t>
  </si>
  <si>
    <t>https://calendly.com/partner075/r2</t>
  </si>
  <si>
    <t>interviewer1@partner012.example.com</t>
  </si>
  <si>
    <t>Meera M.</t>
  </si>
  <si>
    <t>meera.m337@example.com</t>
  </si>
  <si>
    <t>9000004388</t>
  </si>
  <si>
    <t>Vihaan J.</t>
  </si>
  <si>
    <t>vihaan.j244@example.com</t>
  </si>
  <si>
    <t>9000003179</t>
  </si>
  <si>
    <t>interviewer2@partner080.example.com</t>
  </si>
  <si>
    <t>Manav K.</t>
  </si>
  <si>
    <t>manav.k294@example.com</t>
  </si>
  <si>
    <t>9000003829</t>
  </si>
  <si>
    <t>https://calendly.com/partner080/r1</t>
  </si>
  <si>
    <t>Reyansh K.</t>
  </si>
  <si>
    <t>reyansh.k276@example.com</t>
  </si>
  <si>
    <t>9000003595</t>
  </si>
  <si>
    <t>Meera A.</t>
  </si>
  <si>
    <t>meera.a007@example.com</t>
  </si>
  <si>
    <t>9000000098</t>
  </si>
  <si>
    <t>Kabir B.</t>
  </si>
  <si>
    <t>kabir.b032@example.com</t>
  </si>
  <si>
    <t>9000000423</t>
  </si>
  <si>
    <t>Manav B.</t>
  </si>
  <si>
    <t>manav.b054@example.com</t>
  </si>
  <si>
    <t>9000000709</t>
  </si>
  <si>
    <t>Rahul G.</t>
  </si>
  <si>
    <t>rahul.g206@example.com</t>
  </si>
  <si>
    <t>9000002685</t>
  </si>
  <si>
    <t>interviewer1@partner073.example.com</t>
  </si>
  <si>
    <t>Reyansh E.</t>
  </si>
  <si>
    <t>reyansh.e126@example.com</t>
  </si>
  <si>
    <t>9000001645</t>
  </si>
  <si>
    <t>Riya J.</t>
  </si>
  <si>
    <t>riya.j259@example.com</t>
  </si>
  <si>
    <t>9000003374</t>
  </si>
  <si>
    <t>Saanvi N.</t>
  </si>
  <si>
    <t>saanvi.n369@example.com</t>
  </si>
  <si>
    <t>9000004804</t>
  </si>
  <si>
    <t>Karan P.</t>
  </si>
  <si>
    <t>karan.p410@example.com</t>
  </si>
  <si>
    <t>9000005337</t>
  </si>
  <si>
    <t>Yash A.</t>
  </si>
  <si>
    <t>yash.a016@example.com</t>
  </si>
  <si>
    <t>9000000215</t>
  </si>
  <si>
    <t>interviewer0@partner057.example.com</t>
  </si>
  <si>
    <t>Nisha P.</t>
  </si>
  <si>
    <t>nisha.p417@example.com</t>
  </si>
  <si>
    <t>9000005428</t>
  </si>
  <si>
    <t>Meera N.</t>
  </si>
  <si>
    <t>meera.n367@example.com</t>
  </si>
  <si>
    <t>9000004778</t>
  </si>
  <si>
    <t>interviewer0@partner099.example.com</t>
  </si>
  <si>
    <t>Saanvi L.</t>
  </si>
  <si>
    <t>saanvi.l309@example.com</t>
  </si>
  <si>
    <t>9000004024</t>
  </si>
  <si>
    <t>Yash E.</t>
  </si>
  <si>
    <t>yash.e136@example.com</t>
  </si>
  <si>
    <t>9000001775</t>
  </si>
  <si>
    <t>interviewer0@partner019.example.com</t>
  </si>
  <si>
    <t>Rahul P.</t>
  </si>
  <si>
    <t>rahul.p416@example.com</t>
  </si>
  <si>
    <t>9000005415</t>
  </si>
  <si>
    <t>interviewer2@partner035.example.com</t>
  </si>
  <si>
    <t>Pooja H.</t>
  </si>
  <si>
    <t>pooja.h231@example.com</t>
  </si>
  <si>
    <t>9000003010</t>
  </si>
  <si>
    <t>interviewer1@partner065.example.com</t>
  </si>
  <si>
    <t>https://calendly.com/partner065/r3</t>
  </si>
  <si>
    <t>Kiara G.</t>
  </si>
  <si>
    <t>kiara.g191@example.com</t>
  </si>
  <si>
    <t>9000002490</t>
  </si>
  <si>
    <t>interviewer2@partner050.example.com</t>
  </si>
  <si>
    <t>Nisha A.</t>
  </si>
  <si>
    <t>nisha.a027@example.com</t>
  </si>
  <si>
    <t>9000000358</t>
  </si>
  <si>
    <t>https://calendly.com/partner050/r1</t>
  </si>
  <si>
    <t>Kabir F.</t>
  </si>
  <si>
    <t>kabir.f152@example.com</t>
  </si>
  <si>
    <t>9000001983</t>
  </si>
  <si>
    <t>Meera C.</t>
  </si>
  <si>
    <t>meera.c067@example.com</t>
  </si>
  <si>
    <t>9000000878</t>
  </si>
  <si>
    <t>Kavya D.</t>
  </si>
  <si>
    <t>kavya.d119@example.com</t>
  </si>
  <si>
    <t>9000001554</t>
  </si>
  <si>
    <t>Varun A.</t>
  </si>
  <si>
    <t>varun.a028@example.com</t>
  </si>
  <si>
    <t>9000000371</t>
  </si>
  <si>
    <t>Diya L.</t>
  </si>
  <si>
    <t>diya.l301@example.com</t>
  </si>
  <si>
    <t>9000003920</t>
  </si>
  <si>
    <t>interviewer0@partner049.example.com</t>
  </si>
  <si>
    <t>Rahul D.</t>
  </si>
  <si>
    <t>rahul.d116@example.com</t>
  </si>
  <si>
    <t>9000001515</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</si>
  <si>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</si>
  <si>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</si>
  <si>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</si>
  <si>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</si>
  <si>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</si>
  <si>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</si>
  <si>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</si>
  <si>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</si>
  <si>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</si>
  <si>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</si>
  <si>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</si>
  <si>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</si>
  <si>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</si>
  <si>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</si>
  <si>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</si>
  <si>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</si>
  <si>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</si>
  <si>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</si>
  <si>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</si>
  <si>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</si>
  <si>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</si>
  <si>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</si>
  <si>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</si>
  <si>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</si>
  <si>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</si>
  <si>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</si>
  <si>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</si>
  <si>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</si>
  <si>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share of first tries where the person says yes</t>
  </si>
  <si>
    <t>ASSUMPTION. DASHBOARD switches to the measured rate after 20 first tries.</t>
  </si>
  <si>
    <t>Planning value: how much of that later tries keep (try 2 = x, try 3 = x squared)</t>
  </si>
  <si>
    <t>ASSUMPTION, and the number that decides whether more interns can reach 80%. Measured by try number on DASHBOARD.</t>
  </si>
  <si>
    <t>Planning value: share of requests candidates book themselves</t>
  </si>
  <si>
    <t>ASSUMPTION. DASHBOARD switches to the measured share once the deadline has passed.</t>
  </si>
  <si>
    <t>Priority boost when someone replied YES on WhatsApp</t>
  </si>
  <si>
    <t>Puts them at the top of the list.</t>
  </si>
  <si>
    <t>Candidates' WhatsApp opt-in confirmed for provider messages? (YES / NO)</t>
  </si>
  <si>
    <t>Keep NO until Weekday confirms candidates agreed to WhatsApp messages. MESSAGES will not show a send list until YES.</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</si>
  <si>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</si>
  <si>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</si>
  <si>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</si>
  <si>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</si>
  <si>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</si>
  <si>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</si>
  <si>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</si>
  <si>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</si>
  <si>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</si>
  <si>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</si>
  <si>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</si>
  <si>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</si>
  <si>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template message cost if Meta classes it as marketing (Rs)</t>
  </si>
  <si>
    <t>Meta's 2026 India rate before GST and provider fees.</t>
  </si>
  <si>
    <t>WhatsApp template message cost if classed as utility (Rs)</t>
  </si>
  <si>
    <t>Meta decides the class when it approves the template. Scheduling an interview the candidate asked for may count as utility.</t>
  </si>
  <si>
    <t>Chance a try ends in a booking (planning values, used only to ORDER the list)</t>
  </si>
  <si>
    <t>Signal = what the platform's first-touch report shows for the person (clicked the link, opened the message, or nothing). Blank counts as None. The values come from the analysis model and only change the order of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</si>
  <si>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</si>
  <si>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</si>
  <si>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</si>
  <si>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</si>
  <si>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</si>
  <si>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</si>
  <si>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</si>
  <si>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</si>
  <si>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</si>
  <si>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</si>
  <si>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</si>
  <si>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</si>
  <si>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</si>
  <si>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</si>
  <si>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</si>
  <si>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</si>
  <si>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</si>
  <si>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</si>
  <si>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</si>
  <si>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</si>
  <si>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</si>
  <si>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</si>
  <si>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</si>
  <si>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</si>
  <si>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</si>
  <si>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</si>
  <si>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</si>
  <si>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</si>
  <si>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</si>
  <si>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</si>
  <si>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</si>
  <si>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</si>
  <si>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</si>
  <si>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</si>
  <si>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</si>
  <si>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</si>
  <si>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</si>
  <si>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Person no. (send list)</t>
  </si>
  <si>
    <t>WhatsApp status</t>
  </si>
  <si>
    <t>WhatsApp reply</t>
  </si>
  <si>
    <t>Replied YES?</t>
  </si>
  <si>
    <t>Evening-message pilot group</t>
  </si>
  <si>
    <t>When to use it</t>
  </si>
  <si>
    <t>Counts as a try (1/0)</t>
  </si>
  <si>
    <t>Wait before next try (min)</t>
  </si>
  <si>
    <t>Scope</t>
  </si>
  <si>
    <t>Person</t>
  </si>
  <si>
    <t>Company in E, or blank = all</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</si>
  <si>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</si>
  <si>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</si>
  <si>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</si>
  <si>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</si>
  <si>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</si>
  <si>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</si>
  <si>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</si>
  <si>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</si>
  <si>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</si>
  <si>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</si>
  <si>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</si>
  <si>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</si>
  <si>
    <t>Lead</t>
  </si>
  <si>
    <t>calendly confirmation</t>
  </si>
  <si>
    <t>sent booking link</t>
  </si>
  <si>
    <t>busy</t>
  </si>
  <si>
    <t>asked to stop</t>
  </si>
  <si>
    <t>booked from our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</si>
</sst>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sz val="10"/>
      <color rgb="FFFFFFFF"/>
      <name val="Arial"/>
    </font>
    <font>
      <sz val="8"/>
      <color rgb="FFFFFFFF"/>
      <name val="Arial"/>
    </font>
    <font>
      <b/>
      <sz val="11"/>
      <color rgb="FFC00000"/>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2">
    <xf numFmtId="0" fontId="0" fillId="0" borderId="0" xfId="0"/>
    <xf numFmtId="0" fontId="1"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8" fillId="0" borderId="0" xfId="0" applyFont="1"/>
    <xf numFmtId="0" fontId="9" fillId="0" borderId="0" xfId="0" applyFont="1"/>
    <xf numFmtId="0" fontId="7"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applyAlignment="1">
      <alignment horizontal="left"/>
    </xf>
    <xf numFmtId="166" fontId="3" fillId="0" borderId="0" xfId="0" applyNumberFormat="1" applyFont="1"/>
    <xf numFmtId="9" fontId="5" fillId="0" borderId="0" xfId="0" applyNumberFormat="1" applyFont="1"/>
    <xf numFmtId="9" fontId="3" fillId="0" borderId="0" xfId="0" applyNumberFormat="1" applyFont="1"/>
    <xf numFmtId="1" fontId="5" fillId="0" borderId="0" xfId="0" applyNumberFormat="1" applyFont="1"/>
    <xf numFmtId="1" fontId="3" fillId="0" borderId="0" xfId="0" applyNumberFormat="1" applyFont="1"/>
    <xf numFmtId="3" fontId="5" fillId="0" borderId="0" xfId="0" applyNumberFormat="1" applyFont="1"/>
    <xf numFmtId="169" fontId="5" fillId="0" borderId="0" xfId="0" applyNumberFormat="1" applyFont="1"/>
    <xf numFmtId="0" fontId="6" fillId="0" borderId="0" xfId="0" applyFont="1" applyAlignment="1">
      <alignment vertical="top" wrapText="1"/>
    </xf>
    <xf numFmtId="10" fontId="5" fillId="0" borderId="0" xfId="0" applyNumberFormat="1" applyFont="1"/>
    <xf numFmtId="0" fontId="4" fillId="3" borderId="0" xfId="0" applyFont="1" applyFill="1"/>
    <xf numFmtId="0" fontId="2" fillId="0" borderId="1" xfId="0" applyFont="1" applyBorder="1" applyAlignment="1">
      <alignment vertical="center" wrapText="1"/>
    </xf>
    <xf numFmtId="49" fontId="3" fillId="0" borderId="0" xfId="0" applyNumberFormat="1" applyFont="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49" fontId="4" fillId="3" borderId="0" xfId="0" applyNumberFormat="1" applyFont="1" applyFill="1"/>
    <xf numFmtId="3" fontId="4" fillId="3" borderId="0" xfId="0" applyNumberFormat="1" applyFont="1" applyFill="1"/>
    <xf numFmtId="167" fontId="4" fillId="3" borderId="0" xfId="0" applyNumberFormat="1" applyFont="1" applyFill="1"/>
    <xf numFmtId="0" fontId="3" fillId="0" borderId="1" xfId="0" applyFont="1" applyBorder="1" applyAlignment="1">
      <alignment vertical="top" wrapText="1"/>
    </xf>
    <xf numFmtId="0" fontId="5" fillId="0" borderId="0" xfId="0" applyFont="1"/>
    <xf numFmtId="0" fontId="0" fillId="0" borderId="0" xfId="0"/>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6"/>
  <sheetViews>
    <sheetView showGridLines="0" tabSelected="1" workbookViewId="0"/>
  </sheetViews>
  <sheetFormatPr defaultRowHeight="14.5" x14ac:dyDescent="0.35"/>
  <cols>
    <col min="1" max="1" width="4" customWidth="1"/>
    <col min="2" max="2" width="26" customWidth="1"/>
    <col min="3" max="3" width="92" customWidth="1"/>
  </cols>
  <sheetData>
    <row r="1" spans="1:3" ht="18" x14ac:dyDescent="0.4">
      <c r="B1" s="1" t="s">
        <v>0</v>
      </c>
    </row>
    <row r="3" spans="1:3" ht="22" customHeight="1" x14ac:dyDescent="0.4">
      <c r="A3" s="2" t="s">
        <v>1</v>
      </c>
      <c r="B3" s="3" t="s">
        <v>2</v>
      </c>
      <c r="C3" s="4" t="s">
        <v>3</v>
      </c>
    </row>
    <row r="4" spans="1:3" ht="22" customHeight="1" x14ac:dyDescent="0.4">
      <c r="A4" s="2" t="s">
        <v>4</v>
      </c>
      <c r="B4" s="3" t="s">
        <v>5</v>
      </c>
      <c r="C4" s="4" t="s">
        <v>6</v>
      </c>
    </row>
    <row r="5" spans="1:3" ht="22" customHeight="1" x14ac:dyDescent="0.4">
      <c r="A5" s="2" t="s">
        <v>7</v>
      </c>
      <c r="B5" s="3" t="s">
        <v>8</v>
      </c>
      <c r="C5" s="4" t="s">
        <v>9</v>
      </c>
    </row>
    <row r="6" spans="1:3" ht="22" customHeight="1" x14ac:dyDescent="0.4">
      <c r="A6" s="2" t="s">
        <v>10</v>
      </c>
      <c r="B6" s="3" t="s">
        <v>11</v>
      </c>
      <c r="C6" s="4" t="s">
        <v>12</v>
      </c>
    </row>
    <row r="8" spans="1:3" ht="18" x14ac:dyDescent="0.4">
      <c r="B8" s="1" t="s">
        <v>13</v>
      </c>
    </row>
    <row r="9" spans="1:3" x14ac:dyDescent="0.35">
      <c r="A9" s="5"/>
      <c r="B9" s="5" t="s">
        <v>14</v>
      </c>
      <c r="C9" s="5" t="s">
        <v>15</v>
      </c>
    </row>
    <row r="10" spans="1:3" x14ac:dyDescent="0.35">
      <c r="B10" s="6" t="s">
        <v>16</v>
      </c>
      <c r="C10" s="7" t="s">
        <v>17</v>
      </c>
    </row>
    <row r="11" spans="1:3" x14ac:dyDescent="0.35">
      <c r="B11" s="6" t="s">
        <v>18</v>
      </c>
      <c r="C11" s="7" t="s">
        <v>19</v>
      </c>
    </row>
    <row r="12" spans="1:3" x14ac:dyDescent="0.35">
      <c r="B12" s="6" t="s">
        <v>20</v>
      </c>
      <c r="C12" s="7" t="s">
        <v>21</v>
      </c>
    </row>
    <row r="13" spans="1:3" x14ac:dyDescent="0.35">
      <c r="B13" s="6" t="s">
        <v>22</v>
      </c>
      <c r="C13" s="7" t="s">
        <v>23</v>
      </c>
    </row>
    <row r="14" spans="1:3" x14ac:dyDescent="0.35">
      <c r="B14" s="6" t="s">
        <v>24</v>
      </c>
      <c r="C14" s="7" t="s">
        <v>25</v>
      </c>
    </row>
    <row r="15" spans="1:3" x14ac:dyDescent="0.35">
      <c r="B15" s="6" t="s">
        <v>26</v>
      </c>
      <c r="C15" s="7" t="s">
        <v>27</v>
      </c>
    </row>
    <row r="16" spans="1:3" x14ac:dyDescent="0.35">
      <c r="B16" s="6" t="s">
        <v>28</v>
      </c>
      <c r="C16" s="7" t="s">
        <v>29</v>
      </c>
    </row>
    <row r="17" spans="2:3" x14ac:dyDescent="0.35">
      <c r="B17" s="6" t="s">
        <v>30</v>
      </c>
      <c r="C17" s="7" t="s">
        <v>31</v>
      </c>
    </row>
    <row r="18" spans="2:3" x14ac:dyDescent="0.35">
      <c r="B18" s="6" t="s">
        <v>32</v>
      </c>
      <c r="C18" s="7" t="s">
        <v>33</v>
      </c>
    </row>
    <row r="20" spans="2:3" ht="18" x14ac:dyDescent="0.4">
      <c r="B20" s="1" t="s">
        <v>34</v>
      </c>
    </row>
    <row r="21" spans="2:3" ht="28" customHeight="1" x14ac:dyDescent="0.35">
      <c r="B21" s="8" t="s">
        <v>35</v>
      </c>
      <c r="C21" s="9" t="s">
        <v>36</v>
      </c>
    </row>
    <row r="22" spans="2:3" ht="28" customHeight="1" x14ac:dyDescent="0.35">
      <c r="B22" s="8" t="s">
        <v>37</v>
      </c>
      <c r="C22" s="9" t="s">
        <v>38</v>
      </c>
    </row>
    <row r="23" spans="2:3" ht="28" customHeight="1" x14ac:dyDescent="0.35">
      <c r="B23" s="8" t="s">
        <v>39</v>
      </c>
      <c r="C23" s="9" t="s">
        <v>40</v>
      </c>
    </row>
    <row r="24" spans="2:3" ht="28" customHeight="1" x14ac:dyDescent="0.35">
      <c r="B24" s="8" t="s">
        <v>41</v>
      </c>
      <c r="C24" s="9" t="s">
        <v>42</v>
      </c>
    </row>
    <row r="25" spans="2:3" ht="28" customHeight="1" x14ac:dyDescent="0.35">
      <c r="B25" s="8" t="s">
        <v>43</v>
      </c>
      <c r="C25" s="9" t="s">
        <v>44</v>
      </c>
    </row>
    <row r="26" spans="2:3" ht="28" customHeight="1" x14ac:dyDescent="0.35">
      <c r="B26" s="8" t="s">
        <v>45</v>
      </c>
      <c r="C26" s="9" t="s">
        <v>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0"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A1" s="1" t="s">
        <v>47</v>
      </c>
    </row>
    <row r="2" spans="1:16" x14ac:dyDescent="0.35">
      <c r="B2" s="10" t="s">
        <v>48</v>
      </c>
      <c r="C2" s="10" t="s">
        <v>49</v>
      </c>
      <c r="D2" s="11">
        <f ca="1">SETTINGS!$B$4</f>
        <v>46309.827777777777</v>
      </c>
      <c r="G2" s="10" t="str">
        <f ca="1">C3&amp;" people waiting"</f>
        <v>0 people waiting</v>
      </c>
      <c r="N2" s="12">
        <f>SETTINGS!$B$14</f>
        <v>4</v>
      </c>
    </row>
    <row r="3" spans="1:16" x14ac:dyDescent="0.35">
      <c r="A3" s="13" t="str">
        <f ca="1">IF(ROUND(MOD(SETTINGS!$B$4,1)*1440,0)&lt;ROUND(SETTINGS!$B$9*1440,0),"Your shift has not started. Nothing to do yet.",IF(ROUND(MOD(SETTINGS!$B$4,1)*1440,0)&gt;=ROUND(SETTINGS!$B$10*1440,0),"Your shift is over. Thank you!",IF($C$3=0,"Nothing waiting right now. Check LOG column J for lines marked in orange.","")))</f>
        <v>Your shift is over. Thank you!</v>
      </c>
      <c r="C3" s="14">
        <f ca="1">SUMPRODUCT((DESK!$Z$2:$Z$601=$B$2)*(DESK!$AI$2:$AI$601&lt;&gt;""))</f>
        <v>0</v>
      </c>
    </row>
    <row r="4" spans="1:16" x14ac:dyDescent="0.35">
      <c r="A4" s="56" t="s">
        <v>50</v>
      </c>
      <c r="B4" s="57"/>
      <c r="C4" s="57"/>
      <c r="D4" s="15"/>
      <c r="E4" s="56" t="str">
        <f>IF($D$4="","",IF(IFERROR(MATCH($D$4&amp;"|1",DESK!$AJ$2:$AJ$601,0),"")="","Not on the open list (already done, or wrong number).",INDEX(DESK!$B$2:$B$601,IFERROR(MATCH($D$4&amp;"|1",DESK!$AJ$2:$AJ$601,0),""))&amp;" "&amp;INDEX(DESK!$G$2:$G$601,IFERROR(MATCH($D$4&amp;"|1",DESK!$AJ$2:$AJ$601,0),""))&amp;IF(IFERROR(MATCH($D$4&amp;"|2",DESK!$AJ$2:$AJ$601,0),"")="","","; "&amp;INDEX(DESK!$B$2:$B$601,IFERROR(MATCH($D$4&amp;"|2",DESK!$AJ$2:$AJ$601,0),""))&amp;" "&amp;INDEX(DESK!$G$2:$G$601,IFERROR(MATCH($D$4&amp;"|2",DESK!$AJ$2:$AJ$601,0),"")))&amp;IF(IFERROR(MATCH($D$4&amp;"|3",DESK!$AJ$2:$AJ$601,0),"")="","","; "&amp;INDEX(DESK!$B$2:$B$601,IFERROR(MATCH($D$4&amp;"|3",DESK!$AJ$2:$AJ$601,0),""))&amp;" "&amp;INDEX(DESK!$G$2:$G$601,IFERROR(MATCH($D$4&amp;"|3",DESK!$AJ$2:$AJ$601,0),"")))&amp;IF(INDEX(DESK!$AC$2:$AC$601,IFERROR(MATCH($D$4&amp;"|1",DESK!$AJ$2:$AJ$601,0),""))="YES"," : they said yes? Book it, log BOOKED."," : send the link, log SENT_LINK.")))</f>
        <v/>
      </c>
      <c r="F4" s="57"/>
      <c r="G4" s="57"/>
      <c r="H4" s="57"/>
      <c r="I4" s="57"/>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5" t="s">
        <v>51</v>
      </c>
      <c r="B6" s="5" t="s">
        <v>52</v>
      </c>
      <c r="C6" s="5" t="s">
        <v>53</v>
      </c>
      <c r="D6" s="5" t="s">
        <v>54</v>
      </c>
      <c r="E6" s="5" t="s">
        <v>55</v>
      </c>
      <c r="F6" s="5" t="s">
        <v>56</v>
      </c>
      <c r="G6" s="5" t="s">
        <v>57</v>
      </c>
      <c r="H6" s="5" t="s">
        <v>58</v>
      </c>
      <c r="I6" s="5" t="s">
        <v>59</v>
      </c>
      <c r="J6" s="5" t="s">
        <v>60</v>
      </c>
      <c r="K6" s="5" t="s">
        <v>61</v>
      </c>
      <c r="L6" s="5" t="s">
        <v>62</v>
      </c>
      <c r="M6" s="5" t="s">
        <v>63</v>
      </c>
      <c r="N6" s="5" t="s">
        <v>64</v>
      </c>
      <c r="O6" s="5" t="s">
        <v>65</v>
      </c>
      <c r="P6" s="5" t="s">
        <v>66</v>
      </c>
    </row>
    <row r="7" spans="1:16" ht="44" customHeight="1" x14ac:dyDescent="0.35">
      <c r="A7" s="9">
        <v>1</v>
      </c>
      <c r="B7" s="9" t="str">
        <f ca="1">IF(O7="","",INDEX(DESK!$D$2:$D$601,O7))</f>
        <v/>
      </c>
      <c r="C7" s="17" t="str">
        <f ca="1">IF(O7="","",INDEX(DESK!$F$2:$F$601,O7))</f>
        <v/>
      </c>
      <c r="D7" s="9" t="str">
        <f ca="1">IF(O7="","",INDEX(DESK!$B$2:$B$601,O7)&amp;" "&amp;INDEX(DESK!$G$2:$G$601,O7)&amp;IFERROR("; "&amp;INDEX(DESK!$B$2:$B$601,MATCH($C7&amp;"|2",DESK!$AJ$2:$AJ$601,0))&amp;" "&amp;INDEX(DESK!$G$2:$G$601,MATCH($C7&amp;"|2",DESK!$AJ$2:$AJ$601,0)),"")&amp;IFERROR("; "&amp;INDEX(DESK!$B$2:$B$601,MATCH($C7&amp;"|3",DESK!$AJ$2:$AJ$601,0))&amp;" "&amp;INDEX(DESK!$G$2:$G$601,MATCH($C7&amp;"|3",DESK!$AJ$2:$AJ$601,0)),""))</f>
        <v/>
      </c>
      <c r="E7" s="9" t="str">
        <f ca="1">IF(O7="","",ROUND(INDEX(DESK!$W$2:$W$601,O7),1))</f>
        <v/>
      </c>
      <c r="F7" s="9" t="str">
        <f ca="1">IF(O7="","",INDEX(DESK!$Q$2:$Q$601,O7)+1)</f>
        <v/>
      </c>
      <c r="G7" s="8"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9"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Ram|1</v>
      </c>
      <c r="O7" t="str">
        <f ca="1">IFERROR(MATCH(N7,DESK!$AI$2:$AI$601,0),"")</f>
        <v/>
      </c>
      <c r="P7" t="str">
        <f ca="1">IF(O7="","",IF((INDEX(DESK!$S$2:$S$601,O7)="SENT_LINK"),"CHK",IF(F7=1,"T1",IF(F7&gt;=SETTINGS!$B$6,"T3","T2"))))</f>
        <v/>
      </c>
    </row>
    <row r="8" spans="1:16" ht="44" customHeight="1" x14ac:dyDescent="0.35">
      <c r="A8" s="9">
        <v>2</v>
      </c>
      <c r="B8" s="9" t="str">
        <f ca="1">IF(O8="","",INDEX(DESK!$D$2:$D$601,O8))</f>
        <v/>
      </c>
      <c r="C8" s="17" t="str">
        <f ca="1">IF(O8="","",INDEX(DESK!$F$2:$F$601,O8))</f>
        <v/>
      </c>
      <c r="D8" s="9" t="str">
        <f ca="1">IF(O8="","",INDEX(DESK!$B$2:$B$601,O8)&amp;" "&amp;INDEX(DESK!$G$2:$G$601,O8)&amp;IFERROR("; "&amp;INDEX(DESK!$B$2:$B$601,MATCH($C8&amp;"|2",DESK!$AJ$2:$AJ$601,0))&amp;" "&amp;INDEX(DESK!$G$2:$G$601,MATCH($C8&amp;"|2",DESK!$AJ$2:$AJ$601,0)),"")&amp;IFERROR("; "&amp;INDEX(DESK!$B$2:$B$601,MATCH($C8&amp;"|3",DESK!$AJ$2:$AJ$601,0))&amp;" "&amp;INDEX(DESK!$G$2:$G$601,MATCH($C8&amp;"|3",DESK!$AJ$2:$AJ$601,0)),""))</f>
        <v/>
      </c>
      <c r="E8" s="9" t="str">
        <f ca="1">IF(O8="","",ROUND(INDEX(DESK!$W$2:$W$601,O8),1))</f>
        <v/>
      </c>
      <c r="F8" s="9" t="str">
        <f ca="1">IF(O8="","",INDEX(DESK!$Q$2:$Q$601,O8)+1)</f>
        <v/>
      </c>
      <c r="G8" s="8"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9"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Ram|2</v>
      </c>
      <c r="O8" t="str">
        <f ca="1">IFERROR(MATCH(N8,DESK!$AI$2:$AI$601,0),"")</f>
        <v/>
      </c>
      <c r="P8" t="str">
        <f ca="1">IF(O8="","",IF((INDEX(DESK!$S$2:$S$601,O8)="SENT_LINK"),"CHK",IF(F8=1,"T1",IF(F8&gt;=SETTINGS!$B$6,"T3","T2"))))</f>
        <v/>
      </c>
    </row>
    <row r="9" spans="1:16" ht="44" customHeight="1" x14ac:dyDescent="0.35">
      <c r="A9" s="9">
        <v>3</v>
      </c>
      <c r="B9" s="9" t="str">
        <f ca="1">IF(O9="","",INDEX(DESK!$D$2:$D$601,O9))</f>
        <v/>
      </c>
      <c r="C9" s="17" t="str">
        <f ca="1">IF(O9="","",INDEX(DESK!$F$2:$F$601,O9))</f>
        <v/>
      </c>
      <c r="D9" s="9" t="str">
        <f ca="1">IF(O9="","",INDEX(DESK!$B$2:$B$601,O9)&amp;" "&amp;INDEX(DESK!$G$2:$G$601,O9)&amp;IFERROR("; "&amp;INDEX(DESK!$B$2:$B$601,MATCH($C9&amp;"|2",DESK!$AJ$2:$AJ$601,0))&amp;" "&amp;INDEX(DESK!$G$2:$G$601,MATCH($C9&amp;"|2",DESK!$AJ$2:$AJ$601,0)),"")&amp;IFERROR("; "&amp;INDEX(DESK!$B$2:$B$601,MATCH($C9&amp;"|3",DESK!$AJ$2:$AJ$601,0))&amp;" "&amp;INDEX(DESK!$G$2:$G$601,MATCH($C9&amp;"|3",DESK!$AJ$2:$AJ$601,0)),""))</f>
        <v/>
      </c>
      <c r="E9" s="9" t="str">
        <f ca="1">IF(O9="","",ROUND(INDEX(DESK!$W$2:$W$601,O9),1))</f>
        <v/>
      </c>
      <c r="F9" s="9" t="str">
        <f ca="1">IF(O9="","",INDEX(DESK!$Q$2:$Q$601,O9)+1)</f>
        <v/>
      </c>
      <c r="G9" s="8"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9"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Ram|3</v>
      </c>
      <c r="O9" t="str">
        <f ca="1">IFERROR(MATCH(N9,DESK!$AI$2:$AI$601,0),"")</f>
        <v/>
      </c>
      <c r="P9" t="str">
        <f ca="1">IF(O9="","",IF((INDEX(DESK!$S$2:$S$601,O9)="SENT_LINK"),"CHK",IF(F9=1,"T1",IF(F9&gt;=SETTINGS!$B$6,"T3","T2"))))</f>
        <v/>
      </c>
    </row>
    <row r="10" spans="1:16" ht="44" customHeight="1" x14ac:dyDescent="0.35">
      <c r="A10" s="9">
        <v>4</v>
      </c>
      <c r="B10" s="9" t="str">
        <f ca="1">IF(O10="","",INDEX(DESK!$D$2:$D$601,O10))</f>
        <v/>
      </c>
      <c r="C10" s="17" t="str">
        <f ca="1">IF(O10="","",INDEX(DESK!$F$2:$F$601,O10))</f>
        <v/>
      </c>
      <c r="D10" s="9" t="str">
        <f ca="1">IF(O10="","",INDEX(DESK!$B$2:$B$601,O10)&amp;" "&amp;INDEX(DESK!$G$2:$G$601,O10)&amp;IFERROR("; "&amp;INDEX(DESK!$B$2:$B$601,MATCH($C10&amp;"|2",DESK!$AJ$2:$AJ$601,0))&amp;" "&amp;INDEX(DESK!$G$2:$G$601,MATCH($C10&amp;"|2",DESK!$AJ$2:$AJ$601,0)),"")&amp;IFERROR("; "&amp;INDEX(DESK!$B$2:$B$601,MATCH($C10&amp;"|3",DESK!$AJ$2:$AJ$601,0))&amp;" "&amp;INDEX(DESK!$G$2:$G$601,MATCH($C10&amp;"|3",DESK!$AJ$2:$AJ$601,0)),""))</f>
        <v/>
      </c>
      <c r="E10" s="9" t="str">
        <f ca="1">IF(O10="","",ROUND(INDEX(DESK!$W$2:$W$601,O10),1))</f>
        <v/>
      </c>
      <c r="F10" s="9" t="str">
        <f ca="1">IF(O10="","",INDEX(DESK!$Q$2:$Q$601,O10)+1)</f>
        <v/>
      </c>
      <c r="G10" s="8"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9"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Ram|4</v>
      </c>
      <c r="O10" t="str">
        <f ca="1">IFERROR(MATCH(N10,DESK!$AI$2:$AI$601,0),"")</f>
        <v/>
      </c>
      <c r="P10" t="str">
        <f ca="1">IF(O10="","",IF((INDEX(DESK!$S$2:$S$601,O10)="SENT_LINK"),"CHK",IF(F10=1,"T1",IF(F10&gt;=SETTINGS!$B$6,"T3","T2"))))</f>
        <v/>
      </c>
    </row>
    <row r="11" spans="1:16" ht="44" customHeight="1" x14ac:dyDescent="0.35">
      <c r="A11" s="9">
        <v>5</v>
      </c>
      <c r="B11" s="9" t="str">
        <f ca="1">IF(O11="","",INDEX(DESK!$D$2:$D$601,O11))</f>
        <v/>
      </c>
      <c r="C11" s="17" t="str">
        <f ca="1">IF(O11="","",INDEX(DESK!$F$2:$F$601,O11))</f>
        <v/>
      </c>
      <c r="D11" s="9" t="str">
        <f ca="1">IF(O11="","",INDEX(DESK!$B$2:$B$601,O11)&amp;" "&amp;INDEX(DESK!$G$2:$G$601,O11)&amp;IFERROR("; "&amp;INDEX(DESK!$B$2:$B$601,MATCH($C11&amp;"|2",DESK!$AJ$2:$AJ$601,0))&amp;" "&amp;INDEX(DESK!$G$2:$G$601,MATCH($C11&amp;"|2",DESK!$AJ$2:$AJ$601,0)),"")&amp;IFERROR("; "&amp;INDEX(DESK!$B$2:$B$601,MATCH($C11&amp;"|3",DESK!$AJ$2:$AJ$601,0))&amp;" "&amp;INDEX(DESK!$G$2:$G$601,MATCH($C11&amp;"|3",DESK!$AJ$2:$AJ$601,0)),""))</f>
        <v/>
      </c>
      <c r="E11" s="9" t="str">
        <f ca="1">IF(O11="","",ROUND(INDEX(DESK!$W$2:$W$601,O11),1))</f>
        <v/>
      </c>
      <c r="F11" s="9" t="str">
        <f ca="1">IF(O11="","",INDEX(DESK!$Q$2:$Q$601,O11)+1)</f>
        <v/>
      </c>
      <c r="G11" s="8"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9"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Ram|5</v>
      </c>
      <c r="O11" t="str">
        <f ca="1">IFERROR(MATCH(N11,DESK!$AI$2:$AI$601,0),"")</f>
        <v/>
      </c>
      <c r="P11" t="str">
        <f ca="1">IF(O11="","",IF((INDEX(DESK!$S$2:$S$601,O11)="SENT_LINK"),"CHK",IF(F11=1,"T1",IF(F11&gt;=SETTINGS!$B$6,"T3","T2"))))</f>
        <v/>
      </c>
    </row>
    <row r="12" spans="1:16" ht="44" customHeight="1" x14ac:dyDescent="0.35">
      <c r="A12" s="9">
        <v>6</v>
      </c>
      <c r="B12" s="9" t="str">
        <f ca="1">IF(O12="","",INDEX(DESK!$D$2:$D$601,O12))</f>
        <v/>
      </c>
      <c r="C12" s="17" t="str">
        <f ca="1">IF(O12="","",INDEX(DESK!$F$2:$F$601,O12))</f>
        <v/>
      </c>
      <c r="D12" s="9" t="str">
        <f ca="1">IF(O12="","",INDEX(DESK!$B$2:$B$601,O12)&amp;" "&amp;INDEX(DESK!$G$2:$G$601,O12)&amp;IFERROR("; "&amp;INDEX(DESK!$B$2:$B$601,MATCH($C12&amp;"|2",DESK!$AJ$2:$AJ$601,0))&amp;" "&amp;INDEX(DESK!$G$2:$G$601,MATCH($C12&amp;"|2",DESK!$AJ$2:$AJ$601,0)),"")&amp;IFERROR("; "&amp;INDEX(DESK!$B$2:$B$601,MATCH($C12&amp;"|3",DESK!$AJ$2:$AJ$601,0))&amp;" "&amp;INDEX(DESK!$G$2:$G$601,MATCH($C12&amp;"|3",DESK!$AJ$2:$AJ$601,0)),""))</f>
        <v/>
      </c>
      <c r="E12" s="9" t="str">
        <f ca="1">IF(O12="","",ROUND(INDEX(DESK!$W$2:$W$601,O12),1))</f>
        <v/>
      </c>
      <c r="F12" s="9" t="str">
        <f ca="1">IF(O12="","",INDEX(DESK!$Q$2:$Q$601,O12)+1)</f>
        <v/>
      </c>
      <c r="G12" s="8"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9"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Ram|6</v>
      </c>
      <c r="O12" t="str">
        <f ca="1">IFERROR(MATCH(N12,DESK!$AI$2:$AI$601,0),"")</f>
        <v/>
      </c>
      <c r="P12" t="str">
        <f ca="1">IF(O12="","",IF((INDEX(DESK!$S$2:$S$601,O12)="SENT_LINK"),"CHK",IF(F12=1,"T1",IF(F12&gt;=SETTINGS!$B$6,"T3","T2"))))</f>
        <v/>
      </c>
    </row>
    <row r="13" spans="1:16" ht="44" customHeight="1" x14ac:dyDescent="0.35">
      <c r="A13" s="9">
        <v>7</v>
      </c>
      <c r="B13" s="9" t="str">
        <f ca="1">IF(O13="","",INDEX(DESK!$D$2:$D$601,O13))</f>
        <v/>
      </c>
      <c r="C13" s="17" t="str">
        <f ca="1">IF(O13="","",INDEX(DESK!$F$2:$F$601,O13))</f>
        <v/>
      </c>
      <c r="D13" s="9" t="str">
        <f ca="1">IF(O13="","",INDEX(DESK!$B$2:$B$601,O13)&amp;" "&amp;INDEX(DESK!$G$2:$G$601,O13)&amp;IFERROR("; "&amp;INDEX(DESK!$B$2:$B$601,MATCH($C13&amp;"|2",DESK!$AJ$2:$AJ$601,0))&amp;" "&amp;INDEX(DESK!$G$2:$G$601,MATCH($C13&amp;"|2",DESK!$AJ$2:$AJ$601,0)),"")&amp;IFERROR("; "&amp;INDEX(DESK!$B$2:$B$601,MATCH($C13&amp;"|3",DESK!$AJ$2:$AJ$601,0))&amp;" "&amp;INDEX(DESK!$G$2:$G$601,MATCH($C13&amp;"|3",DESK!$AJ$2:$AJ$601,0)),""))</f>
        <v/>
      </c>
      <c r="E13" s="9" t="str">
        <f ca="1">IF(O13="","",ROUND(INDEX(DESK!$W$2:$W$601,O13),1))</f>
        <v/>
      </c>
      <c r="F13" s="9" t="str">
        <f ca="1">IF(O13="","",INDEX(DESK!$Q$2:$Q$601,O13)+1)</f>
        <v/>
      </c>
      <c r="G13" s="8"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9"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Ram|7</v>
      </c>
      <c r="O13" t="str">
        <f ca="1">IFERROR(MATCH(N13,DESK!$AI$2:$AI$601,0),"")</f>
        <v/>
      </c>
      <c r="P13" t="str">
        <f ca="1">IF(O13="","",IF((INDEX(DESK!$S$2:$S$601,O13)="SENT_LINK"),"CHK",IF(F13=1,"T1",IF(F13&gt;=SETTINGS!$B$6,"T3","T2"))))</f>
        <v/>
      </c>
    </row>
    <row r="14" spans="1:16" ht="44" customHeight="1" x14ac:dyDescent="0.35">
      <c r="A14" s="9">
        <v>8</v>
      </c>
      <c r="B14" s="9" t="str">
        <f ca="1">IF(O14="","",INDEX(DESK!$D$2:$D$601,O14))</f>
        <v/>
      </c>
      <c r="C14" s="17" t="str">
        <f ca="1">IF(O14="","",INDEX(DESK!$F$2:$F$601,O14))</f>
        <v/>
      </c>
      <c r="D14" s="9" t="str">
        <f ca="1">IF(O14="","",INDEX(DESK!$B$2:$B$601,O14)&amp;" "&amp;INDEX(DESK!$G$2:$G$601,O14)&amp;IFERROR("; "&amp;INDEX(DESK!$B$2:$B$601,MATCH($C14&amp;"|2",DESK!$AJ$2:$AJ$601,0))&amp;" "&amp;INDEX(DESK!$G$2:$G$601,MATCH($C14&amp;"|2",DESK!$AJ$2:$AJ$601,0)),"")&amp;IFERROR("; "&amp;INDEX(DESK!$B$2:$B$601,MATCH($C14&amp;"|3",DESK!$AJ$2:$AJ$601,0))&amp;" "&amp;INDEX(DESK!$G$2:$G$601,MATCH($C14&amp;"|3",DESK!$AJ$2:$AJ$601,0)),""))</f>
        <v/>
      </c>
      <c r="E14" s="9" t="str">
        <f ca="1">IF(O14="","",ROUND(INDEX(DESK!$W$2:$W$601,O14),1))</f>
        <v/>
      </c>
      <c r="F14" s="9" t="str">
        <f ca="1">IF(O14="","",INDEX(DESK!$Q$2:$Q$601,O14)+1)</f>
        <v/>
      </c>
      <c r="G14" s="8"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9"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Ram|8</v>
      </c>
      <c r="O14" t="str">
        <f ca="1">IFERROR(MATCH(N14,DESK!$AI$2:$AI$601,0),"")</f>
        <v/>
      </c>
      <c r="P14" t="str">
        <f ca="1">IF(O14="","",IF((INDEX(DESK!$S$2:$S$601,O14)="SENT_LINK"),"CHK",IF(F14=1,"T1",IF(F14&gt;=SETTINGS!$B$6,"T3","T2"))))</f>
        <v/>
      </c>
    </row>
    <row r="15" spans="1:16" ht="44" customHeight="1" x14ac:dyDescent="0.35">
      <c r="A15" s="9">
        <v>9</v>
      </c>
      <c r="B15" s="9" t="str">
        <f ca="1">IF(O15="","",INDEX(DESK!$D$2:$D$601,O15))</f>
        <v/>
      </c>
      <c r="C15" s="17" t="str">
        <f ca="1">IF(O15="","",INDEX(DESK!$F$2:$F$601,O15))</f>
        <v/>
      </c>
      <c r="D15" s="9" t="str">
        <f ca="1">IF(O15="","",INDEX(DESK!$B$2:$B$601,O15)&amp;" "&amp;INDEX(DESK!$G$2:$G$601,O15)&amp;IFERROR("; "&amp;INDEX(DESK!$B$2:$B$601,MATCH($C15&amp;"|2",DESK!$AJ$2:$AJ$601,0))&amp;" "&amp;INDEX(DESK!$G$2:$G$601,MATCH($C15&amp;"|2",DESK!$AJ$2:$AJ$601,0)),"")&amp;IFERROR("; "&amp;INDEX(DESK!$B$2:$B$601,MATCH($C15&amp;"|3",DESK!$AJ$2:$AJ$601,0))&amp;" "&amp;INDEX(DESK!$G$2:$G$601,MATCH($C15&amp;"|3",DESK!$AJ$2:$AJ$601,0)),""))</f>
        <v/>
      </c>
      <c r="E15" s="9" t="str">
        <f ca="1">IF(O15="","",ROUND(INDEX(DESK!$W$2:$W$601,O15),1))</f>
        <v/>
      </c>
      <c r="F15" s="9" t="str">
        <f ca="1">IF(O15="","",INDEX(DESK!$Q$2:$Q$601,O15)+1)</f>
        <v/>
      </c>
      <c r="G15" s="8"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9"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Ram|9</v>
      </c>
      <c r="O15" t="str">
        <f ca="1">IFERROR(MATCH(N15,DESK!$AI$2:$AI$601,0),"")</f>
        <v/>
      </c>
      <c r="P15" t="str">
        <f ca="1">IF(O15="","",IF((INDEX(DESK!$S$2:$S$601,O15)="SENT_LINK"),"CHK",IF(F15=1,"T1",IF(F15&gt;=SETTINGS!$B$6,"T3","T2"))))</f>
        <v/>
      </c>
    </row>
    <row r="16" spans="1:16" ht="44" customHeight="1" x14ac:dyDescent="0.35">
      <c r="A16" s="9">
        <v>10</v>
      </c>
      <c r="B16" s="9" t="str">
        <f ca="1">IF(O16="","",INDEX(DESK!$D$2:$D$601,O16))</f>
        <v/>
      </c>
      <c r="C16" s="17" t="str">
        <f ca="1">IF(O16="","",INDEX(DESK!$F$2:$F$601,O16))</f>
        <v/>
      </c>
      <c r="D16" s="9" t="str">
        <f ca="1">IF(O16="","",INDEX(DESK!$B$2:$B$601,O16)&amp;" "&amp;INDEX(DESK!$G$2:$G$601,O16)&amp;IFERROR("; "&amp;INDEX(DESK!$B$2:$B$601,MATCH($C16&amp;"|2",DESK!$AJ$2:$AJ$601,0))&amp;" "&amp;INDEX(DESK!$G$2:$G$601,MATCH($C16&amp;"|2",DESK!$AJ$2:$AJ$601,0)),"")&amp;IFERROR("; "&amp;INDEX(DESK!$B$2:$B$601,MATCH($C16&amp;"|3",DESK!$AJ$2:$AJ$601,0))&amp;" "&amp;INDEX(DESK!$G$2:$G$601,MATCH($C16&amp;"|3",DESK!$AJ$2:$AJ$601,0)),""))</f>
        <v/>
      </c>
      <c r="E16" s="9" t="str">
        <f ca="1">IF(O16="","",ROUND(INDEX(DESK!$W$2:$W$601,O16),1))</f>
        <v/>
      </c>
      <c r="F16" s="9" t="str">
        <f ca="1">IF(O16="","",INDEX(DESK!$Q$2:$Q$601,O16)+1)</f>
        <v/>
      </c>
      <c r="G16" s="8"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9"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Ram|10</v>
      </c>
      <c r="O16" t="str">
        <f ca="1">IFERROR(MATCH(N16,DESK!$AI$2:$AI$601,0),"")</f>
        <v/>
      </c>
      <c r="P16" t="str">
        <f ca="1">IF(O16="","",IF((INDEX(DESK!$S$2:$S$601,O16)="SENT_LINK"),"CHK",IF(F16=1,"T1",IF(F16&gt;=SETTINGS!$B$6,"T3","T2"))))</f>
        <v/>
      </c>
    </row>
    <row r="17" spans="1:16" ht="44" customHeight="1" x14ac:dyDescent="0.35">
      <c r="A17" s="9">
        <v>11</v>
      </c>
      <c r="B17" s="9" t="str">
        <f ca="1">IF(O17="","",INDEX(DESK!$D$2:$D$601,O17))</f>
        <v/>
      </c>
      <c r="C17" s="17" t="str">
        <f ca="1">IF(O17="","",INDEX(DESK!$F$2:$F$601,O17))</f>
        <v/>
      </c>
      <c r="D17" s="9" t="str">
        <f ca="1">IF(O17="","",INDEX(DESK!$B$2:$B$601,O17)&amp;" "&amp;INDEX(DESK!$G$2:$G$601,O17)&amp;IFERROR("; "&amp;INDEX(DESK!$B$2:$B$601,MATCH($C17&amp;"|2",DESK!$AJ$2:$AJ$601,0))&amp;" "&amp;INDEX(DESK!$G$2:$G$601,MATCH($C17&amp;"|2",DESK!$AJ$2:$AJ$601,0)),"")&amp;IFERROR("; "&amp;INDEX(DESK!$B$2:$B$601,MATCH($C17&amp;"|3",DESK!$AJ$2:$AJ$601,0))&amp;" "&amp;INDEX(DESK!$G$2:$G$601,MATCH($C17&amp;"|3",DESK!$AJ$2:$AJ$601,0)),""))</f>
        <v/>
      </c>
      <c r="E17" s="9" t="str">
        <f ca="1">IF(O17="","",ROUND(INDEX(DESK!$W$2:$W$601,O17),1))</f>
        <v/>
      </c>
      <c r="F17" s="9" t="str">
        <f ca="1">IF(O17="","",INDEX(DESK!$Q$2:$Q$601,O17)+1)</f>
        <v/>
      </c>
      <c r="G17" s="8"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9"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Ram|11</v>
      </c>
      <c r="O17" t="str">
        <f ca="1">IFERROR(MATCH(N17,DESK!$AI$2:$AI$601,0),"")</f>
        <v/>
      </c>
      <c r="P17" t="str">
        <f ca="1">IF(O17="","",IF((INDEX(DESK!$S$2:$S$601,O17)="SENT_LINK"),"CHK",IF(F17=1,"T1",IF(F17&gt;=SETTINGS!$B$6,"T3","T2"))))</f>
        <v/>
      </c>
    </row>
    <row r="18" spans="1:16" ht="44" customHeight="1" x14ac:dyDescent="0.35">
      <c r="A18" s="9">
        <v>12</v>
      </c>
      <c r="B18" s="9" t="str">
        <f ca="1">IF(O18="","",INDEX(DESK!$D$2:$D$601,O18))</f>
        <v/>
      </c>
      <c r="C18" s="17" t="str">
        <f ca="1">IF(O18="","",INDEX(DESK!$F$2:$F$601,O18))</f>
        <v/>
      </c>
      <c r="D18" s="9" t="str">
        <f ca="1">IF(O18="","",INDEX(DESK!$B$2:$B$601,O18)&amp;" "&amp;INDEX(DESK!$G$2:$G$601,O18)&amp;IFERROR("; "&amp;INDEX(DESK!$B$2:$B$601,MATCH($C18&amp;"|2",DESK!$AJ$2:$AJ$601,0))&amp;" "&amp;INDEX(DESK!$G$2:$G$601,MATCH($C18&amp;"|2",DESK!$AJ$2:$AJ$601,0)),"")&amp;IFERROR("; "&amp;INDEX(DESK!$B$2:$B$601,MATCH($C18&amp;"|3",DESK!$AJ$2:$AJ$601,0))&amp;" "&amp;INDEX(DESK!$G$2:$G$601,MATCH($C18&amp;"|3",DESK!$AJ$2:$AJ$601,0)),""))</f>
        <v/>
      </c>
      <c r="E18" s="9" t="str">
        <f ca="1">IF(O18="","",ROUND(INDEX(DESK!$W$2:$W$601,O18),1))</f>
        <v/>
      </c>
      <c r="F18" s="9" t="str">
        <f ca="1">IF(O18="","",INDEX(DESK!$Q$2:$Q$601,O18)+1)</f>
        <v/>
      </c>
      <c r="G18" s="8"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9"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Ram|12</v>
      </c>
      <c r="O18" t="str">
        <f ca="1">IFERROR(MATCH(N18,DESK!$AI$2:$AI$601,0),"")</f>
        <v/>
      </c>
      <c r="P18" t="str">
        <f ca="1">IF(O18="","",IF((INDEX(DESK!$S$2:$S$601,O18)="SENT_LINK"),"CHK",IF(F18=1,"T1",IF(F18&gt;=SETTINGS!$B$6,"T3","T2"))))</f>
        <v/>
      </c>
    </row>
    <row r="19" spans="1:16" ht="44" customHeight="1" x14ac:dyDescent="0.35">
      <c r="A19" s="9">
        <v>13</v>
      </c>
      <c r="B19" s="9" t="str">
        <f ca="1">IF(O19="","",INDEX(DESK!$D$2:$D$601,O19))</f>
        <v/>
      </c>
      <c r="C19" s="17" t="str">
        <f ca="1">IF(O19="","",INDEX(DESK!$F$2:$F$601,O19))</f>
        <v/>
      </c>
      <c r="D19" s="9" t="str">
        <f ca="1">IF(O19="","",INDEX(DESK!$B$2:$B$601,O19)&amp;" "&amp;INDEX(DESK!$G$2:$G$601,O19)&amp;IFERROR("; "&amp;INDEX(DESK!$B$2:$B$601,MATCH($C19&amp;"|2",DESK!$AJ$2:$AJ$601,0))&amp;" "&amp;INDEX(DESK!$G$2:$G$601,MATCH($C19&amp;"|2",DESK!$AJ$2:$AJ$601,0)),"")&amp;IFERROR("; "&amp;INDEX(DESK!$B$2:$B$601,MATCH($C19&amp;"|3",DESK!$AJ$2:$AJ$601,0))&amp;" "&amp;INDEX(DESK!$G$2:$G$601,MATCH($C19&amp;"|3",DESK!$AJ$2:$AJ$601,0)),""))</f>
        <v/>
      </c>
      <c r="E19" s="9" t="str">
        <f ca="1">IF(O19="","",ROUND(INDEX(DESK!$W$2:$W$601,O19),1))</f>
        <v/>
      </c>
      <c r="F19" s="9" t="str">
        <f ca="1">IF(O19="","",INDEX(DESK!$Q$2:$Q$601,O19)+1)</f>
        <v/>
      </c>
      <c r="G19" s="8"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9"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Ram|13</v>
      </c>
      <c r="O19" t="str">
        <f ca="1">IFERROR(MATCH(N19,DESK!$AI$2:$AI$601,0),"")</f>
        <v/>
      </c>
      <c r="P19" t="str">
        <f ca="1">IF(O19="","",IF((INDEX(DESK!$S$2:$S$601,O19)="SENT_LINK"),"CHK",IF(F19=1,"T1",IF(F19&gt;=SETTINGS!$B$6,"T3","T2"))))</f>
        <v/>
      </c>
    </row>
    <row r="20" spans="1:16" ht="44" customHeight="1" x14ac:dyDescent="0.35">
      <c r="A20" s="9">
        <v>14</v>
      </c>
      <c r="B20" s="9" t="str">
        <f ca="1">IF(O20="","",INDEX(DESK!$D$2:$D$601,O20))</f>
        <v/>
      </c>
      <c r="C20" s="17" t="str">
        <f ca="1">IF(O20="","",INDEX(DESK!$F$2:$F$601,O20))</f>
        <v/>
      </c>
      <c r="D20" s="9" t="str">
        <f ca="1">IF(O20="","",INDEX(DESK!$B$2:$B$601,O20)&amp;" "&amp;INDEX(DESK!$G$2:$G$601,O20)&amp;IFERROR("; "&amp;INDEX(DESK!$B$2:$B$601,MATCH($C20&amp;"|2",DESK!$AJ$2:$AJ$601,0))&amp;" "&amp;INDEX(DESK!$G$2:$G$601,MATCH($C20&amp;"|2",DESK!$AJ$2:$AJ$601,0)),"")&amp;IFERROR("; "&amp;INDEX(DESK!$B$2:$B$601,MATCH($C20&amp;"|3",DESK!$AJ$2:$AJ$601,0))&amp;" "&amp;INDEX(DESK!$G$2:$G$601,MATCH($C20&amp;"|3",DESK!$AJ$2:$AJ$601,0)),""))</f>
        <v/>
      </c>
      <c r="E20" s="9" t="str">
        <f ca="1">IF(O20="","",ROUND(INDEX(DESK!$W$2:$W$601,O20),1))</f>
        <v/>
      </c>
      <c r="F20" s="9" t="str">
        <f ca="1">IF(O20="","",INDEX(DESK!$Q$2:$Q$601,O20)+1)</f>
        <v/>
      </c>
      <c r="G20" s="8"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9"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Ram|14</v>
      </c>
      <c r="O20" t="str">
        <f ca="1">IFERROR(MATCH(N20,DESK!$AI$2:$AI$601,0),"")</f>
        <v/>
      </c>
      <c r="P20" t="str">
        <f ca="1">IF(O20="","",IF((INDEX(DESK!$S$2:$S$601,O20)="SENT_LINK"),"CHK",IF(F20=1,"T1",IF(F20&gt;=SETTINGS!$B$6,"T3","T2"))))</f>
        <v/>
      </c>
    </row>
    <row r="21" spans="1:16" ht="44" customHeight="1" x14ac:dyDescent="0.35">
      <c r="A21" s="9">
        <v>15</v>
      </c>
      <c r="B21" s="9" t="str">
        <f ca="1">IF(O21="","",INDEX(DESK!$D$2:$D$601,O21))</f>
        <v/>
      </c>
      <c r="C21" s="17" t="str">
        <f ca="1">IF(O21="","",INDEX(DESK!$F$2:$F$601,O21))</f>
        <v/>
      </c>
      <c r="D21" s="9" t="str">
        <f ca="1">IF(O21="","",INDEX(DESK!$B$2:$B$601,O21)&amp;" "&amp;INDEX(DESK!$G$2:$G$601,O21)&amp;IFERROR("; "&amp;INDEX(DESK!$B$2:$B$601,MATCH($C21&amp;"|2",DESK!$AJ$2:$AJ$601,0))&amp;" "&amp;INDEX(DESK!$G$2:$G$601,MATCH($C21&amp;"|2",DESK!$AJ$2:$AJ$601,0)),"")&amp;IFERROR("; "&amp;INDEX(DESK!$B$2:$B$601,MATCH($C21&amp;"|3",DESK!$AJ$2:$AJ$601,0))&amp;" "&amp;INDEX(DESK!$G$2:$G$601,MATCH($C21&amp;"|3",DESK!$AJ$2:$AJ$601,0)),""))</f>
        <v/>
      </c>
      <c r="E21" s="9" t="str">
        <f ca="1">IF(O21="","",ROUND(INDEX(DESK!$W$2:$W$601,O21),1))</f>
        <v/>
      </c>
      <c r="F21" s="9" t="str">
        <f ca="1">IF(O21="","",INDEX(DESK!$Q$2:$Q$601,O21)+1)</f>
        <v/>
      </c>
      <c r="G21" s="8"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9"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Ram|15</v>
      </c>
      <c r="O21" t="str">
        <f ca="1">IFERROR(MATCH(N21,DESK!$AI$2:$AI$601,0),"")</f>
        <v/>
      </c>
      <c r="P21" t="str">
        <f ca="1">IF(O21="","",IF((INDEX(DESK!$S$2:$S$601,O21)="SENT_LINK"),"CHK",IF(F21=1,"T1",IF(F21&gt;=SETTINGS!$B$6,"T3","T2"))))</f>
        <v/>
      </c>
    </row>
    <row r="22" spans="1:16" ht="44" customHeight="1" x14ac:dyDescent="0.35">
      <c r="A22" s="9">
        <v>16</v>
      </c>
      <c r="B22" s="9" t="str">
        <f ca="1">IF(O22="","",INDEX(DESK!$D$2:$D$601,O22))</f>
        <v/>
      </c>
      <c r="C22" s="17" t="str">
        <f ca="1">IF(O22="","",INDEX(DESK!$F$2:$F$601,O22))</f>
        <v/>
      </c>
      <c r="D22" s="9" t="str">
        <f ca="1">IF(O22="","",INDEX(DESK!$B$2:$B$601,O22)&amp;" "&amp;INDEX(DESK!$G$2:$G$601,O22)&amp;IFERROR("; "&amp;INDEX(DESK!$B$2:$B$601,MATCH($C22&amp;"|2",DESK!$AJ$2:$AJ$601,0))&amp;" "&amp;INDEX(DESK!$G$2:$G$601,MATCH($C22&amp;"|2",DESK!$AJ$2:$AJ$601,0)),"")&amp;IFERROR("; "&amp;INDEX(DESK!$B$2:$B$601,MATCH($C22&amp;"|3",DESK!$AJ$2:$AJ$601,0))&amp;" "&amp;INDEX(DESK!$G$2:$G$601,MATCH($C22&amp;"|3",DESK!$AJ$2:$AJ$601,0)),""))</f>
        <v/>
      </c>
      <c r="E22" s="9" t="str">
        <f ca="1">IF(O22="","",ROUND(INDEX(DESK!$W$2:$W$601,O22),1))</f>
        <v/>
      </c>
      <c r="F22" s="9" t="str">
        <f ca="1">IF(O22="","",INDEX(DESK!$Q$2:$Q$601,O22)+1)</f>
        <v/>
      </c>
      <c r="G22" s="8"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9"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Ram|16</v>
      </c>
      <c r="O22" t="str">
        <f ca="1">IFERROR(MATCH(N22,DESK!$AI$2:$AI$601,0),"")</f>
        <v/>
      </c>
      <c r="P22" t="str">
        <f ca="1">IF(O22="","",IF((INDEX(DESK!$S$2:$S$601,O22)="SENT_LINK"),"CHK",IF(F22=1,"T1",IF(F22&gt;=SETTINGS!$B$6,"T3","T2"))))</f>
        <v/>
      </c>
    </row>
    <row r="23" spans="1:16" ht="44" customHeight="1" x14ac:dyDescent="0.35">
      <c r="A23" s="9">
        <v>17</v>
      </c>
      <c r="B23" s="9" t="str">
        <f ca="1">IF(O23="","",INDEX(DESK!$D$2:$D$601,O23))</f>
        <v/>
      </c>
      <c r="C23" s="17" t="str">
        <f ca="1">IF(O23="","",INDEX(DESK!$F$2:$F$601,O23))</f>
        <v/>
      </c>
      <c r="D23" s="9" t="str">
        <f ca="1">IF(O23="","",INDEX(DESK!$B$2:$B$601,O23)&amp;" "&amp;INDEX(DESK!$G$2:$G$601,O23)&amp;IFERROR("; "&amp;INDEX(DESK!$B$2:$B$601,MATCH($C23&amp;"|2",DESK!$AJ$2:$AJ$601,0))&amp;" "&amp;INDEX(DESK!$G$2:$G$601,MATCH($C23&amp;"|2",DESK!$AJ$2:$AJ$601,0)),"")&amp;IFERROR("; "&amp;INDEX(DESK!$B$2:$B$601,MATCH($C23&amp;"|3",DESK!$AJ$2:$AJ$601,0))&amp;" "&amp;INDEX(DESK!$G$2:$G$601,MATCH($C23&amp;"|3",DESK!$AJ$2:$AJ$601,0)),""))</f>
        <v/>
      </c>
      <c r="E23" s="9" t="str">
        <f ca="1">IF(O23="","",ROUND(INDEX(DESK!$W$2:$W$601,O23),1))</f>
        <v/>
      </c>
      <c r="F23" s="9" t="str">
        <f ca="1">IF(O23="","",INDEX(DESK!$Q$2:$Q$601,O23)+1)</f>
        <v/>
      </c>
      <c r="G23" s="8"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9"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Ram|17</v>
      </c>
      <c r="O23" t="str">
        <f ca="1">IFERROR(MATCH(N23,DESK!$AI$2:$AI$601,0),"")</f>
        <v/>
      </c>
      <c r="P23" t="str">
        <f ca="1">IF(O23="","",IF((INDEX(DESK!$S$2:$S$601,O23)="SENT_LINK"),"CHK",IF(F23=1,"T1",IF(F23&gt;=SETTINGS!$B$6,"T3","T2"))))</f>
        <v/>
      </c>
    </row>
    <row r="24" spans="1:16" ht="44" customHeight="1" x14ac:dyDescent="0.35">
      <c r="A24" s="9">
        <v>18</v>
      </c>
      <c r="B24" s="9" t="str">
        <f ca="1">IF(O24="","",INDEX(DESK!$D$2:$D$601,O24))</f>
        <v/>
      </c>
      <c r="C24" s="17" t="str">
        <f ca="1">IF(O24="","",INDEX(DESK!$F$2:$F$601,O24))</f>
        <v/>
      </c>
      <c r="D24" s="9" t="str">
        <f ca="1">IF(O24="","",INDEX(DESK!$B$2:$B$601,O24)&amp;" "&amp;INDEX(DESK!$G$2:$G$601,O24)&amp;IFERROR("; "&amp;INDEX(DESK!$B$2:$B$601,MATCH($C24&amp;"|2",DESK!$AJ$2:$AJ$601,0))&amp;" "&amp;INDEX(DESK!$G$2:$G$601,MATCH($C24&amp;"|2",DESK!$AJ$2:$AJ$601,0)),"")&amp;IFERROR("; "&amp;INDEX(DESK!$B$2:$B$601,MATCH($C24&amp;"|3",DESK!$AJ$2:$AJ$601,0))&amp;" "&amp;INDEX(DESK!$G$2:$G$601,MATCH($C24&amp;"|3",DESK!$AJ$2:$AJ$601,0)),""))</f>
        <v/>
      </c>
      <c r="E24" s="9" t="str">
        <f ca="1">IF(O24="","",ROUND(INDEX(DESK!$W$2:$W$601,O24),1))</f>
        <v/>
      </c>
      <c r="F24" s="9" t="str">
        <f ca="1">IF(O24="","",INDEX(DESK!$Q$2:$Q$601,O24)+1)</f>
        <v/>
      </c>
      <c r="G24" s="8"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9"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Ram|18</v>
      </c>
      <c r="O24" t="str">
        <f ca="1">IFERROR(MATCH(N24,DESK!$AI$2:$AI$601,0),"")</f>
        <v/>
      </c>
      <c r="P24" t="str">
        <f ca="1">IF(O24="","",IF((INDEX(DESK!$S$2:$S$601,O24)="SENT_LINK"),"CHK",IF(F24=1,"T1",IF(F24&gt;=SETTINGS!$B$6,"T3","T2"))))</f>
        <v/>
      </c>
    </row>
    <row r="25" spans="1:16" ht="44" customHeight="1" x14ac:dyDescent="0.35">
      <c r="A25" s="9">
        <v>19</v>
      </c>
      <c r="B25" s="9" t="str">
        <f ca="1">IF(O25="","",INDEX(DESK!$D$2:$D$601,O25))</f>
        <v/>
      </c>
      <c r="C25" s="17" t="str">
        <f ca="1">IF(O25="","",INDEX(DESK!$F$2:$F$601,O25))</f>
        <v/>
      </c>
      <c r="D25" s="9" t="str">
        <f ca="1">IF(O25="","",INDEX(DESK!$B$2:$B$601,O25)&amp;" "&amp;INDEX(DESK!$G$2:$G$601,O25)&amp;IFERROR("; "&amp;INDEX(DESK!$B$2:$B$601,MATCH($C25&amp;"|2",DESK!$AJ$2:$AJ$601,0))&amp;" "&amp;INDEX(DESK!$G$2:$G$601,MATCH($C25&amp;"|2",DESK!$AJ$2:$AJ$601,0)),"")&amp;IFERROR("; "&amp;INDEX(DESK!$B$2:$B$601,MATCH($C25&amp;"|3",DESK!$AJ$2:$AJ$601,0))&amp;" "&amp;INDEX(DESK!$G$2:$G$601,MATCH($C25&amp;"|3",DESK!$AJ$2:$AJ$601,0)),""))</f>
        <v/>
      </c>
      <c r="E25" s="9" t="str">
        <f ca="1">IF(O25="","",ROUND(INDEX(DESK!$W$2:$W$601,O25),1))</f>
        <v/>
      </c>
      <c r="F25" s="9" t="str">
        <f ca="1">IF(O25="","",INDEX(DESK!$Q$2:$Q$601,O25)+1)</f>
        <v/>
      </c>
      <c r="G25" s="8"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9"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Ram|19</v>
      </c>
      <c r="O25" t="str">
        <f ca="1">IFERROR(MATCH(N25,DESK!$AI$2:$AI$601,0),"")</f>
        <v/>
      </c>
      <c r="P25" t="str">
        <f ca="1">IF(O25="","",IF((INDEX(DESK!$S$2:$S$601,O25)="SENT_LINK"),"CHK",IF(F25=1,"T1",IF(F25&gt;=SETTINGS!$B$6,"T3","T2"))))</f>
        <v/>
      </c>
    </row>
    <row r="26" spans="1:16" ht="44" customHeight="1" x14ac:dyDescent="0.35">
      <c r="A26" s="9">
        <v>20</v>
      </c>
      <c r="B26" s="9" t="str">
        <f ca="1">IF(O26="","",INDEX(DESK!$D$2:$D$601,O26))</f>
        <v/>
      </c>
      <c r="C26" s="17" t="str">
        <f ca="1">IF(O26="","",INDEX(DESK!$F$2:$F$601,O26))</f>
        <v/>
      </c>
      <c r="D26" s="9" t="str">
        <f ca="1">IF(O26="","",INDEX(DESK!$B$2:$B$601,O26)&amp;" "&amp;INDEX(DESK!$G$2:$G$601,O26)&amp;IFERROR("; "&amp;INDEX(DESK!$B$2:$B$601,MATCH($C26&amp;"|2",DESK!$AJ$2:$AJ$601,0))&amp;" "&amp;INDEX(DESK!$G$2:$G$601,MATCH($C26&amp;"|2",DESK!$AJ$2:$AJ$601,0)),"")&amp;IFERROR("; "&amp;INDEX(DESK!$B$2:$B$601,MATCH($C26&amp;"|3",DESK!$AJ$2:$AJ$601,0))&amp;" "&amp;INDEX(DESK!$G$2:$G$601,MATCH($C26&amp;"|3",DESK!$AJ$2:$AJ$601,0)),""))</f>
        <v/>
      </c>
      <c r="E26" s="9" t="str">
        <f ca="1">IF(O26="","",ROUND(INDEX(DESK!$W$2:$W$601,O26),1))</f>
        <v/>
      </c>
      <c r="F26" s="9" t="str">
        <f ca="1">IF(O26="","",INDEX(DESK!$Q$2:$Q$601,O26)+1)</f>
        <v/>
      </c>
      <c r="G26" s="8"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9"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Ram|20</v>
      </c>
      <c r="O26" t="str">
        <f ca="1">IFERROR(MATCH(N26,DESK!$AI$2:$AI$601,0),"")</f>
        <v/>
      </c>
      <c r="P26" t="str">
        <f ca="1">IF(O26="","",IF((INDEX(DESK!$S$2:$S$601,O26)="SENT_LINK"),"CHK",IF(F26=1,"T1",IF(F26&gt;=SETTINGS!$B$6,"T3","T2"))))</f>
        <v/>
      </c>
    </row>
    <row r="27" spans="1:16" ht="44" customHeight="1" x14ac:dyDescent="0.35">
      <c r="A27" s="9">
        <v>21</v>
      </c>
      <c r="B27" s="9" t="str">
        <f ca="1">IF(O27="","",INDEX(DESK!$D$2:$D$601,O27))</f>
        <v/>
      </c>
      <c r="C27" s="17" t="str">
        <f ca="1">IF(O27="","",INDEX(DESK!$F$2:$F$601,O27))</f>
        <v/>
      </c>
      <c r="D27" s="9" t="str">
        <f ca="1">IF(O27="","",INDEX(DESK!$B$2:$B$601,O27)&amp;" "&amp;INDEX(DESK!$G$2:$G$601,O27)&amp;IFERROR("; "&amp;INDEX(DESK!$B$2:$B$601,MATCH($C27&amp;"|2",DESK!$AJ$2:$AJ$601,0))&amp;" "&amp;INDEX(DESK!$G$2:$G$601,MATCH($C27&amp;"|2",DESK!$AJ$2:$AJ$601,0)),"")&amp;IFERROR("; "&amp;INDEX(DESK!$B$2:$B$601,MATCH($C27&amp;"|3",DESK!$AJ$2:$AJ$601,0))&amp;" "&amp;INDEX(DESK!$G$2:$G$601,MATCH($C27&amp;"|3",DESK!$AJ$2:$AJ$601,0)),""))</f>
        <v/>
      </c>
      <c r="E27" s="9" t="str">
        <f ca="1">IF(O27="","",ROUND(INDEX(DESK!$W$2:$W$601,O27),1))</f>
        <v/>
      </c>
      <c r="F27" s="9" t="str">
        <f ca="1">IF(O27="","",INDEX(DESK!$Q$2:$Q$601,O27)+1)</f>
        <v/>
      </c>
      <c r="G27" s="8"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9"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Ram|21</v>
      </c>
      <c r="O27" t="str">
        <f ca="1">IFERROR(MATCH(N27,DESK!$AI$2:$AI$601,0),"")</f>
        <v/>
      </c>
      <c r="P27" t="str">
        <f ca="1">IF(O27="","",IF((INDEX(DESK!$S$2:$S$601,O27)="SENT_LINK"),"CHK",IF(F27=1,"T1",IF(F27&gt;=SETTINGS!$B$6,"T3","T2"))))</f>
        <v/>
      </c>
    </row>
    <row r="28" spans="1:16" ht="44" customHeight="1" x14ac:dyDescent="0.35">
      <c r="A28" s="9">
        <v>22</v>
      </c>
      <c r="B28" s="9" t="str">
        <f ca="1">IF(O28="","",INDEX(DESK!$D$2:$D$601,O28))</f>
        <v/>
      </c>
      <c r="C28" s="17" t="str">
        <f ca="1">IF(O28="","",INDEX(DESK!$F$2:$F$601,O28))</f>
        <v/>
      </c>
      <c r="D28" s="9" t="str">
        <f ca="1">IF(O28="","",INDEX(DESK!$B$2:$B$601,O28)&amp;" "&amp;INDEX(DESK!$G$2:$G$601,O28)&amp;IFERROR("; "&amp;INDEX(DESK!$B$2:$B$601,MATCH($C28&amp;"|2",DESK!$AJ$2:$AJ$601,0))&amp;" "&amp;INDEX(DESK!$G$2:$G$601,MATCH($C28&amp;"|2",DESK!$AJ$2:$AJ$601,0)),"")&amp;IFERROR("; "&amp;INDEX(DESK!$B$2:$B$601,MATCH($C28&amp;"|3",DESK!$AJ$2:$AJ$601,0))&amp;" "&amp;INDEX(DESK!$G$2:$G$601,MATCH($C28&amp;"|3",DESK!$AJ$2:$AJ$601,0)),""))</f>
        <v/>
      </c>
      <c r="E28" s="9" t="str">
        <f ca="1">IF(O28="","",ROUND(INDEX(DESK!$W$2:$W$601,O28),1))</f>
        <v/>
      </c>
      <c r="F28" s="9" t="str">
        <f ca="1">IF(O28="","",INDEX(DESK!$Q$2:$Q$601,O28)+1)</f>
        <v/>
      </c>
      <c r="G28" s="8"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9"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Ram|22</v>
      </c>
      <c r="O28" t="str">
        <f ca="1">IFERROR(MATCH(N28,DESK!$AI$2:$AI$601,0),"")</f>
        <v/>
      </c>
      <c r="P28" t="str">
        <f ca="1">IF(O28="","",IF((INDEX(DESK!$S$2:$S$601,O28)="SENT_LINK"),"CHK",IF(F28=1,"T1",IF(F28&gt;=SETTINGS!$B$6,"T3","T2"))))</f>
        <v/>
      </c>
    </row>
    <row r="29" spans="1:16" ht="44" customHeight="1" x14ac:dyDescent="0.35">
      <c r="A29" s="9">
        <v>23</v>
      </c>
      <c r="B29" s="9" t="str">
        <f ca="1">IF(O29="","",INDEX(DESK!$D$2:$D$601,O29))</f>
        <v/>
      </c>
      <c r="C29" s="17" t="str">
        <f ca="1">IF(O29="","",INDEX(DESK!$F$2:$F$601,O29))</f>
        <v/>
      </c>
      <c r="D29" s="9" t="str">
        <f ca="1">IF(O29="","",INDEX(DESK!$B$2:$B$601,O29)&amp;" "&amp;INDEX(DESK!$G$2:$G$601,O29)&amp;IFERROR("; "&amp;INDEX(DESK!$B$2:$B$601,MATCH($C29&amp;"|2",DESK!$AJ$2:$AJ$601,0))&amp;" "&amp;INDEX(DESK!$G$2:$G$601,MATCH($C29&amp;"|2",DESK!$AJ$2:$AJ$601,0)),"")&amp;IFERROR("; "&amp;INDEX(DESK!$B$2:$B$601,MATCH($C29&amp;"|3",DESK!$AJ$2:$AJ$601,0))&amp;" "&amp;INDEX(DESK!$G$2:$G$601,MATCH($C29&amp;"|3",DESK!$AJ$2:$AJ$601,0)),""))</f>
        <v/>
      </c>
      <c r="E29" s="9" t="str">
        <f ca="1">IF(O29="","",ROUND(INDEX(DESK!$W$2:$W$601,O29),1))</f>
        <v/>
      </c>
      <c r="F29" s="9" t="str">
        <f ca="1">IF(O29="","",INDEX(DESK!$Q$2:$Q$601,O29)+1)</f>
        <v/>
      </c>
      <c r="G29" s="8"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9"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Ram|23</v>
      </c>
      <c r="O29" t="str">
        <f ca="1">IFERROR(MATCH(N29,DESK!$AI$2:$AI$601,0),"")</f>
        <v/>
      </c>
      <c r="P29" t="str">
        <f ca="1">IF(O29="","",IF((INDEX(DESK!$S$2:$S$601,O29)="SENT_LINK"),"CHK",IF(F29=1,"T1",IF(F29&gt;=SETTINGS!$B$6,"T3","T2"))))</f>
        <v/>
      </c>
    </row>
    <row r="30" spans="1:16" ht="44" customHeight="1" x14ac:dyDescent="0.35">
      <c r="A30" s="9">
        <v>24</v>
      </c>
      <c r="B30" s="9" t="str">
        <f ca="1">IF(O30="","",INDEX(DESK!$D$2:$D$601,O30))</f>
        <v/>
      </c>
      <c r="C30" s="17" t="str">
        <f ca="1">IF(O30="","",INDEX(DESK!$F$2:$F$601,O30))</f>
        <v/>
      </c>
      <c r="D30" s="9" t="str">
        <f ca="1">IF(O30="","",INDEX(DESK!$B$2:$B$601,O30)&amp;" "&amp;INDEX(DESK!$G$2:$G$601,O30)&amp;IFERROR("; "&amp;INDEX(DESK!$B$2:$B$601,MATCH($C30&amp;"|2",DESK!$AJ$2:$AJ$601,0))&amp;" "&amp;INDEX(DESK!$G$2:$G$601,MATCH($C30&amp;"|2",DESK!$AJ$2:$AJ$601,0)),"")&amp;IFERROR("; "&amp;INDEX(DESK!$B$2:$B$601,MATCH($C30&amp;"|3",DESK!$AJ$2:$AJ$601,0))&amp;" "&amp;INDEX(DESK!$G$2:$G$601,MATCH($C30&amp;"|3",DESK!$AJ$2:$AJ$601,0)),""))</f>
        <v/>
      </c>
      <c r="E30" s="9" t="str">
        <f ca="1">IF(O30="","",ROUND(INDEX(DESK!$W$2:$W$601,O30),1))</f>
        <v/>
      </c>
      <c r="F30" s="9" t="str">
        <f ca="1">IF(O30="","",INDEX(DESK!$Q$2:$Q$601,O30)+1)</f>
        <v/>
      </c>
      <c r="G30" s="8"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9"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Ram|24</v>
      </c>
      <c r="O30" t="str">
        <f ca="1">IFERROR(MATCH(N30,DESK!$AI$2:$AI$601,0),"")</f>
        <v/>
      </c>
      <c r="P30" t="str">
        <f ca="1">IF(O30="","",IF((INDEX(DESK!$S$2:$S$601,O30)="SENT_LINK"),"CHK",IF(F30=1,"T1",IF(F30&gt;=SETTINGS!$B$6,"T3","T2"))))</f>
        <v/>
      </c>
    </row>
    <row r="31" spans="1:16" ht="44" customHeight="1" x14ac:dyDescent="0.35">
      <c r="A31" s="9">
        <v>25</v>
      </c>
      <c r="B31" s="9" t="str">
        <f ca="1">IF(O31="","",INDEX(DESK!$D$2:$D$601,O31))</f>
        <v/>
      </c>
      <c r="C31" s="17" t="str">
        <f ca="1">IF(O31="","",INDEX(DESK!$F$2:$F$601,O31))</f>
        <v/>
      </c>
      <c r="D31" s="9" t="str">
        <f ca="1">IF(O31="","",INDEX(DESK!$B$2:$B$601,O31)&amp;" "&amp;INDEX(DESK!$G$2:$G$601,O31)&amp;IFERROR("; "&amp;INDEX(DESK!$B$2:$B$601,MATCH($C31&amp;"|2",DESK!$AJ$2:$AJ$601,0))&amp;" "&amp;INDEX(DESK!$G$2:$G$601,MATCH($C31&amp;"|2",DESK!$AJ$2:$AJ$601,0)),"")&amp;IFERROR("; "&amp;INDEX(DESK!$B$2:$B$601,MATCH($C31&amp;"|3",DESK!$AJ$2:$AJ$601,0))&amp;" "&amp;INDEX(DESK!$G$2:$G$601,MATCH($C31&amp;"|3",DESK!$AJ$2:$AJ$601,0)),""))</f>
        <v/>
      </c>
      <c r="E31" s="9" t="str">
        <f ca="1">IF(O31="","",ROUND(INDEX(DESK!$W$2:$W$601,O31),1))</f>
        <v/>
      </c>
      <c r="F31" s="9" t="str">
        <f ca="1">IF(O31="","",INDEX(DESK!$Q$2:$Q$601,O31)+1)</f>
        <v/>
      </c>
      <c r="G31" s="8"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9"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Ram|25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0"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A1" s="1" t="s">
        <v>67</v>
      </c>
    </row>
    <row r="2" spans="1:16" x14ac:dyDescent="0.35">
      <c r="B2" s="10" t="s">
        <v>68</v>
      </c>
      <c r="C2" s="10" t="s">
        <v>49</v>
      </c>
      <c r="D2" s="11">
        <f ca="1">SETTINGS!$B$4</f>
        <v>46309.827777777777</v>
      </c>
      <c r="G2" s="10" t="str">
        <f ca="1">C3&amp;" people waiting"</f>
        <v>0 people waiting</v>
      </c>
      <c r="N2" s="12">
        <f>SETTINGS!$B$14</f>
        <v>4</v>
      </c>
    </row>
    <row r="3" spans="1:16" x14ac:dyDescent="0.35">
      <c r="A3" s="13" t="str">
        <f ca="1">IF(ROUND(MOD(SETTINGS!$B$4,1)*1440,0)&lt;ROUND(SETTINGS!$B$11*1440,0),"Your shift has not started. Nothing to do yet.",IF(ROUND(MOD(SETTINGS!$B$4,1)*1440,0)&gt;=ROUND(SETTINGS!$B$12*1440,0),"Your shift is over. Thank you!",IF($C$3=0,"Nothing waiting right now. Check LOG column J for lines marked in orange.","")))</f>
        <v>Nothing waiting right now. Check LOG column J for lines marked in orange.</v>
      </c>
      <c r="C3" s="14">
        <f ca="1">SUMPRODUCT((DESK!$Z$2:$Z$601=$B$2)*(DESK!$AI$2:$AI$601&lt;&gt;""))</f>
        <v>0</v>
      </c>
    </row>
    <row r="4" spans="1:16" x14ac:dyDescent="0.35">
      <c r="A4" s="56" t="s">
        <v>50</v>
      </c>
      <c r="B4" s="57"/>
      <c r="C4" s="57"/>
      <c r="D4" s="15"/>
      <c r="E4" s="56" t="str">
        <f>IF($D$4="","",IF(IFERROR(MATCH($D$4&amp;"|1",DESK!$AJ$2:$AJ$601,0),"")="","Not on the open list (already done, or wrong number).",INDEX(DESK!$B$2:$B$601,IFERROR(MATCH($D$4&amp;"|1",DESK!$AJ$2:$AJ$601,0),""))&amp;" "&amp;INDEX(DESK!$G$2:$G$601,IFERROR(MATCH($D$4&amp;"|1",DESK!$AJ$2:$AJ$601,0),""))&amp;IF(IFERROR(MATCH($D$4&amp;"|2",DESK!$AJ$2:$AJ$601,0),"")="","","; "&amp;INDEX(DESK!$B$2:$B$601,IFERROR(MATCH($D$4&amp;"|2",DESK!$AJ$2:$AJ$601,0),""))&amp;" "&amp;INDEX(DESK!$G$2:$G$601,IFERROR(MATCH($D$4&amp;"|2",DESK!$AJ$2:$AJ$601,0),"")))&amp;IF(IFERROR(MATCH($D$4&amp;"|3",DESK!$AJ$2:$AJ$601,0),"")="","","; "&amp;INDEX(DESK!$B$2:$B$601,IFERROR(MATCH($D$4&amp;"|3",DESK!$AJ$2:$AJ$601,0),""))&amp;" "&amp;INDEX(DESK!$G$2:$G$601,IFERROR(MATCH($D$4&amp;"|3",DESK!$AJ$2:$AJ$601,0),"")))&amp;IF(INDEX(DESK!$AC$2:$AC$601,IFERROR(MATCH($D$4&amp;"|1",DESK!$AJ$2:$AJ$601,0),""))="YES"," : they said yes? Book it, log BOOKED."," : send the link, log SENT_LINK.")))</f>
        <v/>
      </c>
      <c r="F4" s="57"/>
      <c r="G4" s="57"/>
      <c r="H4" s="57"/>
      <c r="I4" s="57"/>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5" t="s">
        <v>51</v>
      </c>
      <c r="B6" s="5" t="s">
        <v>52</v>
      </c>
      <c r="C6" s="5" t="s">
        <v>53</v>
      </c>
      <c r="D6" s="5" t="s">
        <v>54</v>
      </c>
      <c r="E6" s="5" t="s">
        <v>55</v>
      </c>
      <c r="F6" s="5" t="s">
        <v>56</v>
      </c>
      <c r="G6" s="5" t="s">
        <v>57</v>
      </c>
      <c r="H6" s="5" t="s">
        <v>58</v>
      </c>
      <c r="I6" s="5" t="s">
        <v>59</v>
      </c>
      <c r="J6" s="5" t="s">
        <v>60</v>
      </c>
      <c r="K6" s="5" t="s">
        <v>61</v>
      </c>
      <c r="L6" s="5" t="s">
        <v>62</v>
      </c>
      <c r="M6" s="5" t="s">
        <v>63</v>
      </c>
      <c r="N6" s="5" t="s">
        <v>64</v>
      </c>
      <c r="O6" s="5" t="s">
        <v>65</v>
      </c>
      <c r="P6" s="5" t="s">
        <v>66</v>
      </c>
    </row>
    <row r="7" spans="1:16" ht="44" customHeight="1" x14ac:dyDescent="0.35">
      <c r="A7" s="9">
        <v>1</v>
      </c>
      <c r="B7" s="9" t="str">
        <f ca="1">IF(O7="","",INDEX(DESK!$D$2:$D$601,O7))</f>
        <v/>
      </c>
      <c r="C7" s="17" t="str">
        <f ca="1">IF(O7="","",INDEX(DESK!$F$2:$F$601,O7))</f>
        <v/>
      </c>
      <c r="D7" s="9" t="str">
        <f ca="1">IF(O7="","",INDEX(DESK!$B$2:$B$601,O7)&amp;" "&amp;INDEX(DESK!$G$2:$G$601,O7)&amp;IFERROR("; "&amp;INDEX(DESK!$B$2:$B$601,MATCH($C7&amp;"|2",DESK!$AJ$2:$AJ$601,0))&amp;" "&amp;INDEX(DESK!$G$2:$G$601,MATCH($C7&amp;"|2",DESK!$AJ$2:$AJ$601,0)),"")&amp;IFERROR("; "&amp;INDEX(DESK!$B$2:$B$601,MATCH($C7&amp;"|3",DESK!$AJ$2:$AJ$601,0))&amp;" "&amp;INDEX(DESK!$G$2:$G$601,MATCH($C7&amp;"|3",DESK!$AJ$2:$AJ$601,0)),""))</f>
        <v/>
      </c>
      <c r="E7" s="9" t="str">
        <f ca="1">IF(O7="","",ROUND(INDEX(DESK!$W$2:$W$601,O7),1))</f>
        <v/>
      </c>
      <c r="F7" s="9" t="str">
        <f ca="1">IF(O7="","",INDEX(DESK!$Q$2:$Q$601,O7)+1)</f>
        <v/>
      </c>
      <c r="G7" s="8"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9"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9">
        <v>2</v>
      </c>
      <c r="B8" s="9" t="str">
        <f ca="1">IF(O8="","",INDEX(DESK!$D$2:$D$601,O8))</f>
        <v/>
      </c>
      <c r="C8" s="17" t="str">
        <f ca="1">IF(O8="","",INDEX(DESK!$F$2:$F$601,O8))</f>
        <v/>
      </c>
      <c r="D8" s="9" t="str">
        <f ca="1">IF(O8="","",INDEX(DESK!$B$2:$B$601,O8)&amp;" "&amp;INDEX(DESK!$G$2:$G$601,O8)&amp;IFERROR("; "&amp;INDEX(DESK!$B$2:$B$601,MATCH($C8&amp;"|2",DESK!$AJ$2:$AJ$601,0))&amp;" "&amp;INDEX(DESK!$G$2:$G$601,MATCH($C8&amp;"|2",DESK!$AJ$2:$AJ$601,0)),"")&amp;IFERROR("; "&amp;INDEX(DESK!$B$2:$B$601,MATCH($C8&amp;"|3",DESK!$AJ$2:$AJ$601,0))&amp;" "&amp;INDEX(DESK!$G$2:$G$601,MATCH($C8&amp;"|3",DESK!$AJ$2:$AJ$601,0)),""))</f>
        <v/>
      </c>
      <c r="E8" s="9" t="str">
        <f ca="1">IF(O8="","",ROUND(INDEX(DESK!$W$2:$W$601,O8),1))</f>
        <v/>
      </c>
      <c r="F8" s="9" t="str">
        <f ca="1">IF(O8="","",INDEX(DESK!$Q$2:$Q$601,O8)+1)</f>
        <v/>
      </c>
      <c r="G8" s="8"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9"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9">
        <v>3</v>
      </c>
      <c r="B9" s="9" t="str">
        <f ca="1">IF(O9="","",INDEX(DESK!$D$2:$D$601,O9))</f>
        <v/>
      </c>
      <c r="C9" s="17" t="str">
        <f ca="1">IF(O9="","",INDEX(DESK!$F$2:$F$601,O9))</f>
        <v/>
      </c>
      <c r="D9" s="9" t="str">
        <f ca="1">IF(O9="","",INDEX(DESK!$B$2:$B$601,O9)&amp;" "&amp;INDEX(DESK!$G$2:$G$601,O9)&amp;IFERROR("; "&amp;INDEX(DESK!$B$2:$B$601,MATCH($C9&amp;"|2",DESK!$AJ$2:$AJ$601,0))&amp;" "&amp;INDEX(DESK!$G$2:$G$601,MATCH($C9&amp;"|2",DESK!$AJ$2:$AJ$601,0)),"")&amp;IFERROR("; "&amp;INDEX(DESK!$B$2:$B$601,MATCH($C9&amp;"|3",DESK!$AJ$2:$AJ$601,0))&amp;" "&amp;INDEX(DESK!$G$2:$G$601,MATCH($C9&amp;"|3",DESK!$AJ$2:$AJ$601,0)),""))</f>
        <v/>
      </c>
      <c r="E9" s="9" t="str">
        <f ca="1">IF(O9="","",ROUND(INDEX(DESK!$W$2:$W$601,O9),1))</f>
        <v/>
      </c>
      <c r="F9" s="9" t="str">
        <f ca="1">IF(O9="","",INDEX(DESK!$Q$2:$Q$601,O9)+1)</f>
        <v/>
      </c>
      <c r="G9" s="8"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9"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9">
        <v>4</v>
      </c>
      <c r="B10" s="9" t="str">
        <f ca="1">IF(O10="","",INDEX(DESK!$D$2:$D$601,O10))</f>
        <v/>
      </c>
      <c r="C10" s="17" t="str">
        <f ca="1">IF(O10="","",INDEX(DESK!$F$2:$F$601,O10))</f>
        <v/>
      </c>
      <c r="D10" s="9" t="str">
        <f ca="1">IF(O10="","",INDEX(DESK!$B$2:$B$601,O10)&amp;" "&amp;INDEX(DESK!$G$2:$G$601,O10)&amp;IFERROR("; "&amp;INDEX(DESK!$B$2:$B$601,MATCH($C10&amp;"|2",DESK!$AJ$2:$AJ$601,0))&amp;" "&amp;INDEX(DESK!$G$2:$G$601,MATCH($C10&amp;"|2",DESK!$AJ$2:$AJ$601,0)),"")&amp;IFERROR("; "&amp;INDEX(DESK!$B$2:$B$601,MATCH($C10&amp;"|3",DESK!$AJ$2:$AJ$601,0))&amp;" "&amp;INDEX(DESK!$G$2:$G$601,MATCH($C10&amp;"|3",DESK!$AJ$2:$AJ$601,0)),""))</f>
        <v/>
      </c>
      <c r="E10" s="9" t="str">
        <f ca="1">IF(O10="","",ROUND(INDEX(DESK!$W$2:$W$601,O10),1))</f>
        <v/>
      </c>
      <c r="F10" s="9" t="str">
        <f ca="1">IF(O10="","",INDEX(DESK!$Q$2:$Q$601,O10)+1)</f>
        <v/>
      </c>
      <c r="G10" s="8"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9"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9">
        <v>5</v>
      </c>
      <c r="B11" s="9" t="str">
        <f ca="1">IF(O11="","",INDEX(DESK!$D$2:$D$601,O11))</f>
        <v/>
      </c>
      <c r="C11" s="17" t="str">
        <f ca="1">IF(O11="","",INDEX(DESK!$F$2:$F$601,O11))</f>
        <v/>
      </c>
      <c r="D11" s="9" t="str">
        <f ca="1">IF(O11="","",INDEX(DESK!$B$2:$B$601,O11)&amp;" "&amp;INDEX(DESK!$G$2:$G$601,O11)&amp;IFERROR("; "&amp;INDEX(DESK!$B$2:$B$601,MATCH($C11&amp;"|2",DESK!$AJ$2:$AJ$601,0))&amp;" "&amp;INDEX(DESK!$G$2:$G$601,MATCH($C11&amp;"|2",DESK!$AJ$2:$AJ$601,0)),"")&amp;IFERROR("; "&amp;INDEX(DESK!$B$2:$B$601,MATCH($C11&amp;"|3",DESK!$AJ$2:$AJ$601,0))&amp;" "&amp;INDEX(DESK!$G$2:$G$601,MATCH($C11&amp;"|3",DESK!$AJ$2:$AJ$601,0)),""))</f>
        <v/>
      </c>
      <c r="E11" s="9" t="str">
        <f ca="1">IF(O11="","",ROUND(INDEX(DESK!$W$2:$W$601,O11),1))</f>
        <v/>
      </c>
      <c r="F11" s="9" t="str">
        <f ca="1">IF(O11="","",INDEX(DESK!$Q$2:$Q$601,O11)+1)</f>
        <v/>
      </c>
      <c r="G11" s="8"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9"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9">
        <v>6</v>
      </c>
      <c r="B12" s="9" t="str">
        <f ca="1">IF(O12="","",INDEX(DESK!$D$2:$D$601,O12))</f>
        <v/>
      </c>
      <c r="C12" s="17" t="str">
        <f ca="1">IF(O12="","",INDEX(DESK!$F$2:$F$601,O12))</f>
        <v/>
      </c>
      <c r="D12" s="9" t="str">
        <f ca="1">IF(O12="","",INDEX(DESK!$B$2:$B$601,O12)&amp;" "&amp;INDEX(DESK!$G$2:$G$601,O12)&amp;IFERROR("; "&amp;INDEX(DESK!$B$2:$B$601,MATCH($C12&amp;"|2",DESK!$AJ$2:$AJ$601,0))&amp;" "&amp;INDEX(DESK!$G$2:$G$601,MATCH($C12&amp;"|2",DESK!$AJ$2:$AJ$601,0)),"")&amp;IFERROR("; "&amp;INDEX(DESK!$B$2:$B$601,MATCH($C12&amp;"|3",DESK!$AJ$2:$AJ$601,0))&amp;" "&amp;INDEX(DESK!$G$2:$G$601,MATCH($C12&amp;"|3",DESK!$AJ$2:$AJ$601,0)),""))</f>
        <v/>
      </c>
      <c r="E12" s="9" t="str">
        <f ca="1">IF(O12="","",ROUND(INDEX(DESK!$W$2:$W$601,O12),1))</f>
        <v/>
      </c>
      <c r="F12" s="9" t="str">
        <f ca="1">IF(O12="","",INDEX(DESK!$Q$2:$Q$601,O12)+1)</f>
        <v/>
      </c>
      <c r="G12" s="8"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9"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9">
        <v>7</v>
      </c>
      <c r="B13" s="9" t="str">
        <f ca="1">IF(O13="","",INDEX(DESK!$D$2:$D$601,O13))</f>
        <v/>
      </c>
      <c r="C13" s="17" t="str">
        <f ca="1">IF(O13="","",INDEX(DESK!$F$2:$F$601,O13))</f>
        <v/>
      </c>
      <c r="D13" s="9" t="str">
        <f ca="1">IF(O13="","",INDEX(DESK!$B$2:$B$601,O13)&amp;" "&amp;INDEX(DESK!$G$2:$G$601,O13)&amp;IFERROR("; "&amp;INDEX(DESK!$B$2:$B$601,MATCH($C13&amp;"|2",DESK!$AJ$2:$AJ$601,0))&amp;" "&amp;INDEX(DESK!$G$2:$G$601,MATCH($C13&amp;"|2",DESK!$AJ$2:$AJ$601,0)),"")&amp;IFERROR("; "&amp;INDEX(DESK!$B$2:$B$601,MATCH($C13&amp;"|3",DESK!$AJ$2:$AJ$601,0))&amp;" "&amp;INDEX(DESK!$G$2:$G$601,MATCH($C13&amp;"|3",DESK!$AJ$2:$AJ$601,0)),""))</f>
        <v/>
      </c>
      <c r="E13" s="9" t="str">
        <f ca="1">IF(O13="","",ROUND(INDEX(DESK!$W$2:$W$601,O13),1))</f>
        <v/>
      </c>
      <c r="F13" s="9" t="str">
        <f ca="1">IF(O13="","",INDEX(DESK!$Q$2:$Q$601,O13)+1)</f>
        <v/>
      </c>
      <c r="G13" s="8"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9"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9">
        <v>8</v>
      </c>
      <c r="B14" s="9" t="str">
        <f ca="1">IF(O14="","",INDEX(DESK!$D$2:$D$601,O14))</f>
        <v/>
      </c>
      <c r="C14" s="17" t="str">
        <f ca="1">IF(O14="","",INDEX(DESK!$F$2:$F$601,O14))</f>
        <v/>
      </c>
      <c r="D14" s="9" t="str">
        <f ca="1">IF(O14="","",INDEX(DESK!$B$2:$B$601,O14)&amp;" "&amp;INDEX(DESK!$G$2:$G$601,O14)&amp;IFERROR("; "&amp;INDEX(DESK!$B$2:$B$601,MATCH($C14&amp;"|2",DESK!$AJ$2:$AJ$601,0))&amp;" "&amp;INDEX(DESK!$G$2:$G$601,MATCH($C14&amp;"|2",DESK!$AJ$2:$AJ$601,0)),"")&amp;IFERROR("; "&amp;INDEX(DESK!$B$2:$B$601,MATCH($C14&amp;"|3",DESK!$AJ$2:$AJ$601,0))&amp;" "&amp;INDEX(DESK!$G$2:$G$601,MATCH($C14&amp;"|3",DESK!$AJ$2:$AJ$601,0)),""))</f>
        <v/>
      </c>
      <c r="E14" s="9" t="str">
        <f ca="1">IF(O14="","",ROUND(INDEX(DESK!$W$2:$W$601,O14),1))</f>
        <v/>
      </c>
      <c r="F14" s="9" t="str">
        <f ca="1">IF(O14="","",INDEX(DESK!$Q$2:$Q$601,O14)+1)</f>
        <v/>
      </c>
      <c r="G14" s="8"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9"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9">
        <v>9</v>
      </c>
      <c r="B15" s="9" t="str">
        <f ca="1">IF(O15="","",INDEX(DESK!$D$2:$D$601,O15))</f>
        <v/>
      </c>
      <c r="C15" s="17" t="str">
        <f ca="1">IF(O15="","",INDEX(DESK!$F$2:$F$601,O15))</f>
        <v/>
      </c>
      <c r="D15" s="9" t="str">
        <f ca="1">IF(O15="","",INDEX(DESK!$B$2:$B$601,O15)&amp;" "&amp;INDEX(DESK!$G$2:$G$601,O15)&amp;IFERROR("; "&amp;INDEX(DESK!$B$2:$B$601,MATCH($C15&amp;"|2",DESK!$AJ$2:$AJ$601,0))&amp;" "&amp;INDEX(DESK!$G$2:$G$601,MATCH($C15&amp;"|2",DESK!$AJ$2:$AJ$601,0)),"")&amp;IFERROR("; "&amp;INDEX(DESK!$B$2:$B$601,MATCH($C15&amp;"|3",DESK!$AJ$2:$AJ$601,0))&amp;" "&amp;INDEX(DESK!$G$2:$G$601,MATCH($C15&amp;"|3",DESK!$AJ$2:$AJ$601,0)),""))</f>
        <v/>
      </c>
      <c r="E15" s="9" t="str">
        <f ca="1">IF(O15="","",ROUND(INDEX(DESK!$W$2:$W$601,O15),1))</f>
        <v/>
      </c>
      <c r="F15" s="9" t="str">
        <f ca="1">IF(O15="","",INDEX(DESK!$Q$2:$Q$601,O15)+1)</f>
        <v/>
      </c>
      <c r="G15" s="8"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9"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9">
        <v>10</v>
      </c>
      <c r="B16" s="9" t="str">
        <f ca="1">IF(O16="","",INDEX(DESK!$D$2:$D$601,O16))</f>
        <v/>
      </c>
      <c r="C16" s="17" t="str">
        <f ca="1">IF(O16="","",INDEX(DESK!$F$2:$F$601,O16))</f>
        <v/>
      </c>
      <c r="D16" s="9" t="str">
        <f ca="1">IF(O16="","",INDEX(DESK!$B$2:$B$601,O16)&amp;" "&amp;INDEX(DESK!$G$2:$G$601,O16)&amp;IFERROR("; "&amp;INDEX(DESK!$B$2:$B$601,MATCH($C16&amp;"|2",DESK!$AJ$2:$AJ$601,0))&amp;" "&amp;INDEX(DESK!$G$2:$G$601,MATCH($C16&amp;"|2",DESK!$AJ$2:$AJ$601,0)),"")&amp;IFERROR("; "&amp;INDEX(DESK!$B$2:$B$601,MATCH($C16&amp;"|3",DESK!$AJ$2:$AJ$601,0))&amp;" "&amp;INDEX(DESK!$G$2:$G$601,MATCH($C16&amp;"|3",DESK!$AJ$2:$AJ$601,0)),""))</f>
        <v/>
      </c>
      <c r="E16" s="9" t="str">
        <f ca="1">IF(O16="","",ROUND(INDEX(DESK!$W$2:$W$601,O16),1))</f>
        <v/>
      </c>
      <c r="F16" s="9" t="str">
        <f ca="1">IF(O16="","",INDEX(DESK!$Q$2:$Q$601,O16)+1)</f>
        <v/>
      </c>
      <c r="G16" s="8"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9"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9">
        <v>11</v>
      </c>
      <c r="B17" s="9" t="str">
        <f ca="1">IF(O17="","",INDEX(DESK!$D$2:$D$601,O17))</f>
        <v/>
      </c>
      <c r="C17" s="17" t="str">
        <f ca="1">IF(O17="","",INDEX(DESK!$F$2:$F$601,O17))</f>
        <v/>
      </c>
      <c r="D17" s="9" t="str">
        <f ca="1">IF(O17="","",INDEX(DESK!$B$2:$B$601,O17)&amp;" "&amp;INDEX(DESK!$G$2:$G$601,O17)&amp;IFERROR("; "&amp;INDEX(DESK!$B$2:$B$601,MATCH($C17&amp;"|2",DESK!$AJ$2:$AJ$601,0))&amp;" "&amp;INDEX(DESK!$G$2:$G$601,MATCH($C17&amp;"|2",DESK!$AJ$2:$AJ$601,0)),"")&amp;IFERROR("; "&amp;INDEX(DESK!$B$2:$B$601,MATCH($C17&amp;"|3",DESK!$AJ$2:$AJ$601,0))&amp;" "&amp;INDEX(DESK!$G$2:$G$601,MATCH($C17&amp;"|3",DESK!$AJ$2:$AJ$601,0)),""))</f>
        <v/>
      </c>
      <c r="E17" s="9" t="str">
        <f ca="1">IF(O17="","",ROUND(INDEX(DESK!$W$2:$W$601,O17),1))</f>
        <v/>
      </c>
      <c r="F17" s="9" t="str">
        <f ca="1">IF(O17="","",INDEX(DESK!$Q$2:$Q$601,O17)+1)</f>
        <v/>
      </c>
      <c r="G17" s="8"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9"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9">
        <v>12</v>
      </c>
      <c r="B18" s="9" t="str">
        <f ca="1">IF(O18="","",INDEX(DESK!$D$2:$D$601,O18))</f>
        <v/>
      </c>
      <c r="C18" s="17" t="str">
        <f ca="1">IF(O18="","",INDEX(DESK!$F$2:$F$601,O18))</f>
        <v/>
      </c>
      <c r="D18" s="9" t="str">
        <f ca="1">IF(O18="","",INDEX(DESK!$B$2:$B$601,O18)&amp;" "&amp;INDEX(DESK!$G$2:$G$601,O18)&amp;IFERROR("; "&amp;INDEX(DESK!$B$2:$B$601,MATCH($C18&amp;"|2",DESK!$AJ$2:$AJ$601,0))&amp;" "&amp;INDEX(DESK!$G$2:$G$601,MATCH($C18&amp;"|2",DESK!$AJ$2:$AJ$601,0)),"")&amp;IFERROR("; "&amp;INDEX(DESK!$B$2:$B$601,MATCH($C18&amp;"|3",DESK!$AJ$2:$AJ$601,0))&amp;" "&amp;INDEX(DESK!$G$2:$G$601,MATCH($C18&amp;"|3",DESK!$AJ$2:$AJ$601,0)),""))</f>
        <v/>
      </c>
      <c r="E18" s="9" t="str">
        <f ca="1">IF(O18="","",ROUND(INDEX(DESK!$W$2:$W$601,O18),1))</f>
        <v/>
      </c>
      <c r="F18" s="9" t="str">
        <f ca="1">IF(O18="","",INDEX(DESK!$Q$2:$Q$601,O18)+1)</f>
        <v/>
      </c>
      <c r="G18" s="8"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9"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9">
        <v>13</v>
      </c>
      <c r="B19" s="9" t="str">
        <f ca="1">IF(O19="","",INDEX(DESK!$D$2:$D$601,O19))</f>
        <v/>
      </c>
      <c r="C19" s="17" t="str">
        <f ca="1">IF(O19="","",INDEX(DESK!$F$2:$F$601,O19))</f>
        <v/>
      </c>
      <c r="D19" s="9" t="str">
        <f ca="1">IF(O19="","",INDEX(DESK!$B$2:$B$601,O19)&amp;" "&amp;INDEX(DESK!$G$2:$G$601,O19)&amp;IFERROR("; "&amp;INDEX(DESK!$B$2:$B$601,MATCH($C19&amp;"|2",DESK!$AJ$2:$AJ$601,0))&amp;" "&amp;INDEX(DESK!$G$2:$G$601,MATCH($C19&amp;"|2",DESK!$AJ$2:$AJ$601,0)),"")&amp;IFERROR("; "&amp;INDEX(DESK!$B$2:$B$601,MATCH($C19&amp;"|3",DESK!$AJ$2:$AJ$601,0))&amp;" "&amp;INDEX(DESK!$G$2:$G$601,MATCH($C19&amp;"|3",DESK!$AJ$2:$AJ$601,0)),""))</f>
        <v/>
      </c>
      <c r="E19" s="9" t="str">
        <f ca="1">IF(O19="","",ROUND(INDEX(DESK!$W$2:$W$601,O19),1))</f>
        <v/>
      </c>
      <c r="F19" s="9" t="str">
        <f ca="1">IF(O19="","",INDEX(DESK!$Q$2:$Q$601,O19)+1)</f>
        <v/>
      </c>
      <c r="G19" s="8"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9"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9">
        <v>14</v>
      </c>
      <c r="B20" s="9" t="str">
        <f ca="1">IF(O20="","",INDEX(DESK!$D$2:$D$601,O20))</f>
        <v/>
      </c>
      <c r="C20" s="17" t="str">
        <f ca="1">IF(O20="","",INDEX(DESK!$F$2:$F$601,O20))</f>
        <v/>
      </c>
      <c r="D20" s="9" t="str">
        <f ca="1">IF(O20="","",INDEX(DESK!$B$2:$B$601,O20)&amp;" "&amp;INDEX(DESK!$G$2:$G$601,O20)&amp;IFERROR("; "&amp;INDEX(DESK!$B$2:$B$601,MATCH($C20&amp;"|2",DESK!$AJ$2:$AJ$601,0))&amp;" "&amp;INDEX(DESK!$G$2:$G$601,MATCH($C20&amp;"|2",DESK!$AJ$2:$AJ$601,0)),"")&amp;IFERROR("; "&amp;INDEX(DESK!$B$2:$B$601,MATCH($C20&amp;"|3",DESK!$AJ$2:$AJ$601,0))&amp;" "&amp;INDEX(DESK!$G$2:$G$601,MATCH($C20&amp;"|3",DESK!$AJ$2:$AJ$601,0)),""))</f>
        <v/>
      </c>
      <c r="E20" s="9" t="str">
        <f ca="1">IF(O20="","",ROUND(INDEX(DESK!$W$2:$W$601,O20),1))</f>
        <v/>
      </c>
      <c r="F20" s="9" t="str">
        <f ca="1">IF(O20="","",INDEX(DESK!$Q$2:$Q$601,O20)+1)</f>
        <v/>
      </c>
      <c r="G20" s="8"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9"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9">
        <v>15</v>
      </c>
      <c r="B21" s="9" t="str">
        <f ca="1">IF(O21="","",INDEX(DESK!$D$2:$D$601,O21))</f>
        <v/>
      </c>
      <c r="C21" s="17" t="str">
        <f ca="1">IF(O21="","",INDEX(DESK!$F$2:$F$601,O21))</f>
        <v/>
      </c>
      <c r="D21" s="9" t="str">
        <f ca="1">IF(O21="","",INDEX(DESK!$B$2:$B$601,O21)&amp;" "&amp;INDEX(DESK!$G$2:$G$601,O21)&amp;IFERROR("; "&amp;INDEX(DESK!$B$2:$B$601,MATCH($C21&amp;"|2",DESK!$AJ$2:$AJ$601,0))&amp;" "&amp;INDEX(DESK!$G$2:$G$601,MATCH($C21&amp;"|2",DESK!$AJ$2:$AJ$601,0)),"")&amp;IFERROR("; "&amp;INDEX(DESK!$B$2:$B$601,MATCH($C21&amp;"|3",DESK!$AJ$2:$AJ$601,0))&amp;" "&amp;INDEX(DESK!$G$2:$G$601,MATCH($C21&amp;"|3",DESK!$AJ$2:$AJ$601,0)),""))</f>
        <v/>
      </c>
      <c r="E21" s="9" t="str">
        <f ca="1">IF(O21="","",ROUND(INDEX(DESK!$W$2:$W$601,O21),1))</f>
        <v/>
      </c>
      <c r="F21" s="9" t="str">
        <f ca="1">IF(O21="","",INDEX(DESK!$Q$2:$Q$601,O21)+1)</f>
        <v/>
      </c>
      <c r="G21" s="8"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9"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9">
        <v>16</v>
      </c>
      <c r="B22" s="9" t="str">
        <f ca="1">IF(O22="","",INDEX(DESK!$D$2:$D$601,O22))</f>
        <v/>
      </c>
      <c r="C22" s="17" t="str">
        <f ca="1">IF(O22="","",INDEX(DESK!$F$2:$F$601,O22))</f>
        <v/>
      </c>
      <c r="D22" s="9" t="str">
        <f ca="1">IF(O22="","",INDEX(DESK!$B$2:$B$601,O22)&amp;" "&amp;INDEX(DESK!$G$2:$G$601,O22)&amp;IFERROR("; "&amp;INDEX(DESK!$B$2:$B$601,MATCH($C22&amp;"|2",DESK!$AJ$2:$AJ$601,0))&amp;" "&amp;INDEX(DESK!$G$2:$G$601,MATCH($C22&amp;"|2",DESK!$AJ$2:$AJ$601,0)),"")&amp;IFERROR("; "&amp;INDEX(DESK!$B$2:$B$601,MATCH($C22&amp;"|3",DESK!$AJ$2:$AJ$601,0))&amp;" "&amp;INDEX(DESK!$G$2:$G$601,MATCH($C22&amp;"|3",DESK!$AJ$2:$AJ$601,0)),""))</f>
        <v/>
      </c>
      <c r="E22" s="9" t="str">
        <f ca="1">IF(O22="","",ROUND(INDEX(DESK!$W$2:$W$601,O22),1))</f>
        <v/>
      </c>
      <c r="F22" s="9" t="str">
        <f ca="1">IF(O22="","",INDEX(DESK!$Q$2:$Q$601,O22)+1)</f>
        <v/>
      </c>
      <c r="G22" s="8"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9"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9">
        <v>17</v>
      </c>
      <c r="B23" s="9" t="str">
        <f ca="1">IF(O23="","",INDEX(DESK!$D$2:$D$601,O23))</f>
        <v/>
      </c>
      <c r="C23" s="17" t="str">
        <f ca="1">IF(O23="","",INDEX(DESK!$F$2:$F$601,O23))</f>
        <v/>
      </c>
      <c r="D23" s="9" t="str">
        <f ca="1">IF(O23="","",INDEX(DESK!$B$2:$B$601,O23)&amp;" "&amp;INDEX(DESK!$G$2:$G$601,O23)&amp;IFERROR("; "&amp;INDEX(DESK!$B$2:$B$601,MATCH($C23&amp;"|2",DESK!$AJ$2:$AJ$601,0))&amp;" "&amp;INDEX(DESK!$G$2:$G$601,MATCH($C23&amp;"|2",DESK!$AJ$2:$AJ$601,0)),"")&amp;IFERROR("; "&amp;INDEX(DESK!$B$2:$B$601,MATCH($C23&amp;"|3",DESK!$AJ$2:$AJ$601,0))&amp;" "&amp;INDEX(DESK!$G$2:$G$601,MATCH($C23&amp;"|3",DESK!$AJ$2:$AJ$601,0)),""))</f>
        <v/>
      </c>
      <c r="E23" s="9" t="str">
        <f ca="1">IF(O23="","",ROUND(INDEX(DESK!$W$2:$W$601,O23),1))</f>
        <v/>
      </c>
      <c r="F23" s="9" t="str">
        <f ca="1">IF(O23="","",INDEX(DESK!$Q$2:$Q$601,O23)+1)</f>
        <v/>
      </c>
      <c r="G23" s="8"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9"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9">
        <v>18</v>
      </c>
      <c r="B24" s="9" t="str">
        <f ca="1">IF(O24="","",INDEX(DESK!$D$2:$D$601,O24))</f>
        <v/>
      </c>
      <c r="C24" s="17" t="str">
        <f ca="1">IF(O24="","",INDEX(DESK!$F$2:$F$601,O24))</f>
        <v/>
      </c>
      <c r="D24" s="9" t="str">
        <f ca="1">IF(O24="","",INDEX(DESK!$B$2:$B$601,O24)&amp;" "&amp;INDEX(DESK!$G$2:$G$601,O24)&amp;IFERROR("; "&amp;INDEX(DESK!$B$2:$B$601,MATCH($C24&amp;"|2",DESK!$AJ$2:$AJ$601,0))&amp;" "&amp;INDEX(DESK!$G$2:$G$601,MATCH($C24&amp;"|2",DESK!$AJ$2:$AJ$601,0)),"")&amp;IFERROR("; "&amp;INDEX(DESK!$B$2:$B$601,MATCH($C24&amp;"|3",DESK!$AJ$2:$AJ$601,0))&amp;" "&amp;INDEX(DESK!$G$2:$G$601,MATCH($C24&amp;"|3",DESK!$AJ$2:$AJ$601,0)),""))</f>
        <v/>
      </c>
      <c r="E24" s="9" t="str">
        <f ca="1">IF(O24="","",ROUND(INDEX(DESK!$W$2:$W$601,O24),1))</f>
        <v/>
      </c>
      <c r="F24" s="9" t="str">
        <f ca="1">IF(O24="","",INDEX(DESK!$Q$2:$Q$601,O24)+1)</f>
        <v/>
      </c>
      <c r="G24" s="8"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9"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9">
        <v>19</v>
      </c>
      <c r="B25" s="9" t="str">
        <f ca="1">IF(O25="","",INDEX(DESK!$D$2:$D$601,O25))</f>
        <v/>
      </c>
      <c r="C25" s="17" t="str">
        <f ca="1">IF(O25="","",INDEX(DESK!$F$2:$F$601,O25))</f>
        <v/>
      </c>
      <c r="D25" s="9" t="str">
        <f ca="1">IF(O25="","",INDEX(DESK!$B$2:$B$601,O25)&amp;" "&amp;INDEX(DESK!$G$2:$G$601,O25)&amp;IFERROR("; "&amp;INDEX(DESK!$B$2:$B$601,MATCH($C25&amp;"|2",DESK!$AJ$2:$AJ$601,0))&amp;" "&amp;INDEX(DESK!$G$2:$G$601,MATCH($C25&amp;"|2",DESK!$AJ$2:$AJ$601,0)),"")&amp;IFERROR("; "&amp;INDEX(DESK!$B$2:$B$601,MATCH($C25&amp;"|3",DESK!$AJ$2:$AJ$601,0))&amp;" "&amp;INDEX(DESK!$G$2:$G$601,MATCH($C25&amp;"|3",DESK!$AJ$2:$AJ$601,0)),""))</f>
        <v/>
      </c>
      <c r="E25" s="9" t="str">
        <f ca="1">IF(O25="","",ROUND(INDEX(DESK!$W$2:$W$601,O25),1))</f>
        <v/>
      </c>
      <c r="F25" s="9" t="str">
        <f ca="1">IF(O25="","",INDEX(DESK!$Q$2:$Q$601,O25)+1)</f>
        <v/>
      </c>
      <c r="G25" s="8"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9"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9">
        <v>20</v>
      </c>
      <c r="B26" s="9" t="str">
        <f ca="1">IF(O26="","",INDEX(DESK!$D$2:$D$601,O26))</f>
        <v/>
      </c>
      <c r="C26" s="17" t="str">
        <f ca="1">IF(O26="","",INDEX(DESK!$F$2:$F$601,O26))</f>
        <v/>
      </c>
      <c r="D26" s="9" t="str">
        <f ca="1">IF(O26="","",INDEX(DESK!$B$2:$B$601,O26)&amp;" "&amp;INDEX(DESK!$G$2:$G$601,O26)&amp;IFERROR("; "&amp;INDEX(DESK!$B$2:$B$601,MATCH($C26&amp;"|2",DESK!$AJ$2:$AJ$601,0))&amp;" "&amp;INDEX(DESK!$G$2:$G$601,MATCH($C26&amp;"|2",DESK!$AJ$2:$AJ$601,0)),"")&amp;IFERROR("; "&amp;INDEX(DESK!$B$2:$B$601,MATCH($C26&amp;"|3",DESK!$AJ$2:$AJ$601,0))&amp;" "&amp;INDEX(DESK!$G$2:$G$601,MATCH($C26&amp;"|3",DESK!$AJ$2:$AJ$601,0)),""))</f>
        <v/>
      </c>
      <c r="E26" s="9" t="str">
        <f ca="1">IF(O26="","",ROUND(INDEX(DESK!$W$2:$W$601,O26),1))</f>
        <v/>
      </c>
      <c r="F26" s="9" t="str">
        <f ca="1">IF(O26="","",INDEX(DESK!$Q$2:$Q$601,O26)+1)</f>
        <v/>
      </c>
      <c r="G26" s="8"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9"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9">
        <v>21</v>
      </c>
      <c r="B27" s="9" t="str">
        <f ca="1">IF(O27="","",INDEX(DESK!$D$2:$D$601,O27))</f>
        <v/>
      </c>
      <c r="C27" s="17" t="str">
        <f ca="1">IF(O27="","",INDEX(DESK!$F$2:$F$601,O27))</f>
        <v/>
      </c>
      <c r="D27" s="9" t="str">
        <f ca="1">IF(O27="","",INDEX(DESK!$B$2:$B$601,O27)&amp;" "&amp;INDEX(DESK!$G$2:$G$601,O27)&amp;IFERROR("; "&amp;INDEX(DESK!$B$2:$B$601,MATCH($C27&amp;"|2",DESK!$AJ$2:$AJ$601,0))&amp;" "&amp;INDEX(DESK!$G$2:$G$601,MATCH($C27&amp;"|2",DESK!$AJ$2:$AJ$601,0)),"")&amp;IFERROR("; "&amp;INDEX(DESK!$B$2:$B$601,MATCH($C27&amp;"|3",DESK!$AJ$2:$AJ$601,0))&amp;" "&amp;INDEX(DESK!$G$2:$G$601,MATCH($C27&amp;"|3",DESK!$AJ$2:$AJ$601,0)),""))</f>
        <v/>
      </c>
      <c r="E27" s="9" t="str">
        <f ca="1">IF(O27="","",ROUND(INDEX(DESK!$W$2:$W$601,O27),1))</f>
        <v/>
      </c>
      <c r="F27" s="9" t="str">
        <f ca="1">IF(O27="","",INDEX(DESK!$Q$2:$Q$601,O27)+1)</f>
        <v/>
      </c>
      <c r="G27" s="8"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9"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9">
        <v>22</v>
      </c>
      <c r="B28" s="9" t="str">
        <f ca="1">IF(O28="","",INDEX(DESK!$D$2:$D$601,O28))</f>
        <v/>
      </c>
      <c r="C28" s="17" t="str">
        <f ca="1">IF(O28="","",INDEX(DESK!$F$2:$F$601,O28))</f>
        <v/>
      </c>
      <c r="D28" s="9" t="str">
        <f ca="1">IF(O28="","",INDEX(DESK!$B$2:$B$601,O28)&amp;" "&amp;INDEX(DESK!$G$2:$G$601,O28)&amp;IFERROR("; "&amp;INDEX(DESK!$B$2:$B$601,MATCH($C28&amp;"|2",DESK!$AJ$2:$AJ$601,0))&amp;" "&amp;INDEX(DESK!$G$2:$G$601,MATCH($C28&amp;"|2",DESK!$AJ$2:$AJ$601,0)),"")&amp;IFERROR("; "&amp;INDEX(DESK!$B$2:$B$601,MATCH($C28&amp;"|3",DESK!$AJ$2:$AJ$601,0))&amp;" "&amp;INDEX(DESK!$G$2:$G$601,MATCH($C28&amp;"|3",DESK!$AJ$2:$AJ$601,0)),""))</f>
        <v/>
      </c>
      <c r="E28" s="9" t="str">
        <f ca="1">IF(O28="","",ROUND(INDEX(DESK!$W$2:$W$601,O28),1))</f>
        <v/>
      </c>
      <c r="F28" s="9" t="str">
        <f ca="1">IF(O28="","",INDEX(DESK!$Q$2:$Q$601,O28)+1)</f>
        <v/>
      </c>
      <c r="G28" s="8"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9"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9">
        <v>23</v>
      </c>
      <c r="B29" s="9" t="str">
        <f ca="1">IF(O29="","",INDEX(DESK!$D$2:$D$601,O29))</f>
        <v/>
      </c>
      <c r="C29" s="17" t="str">
        <f ca="1">IF(O29="","",INDEX(DESK!$F$2:$F$601,O29))</f>
        <v/>
      </c>
      <c r="D29" s="9" t="str">
        <f ca="1">IF(O29="","",INDEX(DESK!$B$2:$B$601,O29)&amp;" "&amp;INDEX(DESK!$G$2:$G$601,O29)&amp;IFERROR("; "&amp;INDEX(DESK!$B$2:$B$601,MATCH($C29&amp;"|2",DESK!$AJ$2:$AJ$601,0))&amp;" "&amp;INDEX(DESK!$G$2:$G$601,MATCH($C29&amp;"|2",DESK!$AJ$2:$AJ$601,0)),"")&amp;IFERROR("; "&amp;INDEX(DESK!$B$2:$B$601,MATCH($C29&amp;"|3",DESK!$AJ$2:$AJ$601,0))&amp;" "&amp;INDEX(DESK!$G$2:$G$601,MATCH($C29&amp;"|3",DESK!$AJ$2:$AJ$601,0)),""))</f>
        <v/>
      </c>
      <c r="E29" s="9" t="str">
        <f ca="1">IF(O29="","",ROUND(INDEX(DESK!$W$2:$W$601,O29),1))</f>
        <v/>
      </c>
      <c r="F29" s="9" t="str">
        <f ca="1">IF(O29="","",INDEX(DESK!$Q$2:$Q$601,O29)+1)</f>
        <v/>
      </c>
      <c r="G29" s="8"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9"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9">
        <v>24</v>
      </c>
      <c r="B30" s="9" t="str">
        <f ca="1">IF(O30="","",INDEX(DESK!$D$2:$D$601,O30))</f>
        <v/>
      </c>
      <c r="C30" s="17" t="str">
        <f ca="1">IF(O30="","",INDEX(DESK!$F$2:$F$601,O30))</f>
        <v/>
      </c>
      <c r="D30" s="9" t="str">
        <f ca="1">IF(O30="","",INDEX(DESK!$B$2:$B$601,O30)&amp;" "&amp;INDEX(DESK!$G$2:$G$601,O30)&amp;IFERROR("; "&amp;INDEX(DESK!$B$2:$B$601,MATCH($C30&amp;"|2",DESK!$AJ$2:$AJ$601,0))&amp;" "&amp;INDEX(DESK!$G$2:$G$601,MATCH($C30&amp;"|2",DESK!$AJ$2:$AJ$601,0)),"")&amp;IFERROR("; "&amp;INDEX(DESK!$B$2:$B$601,MATCH($C30&amp;"|3",DESK!$AJ$2:$AJ$601,0))&amp;" "&amp;INDEX(DESK!$G$2:$G$601,MATCH($C30&amp;"|3",DESK!$AJ$2:$AJ$601,0)),""))</f>
        <v/>
      </c>
      <c r="E30" s="9" t="str">
        <f ca="1">IF(O30="","",ROUND(INDEX(DESK!$W$2:$W$601,O30),1))</f>
        <v/>
      </c>
      <c r="F30" s="9" t="str">
        <f ca="1">IF(O30="","",INDEX(DESK!$Q$2:$Q$601,O30)+1)</f>
        <v/>
      </c>
      <c r="G30" s="8"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9"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9">
        <v>25</v>
      </c>
      <c r="B31" s="9" t="str">
        <f ca="1">IF(O31="","",INDEX(DESK!$D$2:$D$601,O31))</f>
        <v/>
      </c>
      <c r="C31" s="17" t="str">
        <f ca="1">IF(O31="","",INDEX(DESK!$F$2:$F$601,O31))</f>
        <v/>
      </c>
      <c r="D31" s="9" t="str">
        <f ca="1">IF(O31="","",INDEX(DESK!$B$2:$B$601,O31)&amp;" "&amp;INDEX(DESK!$G$2:$G$601,O31)&amp;IFERROR("; "&amp;INDEX(DESK!$B$2:$B$601,MATCH($C31&amp;"|2",DESK!$AJ$2:$AJ$601,0))&amp;" "&amp;INDEX(DESK!$G$2:$G$601,MATCH($C31&amp;"|2",DESK!$AJ$2:$AJ$601,0)),"")&amp;IFERROR("; "&amp;INDEX(DESK!$B$2:$B$601,MATCH($C31&amp;"|3",DESK!$AJ$2:$AJ$601,0))&amp;" "&amp;INDEX(DESK!$G$2:$G$601,MATCH($C31&amp;"|3",DESK!$AJ$2:$AJ$601,0)),""))</f>
        <v/>
      </c>
      <c r="E31" s="9" t="str">
        <f ca="1">IF(O31="","",ROUND(INDEX(DESK!$W$2:$W$601,O31),1))</f>
        <v/>
      </c>
      <c r="F31" s="9" t="str">
        <f ca="1">IF(O31="","",INDEX(DESK!$Q$2:$Q$601,O31)+1)</f>
        <v/>
      </c>
      <c r="G31" s="8"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9"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J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4" width="18" customWidth="1"/>
    <col min="5" max="5" width="22" customWidth="1"/>
    <col min="6" max="6" width="40" customWidth="1"/>
    <col min="7" max="7" width="16" customWidth="1"/>
    <col min="8" max="8" width="8" customWidth="1"/>
    <col min="9" max="9" width="16" customWidth="1"/>
    <col min="10" max="10" width="34" customWidth="1"/>
  </cols>
  <sheetData>
    <row r="1" spans="1:10" ht="26" x14ac:dyDescent="0.35">
      <c r="A1" s="5" t="s">
        <v>69</v>
      </c>
      <c r="B1" s="5" t="s">
        <v>70</v>
      </c>
      <c r="C1" s="5" t="s">
        <v>71</v>
      </c>
      <c r="D1" s="5" t="s">
        <v>14</v>
      </c>
      <c r="E1" s="5" t="s">
        <v>72</v>
      </c>
      <c r="F1" s="5" t="s">
        <v>73</v>
      </c>
      <c r="G1" s="5" t="s">
        <v>74</v>
      </c>
      <c r="H1" s="5" t="s">
        <v>75</v>
      </c>
      <c r="I1" s="5" t="s">
        <v>76</v>
      </c>
      <c r="J1" s="5" t="s">
        <v>77</v>
      </c>
    </row>
    <row r="2" spans="1:10" x14ac:dyDescent="0.35">
      <c r="A2" s="19">
        <v>46308.843652800009</v>
      </c>
      <c r="B2" s="20" t="s">
        <v>2127</v>
      </c>
      <c r="C2" s="21" t="s">
        <v>1623</v>
      </c>
      <c r="D2" s="20" t="s">
        <v>30</v>
      </c>
      <c r="E2" s="20" t="s">
        <v>279</v>
      </c>
      <c r="F2" s="20" t="s">
        <v>2128</v>
      </c>
      <c r="G2" s="22">
        <f>IF(A2="","",IF(A2&gt;=1,A2,INT(SETTINGS!$B$4)+A2))</f>
        <v>46308.843652800009</v>
      </c>
      <c r="H2" s="23">
        <f>IF(D2="","",IFERROR(VLOOKUP(D2,LISTS!$A$2:$E$10,3,FALSE),0))</f>
        <v>0</v>
      </c>
      <c r="I2" s="23" t="str">
        <f>IF(H2=1,C2&amp;"|"&amp;COUNTIFS($C$2:C2,C2,$H$2:H2,1),"")</f>
        <v/>
      </c>
      <c r="J2" s="23" t="str">
        <f>IF(D2="","",IF(A2="","Missing time",IF(D2="NO_SLOTS",IF(COUNTIF(PARTNERS!$A$2:$A$88,E2)=0,"Write the company in column E","OK"),IF(C2="","Missing phone",IF(COUNTIF(DESK!$F$2:$F$601,C2)=0,"Phone not found: copy it from your list",IF(AND(E2&lt;&gt;"",COUNTIFS(DESK!$F$2:$F$601,C2,DESK!$B$2:$B$601,E2)=0),"Company is not one of theirs","OK"))))))</f>
        <v>OK</v>
      </c>
    </row>
    <row r="3" spans="1:10" x14ac:dyDescent="0.35">
      <c r="A3" s="19">
        <v>46308.864701465987</v>
      </c>
      <c r="B3" s="20" t="s">
        <v>2127</v>
      </c>
      <c r="C3" s="21" t="s">
        <v>1700</v>
      </c>
      <c r="D3" s="20" t="s">
        <v>30</v>
      </c>
      <c r="E3" s="20" t="s">
        <v>237</v>
      </c>
      <c r="F3" s="20" t="s">
        <v>2128</v>
      </c>
      <c r="G3" s="22">
        <f>IF(A3="","",IF(A3&gt;=1,A3,IF(MAX($G$2:G2)=0,INT(SETTINGS!$B$4)+A3,INT(MAX($G$2:G2))+A3+IF(A3&lt;MOD(MAX($G$2:G2),1),1,0))))</f>
        <v>46308.864701465987</v>
      </c>
      <c r="H3" s="23">
        <f>IF(D3="","",IF(IFERROR(VLOOKUP(D3,LISTS!$A$2:$E$10,3,FALSE),0)=0,0,IF(IFERROR(COUNTIFS($C$2:C2,C3,$H$2:H2,1,$G$2:G2,"&gt;="&amp;(G3-15/1440)),0)&gt;0,0,1)))</f>
        <v>0</v>
      </c>
      <c r="I3" s="23" t="str">
        <f>IF(H3=1,C3&amp;"|"&amp;COUNTIFS($C$2:C3,C3,$H$2:H3,1),"")</f>
        <v/>
      </c>
      <c r="J3" s="23" t="str">
        <f>IF(D3="","",IF(A3="","Missing time",IF(D3="NO_SLOTS",IF(COUNTIF(PARTNERS!$A$2:$A$88,E3)=0,"Write the company in column E","OK"),IF(C3="","Missing phone",IF(COUNTIF(DESK!$F$2:$F$601,C3)=0,"Phone not found: copy it from your list",IF(AND(E3&lt;&gt;"",COUNTIFS(DESK!$F$2:$F$601,C3,DESK!$B$2:$B$601,E3)=0),"Company is not one of theirs","OK"))))))</f>
        <v>OK</v>
      </c>
    </row>
    <row r="4" spans="1:10" x14ac:dyDescent="0.35">
      <c r="A4" s="19">
        <v>46308.864745542371</v>
      </c>
      <c r="B4" s="20" t="s">
        <v>2127</v>
      </c>
      <c r="C4" s="21" t="s">
        <v>1161</v>
      </c>
      <c r="D4" s="20" t="s">
        <v>30</v>
      </c>
      <c r="E4" s="20" t="s">
        <v>294</v>
      </c>
      <c r="F4" s="20" t="s">
        <v>2128</v>
      </c>
      <c r="G4" s="22">
        <f>IF(A4="","",IF(A4&gt;=1,A4,IF(MAX($G$2:G3)=0,INT(SETTINGS!$B$4)+A4,INT(MAX($G$2:G3))+A4+IF(A4&lt;MOD(MAX($G$2:G3),1),1,0))))</f>
        <v>46308.864745542371</v>
      </c>
      <c r="H4" s="23">
        <f>IF(D4="","",IF(IFERROR(VLOOKUP(D4,LISTS!$A$2:$E$10,3,FALSE),0)=0,0,IF(IFERROR(COUNTIFS($C$2:C3,C4,$H$2:H3,1,$G$2:G3,"&gt;="&amp;(G4-15/1440)),0)&gt;0,0,1)))</f>
        <v>0</v>
      </c>
      <c r="I4" s="23" t="str">
        <f>IF(H4=1,C4&amp;"|"&amp;COUNTIFS($C$2:C4,C4,$H$2:H4,1),"")</f>
        <v/>
      </c>
      <c r="J4" s="23" t="str">
        <f>IF(D4="","",IF(A4="","Missing time",IF(D4="NO_SLOTS",IF(COUNTIF(PARTNERS!$A$2:$A$88,E4)=0,"Write the company in column E","OK"),IF(C4="","Missing phone",IF(COUNTIF(DESK!$F$2:$F$601,C4)=0,"Phone not found: copy it from your list",IF(AND(E4&lt;&gt;"",COUNTIFS(DESK!$F$2:$F$601,C4,DESK!$B$2:$B$601,E4)=0),"Company is not one of theirs","OK"))))))</f>
        <v>OK</v>
      </c>
    </row>
    <row r="5" spans="1:10" x14ac:dyDescent="0.35">
      <c r="A5" s="19">
        <v>46308.871989660474</v>
      </c>
      <c r="B5" s="20" t="s">
        <v>2127</v>
      </c>
      <c r="C5" s="21" t="s">
        <v>1796</v>
      </c>
      <c r="D5" s="20" t="s">
        <v>30</v>
      </c>
      <c r="E5" s="20" t="s">
        <v>354</v>
      </c>
      <c r="F5" s="20" t="s">
        <v>2128</v>
      </c>
      <c r="G5" s="22">
        <f>IF(A5="","",IF(A5&gt;=1,A5,IF(MAX($G$2:G4)=0,INT(SETTINGS!$B$4)+A5,INT(MAX($G$2:G4))+A5+IF(A5&lt;MOD(MAX($G$2:G4),1),1,0))))</f>
        <v>46308.871989660474</v>
      </c>
      <c r="H5" s="23">
        <f>IF(D5="","",IF(IFERROR(VLOOKUP(D5,LISTS!$A$2:$E$10,3,FALSE),0)=0,0,IF(IFERROR(COUNTIFS($C$2:C4,C5,$H$2:H4,1,$G$2:G4,"&gt;="&amp;(G5-15/1440)),0)&gt;0,0,1)))</f>
        <v>0</v>
      </c>
      <c r="I5" s="23" t="str">
        <f>IF(H5=1,C5&amp;"|"&amp;COUNTIFS($C$2:C5,C5,$H$2:H5,1),"")</f>
        <v/>
      </c>
      <c r="J5" s="23" t="str">
        <f>IF(D5="","",IF(A5="","Missing time",IF(D5="NO_SLOTS",IF(COUNTIF(PARTNERS!$A$2:$A$88,E5)=0,"Write the company in column E","OK"),IF(C5="","Missing phone",IF(COUNTIF(DESK!$F$2:$F$601,C5)=0,"Phone not found: copy it from your list",IF(AND(E5&lt;&gt;"",COUNTIFS(DESK!$F$2:$F$601,C5,DESK!$B$2:$B$601,E5)=0),"Company is not one of theirs","OK"))))))</f>
        <v>OK</v>
      </c>
    </row>
    <row r="6" spans="1:10" x14ac:dyDescent="0.35">
      <c r="A6" s="19">
        <v>46308.876129092307</v>
      </c>
      <c r="B6" s="20" t="s">
        <v>2127</v>
      </c>
      <c r="C6" s="21" t="s">
        <v>1751</v>
      </c>
      <c r="D6" s="20" t="s">
        <v>30</v>
      </c>
      <c r="E6" s="20" t="s">
        <v>194</v>
      </c>
      <c r="F6" s="20" t="s">
        <v>2128</v>
      </c>
      <c r="G6" s="22">
        <f>IF(A6="","",IF(A6&gt;=1,A6,IF(MAX($G$2:G5)=0,INT(SETTINGS!$B$4)+A6,INT(MAX($G$2:G5))+A6+IF(A6&lt;MOD(MAX($G$2:G5),1),1,0))))</f>
        <v>46308.876129092307</v>
      </c>
      <c r="H6" s="23">
        <f>IF(D6="","",IF(IFERROR(VLOOKUP(D6,LISTS!$A$2:$E$10,3,FALSE),0)=0,0,IF(IFERROR(COUNTIFS($C$2:C5,C6,$H$2:H5,1,$G$2:G5,"&gt;="&amp;(G6-15/1440)),0)&gt;0,0,1)))</f>
        <v>0</v>
      </c>
      <c r="I6" s="23" t="str">
        <f>IF(H6=1,C6&amp;"|"&amp;COUNTIFS($C$2:C6,C6,$H$2:H6,1),"")</f>
        <v/>
      </c>
      <c r="J6" s="23" t="str">
        <f>IF(D6="","",IF(A6="","Missing time",IF(D6="NO_SLOTS",IF(COUNTIF(PARTNERS!$A$2:$A$88,E6)=0,"Write the company in column E","OK"),IF(C6="","Missing phone",IF(COUNTIF(DESK!$F$2:$F$601,C6)=0,"Phone not found: copy it from your list",IF(AND(E6&lt;&gt;"",COUNTIFS(DESK!$F$2:$F$601,C6,DESK!$B$2:$B$601,E6)=0),"Company is not one of theirs","OK"))))))</f>
        <v>OK</v>
      </c>
    </row>
    <row r="7" spans="1:10" x14ac:dyDescent="0.35">
      <c r="A7" s="19">
        <v>46308.884493357211</v>
      </c>
      <c r="B7" s="20" t="s">
        <v>2127</v>
      </c>
      <c r="C7" s="21" t="s">
        <v>1333</v>
      </c>
      <c r="D7" s="20" t="s">
        <v>30</v>
      </c>
      <c r="E7" s="20" t="s">
        <v>276</v>
      </c>
      <c r="F7" s="20" t="s">
        <v>2128</v>
      </c>
      <c r="G7" s="22">
        <f>IF(A7="","",IF(A7&gt;=1,A7,IF(MAX($G$2:G6)=0,INT(SETTINGS!$B$4)+A7,INT(MAX($G$2:G6))+A7+IF(A7&lt;MOD(MAX($G$2:G6),1),1,0))))</f>
        <v>46308.884493357211</v>
      </c>
      <c r="H7" s="23">
        <f>IF(D7="","",IF(IFERROR(VLOOKUP(D7,LISTS!$A$2:$E$10,3,FALSE),0)=0,0,IF(IFERROR(COUNTIFS($C$2:C6,C7,$H$2:H6,1,$G$2:G6,"&gt;="&amp;(G7-15/1440)),0)&gt;0,0,1)))</f>
        <v>0</v>
      </c>
      <c r="I7" s="23" t="str">
        <f>IF(H7=1,C7&amp;"|"&amp;COUNTIFS($C$2:C7,C7,$H$2:H7,1),"")</f>
        <v/>
      </c>
      <c r="J7" s="23" t="str">
        <f>IF(D7="","",IF(A7="","Missing time",IF(D7="NO_SLOTS",IF(COUNTIF(PARTNERS!$A$2:$A$88,E7)=0,"Write the company in column E","OK"),IF(C7="","Missing phone",IF(COUNTIF(DESK!$F$2:$F$601,C7)=0,"Phone not found: copy it from your list",IF(AND(E7&lt;&gt;"",COUNTIFS(DESK!$F$2:$F$601,C7,DESK!$B$2:$B$601,E7)=0),"Company is not one of theirs","OK"))))))</f>
        <v>OK</v>
      </c>
    </row>
    <row r="8" spans="1:10" x14ac:dyDescent="0.35">
      <c r="A8" s="19">
        <v>46308.88884905132</v>
      </c>
      <c r="B8" s="20" t="s">
        <v>2127</v>
      </c>
      <c r="C8" s="21" t="s">
        <v>1086</v>
      </c>
      <c r="D8" s="20" t="s">
        <v>30</v>
      </c>
      <c r="E8" s="20" t="s">
        <v>189</v>
      </c>
      <c r="F8" s="20" t="s">
        <v>2128</v>
      </c>
      <c r="G8" s="22">
        <f>IF(A8="","",IF(A8&gt;=1,A8,IF(MAX($G$2:G7)=0,INT(SETTINGS!$B$4)+A8,INT(MAX($G$2:G7))+A8+IF(A8&lt;MOD(MAX($G$2:G7),1),1,0))))</f>
        <v>46308.88884905132</v>
      </c>
      <c r="H8" s="23">
        <f>IF(D8="","",IF(IFERROR(VLOOKUP(D8,LISTS!$A$2:$E$10,3,FALSE),0)=0,0,IF(IFERROR(COUNTIFS($C$2:C7,C8,$H$2:H7,1,$G$2:G7,"&gt;="&amp;(G8-15/1440)),0)&gt;0,0,1)))</f>
        <v>0</v>
      </c>
      <c r="I8" s="23" t="str">
        <f>IF(H8=1,C8&amp;"|"&amp;COUNTIFS($C$2:C8,C8,$H$2:H8,1),"")</f>
        <v/>
      </c>
      <c r="J8" s="23" t="str">
        <f>IF(D8="","",IF(A8="","Missing time",IF(D8="NO_SLOTS",IF(COUNTIF(PARTNERS!$A$2:$A$88,E8)=0,"Write the company in column E","OK"),IF(C8="","Missing phone",IF(COUNTIF(DESK!$F$2:$F$601,C8)=0,"Phone not found: copy it from your list",IF(AND(E8&lt;&gt;"",COUNTIFS(DESK!$F$2:$F$601,C8,DESK!$B$2:$B$601,E8)=0),"Company is not one of theirs","OK"))))))</f>
        <v>OK</v>
      </c>
    </row>
    <row r="9" spans="1:10" x14ac:dyDescent="0.35">
      <c r="A9" s="19">
        <v>46308.888903366205</v>
      </c>
      <c r="B9" s="20" t="s">
        <v>2127</v>
      </c>
      <c r="C9" s="21" t="s">
        <v>1279</v>
      </c>
      <c r="D9" s="20" t="s">
        <v>30</v>
      </c>
      <c r="E9" s="20" t="s">
        <v>321</v>
      </c>
      <c r="F9" s="20" t="s">
        <v>2128</v>
      </c>
      <c r="G9" s="22">
        <f>IF(A9="","",IF(A9&gt;=1,A9,IF(MAX($G$2:G8)=0,INT(SETTINGS!$B$4)+A9,INT(MAX($G$2:G8))+A9+IF(A9&lt;MOD(MAX($G$2:G8),1),1,0))))</f>
        <v>46308.888903366205</v>
      </c>
      <c r="H9" s="23">
        <f>IF(D9="","",IF(IFERROR(VLOOKUP(D9,LISTS!$A$2:$E$10,3,FALSE),0)=0,0,IF(IFERROR(COUNTIFS($C$2:C8,C9,$H$2:H8,1,$G$2:G8,"&gt;="&amp;(G9-15/1440)),0)&gt;0,0,1)))</f>
        <v>0</v>
      </c>
      <c r="I9" s="23" t="str">
        <f>IF(H9=1,C9&amp;"|"&amp;COUNTIFS($C$2:C9,C9,$H$2:H9,1),"")</f>
        <v/>
      </c>
      <c r="J9" s="23" t="str">
        <f>IF(D9="","",IF(A9="","Missing time",IF(D9="NO_SLOTS",IF(COUNTIF(PARTNERS!$A$2:$A$88,E9)=0,"Write the company in column E","OK"),IF(C9="","Missing phone",IF(COUNTIF(DESK!$F$2:$F$601,C9)=0,"Phone not found: copy it from your list",IF(AND(E9&lt;&gt;"",COUNTIFS(DESK!$F$2:$F$601,C9,DESK!$B$2:$B$601,E9)=0),"Company is not one of theirs","OK"))))))</f>
        <v>OK</v>
      </c>
    </row>
    <row r="10" spans="1:10" x14ac:dyDescent="0.35">
      <c r="A10" s="19">
        <v>46308.896892984987</v>
      </c>
      <c r="B10" s="20" t="s">
        <v>2127</v>
      </c>
      <c r="C10" s="21" t="s">
        <v>808</v>
      </c>
      <c r="D10" s="20" t="s">
        <v>30</v>
      </c>
      <c r="E10" s="20" t="s">
        <v>210</v>
      </c>
      <c r="F10" s="20" t="s">
        <v>2128</v>
      </c>
      <c r="G10" s="22">
        <f>IF(A10="","",IF(A10&gt;=1,A10,IF(MAX($G$2:G9)=0,INT(SETTINGS!$B$4)+A10,INT(MAX($G$2:G9))+A10+IF(A10&lt;MOD(MAX($G$2:G9),1),1,0))))</f>
        <v>46308.896892984987</v>
      </c>
      <c r="H10" s="23">
        <f>IF(D10="","",IF(IFERROR(VLOOKUP(D10,LISTS!$A$2:$E$10,3,FALSE),0)=0,0,IF(IFERROR(COUNTIFS($C$2:C9,C10,$H$2:H9,1,$G$2:G9,"&gt;="&amp;(G10-15/1440)),0)&gt;0,0,1)))</f>
        <v>0</v>
      </c>
      <c r="I10" s="23" t="str">
        <f>IF(H10=1,C10&amp;"|"&amp;COUNTIFS($C$2:C10,C10,$H$2:H10,1),"")</f>
        <v/>
      </c>
      <c r="J10" s="23" t="str">
        <f>IF(D10="","",IF(A10="","Missing time",IF(D10="NO_SLOTS",IF(COUNTIF(PARTNERS!$A$2:$A$88,E10)=0,"Write the company in column E","OK"),IF(C10="","Missing phone",IF(COUNTIF(DESK!$F$2:$F$601,C10)=0,"Phone not found: copy it from your list",IF(AND(E10&lt;&gt;"",COUNTIFS(DESK!$F$2:$F$601,C10,DESK!$B$2:$B$601,E10)=0),"Company is not one of theirs","OK"))))))</f>
        <v>OK</v>
      </c>
    </row>
    <row r="11" spans="1:10" x14ac:dyDescent="0.35">
      <c r="A11" s="19">
        <v>46308.897398777866</v>
      </c>
      <c r="B11" s="20" t="s">
        <v>2127</v>
      </c>
      <c r="C11" s="21" t="s">
        <v>1584</v>
      </c>
      <c r="D11" s="20" t="s">
        <v>30</v>
      </c>
      <c r="E11" s="20" t="s">
        <v>384</v>
      </c>
      <c r="F11" s="20" t="s">
        <v>2128</v>
      </c>
      <c r="G11" s="22">
        <f>IF(A11="","",IF(A11&gt;=1,A11,IF(MAX($G$2:G10)=0,INT(SETTINGS!$B$4)+A11,INT(MAX($G$2:G10))+A11+IF(A11&lt;MOD(MAX($G$2:G10),1),1,0))))</f>
        <v>46308.897398777866</v>
      </c>
      <c r="H11" s="23">
        <f>IF(D11="","",IF(IFERROR(VLOOKUP(D11,LISTS!$A$2:$E$10,3,FALSE),0)=0,0,IF(IFERROR(COUNTIFS($C$2:C10,C11,$H$2:H10,1,$G$2:G10,"&gt;="&amp;(G11-15/1440)),0)&gt;0,0,1)))</f>
        <v>0</v>
      </c>
      <c r="I11" s="23" t="str">
        <f>IF(H11=1,C11&amp;"|"&amp;COUNTIFS($C$2:C11,C11,$H$2:H11,1),"")</f>
        <v/>
      </c>
      <c r="J11" s="23" t="str">
        <f>IF(D11="","",IF(A11="","Missing time",IF(D11="NO_SLOTS",IF(COUNTIF(PARTNERS!$A$2:$A$88,E11)=0,"Write the company in column E","OK"),IF(C11="","Missing phone",IF(COUNTIF(DESK!$F$2:$F$601,C11)=0,"Phone not found: copy it from your list",IF(AND(E11&lt;&gt;"",COUNTIFS(DESK!$F$2:$F$601,C11,DESK!$B$2:$B$601,E11)=0),"Company is not one of theirs","OK"))))))</f>
        <v>OK</v>
      </c>
    </row>
    <row r="12" spans="1:10" x14ac:dyDescent="0.35">
      <c r="A12" s="19">
        <v>46308.900456487063</v>
      </c>
      <c r="B12" s="20" t="s">
        <v>2127</v>
      </c>
      <c r="C12" s="21" t="s">
        <v>1927</v>
      </c>
      <c r="D12" s="20" t="s">
        <v>30</v>
      </c>
      <c r="E12" s="20" t="s">
        <v>414</v>
      </c>
      <c r="F12" s="20" t="s">
        <v>2128</v>
      </c>
      <c r="G12" s="22">
        <f>IF(A12="","",IF(A12&gt;=1,A12,IF(MAX($G$2:G11)=0,INT(SETTINGS!$B$4)+A12,INT(MAX($G$2:G11))+A12+IF(A12&lt;MOD(MAX($G$2:G11),1),1,0))))</f>
        <v>46308.900456487063</v>
      </c>
      <c r="H12" s="23">
        <f>IF(D12="","",IF(IFERROR(VLOOKUP(D12,LISTS!$A$2:$E$10,3,FALSE),0)=0,0,IF(IFERROR(COUNTIFS($C$2:C11,C12,$H$2:H11,1,$G$2:G11,"&gt;="&amp;(G12-15/1440)),0)&gt;0,0,1)))</f>
        <v>0</v>
      </c>
      <c r="I12" s="23" t="str">
        <f>IF(H12=1,C12&amp;"|"&amp;COUNTIFS($C$2:C12,C12,$H$2:H12,1),"")</f>
        <v/>
      </c>
      <c r="J12" s="23" t="str">
        <f>IF(D12="","",IF(A12="","Missing time",IF(D12="NO_SLOTS",IF(COUNTIF(PARTNERS!$A$2:$A$88,E12)=0,"Write the company in column E","OK"),IF(C12="","Missing phone",IF(COUNTIF(DESK!$F$2:$F$601,C12)=0,"Phone not found: copy it from your list",IF(AND(E12&lt;&gt;"",COUNTIFS(DESK!$F$2:$F$601,C12,DESK!$B$2:$B$601,E12)=0),"Company is not one of theirs","OK"))))))</f>
        <v>OK</v>
      </c>
    </row>
    <row r="13" spans="1:10" x14ac:dyDescent="0.35">
      <c r="A13" s="19">
        <v>46308.905216339481</v>
      </c>
      <c r="B13" s="20" t="s">
        <v>2127</v>
      </c>
      <c r="C13" s="21" t="s">
        <v>1548</v>
      </c>
      <c r="D13" s="20" t="s">
        <v>30</v>
      </c>
      <c r="E13" s="20" t="s">
        <v>324</v>
      </c>
      <c r="F13" s="20" t="s">
        <v>2128</v>
      </c>
      <c r="G13" s="22">
        <f>IF(A13="","",IF(A13&gt;=1,A13,IF(MAX($G$2:G12)=0,INT(SETTINGS!$B$4)+A13,INT(MAX($G$2:G12))+A13+IF(A13&lt;MOD(MAX($G$2:G12),1),1,0))))</f>
        <v>46308.905216339481</v>
      </c>
      <c r="H13" s="23">
        <f>IF(D13="","",IF(IFERROR(VLOOKUP(D13,LISTS!$A$2:$E$10,3,FALSE),0)=0,0,IF(IFERROR(COUNTIFS($C$2:C12,C13,$H$2:H12,1,$G$2:G12,"&gt;="&amp;(G13-15/1440)),0)&gt;0,0,1)))</f>
        <v>0</v>
      </c>
      <c r="I13" s="23" t="str">
        <f>IF(H13=1,C13&amp;"|"&amp;COUNTIFS($C$2:C13,C13,$H$2:H13,1),"")</f>
        <v/>
      </c>
      <c r="J13" s="23" t="str">
        <f>IF(D13="","",IF(A13="","Missing time",IF(D13="NO_SLOTS",IF(COUNTIF(PARTNERS!$A$2:$A$88,E13)=0,"Write the company in column E","OK"),IF(C13="","Missing phone",IF(COUNTIF(DESK!$F$2:$F$601,C13)=0,"Phone not found: copy it from your list",IF(AND(E13&lt;&gt;"",COUNTIFS(DESK!$F$2:$F$601,C13,DESK!$B$2:$B$601,E13)=0),"Company is not one of theirs","OK"))))))</f>
        <v>OK</v>
      </c>
    </row>
    <row r="14" spans="1:10" x14ac:dyDescent="0.35">
      <c r="A14" s="19">
        <v>46308.908706659444</v>
      </c>
      <c r="B14" s="20" t="s">
        <v>2127</v>
      </c>
      <c r="C14" s="21" t="s">
        <v>1113</v>
      </c>
      <c r="D14" s="20" t="s">
        <v>30</v>
      </c>
      <c r="E14" s="20" t="s">
        <v>197</v>
      </c>
      <c r="F14" s="20" t="s">
        <v>2128</v>
      </c>
      <c r="G14" s="22">
        <f>IF(A14="","",IF(A14&gt;=1,A14,IF(MAX($G$2:G13)=0,INT(SETTINGS!$B$4)+A14,INT(MAX($G$2:G13))+A14+IF(A14&lt;MOD(MAX($G$2:G13),1),1,0))))</f>
        <v>46308.908706659444</v>
      </c>
      <c r="H14" s="23">
        <f>IF(D14="","",IF(IFERROR(VLOOKUP(D14,LISTS!$A$2:$E$10,3,FALSE),0)=0,0,IF(IFERROR(COUNTIFS($C$2:C13,C14,$H$2:H13,1,$G$2:G13,"&gt;="&amp;(G14-15/1440)),0)&gt;0,0,1)))</f>
        <v>0</v>
      </c>
      <c r="I14" s="23" t="str">
        <f>IF(H14=1,C14&amp;"|"&amp;COUNTIFS($C$2:C14,C14,$H$2:H14,1),"")</f>
        <v/>
      </c>
      <c r="J14" s="23" t="str">
        <f>IF(D14="","",IF(A14="","Missing time",IF(D14="NO_SLOTS",IF(COUNTIF(PARTNERS!$A$2:$A$88,E14)=0,"Write the company in column E","OK"),IF(C14="","Missing phone",IF(COUNTIF(DESK!$F$2:$F$601,C14)=0,"Phone not found: copy it from your list",IF(AND(E14&lt;&gt;"",COUNTIFS(DESK!$F$2:$F$601,C14,DESK!$B$2:$B$601,E14)=0),"Company is not one of theirs","OK"))))))</f>
        <v>OK</v>
      </c>
    </row>
    <row r="15" spans="1:10" x14ac:dyDescent="0.35">
      <c r="A15" s="19">
        <v>46308.909789602927</v>
      </c>
      <c r="B15" s="20" t="s">
        <v>2127</v>
      </c>
      <c r="C15" s="21" t="s">
        <v>1429</v>
      </c>
      <c r="D15" s="20" t="s">
        <v>30</v>
      </c>
      <c r="E15" s="20" t="s">
        <v>189</v>
      </c>
      <c r="F15" s="20" t="s">
        <v>2128</v>
      </c>
      <c r="G15" s="22">
        <f>IF(A15="","",IF(A15&gt;=1,A15,IF(MAX($G$2:G14)=0,INT(SETTINGS!$B$4)+A15,INT(MAX($G$2:G14))+A15+IF(A15&lt;MOD(MAX($G$2:G14),1),1,0))))</f>
        <v>46308.909789602927</v>
      </c>
      <c r="H15" s="23">
        <f>IF(D15="","",IF(IFERROR(VLOOKUP(D15,LISTS!$A$2:$E$10,3,FALSE),0)=0,0,IF(IFERROR(COUNTIFS($C$2:C14,C15,$H$2:H14,1,$G$2:G14,"&gt;="&amp;(G15-15/1440)),0)&gt;0,0,1)))</f>
        <v>0</v>
      </c>
      <c r="I15" s="23" t="str">
        <f>IF(H15=1,C15&amp;"|"&amp;COUNTIFS($C$2:C15,C15,$H$2:H15,1),"")</f>
        <v/>
      </c>
      <c r="J15" s="23" t="str">
        <f>IF(D15="","",IF(A15="","Missing time",IF(D15="NO_SLOTS",IF(COUNTIF(PARTNERS!$A$2:$A$88,E15)=0,"Write the company in column E","OK"),IF(C15="","Missing phone",IF(COUNTIF(DESK!$F$2:$F$601,C15)=0,"Phone not found: copy it from your list",IF(AND(E15&lt;&gt;"",COUNTIFS(DESK!$F$2:$F$601,C15,DESK!$B$2:$B$601,E15)=0),"Company is not one of theirs","OK"))))))</f>
        <v>OK</v>
      </c>
    </row>
    <row r="16" spans="1:10" x14ac:dyDescent="0.35">
      <c r="A16" s="19">
        <v>46308.910405479335</v>
      </c>
      <c r="B16" s="20" t="s">
        <v>2127</v>
      </c>
      <c r="C16" s="21" t="s">
        <v>1152</v>
      </c>
      <c r="D16" s="20" t="s">
        <v>30</v>
      </c>
      <c r="E16" s="20" t="s">
        <v>243</v>
      </c>
      <c r="F16" s="20" t="s">
        <v>2128</v>
      </c>
      <c r="G16" s="22">
        <f>IF(A16="","",IF(A16&gt;=1,A16,IF(MAX($G$2:G15)=0,INT(SETTINGS!$B$4)+A16,INT(MAX($G$2:G15))+A16+IF(A16&lt;MOD(MAX($G$2:G15),1),1,0))))</f>
        <v>46308.910405479335</v>
      </c>
      <c r="H16" s="23">
        <f>IF(D16="","",IF(IFERROR(VLOOKUP(D16,LISTS!$A$2:$E$10,3,FALSE),0)=0,0,IF(IFERROR(COUNTIFS($C$2:C15,C16,$H$2:H15,1,$G$2:G15,"&gt;="&amp;(G16-15/1440)),0)&gt;0,0,1)))</f>
        <v>0</v>
      </c>
      <c r="I16" s="23" t="str">
        <f>IF(H16=1,C16&amp;"|"&amp;COUNTIFS($C$2:C16,C16,$H$2:H16,1),"")</f>
        <v/>
      </c>
      <c r="J16" s="23" t="str">
        <f>IF(D16="","",IF(A16="","Missing time",IF(D16="NO_SLOTS",IF(COUNTIF(PARTNERS!$A$2:$A$88,E16)=0,"Write the company in column E","OK"),IF(C16="","Missing phone",IF(COUNTIF(DESK!$F$2:$F$601,C16)=0,"Phone not found: copy it from your list",IF(AND(E16&lt;&gt;"",COUNTIFS(DESK!$F$2:$F$601,C16,DESK!$B$2:$B$601,E16)=0),"Company is not one of theirs","OK"))))))</f>
        <v>OK</v>
      </c>
    </row>
    <row r="17" spans="1:10" x14ac:dyDescent="0.35">
      <c r="A17" s="19">
        <v>46308.912052677071</v>
      </c>
      <c r="B17" s="20" t="s">
        <v>2127</v>
      </c>
      <c r="C17" s="21" t="s">
        <v>1021</v>
      </c>
      <c r="D17" s="20" t="s">
        <v>30</v>
      </c>
      <c r="E17" s="20" t="s">
        <v>189</v>
      </c>
      <c r="F17" s="20" t="s">
        <v>2128</v>
      </c>
      <c r="G17" s="22">
        <f>IF(A17="","",IF(A17&gt;=1,A17,IF(MAX($G$2:G16)=0,INT(SETTINGS!$B$4)+A17,INT(MAX($G$2:G16))+A17+IF(A17&lt;MOD(MAX($G$2:G16),1),1,0))))</f>
        <v>46308.912052677071</v>
      </c>
      <c r="H17" s="23">
        <f>IF(D17="","",IF(IFERROR(VLOOKUP(D17,LISTS!$A$2:$E$10,3,FALSE),0)=0,0,IF(IFERROR(COUNTIFS($C$2:C16,C17,$H$2:H16,1,$G$2:G16,"&gt;="&amp;(G17-15/1440)),0)&gt;0,0,1)))</f>
        <v>0</v>
      </c>
      <c r="I17" s="23" t="str">
        <f>IF(H17=1,C17&amp;"|"&amp;COUNTIFS($C$2:C17,C17,$H$2:H17,1),"")</f>
        <v/>
      </c>
      <c r="J17" s="23" t="str">
        <f>IF(D17="","",IF(A17="","Missing time",IF(D17="NO_SLOTS",IF(COUNTIF(PARTNERS!$A$2:$A$88,E17)=0,"Write the company in column E","OK"),IF(C17="","Missing phone",IF(COUNTIF(DESK!$F$2:$F$601,C17)=0,"Phone not found: copy it from your list",IF(AND(E17&lt;&gt;"",COUNTIFS(DESK!$F$2:$F$601,C17,DESK!$B$2:$B$601,E17)=0),"Company is not one of theirs","OK"))))))</f>
        <v>OK</v>
      </c>
    </row>
    <row r="18" spans="1:10" x14ac:dyDescent="0.35">
      <c r="A18" s="19">
        <v>46308.913965229687</v>
      </c>
      <c r="B18" s="20" t="s">
        <v>2127</v>
      </c>
      <c r="C18" s="21" t="s">
        <v>1425</v>
      </c>
      <c r="D18" s="20" t="s">
        <v>30</v>
      </c>
      <c r="E18" s="20" t="s">
        <v>189</v>
      </c>
      <c r="F18" s="20" t="s">
        <v>2128</v>
      </c>
      <c r="G18" s="22">
        <f>IF(A18="","",IF(A18&gt;=1,A18,IF(MAX($G$2:G17)=0,INT(SETTINGS!$B$4)+A18,INT(MAX($G$2:G17))+A18+IF(A18&lt;MOD(MAX($G$2:G17),1),1,0))))</f>
        <v>46308.913965229687</v>
      </c>
      <c r="H18" s="23">
        <f>IF(D18="","",IF(IFERROR(VLOOKUP(D18,LISTS!$A$2:$E$10,3,FALSE),0)=0,0,IF(IFERROR(COUNTIFS($C$2:C17,C18,$H$2:H17,1,$G$2:G17,"&gt;="&amp;(G18-15/1440)),0)&gt;0,0,1)))</f>
        <v>0</v>
      </c>
      <c r="I18" s="23" t="str">
        <f>IF(H18=1,C18&amp;"|"&amp;COUNTIFS($C$2:C18,C18,$H$2:H18,1),"")</f>
        <v/>
      </c>
      <c r="J18" s="23" t="str">
        <f>IF(D18="","",IF(A18="","Missing time",IF(D18="NO_SLOTS",IF(COUNTIF(PARTNERS!$A$2:$A$88,E18)=0,"Write the company in column E","OK"),IF(C18="","Missing phone",IF(COUNTIF(DESK!$F$2:$F$601,C18)=0,"Phone not found: copy it from your list",IF(AND(E18&lt;&gt;"",COUNTIFS(DESK!$F$2:$F$601,C18,DESK!$B$2:$B$601,E18)=0),"Company is not one of theirs","OK"))))))</f>
        <v>OK</v>
      </c>
    </row>
    <row r="19" spans="1:10" x14ac:dyDescent="0.35">
      <c r="A19" s="19">
        <v>46308.915619822059</v>
      </c>
      <c r="B19" s="20" t="s">
        <v>2127</v>
      </c>
      <c r="C19" s="21" t="s">
        <v>1223</v>
      </c>
      <c r="D19" s="20" t="s">
        <v>30</v>
      </c>
      <c r="E19" s="20" t="s">
        <v>249</v>
      </c>
      <c r="F19" s="20" t="s">
        <v>2128</v>
      </c>
      <c r="G19" s="22">
        <f>IF(A19="","",IF(A19&gt;=1,A19,IF(MAX($G$2:G18)=0,INT(SETTINGS!$B$4)+A19,INT(MAX($G$2:G18))+A19+IF(A19&lt;MOD(MAX($G$2:G18),1),1,0))))</f>
        <v>46308.915619822059</v>
      </c>
      <c r="H19" s="23">
        <f>IF(D19="","",IF(IFERROR(VLOOKUP(D19,LISTS!$A$2:$E$10,3,FALSE),0)=0,0,IF(IFERROR(COUNTIFS($C$2:C18,C19,$H$2:H18,1,$G$2:G18,"&gt;="&amp;(G19-15/1440)),0)&gt;0,0,1)))</f>
        <v>0</v>
      </c>
      <c r="I19" s="23" t="str">
        <f>IF(H19=1,C19&amp;"|"&amp;COUNTIFS($C$2:C19,C19,$H$2:H19,1),"")</f>
        <v/>
      </c>
      <c r="J19" s="23" t="str">
        <f>IF(D19="","",IF(A19="","Missing time",IF(D19="NO_SLOTS",IF(COUNTIF(PARTNERS!$A$2:$A$88,E19)=0,"Write the company in column E","OK"),IF(C19="","Missing phone",IF(COUNTIF(DESK!$F$2:$F$601,C19)=0,"Phone not found: copy it from your list",IF(AND(E19&lt;&gt;"",COUNTIFS(DESK!$F$2:$F$601,C19,DESK!$B$2:$B$601,E19)=0),"Company is not one of theirs","OK"))))))</f>
        <v>OK</v>
      </c>
    </row>
    <row r="20" spans="1:10" x14ac:dyDescent="0.35">
      <c r="A20" s="19">
        <v>46308.915644871071</v>
      </c>
      <c r="B20" s="20" t="s">
        <v>2127</v>
      </c>
      <c r="C20" s="21" t="s">
        <v>508</v>
      </c>
      <c r="D20" s="20" t="s">
        <v>30</v>
      </c>
      <c r="E20" s="20" t="s">
        <v>306</v>
      </c>
      <c r="F20" s="20" t="s">
        <v>2128</v>
      </c>
      <c r="G20" s="22">
        <f>IF(A20="","",IF(A20&gt;=1,A20,IF(MAX($G$2:G19)=0,INT(SETTINGS!$B$4)+A20,INT(MAX($G$2:G19))+A20+IF(A20&lt;MOD(MAX($G$2:G19),1),1,0))))</f>
        <v>46308.915644871071</v>
      </c>
      <c r="H20" s="23">
        <f>IF(D20="","",IF(IFERROR(VLOOKUP(D20,LISTS!$A$2:$E$10,3,FALSE),0)=0,0,IF(IFERROR(COUNTIFS($C$2:C19,C20,$H$2:H19,1,$G$2:G19,"&gt;="&amp;(G20-15/1440)),0)&gt;0,0,1)))</f>
        <v>0</v>
      </c>
      <c r="I20" s="23" t="str">
        <f>IF(H20=1,C20&amp;"|"&amp;COUNTIFS($C$2:C20,C20,$H$2:H20,1),"")</f>
        <v/>
      </c>
      <c r="J20" s="23" t="str">
        <f>IF(D20="","",IF(A20="","Missing time",IF(D20="NO_SLOTS",IF(COUNTIF(PARTNERS!$A$2:$A$88,E20)=0,"Write the company in column E","OK"),IF(C20="","Missing phone",IF(COUNTIF(DESK!$F$2:$F$601,C20)=0,"Phone not found: copy it from your list",IF(AND(E20&lt;&gt;"",COUNTIFS(DESK!$F$2:$F$601,C20,DESK!$B$2:$B$601,E20)=0),"Company is not one of theirs","OK"))))))</f>
        <v>OK</v>
      </c>
    </row>
    <row r="21" spans="1:10" x14ac:dyDescent="0.35">
      <c r="A21" s="19">
        <v>46308.919757584525</v>
      </c>
      <c r="B21" s="20" t="s">
        <v>2127</v>
      </c>
      <c r="C21" s="21" t="s">
        <v>1575</v>
      </c>
      <c r="D21" s="20" t="s">
        <v>30</v>
      </c>
      <c r="E21" s="20" t="s">
        <v>234</v>
      </c>
      <c r="F21" s="20" t="s">
        <v>2128</v>
      </c>
      <c r="G21" s="22">
        <f>IF(A21="","",IF(A21&gt;=1,A21,IF(MAX($G$2:G20)=0,INT(SETTINGS!$B$4)+A21,INT(MAX($G$2:G20))+A21+IF(A21&lt;MOD(MAX($G$2:G20),1),1,0))))</f>
        <v>46308.919757584525</v>
      </c>
      <c r="H21" s="23">
        <f>IF(D21="","",IF(IFERROR(VLOOKUP(D21,LISTS!$A$2:$E$10,3,FALSE),0)=0,0,IF(IFERROR(COUNTIFS($C$2:C20,C21,$H$2:H20,1,$G$2:G20,"&gt;="&amp;(G21-15/1440)),0)&gt;0,0,1)))</f>
        <v>0</v>
      </c>
      <c r="I21" s="23" t="str">
        <f>IF(H21=1,C21&amp;"|"&amp;COUNTIFS($C$2:C21,C21,$H$2:H21,1),"")</f>
        <v/>
      </c>
      <c r="J21" s="23" t="str">
        <f>IF(D21="","",IF(A21="","Missing time",IF(D21="NO_SLOTS",IF(COUNTIF(PARTNERS!$A$2:$A$88,E21)=0,"Write the company in column E","OK"),IF(C21="","Missing phone",IF(COUNTIF(DESK!$F$2:$F$601,C21)=0,"Phone not found: copy it from your list",IF(AND(E21&lt;&gt;"",COUNTIFS(DESK!$F$2:$F$601,C21,DESK!$B$2:$B$601,E21)=0),"Company is not one of theirs","OK"))))))</f>
        <v>OK</v>
      </c>
    </row>
    <row r="22" spans="1:10" x14ac:dyDescent="0.35">
      <c r="A22" s="19">
        <v>46308.921505335107</v>
      </c>
      <c r="B22" s="20" t="s">
        <v>2127</v>
      </c>
      <c r="C22" s="21" t="s">
        <v>1073</v>
      </c>
      <c r="D22" s="20" t="s">
        <v>30</v>
      </c>
      <c r="E22" s="20" t="s">
        <v>450</v>
      </c>
      <c r="F22" s="20" t="s">
        <v>2128</v>
      </c>
      <c r="G22" s="22">
        <f>IF(A22="","",IF(A22&gt;=1,A22,IF(MAX($G$2:G21)=0,INT(SETTINGS!$B$4)+A22,INT(MAX($G$2:G21))+A22+IF(A22&lt;MOD(MAX($G$2:G21),1),1,0))))</f>
        <v>46308.921505335107</v>
      </c>
      <c r="H22" s="23">
        <f>IF(D22="","",IF(IFERROR(VLOOKUP(D22,LISTS!$A$2:$E$10,3,FALSE),0)=0,0,IF(IFERROR(COUNTIFS($C$2:C21,C22,$H$2:H21,1,$G$2:G21,"&gt;="&amp;(G22-15/1440)),0)&gt;0,0,1)))</f>
        <v>0</v>
      </c>
      <c r="I22" s="23" t="str">
        <f>IF(H22=1,C22&amp;"|"&amp;COUNTIFS($C$2:C22,C22,$H$2:H22,1),"")</f>
        <v/>
      </c>
      <c r="J22" s="23" t="str">
        <f>IF(D22="","",IF(A22="","Missing time",IF(D22="NO_SLOTS",IF(COUNTIF(PARTNERS!$A$2:$A$88,E22)=0,"Write the company in column E","OK"),IF(C22="","Missing phone",IF(COUNTIF(DESK!$F$2:$F$601,C22)=0,"Phone not found: copy it from your list",IF(AND(E22&lt;&gt;"",COUNTIFS(DESK!$F$2:$F$601,C22,DESK!$B$2:$B$601,E22)=0),"Company is not one of theirs","OK"))))))</f>
        <v>OK</v>
      </c>
    </row>
    <row r="23" spans="1:10" x14ac:dyDescent="0.35">
      <c r="A23" s="19">
        <v>46308.923706979411</v>
      </c>
      <c r="B23" s="20" t="s">
        <v>2127</v>
      </c>
      <c r="C23" s="21" t="s">
        <v>1950</v>
      </c>
      <c r="D23" s="20" t="s">
        <v>30</v>
      </c>
      <c r="E23" s="20" t="s">
        <v>189</v>
      </c>
      <c r="F23" s="20" t="s">
        <v>2128</v>
      </c>
      <c r="G23" s="22">
        <f>IF(A23="","",IF(A23&gt;=1,A23,IF(MAX($G$2:G22)=0,INT(SETTINGS!$B$4)+A23,INT(MAX($G$2:G22))+A23+IF(A23&lt;MOD(MAX($G$2:G22),1),1,0))))</f>
        <v>46308.923706979411</v>
      </c>
      <c r="H23" s="23">
        <f>IF(D23="","",IF(IFERROR(VLOOKUP(D23,LISTS!$A$2:$E$10,3,FALSE),0)=0,0,IF(IFERROR(COUNTIFS($C$2:C22,C23,$H$2:H22,1,$G$2:G22,"&gt;="&amp;(G23-15/1440)),0)&gt;0,0,1)))</f>
        <v>0</v>
      </c>
      <c r="I23" s="23" t="str">
        <f>IF(H23=1,C23&amp;"|"&amp;COUNTIFS($C$2:C23,C23,$H$2:H23,1),"")</f>
        <v/>
      </c>
      <c r="J23" s="23" t="str">
        <f>IF(D23="","",IF(A23="","Missing time",IF(D23="NO_SLOTS",IF(COUNTIF(PARTNERS!$A$2:$A$88,E23)=0,"Write the company in column E","OK"),IF(C23="","Missing phone",IF(COUNTIF(DESK!$F$2:$F$601,C23)=0,"Phone not found: copy it from your list",IF(AND(E23&lt;&gt;"",COUNTIFS(DESK!$F$2:$F$601,C23,DESK!$B$2:$B$601,E23)=0),"Company is not one of theirs","OK"))))))</f>
        <v>OK</v>
      </c>
    </row>
    <row r="24" spans="1:10" x14ac:dyDescent="0.35">
      <c r="A24" s="19">
        <v>46308.925096351028</v>
      </c>
      <c r="B24" s="20" t="s">
        <v>2127</v>
      </c>
      <c r="C24" s="21" t="s">
        <v>916</v>
      </c>
      <c r="D24" s="20" t="s">
        <v>30</v>
      </c>
      <c r="E24" s="20" t="s">
        <v>429</v>
      </c>
      <c r="F24" s="20" t="s">
        <v>2128</v>
      </c>
      <c r="G24" s="22">
        <f>IF(A24="","",IF(A24&gt;=1,A24,IF(MAX($G$2:G23)=0,INT(SETTINGS!$B$4)+A24,INT(MAX($G$2:G23))+A24+IF(A24&lt;MOD(MAX($G$2:G23),1),1,0))))</f>
        <v>46308.925096351028</v>
      </c>
      <c r="H24" s="23">
        <f>IF(D24="","",IF(IFERROR(VLOOKUP(D24,LISTS!$A$2:$E$10,3,FALSE),0)=0,0,IF(IFERROR(COUNTIFS($C$2:C23,C24,$H$2:H23,1,$G$2:G23,"&gt;="&amp;(G24-15/1440)),0)&gt;0,0,1)))</f>
        <v>0</v>
      </c>
      <c r="I24" s="23" t="str">
        <f>IF(H24=1,C24&amp;"|"&amp;COUNTIFS($C$2:C24,C24,$H$2:H24,1),"")</f>
        <v/>
      </c>
      <c r="J24" s="23" t="str">
        <f>IF(D24="","",IF(A24="","Missing time",IF(D24="NO_SLOTS",IF(COUNTIF(PARTNERS!$A$2:$A$88,E24)=0,"Write the company in column E","OK"),IF(C24="","Missing phone",IF(COUNTIF(DESK!$F$2:$F$601,C24)=0,"Phone not found: copy it from your list",IF(AND(E24&lt;&gt;"",COUNTIFS(DESK!$F$2:$F$601,C24,DESK!$B$2:$B$601,E24)=0),"Company is not one of theirs","OK"))))))</f>
        <v>OK</v>
      </c>
    </row>
    <row r="25" spans="1:10" x14ac:dyDescent="0.35">
      <c r="A25" s="19">
        <v>46308.925125279966</v>
      </c>
      <c r="B25" s="20" t="s">
        <v>2127</v>
      </c>
      <c r="C25" s="21" t="s">
        <v>1262</v>
      </c>
      <c r="D25" s="20" t="s">
        <v>30</v>
      </c>
      <c r="E25" s="20" t="s">
        <v>366</v>
      </c>
      <c r="F25" s="20" t="s">
        <v>2128</v>
      </c>
      <c r="G25" s="22">
        <f>IF(A25="","",IF(A25&gt;=1,A25,IF(MAX($G$2:G24)=0,INT(SETTINGS!$B$4)+A25,INT(MAX($G$2:G24))+A25+IF(A25&lt;MOD(MAX($G$2:G24),1),1,0))))</f>
        <v>46308.925125279966</v>
      </c>
      <c r="H25" s="23">
        <f>IF(D25="","",IF(IFERROR(VLOOKUP(D25,LISTS!$A$2:$E$10,3,FALSE),0)=0,0,IF(IFERROR(COUNTIFS($C$2:C24,C25,$H$2:H24,1,$G$2:G24,"&gt;="&amp;(G25-15/1440)),0)&gt;0,0,1)))</f>
        <v>0</v>
      </c>
      <c r="I25" s="23" t="str">
        <f>IF(H25=1,C25&amp;"|"&amp;COUNTIFS($C$2:C25,C25,$H$2:H25,1),"")</f>
        <v/>
      </c>
      <c r="J25" s="23" t="str">
        <f>IF(D25="","",IF(A25="","Missing time",IF(D25="NO_SLOTS",IF(COUNTIF(PARTNERS!$A$2:$A$88,E25)=0,"Write the company in column E","OK"),IF(C25="","Missing phone",IF(COUNTIF(DESK!$F$2:$F$601,C25)=0,"Phone not found: copy it from your list",IF(AND(E25&lt;&gt;"",COUNTIFS(DESK!$F$2:$F$601,C25,DESK!$B$2:$B$601,E25)=0),"Company is not one of theirs","OK"))))))</f>
        <v>OK</v>
      </c>
    </row>
    <row r="26" spans="1:10" x14ac:dyDescent="0.35">
      <c r="A26" s="19">
        <v>46308.925712133445</v>
      </c>
      <c r="B26" s="20" t="s">
        <v>2127</v>
      </c>
      <c r="C26" s="21" t="s">
        <v>1434</v>
      </c>
      <c r="D26" s="20" t="s">
        <v>30</v>
      </c>
      <c r="E26" s="20" t="s">
        <v>255</v>
      </c>
      <c r="F26" s="20" t="s">
        <v>2128</v>
      </c>
      <c r="G26" s="22">
        <f>IF(A26="","",IF(A26&gt;=1,A26,IF(MAX($G$2:G25)=0,INT(SETTINGS!$B$4)+A26,INT(MAX($G$2:G25))+A26+IF(A26&lt;MOD(MAX($G$2:G25),1),1,0))))</f>
        <v>46308.925712133445</v>
      </c>
      <c r="H26" s="23">
        <f>IF(D26="","",IF(IFERROR(VLOOKUP(D26,LISTS!$A$2:$E$10,3,FALSE),0)=0,0,IF(IFERROR(COUNTIFS($C$2:C25,C26,$H$2:H25,1,$G$2:G25,"&gt;="&amp;(G26-15/1440)),0)&gt;0,0,1)))</f>
        <v>0</v>
      </c>
      <c r="I26" s="23" t="str">
        <f>IF(H26=1,C26&amp;"|"&amp;COUNTIFS($C$2:C26,C26,$H$2:H26,1),"")</f>
        <v/>
      </c>
      <c r="J26" s="23" t="str">
        <f>IF(D26="","",IF(A26="","Missing time",IF(D26="NO_SLOTS",IF(COUNTIF(PARTNERS!$A$2:$A$88,E26)=0,"Write the company in column E","OK"),IF(C26="","Missing phone",IF(COUNTIF(DESK!$F$2:$F$601,C26)=0,"Phone not found: copy it from your list",IF(AND(E26&lt;&gt;"",COUNTIFS(DESK!$F$2:$F$601,C26,DESK!$B$2:$B$601,E26)=0),"Company is not one of theirs","OK"))))))</f>
        <v>OK</v>
      </c>
    </row>
    <row r="27" spans="1:10" x14ac:dyDescent="0.35">
      <c r="A27" s="19">
        <v>46308.92606855859</v>
      </c>
      <c r="B27" s="20" t="s">
        <v>2127</v>
      </c>
      <c r="C27" s="21" t="s">
        <v>1447</v>
      </c>
      <c r="D27" s="20" t="s">
        <v>30</v>
      </c>
      <c r="E27" s="20" t="s">
        <v>285</v>
      </c>
      <c r="F27" s="20" t="s">
        <v>2128</v>
      </c>
      <c r="G27" s="22">
        <f>IF(A27="","",IF(A27&gt;=1,A27,IF(MAX($G$2:G26)=0,INT(SETTINGS!$B$4)+A27,INT(MAX($G$2:G26))+A27+IF(A27&lt;MOD(MAX($G$2:G26),1),1,0))))</f>
        <v>46308.92606855859</v>
      </c>
      <c r="H27" s="23">
        <f>IF(D27="","",IF(IFERROR(VLOOKUP(D27,LISTS!$A$2:$E$10,3,FALSE),0)=0,0,IF(IFERROR(COUNTIFS($C$2:C26,C27,$H$2:H26,1,$G$2:G26,"&gt;="&amp;(G27-15/1440)),0)&gt;0,0,1)))</f>
        <v>0</v>
      </c>
      <c r="I27" s="23" t="str">
        <f>IF(H27=1,C27&amp;"|"&amp;COUNTIFS($C$2:C27,C27,$H$2:H27,1),"")</f>
        <v/>
      </c>
      <c r="J27" s="23" t="str">
        <f>IF(D27="","",IF(A27="","Missing time",IF(D27="NO_SLOTS",IF(COUNTIF(PARTNERS!$A$2:$A$88,E27)=0,"Write the company in column E","OK"),IF(C27="","Missing phone",IF(COUNTIF(DESK!$F$2:$F$601,C27)=0,"Phone not found: copy it from your list",IF(AND(E27&lt;&gt;"",COUNTIFS(DESK!$F$2:$F$601,C27,DESK!$B$2:$B$601,E27)=0),"Company is not one of theirs","OK"))))))</f>
        <v>OK</v>
      </c>
    </row>
    <row r="28" spans="1:10" x14ac:dyDescent="0.35">
      <c r="A28" s="19">
        <v>46308.927663649207</v>
      </c>
      <c r="B28" s="20" t="s">
        <v>2127</v>
      </c>
      <c r="C28" s="21" t="s">
        <v>1341</v>
      </c>
      <c r="D28" s="20" t="s">
        <v>30</v>
      </c>
      <c r="E28" s="20" t="s">
        <v>294</v>
      </c>
      <c r="F28" s="20" t="s">
        <v>2128</v>
      </c>
      <c r="G28" s="22">
        <f>IF(A28="","",IF(A28&gt;=1,A28,IF(MAX($G$2:G27)=0,INT(SETTINGS!$B$4)+A28,INT(MAX($G$2:G27))+A28+IF(A28&lt;MOD(MAX($G$2:G27),1),1,0))))</f>
        <v>46308.927663649207</v>
      </c>
      <c r="H28" s="23">
        <f>IF(D28="","",IF(IFERROR(VLOOKUP(D28,LISTS!$A$2:$E$10,3,FALSE),0)=0,0,IF(IFERROR(COUNTIFS($C$2:C27,C28,$H$2:H27,1,$G$2:G27,"&gt;="&amp;(G28-15/1440)),0)&gt;0,0,1)))</f>
        <v>0</v>
      </c>
      <c r="I28" s="23" t="str">
        <f>IF(H28=1,C28&amp;"|"&amp;COUNTIFS($C$2:C28,C28,$H$2:H28,1),"")</f>
        <v/>
      </c>
      <c r="J28" s="23" t="str">
        <f>IF(D28="","",IF(A28="","Missing time",IF(D28="NO_SLOTS",IF(COUNTIF(PARTNERS!$A$2:$A$88,E28)=0,"Write the company in column E","OK"),IF(C28="","Missing phone",IF(COUNTIF(DESK!$F$2:$F$601,C28)=0,"Phone not found: copy it from your list",IF(AND(E28&lt;&gt;"",COUNTIFS(DESK!$F$2:$F$601,C28,DESK!$B$2:$B$601,E28)=0),"Company is not one of theirs","OK"))))))</f>
        <v>OK</v>
      </c>
    </row>
    <row r="29" spans="1:10" x14ac:dyDescent="0.35">
      <c r="A29" s="19">
        <v>46308.928298062572</v>
      </c>
      <c r="B29" s="20" t="s">
        <v>2127</v>
      </c>
      <c r="C29" s="21" t="s">
        <v>1110</v>
      </c>
      <c r="D29" s="20" t="s">
        <v>30</v>
      </c>
      <c r="E29" s="20" t="s">
        <v>216</v>
      </c>
      <c r="F29" s="20" t="s">
        <v>2128</v>
      </c>
      <c r="G29" s="22">
        <f>IF(A29="","",IF(A29&gt;=1,A29,IF(MAX($G$2:G28)=0,INT(SETTINGS!$B$4)+A29,INT(MAX($G$2:G28))+A29+IF(A29&lt;MOD(MAX($G$2:G28),1),1,0))))</f>
        <v>46308.928298062572</v>
      </c>
      <c r="H29" s="23">
        <f>IF(D29="","",IF(IFERROR(VLOOKUP(D29,LISTS!$A$2:$E$10,3,FALSE),0)=0,0,IF(IFERROR(COUNTIFS($C$2:C28,C29,$H$2:H28,1,$G$2:G28,"&gt;="&amp;(G29-15/1440)),0)&gt;0,0,1)))</f>
        <v>0</v>
      </c>
      <c r="I29" s="23" t="str">
        <f>IF(H29=1,C29&amp;"|"&amp;COUNTIFS($C$2:C29,C29,$H$2:H29,1),"")</f>
        <v/>
      </c>
      <c r="J29" s="23" t="str">
        <f>IF(D29="","",IF(A29="","Missing time",IF(D29="NO_SLOTS",IF(COUNTIF(PARTNERS!$A$2:$A$88,E29)=0,"Write the company in column E","OK"),IF(C29="","Missing phone",IF(COUNTIF(DESK!$F$2:$F$601,C29)=0,"Phone not found: copy it from your list",IF(AND(E29&lt;&gt;"",COUNTIFS(DESK!$F$2:$F$601,C29,DESK!$B$2:$B$601,E29)=0),"Company is not one of theirs","OK"))))))</f>
        <v>OK</v>
      </c>
    </row>
    <row r="30" spans="1:10" x14ac:dyDescent="0.35">
      <c r="A30" s="19">
        <v>46308.928462268312</v>
      </c>
      <c r="B30" s="20" t="s">
        <v>2127</v>
      </c>
      <c r="C30" s="21" t="s">
        <v>761</v>
      </c>
      <c r="D30" s="20" t="s">
        <v>30</v>
      </c>
      <c r="E30" s="20" t="s">
        <v>216</v>
      </c>
      <c r="F30" s="20" t="s">
        <v>2128</v>
      </c>
      <c r="G30" s="22">
        <f>IF(A30="","",IF(A30&gt;=1,A30,IF(MAX($G$2:G29)=0,INT(SETTINGS!$B$4)+A30,INT(MAX($G$2:G29))+A30+IF(A30&lt;MOD(MAX($G$2:G29),1),1,0))))</f>
        <v>46308.928462268312</v>
      </c>
      <c r="H30" s="23">
        <f>IF(D30="","",IF(IFERROR(VLOOKUP(D30,LISTS!$A$2:$E$10,3,FALSE),0)=0,0,IF(IFERROR(COUNTIFS($C$2:C29,C30,$H$2:H29,1,$G$2:G29,"&gt;="&amp;(G30-15/1440)),0)&gt;0,0,1)))</f>
        <v>0</v>
      </c>
      <c r="I30" s="23" t="str">
        <f>IF(H30=1,C30&amp;"|"&amp;COUNTIFS($C$2:C30,C30,$H$2:H30,1),"")</f>
        <v/>
      </c>
      <c r="J30" s="23" t="str">
        <f>IF(D30="","",IF(A30="","Missing time",IF(D30="NO_SLOTS",IF(COUNTIF(PARTNERS!$A$2:$A$88,E30)=0,"Write the company in column E","OK"),IF(C30="","Missing phone",IF(COUNTIF(DESK!$F$2:$F$601,C30)=0,"Phone not found: copy it from your list",IF(AND(E30&lt;&gt;"",COUNTIFS(DESK!$F$2:$F$601,C30,DESK!$B$2:$B$601,E30)=0),"Company is not one of theirs","OK"))))))</f>
        <v>OK</v>
      </c>
    </row>
    <row r="31" spans="1:10" x14ac:dyDescent="0.35">
      <c r="A31" s="19">
        <v>46308.929375932072</v>
      </c>
      <c r="B31" s="20" t="s">
        <v>2127</v>
      </c>
      <c r="C31" s="21" t="s">
        <v>798</v>
      </c>
      <c r="D31" s="20" t="s">
        <v>30</v>
      </c>
      <c r="E31" s="20" t="s">
        <v>189</v>
      </c>
      <c r="F31" s="20" t="s">
        <v>2128</v>
      </c>
      <c r="G31" s="22">
        <f>IF(A31="","",IF(A31&gt;=1,A31,IF(MAX($G$2:G30)=0,INT(SETTINGS!$B$4)+A31,INT(MAX($G$2:G30))+A31+IF(A31&lt;MOD(MAX($G$2:G30),1),1,0))))</f>
        <v>46308.929375932072</v>
      </c>
      <c r="H31" s="23">
        <f>IF(D31="","",IF(IFERROR(VLOOKUP(D31,LISTS!$A$2:$E$10,3,FALSE),0)=0,0,IF(IFERROR(COUNTIFS($C$2:C30,C31,$H$2:H30,1,$G$2:G30,"&gt;="&amp;(G31-15/1440)),0)&gt;0,0,1)))</f>
        <v>0</v>
      </c>
      <c r="I31" s="23" t="str">
        <f>IF(H31=1,C31&amp;"|"&amp;COUNTIFS($C$2:C31,C31,$H$2:H31,1),"")</f>
        <v/>
      </c>
      <c r="J31" s="23" t="str">
        <f>IF(D31="","",IF(A31="","Missing time",IF(D31="NO_SLOTS",IF(COUNTIF(PARTNERS!$A$2:$A$88,E31)=0,"Write the company in column E","OK"),IF(C31="","Missing phone",IF(COUNTIF(DESK!$F$2:$F$601,C31)=0,"Phone not found: copy it from your list",IF(AND(E31&lt;&gt;"",COUNTIFS(DESK!$F$2:$F$601,C31,DESK!$B$2:$B$601,E31)=0),"Company is not one of theirs","OK"))))))</f>
        <v>OK</v>
      </c>
    </row>
    <row r="32" spans="1:10" x14ac:dyDescent="0.35">
      <c r="A32" s="19">
        <v>46308.930514836022</v>
      </c>
      <c r="B32" s="20" t="s">
        <v>2127</v>
      </c>
      <c r="C32" s="21" t="s">
        <v>1003</v>
      </c>
      <c r="D32" s="20" t="s">
        <v>30</v>
      </c>
      <c r="E32" s="20" t="s">
        <v>194</v>
      </c>
      <c r="F32" s="20" t="s">
        <v>2128</v>
      </c>
      <c r="G32" s="22">
        <f>IF(A32="","",IF(A32&gt;=1,A32,IF(MAX($G$2:G31)=0,INT(SETTINGS!$B$4)+A32,INT(MAX($G$2:G31))+A32+IF(A32&lt;MOD(MAX($G$2:G31),1),1,0))))</f>
        <v>46308.930514836022</v>
      </c>
      <c r="H32" s="23">
        <f>IF(D32="","",IF(IFERROR(VLOOKUP(D32,LISTS!$A$2:$E$10,3,FALSE),0)=0,0,IF(IFERROR(COUNTIFS($C$2:C31,C32,$H$2:H31,1,$G$2:G31,"&gt;="&amp;(G32-15/1440)),0)&gt;0,0,1)))</f>
        <v>0</v>
      </c>
      <c r="I32" s="23" t="str">
        <f>IF(H32=1,C32&amp;"|"&amp;COUNTIFS($C$2:C32,C32,$H$2:H32,1),"")</f>
        <v/>
      </c>
      <c r="J32" s="23" t="str">
        <f>IF(D32="","",IF(A32="","Missing time",IF(D32="NO_SLOTS",IF(COUNTIF(PARTNERS!$A$2:$A$88,E32)=0,"Write the company in column E","OK"),IF(C32="","Missing phone",IF(COUNTIF(DESK!$F$2:$F$601,C32)=0,"Phone not found: copy it from your list",IF(AND(E32&lt;&gt;"",COUNTIFS(DESK!$F$2:$F$601,C32,DESK!$B$2:$B$601,E32)=0),"Company is not one of theirs","OK"))))))</f>
        <v>OK</v>
      </c>
    </row>
    <row r="33" spans="1:10" x14ac:dyDescent="0.35">
      <c r="A33" s="19">
        <v>46308.933189356605</v>
      </c>
      <c r="B33" s="20" t="s">
        <v>2127</v>
      </c>
      <c r="C33" s="21" t="s">
        <v>536</v>
      </c>
      <c r="D33" s="20" t="s">
        <v>30</v>
      </c>
      <c r="E33" s="20" t="s">
        <v>396</v>
      </c>
      <c r="F33" s="20" t="s">
        <v>2128</v>
      </c>
      <c r="G33" s="22">
        <f>IF(A33="","",IF(A33&gt;=1,A33,IF(MAX($G$2:G32)=0,INT(SETTINGS!$B$4)+A33,INT(MAX($G$2:G32))+A33+IF(A33&lt;MOD(MAX($G$2:G32),1),1,0))))</f>
        <v>46308.933189356605</v>
      </c>
      <c r="H33" s="23">
        <f>IF(D33="","",IF(IFERROR(VLOOKUP(D33,LISTS!$A$2:$E$10,3,FALSE),0)=0,0,IF(IFERROR(COUNTIFS($C$2:C32,C33,$H$2:H32,1,$G$2:G32,"&gt;="&amp;(G33-15/1440)),0)&gt;0,0,1)))</f>
        <v>0</v>
      </c>
      <c r="I33" s="23" t="str">
        <f>IF(H33=1,C33&amp;"|"&amp;COUNTIFS($C$2:C33,C33,$H$2:H33,1),"")</f>
        <v/>
      </c>
      <c r="J33" s="23" t="str">
        <f>IF(D33="","",IF(A33="","Missing time",IF(D33="NO_SLOTS",IF(COUNTIF(PARTNERS!$A$2:$A$88,E33)=0,"Write the company in column E","OK"),IF(C33="","Missing phone",IF(COUNTIF(DESK!$F$2:$F$601,C33)=0,"Phone not found: copy it from your list",IF(AND(E33&lt;&gt;"",COUNTIFS(DESK!$F$2:$F$601,C33,DESK!$B$2:$B$601,E33)=0),"Company is not one of theirs","OK"))))))</f>
        <v>OK</v>
      </c>
    </row>
    <row r="34" spans="1:10" x14ac:dyDescent="0.35">
      <c r="A34" s="19">
        <v>46308.93361329272</v>
      </c>
      <c r="B34" s="20" t="s">
        <v>2127</v>
      </c>
      <c r="C34" s="21" t="s">
        <v>1581</v>
      </c>
      <c r="D34" s="20" t="s">
        <v>30</v>
      </c>
      <c r="E34" s="20" t="s">
        <v>288</v>
      </c>
      <c r="F34" s="20" t="s">
        <v>2128</v>
      </c>
      <c r="G34" s="22">
        <f>IF(A34="","",IF(A34&gt;=1,A34,IF(MAX($G$2:G33)=0,INT(SETTINGS!$B$4)+A34,INT(MAX($G$2:G33))+A34+IF(A34&lt;MOD(MAX($G$2:G33),1),1,0))))</f>
        <v>46308.93361329272</v>
      </c>
      <c r="H34" s="23">
        <f>IF(D34="","",IF(IFERROR(VLOOKUP(D34,LISTS!$A$2:$E$10,3,FALSE),0)=0,0,IF(IFERROR(COUNTIFS($C$2:C33,C34,$H$2:H33,1,$G$2:G33,"&gt;="&amp;(G34-15/1440)),0)&gt;0,0,1)))</f>
        <v>0</v>
      </c>
      <c r="I34" s="23" t="str">
        <f>IF(H34=1,C34&amp;"|"&amp;COUNTIFS($C$2:C34,C34,$H$2:H34,1),"")</f>
        <v/>
      </c>
      <c r="J34" s="23" t="str">
        <f>IF(D34="","",IF(A34="","Missing time",IF(D34="NO_SLOTS",IF(COUNTIF(PARTNERS!$A$2:$A$88,E34)=0,"Write the company in column E","OK"),IF(C34="","Missing phone",IF(COUNTIF(DESK!$F$2:$F$601,C34)=0,"Phone not found: copy it from your list",IF(AND(E34&lt;&gt;"",COUNTIFS(DESK!$F$2:$F$601,C34,DESK!$B$2:$B$601,E34)=0),"Company is not one of theirs","OK"))))))</f>
        <v>OK</v>
      </c>
    </row>
    <row r="35" spans="1:10" x14ac:dyDescent="0.35">
      <c r="A35" s="19">
        <v>46308.934370394556</v>
      </c>
      <c r="B35" s="20" t="s">
        <v>2127</v>
      </c>
      <c r="C35" s="21" t="s">
        <v>1633</v>
      </c>
      <c r="D35" s="20" t="s">
        <v>30</v>
      </c>
      <c r="E35" s="20" t="s">
        <v>197</v>
      </c>
      <c r="F35" s="20" t="s">
        <v>2128</v>
      </c>
      <c r="G35" s="22">
        <f>IF(A35="","",IF(A35&gt;=1,A35,IF(MAX($G$2:G34)=0,INT(SETTINGS!$B$4)+A35,INT(MAX($G$2:G34))+A35+IF(A35&lt;MOD(MAX($G$2:G34),1),1,0))))</f>
        <v>46308.934370394556</v>
      </c>
      <c r="H35" s="23">
        <f>IF(D35="","",IF(IFERROR(VLOOKUP(D35,LISTS!$A$2:$E$10,3,FALSE),0)=0,0,IF(IFERROR(COUNTIFS($C$2:C34,C35,$H$2:H34,1,$G$2:G34,"&gt;="&amp;(G35-15/1440)),0)&gt;0,0,1)))</f>
        <v>0</v>
      </c>
      <c r="I35" s="23" t="str">
        <f>IF(H35=1,C35&amp;"|"&amp;COUNTIFS($C$2:C35,C35,$H$2:H35,1),"")</f>
        <v/>
      </c>
      <c r="J35" s="23" t="str">
        <f>IF(D35="","",IF(A35="","Missing time",IF(D35="NO_SLOTS",IF(COUNTIF(PARTNERS!$A$2:$A$88,E35)=0,"Write the company in column E","OK"),IF(C35="","Missing phone",IF(COUNTIF(DESK!$F$2:$F$601,C35)=0,"Phone not found: copy it from your list",IF(AND(E35&lt;&gt;"",COUNTIFS(DESK!$F$2:$F$601,C35,DESK!$B$2:$B$601,E35)=0),"Company is not one of theirs","OK"))))))</f>
        <v>OK</v>
      </c>
    </row>
    <row r="36" spans="1:10" x14ac:dyDescent="0.35">
      <c r="A36" s="19">
        <v>46308.936038917069</v>
      </c>
      <c r="B36" s="20" t="s">
        <v>2127</v>
      </c>
      <c r="C36" s="21" t="s">
        <v>1393</v>
      </c>
      <c r="D36" s="20" t="s">
        <v>30</v>
      </c>
      <c r="E36" s="20" t="s">
        <v>372</v>
      </c>
      <c r="F36" s="20" t="s">
        <v>2128</v>
      </c>
      <c r="G36" s="22">
        <f>IF(A36="","",IF(A36&gt;=1,A36,IF(MAX($G$2:G35)=0,INT(SETTINGS!$B$4)+A36,INT(MAX($G$2:G35))+A36+IF(A36&lt;MOD(MAX($G$2:G35),1),1,0))))</f>
        <v>46308.936038917069</v>
      </c>
      <c r="H36" s="23">
        <f>IF(D36="","",IF(IFERROR(VLOOKUP(D36,LISTS!$A$2:$E$10,3,FALSE),0)=0,0,IF(IFERROR(COUNTIFS($C$2:C35,C36,$H$2:H35,1,$G$2:G35,"&gt;="&amp;(G36-15/1440)),0)&gt;0,0,1)))</f>
        <v>0</v>
      </c>
      <c r="I36" s="23" t="str">
        <f>IF(H36=1,C36&amp;"|"&amp;COUNTIFS($C$2:C36,C36,$H$2:H36,1),"")</f>
        <v/>
      </c>
      <c r="J36" s="23" t="str">
        <f>IF(D36="","",IF(A36="","Missing time",IF(D36="NO_SLOTS",IF(COUNTIF(PARTNERS!$A$2:$A$88,E36)=0,"Write the company in column E","OK"),IF(C36="","Missing phone",IF(COUNTIF(DESK!$F$2:$F$601,C36)=0,"Phone not found: copy it from your list",IF(AND(E36&lt;&gt;"",COUNTIFS(DESK!$F$2:$F$601,C36,DESK!$B$2:$B$601,E36)=0),"Company is not one of theirs","OK"))))))</f>
        <v>OK</v>
      </c>
    </row>
    <row r="37" spans="1:10" x14ac:dyDescent="0.35">
      <c r="A37" s="19">
        <v>46308.937489124495</v>
      </c>
      <c r="B37" s="20" t="s">
        <v>2127</v>
      </c>
      <c r="C37" s="21" t="s">
        <v>927</v>
      </c>
      <c r="D37" s="20" t="s">
        <v>30</v>
      </c>
      <c r="E37" s="20" t="s">
        <v>213</v>
      </c>
      <c r="F37" s="20" t="s">
        <v>2128</v>
      </c>
      <c r="G37" s="22">
        <f>IF(A37="","",IF(A37&gt;=1,A37,IF(MAX($G$2:G36)=0,INT(SETTINGS!$B$4)+A37,INT(MAX($G$2:G36))+A37+IF(A37&lt;MOD(MAX($G$2:G36),1),1,0))))</f>
        <v>46308.937489124495</v>
      </c>
      <c r="H37" s="23">
        <f>IF(D37="","",IF(IFERROR(VLOOKUP(D37,LISTS!$A$2:$E$10,3,FALSE),0)=0,0,IF(IFERROR(COUNTIFS($C$2:C36,C37,$H$2:H36,1,$G$2:G36,"&gt;="&amp;(G37-15/1440)),0)&gt;0,0,1)))</f>
        <v>0</v>
      </c>
      <c r="I37" s="23" t="str">
        <f>IF(H37=1,C37&amp;"|"&amp;COUNTIFS($C$2:C37,C37,$H$2:H37,1),"")</f>
        <v/>
      </c>
      <c r="J37" s="23" t="str">
        <f>IF(D37="","",IF(A37="","Missing time",IF(D37="NO_SLOTS",IF(COUNTIF(PARTNERS!$A$2:$A$88,E37)=0,"Write the company in column E","OK"),IF(C37="","Missing phone",IF(COUNTIF(DESK!$F$2:$F$601,C37)=0,"Phone not found: copy it from your list",IF(AND(E37&lt;&gt;"",COUNTIFS(DESK!$F$2:$F$601,C37,DESK!$B$2:$B$601,E37)=0),"Company is not one of theirs","OK"))))))</f>
        <v>OK</v>
      </c>
    </row>
    <row r="38" spans="1:10" x14ac:dyDescent="0.35">
      <c r="A38" s="19">
        <v>46308.938518768904</v>
      </c>
      <c r="B38" s="20" t="s">
        <v>2127</v>
      </c>
      <c r="C38" s="21" t="s">
        <v>1372</v>
      </c>
      <c r="D38" s="20" t="s">
        <v>30</v>
      </c>
      <c r="E38" s="20" t="s">
        <v>189</v>
      </c>
      <c r="F38" s="20" t="s">
        <v>2128</v>
      </c>
      <c r="G38" s="22">
        <f>IF(A38="","",IF(A38&gt;=1,A38,IF(MAX($G$2:G37)=0,INT(SETTINGS!$B$4)+A38,INT(MAX($G$2:G37))+A38+IF(A38&lt;MOD(MAX($G$2:G37),1),1,0))))</f>
        <v>46308.938518768904</v>
      </c>
      <c r="H38" s="23">
        <f>IF(D38="","",IF(IFERROR(VLOOKUP(D38,LISTS!$A$2:$E$10,3,FALSE),0)=0,0,IF(IFERROR(COUNTIFS($C$2:C37,C38,$H$2:H37,1,$G$2:G37,"&gt;="&amp;(G38-15/1440)),0)&gt;0,0,1)))</f>
        <v>0</v>
      </c>
      <c r="I38" s="23" t="str">
        <f>IF(H38=1,C38&amp;"|"&amp;COUNTIFS($C$2:C38,C38,$H$2:H38,1),"")</f>
        <v/>
      </c>
      <c r="J38" s="23" t="str">
        <f>IF(D38="","",IF(A38="","Missing time",IF(D38="NO_SLOTS",IF(COUNTIF(PARTNERS!$A$2:$A$88,E38)=0,"Write the company in column E","OK"),IF(C38="","Missing phone",IF(COUNTIF(DESK!$F$2:$F$601,C38)=0,"Phone not found: copy it from your list",IF(AND(E38&lt;&gt;"",COUNTIFS(DESK!$F$2:$F$601,C38,DESK!$B$2:$B$601,E38)=0),"Company is not one of theirs","OK"))))))</f>
        <v>OK</v>
      </c>
    </row>
    <row r="39" spans="1:10" x14ac:dyDescent="0.35">
      <c r="A39" s="19">
        <v>46308.944820447316</v>
      </c>
      <c r="B39" s="20" t="s">
        <v>2127</v>
      </c>
      <c r="C39" s="21" t="s">
        <v>1523</v>
      </c>
      <c r="D39" s="20" t="s">
        <v>30</v>
      </c>
      <c r="E39" s="20" t="s">
        <v>225</v>
      </c>
      <c r="F39" s="20" t="s">
        <v>2128</v>
      </c>
      <c r="G39" s="22">
        <f>IF(A39="","",IF(A39&gt;=1,A39,IF(MAX($G$2:G38)=0,INT(SETTINGS!$B$4)+A39,INT(MAX($G$2:G38))+A39+IF(A39&lt;MOD(MAX($G$2:G38),1),1,0))))</f>
        <v>46308.944820447316</v>
      </c>
      <c r="H39" s="23">
        <f>IF(D39="","",IF(IFERROR(VLOOKUP(D39,LISTS!$A$2:$E$10,3,FALSE),0)=0,0,IF(IFERROR(COUNTIFS($C$2:C38,C39,$H$2:H38,1,$G$2:G38,"&gt;="&amp;(G39-15/1440)),0)&gt;0,0,1)))</f>
        <v>0</v>
      </c>
      <c r="I39" s="23" t="str">
        <f>IF(H39=1,C39&amp;"|"&amp;COUNTIFS($C$2:C39,C39,$H$2:H39,1),"")</f>
        <v/>
      </c>
      <c r="J39" s="23" t="str">
        <f>IF(D39="","",IF(A39="","Missing time",IF(D39="NO_SLOTS",IF(COUNTIF(PARTNERS!$A$2:$A$88,E39)=0,"Write the company in column E","OK"),IF(C39="","Missing phone",IF(COUNTIF(DESK!$F$2:$F$601,C39)=0,"Phone not found: copy it from your list",IF(AND(E39&lt;&gt;"",COUNTIFS(DESK!$F$2:$F$601,C39,DESK!$B$2:$B$601,E39)=0),"Company is not one of theirs","OK"))))))</f>
        <v>OK</v>
      </c>
    </row>
    <row r="40" spans="1:10" x14ac:dyDescent="0.35">
      <c r="A40" s="19">
        <v>46308.946537519572</v>
      </c>
      <c r="B40" s="20" t="s">
        <v>2127</v>
      </c>
      <c r="C40" s="21" t="s">
        <v>898</v>
      </c>
      <c r="D40" s="20" t="s">
        <v>30</v>
      </c>
      <c r="E40" s="20" t="s">
        <v>234</v>
      </c>
      <c r="F40" s="20" t="s">
        <v>2128</v>
      </c>
      <c r="G40" s="22">
        <f>IF(A40="","",IF(A40&gt;=1,A40,IF(MAX($G$2:G39)=0,INT(SETTINGS!$B$4)+A40,INT(MAX($G$2:G39))+A40+IF(A40&lt;MOD(MAX($G$2:G39),1),1,0))))</f>
        <v>46308.946537519572</v>
      </c>
      <c r="H40" s="23">
        <f>IF(D40="","",IF(IFERROR(VLOOKUP(D40,LISTS!$A$2:$E$10,3,FALSE),0)=0,0,IF(IFERROR(COUNTIFS($C$2:C39,C40,$H$2:H39,1,$G$2:G39,"&gt;="&amp;(G40-15/1440)),0)&gt;0,0,1)))</f>
        <v>0</v>
      </c>
      <c r="I40" s="23" t="str">
        <f>IF(H40=1,C40&amp;"|"&amp;COUNTIFS($C$2:C40,C40,$H$2:H40,1),"")</f>
        <v/>
      </c>
      <c r="J40" s="23" t="str">
        <f>IF(D40="","",IF(A40="","Missing time",IF(D40="NO_SLOTS",IF(COUNTIF(PARTNERS!$A$2:$A$88,E40)=0,"Write the company in column E","OK"),IF(C40="","Missing phone",IF(COUNTIF(DESK!$F$2:$F$601,C40)=0,"Phone not found: copy it from your list",IF(AND(E40&lt;&gt;"",COUNTIFS(DESK!$F$2:$F$601,C40,DESK!$B$2:$B$601,E40)=0),"Company is not one of theirs","OK"))))))</f>
        <v>OK</v>
      </c>
    </row>
    <row r="41" spans="1:10" x14ac:dyDescent="0.35">
      <c r="A41" s="19">
        <v>46308.947149420128</v>
      </c>
      <c r="B41" s="20" t="s">
        <v>2127</v>
      </c>
      <c r="C41" s="21" t="s">
        <v>874</v>
      </c>
      <c r="D41" s="20" t="s">
        <v>30</v>
      </c>
      <c r="E41" s="20" t="s">
        <v>189</v>
      </c>
      <c r="F41" s="20" t="s">
        <v>2128</v>
      </c>
      <c r="G41" s="22">
        <f>IF(A41="","",IF(A41&gt;=1,A41,IF(MAX($G$2:G40)=0,INT(SETTINGS!$B$4)+A41,INT(MAX($G$2:G40))+A41+IF(A41&lt;MOD(MAX($G$2:G40),1),1,0))))</f>
        <v>46308.947149420128</v>
      </c>
      <c r="H41" s="23">
        <f>IF(D41="","",IF(IFERROR(VLOOKUP(D41,LISTS!$A$2:$E$10,3,FALSE),0)=0,0,IF(IFERROR(COUNTIFS($C$2:C40,C41,$H$2:H40,1,$G$2:G40,"&gt;="&amp;(G41-15/1440)),0)&gt;0,0,1)))</f>
        <v>0</v>
      </c>
      <c r="I41" s="23" t="str">
        <f>IF(H41=1,C41&amp;"|"&amp;COUNTIFS($C$2:C41,C41,$H$2:H41,1),"")</f>
        <v/>
      </c>
      <c r="J41" s="23" t="str">
        <f>IF(D41="","",IF(A41="","Missing time",IF(D41="NO_SLOTS",IF(COUNTIF(PARTNERS!$A$2:$A$88,E41)=0,"Write the company in column E","OK"),IF(C41="","Missing phone",IF(COUNTIF(DESK!$F$2:$F$601,C41)=0,"Phone not found: copy it from your list",IF(AND(E41&lt;&gt;"",COUNTIFS(DESK!$F$2:$F$601,C41,DESK!$B$2:$B$601,E41)=0),"Company is not one of theirs","OK"))))))</f>
        <v>OK</v>
      </c>
    </row>
    <row r="42" spans="1:10" x14ac:dyDescent="0.35">
      <c r="A42" s="19">
        <v>46308.948047167491</v>
      </c>
      <c r="B42" s="20" t="s">
        <v>2127</v>
      </c>
      <c r="C42" s="21" t="s">
        <v>1456</v>
      </c>
      <c r="D42" s="20" t="s">
        <v>30</v>
      </c>
      <c r="E42" s="20" t="s">
        <v>194</v>
      </c>
      <c r="F42" s="20" t="s">
        <v>2128</v>
      </c>
      <c r="G42" s="22">
        <f>IF(A42="","",IF(A42&gt;=1,A42,IF(MAX($G$2:G41)=0,INT(SETTINGS!$B$4)+A42,INT(MAX($G$2:G41))+A42+IF(A42&lt;MOD(MAX($G$2:G41),1),1,0))))</f>
        <v>46308.948047167491</v>
      </c>
      <c r="H42" s="23">
        <f>IF(D42="","",IF(IFERROR(VLOOKUP(D42,LISTS!$A$2:$E$10,3,FALSE),0)=0,0,IF(IFERROR(COUNTIFS($C$2:C41,C42,$H$2:H41,1,$G$2:G41,"&gt;="&amp;(G42-15/1440)),0)&gt;0,0,1)))</f>
        <v>0</v>
      </c>
      <c r="I42" s="23" t="str">
        <f>IF(H42=1,C42&amp;"|"&amp;COUNTIFS($C$2:C42,C42,$H$2:H42,1),"")</f>
        <v/>
      </c>
      <c r="J42" s="23" t="str">
        <f>IF(D42="","",IF(A42="","Missing time",IF(D42="NO_SLOTS",IF(COUNTIF(PARTNERS!$A$2:$A$88,E42)=0,"Write the company in column E","OK"),IF(C42="","Missing phone",IF(COUNTIF(DESK!$F$2:$F$601,C42)=0,"Phone not found: copy it from your list",IF(AND(E42&lt;&gt;"",COUNTIFS(DESK!$F$2:$F$601,C42,DESK!$B$2:$B$601,E42)=0),"Company is not one of theirs","OK"))))))</f>
        <v>OK</v>
      </c>
    </row>
    <row r="43" spans="1:10" x14ac:dyDescent="0.35">
      <c r="A43" s="19">
        <v>46308.950861194717</v>
      </c>
      <c r="B43" s="20" t="s">
        <v>2127</v>
      </c>
      <c r="C43" s="21" t="s">
        <v>2010</v>
      </c>
      <c r="D43" s="20" t="s">
        <v>30</v>
      </c>
      <c r="E43" s="20" t="s">
        <v>336</v>
      </c>
      <c r="F43" s="20" t="s">
        <v>2128</v>
      </c>
      <c r="G43" s="22">
        <f>IF(A43="","",IF(A43&gt;=1,A43,IF(MAX($G$2:G42)=0,INT(SETTINGS!$B$4)+A43,INT(MAX($G$2:G42))+A43+IF(A43&lt;MOD(MAX($G$2:G42),1),1,0))))</f>
        <v>46308.950861194717</v>
      </c>
      <c r="H43" s="23">
        <f>IF(D43="","",IF(IFERROR(VLOOKUP(D43,LISTS!$A$2:$E$10,3,FALSE),0)=0,0,IF(IFERROR(COUNTIFS($C$2:C42,C43,$H$2:H42,1,$G$2:G42,"&gt;="&amp;(G43-15/1440)),0)&gt;0,0,1)))</f>
        <v>0</v>
      </c>
      <c r="I43" s="23" t="str">
        <f>IF(H43=1,C43&amp;"|"&amp;COUNTIFS($C$2:C43,C43,$H$2:H43,1),"")</f>
        <v/>
      </c>
      <c r="J43" s="23" t="str">
        <f>IF(D43="","",IF(A43="","Missing time",IF(D43="NO_SLOTS",IF(COUNTIF(PARTNERS!$A$2:$A$88,E43)=0,"Write the company in column E","OK"),IF(C43="","Missing phone",IF(COUNTIF(DESK!$F$2:$F$601,C43)=0,"Phone not found: copy it from your list",IF(AND(E43&lt;&gt;"",COUNTIFS(DESK!$F$2:$F$601,C43,DESK!$B$2:$B$601,E43)=0),"Company is not one of theirs","OK"))))))</f>
        <v>OK</v>
      </c>
    </row>
    <row r="44" spans="1:10" x14ac:dyDescent="0.35">
      <c r="A44" s="19">
        <v>46308.951481199547</v>
      </c>
      <c r="B44" s="20" t="s">
        <v>2127</v>
      </c>
      <c r="C44" s="21" t="s">
        <v>628</v>
      </c>
      <c r="D44" s="20" t="s">
        <v>30</v>
      </c>
      <c r="E44" s="20" t="s">
        <v>189</v>
      </c>
      <c r="F44" s="20" t="s">
        <v>2128</v>
      </c>
      <c r="G44" s="22">
        <f>IF(A44="","",IF(A44&gt;=1,A44,IF(MAX($G$2:G43)=0,INT(SETTINGS!$B$4)+A44,INT(MAX($G$2:G43))+A44+IF(A44&lt;MOD(MAX($G$2:G43),1),1,0))))</f>
        <v>46308.951481199547</v>
      </c>
      <c r="H44" s="23">
        <f>IF(D44="","",IF(IFERROR(VLOOKUP(D44,LISTS!$A$2:$E$10,3,FALSE),0)=0,0,IF(IFERROR(COUNTIFS($C$2:C43,C44,$H$2:H43,1,$G$2:G43,"&gt;="&amp;(G44-15/1440)),0)&gt;0,0,1)))</f>
        <v>0</v>
      </c>
      <c r="I44" s="23" t="str">
        <f>IF(H44=1,C44&amp;"|"&amp;COUNTIFS($C$2:C44,C44,$H$2:H44,1),"")</f>
        <v/>
      </c>
      <c r="J44" s="23" t="str">
        <f>IF(D44="","",IF(A44="","Missing time",IF(D44="NO_SLOTS",IF(COUNTIF(PARTNERS!$A$2:$A$88,E44)=0,"Write the company in column E","OK"),IF(C44="","Missing phone",IF(COUNTIF(DESK!$F$2:$F$601,C44)=0,"Phone not found: copy it from your list",IF(AND(E44&lt;&gt;"",COUNTIFS(DESK!$F$2:$F$601,C44,DESK!$B$2:$B$601,E44)=0),"Company is not one of theirs","OK"))))))</f>
        <v>OK</v>
      </c>
    </row>
    <row r="45" spans="1:10" x14ac:dyDescent="0.35">
      <c r="A45" s="19">
        <v>46308.955148565175</v>
      </c>
      <c r="B45" s="20" t="s">
        <v>2127</v>
      </c>
      <c r="C45" s="21" t="s">
        <v>1801</v>
      </c>
      <c r="D45" s="20" t="s">
        <v>30</v>
      </c>
      <c r="E45" s="20" t="s">
        <v>210</v>
      </c>
      <c r="F45" s="20" t="s">
        <v>2128</v>
      </c>
      <c r="G45" s="22">
        <f>IF(A45="","",IF(A45&gt;=1,A45,IF(MAX($G$2:G44)=0,INT(SETTINGS!$B$4)+A45,INT(MAX($G$2:G44))+A45+IF(A45&lt;MOD(MAX($G$2:G44),1),1,0))))</f>
        <v>46308.955148565175</v>
      </c>
      <c r="H45" s="23">
        <f>IF(D45="","",IF(IFERROR(VLOOKUP(D45,LISTS!$A$2:$E$10,3,FALSE),0)=0,0,IF(IFERROR(COUNTIFS($C$2:C44,C45,$H$2:H44,1,$G$2:G44,"&gt;="&amp;(G45-15/1440)),0)&gt;0,0,1)))</f>
        <v>0</v>
      </c>
      <c r="I45" s="23" t="str">
        <f>IF(H45=1,C45&amp;"|"&amp;COUNTIFS($C$2:C45,C45,$H$2:H45,1),"")</f>
        <v/>
      </c>
      <c r="J45" s="23" t="str">
        <f>IF(D45="","",IF(A45="","Missing time",IF(D45="NO_SLOTS",IF(COUNTIF(PARTNERS!$A$2:$A$88,E45)=0,"Write the company in column E","OK"),IF(C45="","Missing phone",IF(COUNTIF(DESK!$F$2:$F$601,C45)=0,"Phone not found: copy it from your list",IF(AND(E45&lt;&gt;"",COUNTIFS(DESK!$F$2:$F$601,C45,DESK!$B$2:$B$601,E45)=0),"Company is not one of theirs","OK"))))))</f>
        <v>OK</v>
      </c>
    </row>
    <row r="46" spans="1:10" x14ac:dyDescent="0.35">
      <c r="A46" s="19">
        <v>46308.955336433566</v>
      </c>
      <c r="B46" s="20" t="s">
        <v>2127</v>
      </c>
      <c r="C46" s="21" t="s">
        <v>1748</v>
      </c>
      <c r="D46" s="20" t="s">
        <v>30</v>
      </c>
      <c r="E46" s="20" t="s">
        <v>264</v>
      </c>
      <c r="F46" s="20" t="s">
        <v>2128</v>
      </c>
      <c r="G46" s="22">
        <f>IF(A46="","",IF(A46&gt;=1,A46,IF(MAX($G$2:G45)=0,INT(SETTINGS!$B$4)+A46,INT(MAX($G$2:G45))+A46+IF(A46&lt;MOD(MAX($G$2:G45),1),1,0))))</f>
        <v>46308.955336433566</v>
      </c>
      <c r="H46" s="23">
        <f>IF(D46="","",IF(IFERROR(VLOOKUP(D46,LISTS!$A$2:$E$10,3,FALSE),0)=0,0,IF(IFERROR(COUNTIFS($C$2:C45,C46,$H$2:H45,1,$G$2:G45,"&gt;="&amp;(G46-15/1440)),0)&gt;0,0,1)))</f>
        <v>0</v>
      </c>
      <c r="I46" s="23" t="str">
        <f>IF(H46=1,C46&amp;"|"&amp;COUNTIFS($C$2:C46,C46,$H$2:H46,1),"")</f>
        <v/>
      </c>
      <c r="J46" s="23" t="str">
        <f>IF(D46="","",IF(A46="","Missing time",IF(D46="NO_SLOTS",IF(COUNTIF(PARTNERS!$A$2:$A$88,E46)=0,"Write the company in column E","OK"),IF(C46="","Missing phone",IF(COUNTIF(DESK!$F$2:$F$601,C46)=0,"Phone not found: copy it from your list",IF(AND(E46&lt;&gt;"",COUNTIFS(DESK!$F$2:$F$601,C46,DESK!$B$2:$B$601,E46)=0),"Company is not one of theirs","OK"))))))</f>
        <v>OK</v>
      </c>
    </row>
    <row r="47" spans="1:10" x14ac:dyDescent="0.35">
      <c r="A47" s="19">
        <v>46308.956166919568</v>
      </c>
      <c r="B47" s="20" t="s">
        <v>2127</v>
      </c>
      <c r="C47" s="21" t="s">
        <v>1837</v>
      </c>
      <c r="D47" s="20" t="s">
        <v>30</v>
      </c>
      <c r="E47" s="20" t="s">
        <v>300</v>
      </c>
      <c r="F47" s="20" t="s">
        <v>2128</v>
      </c>
      <c r="G47" s="22">
        <f>IF(A47="","",IF(A47&gt;=1,A47,IF(MAX($G$2:G46)=0,INT(SETTINGS!$B$4)+A47,INT(MAX($G$2:G46))+A47+IF(A47&lt;MOD(MAX($G$2:G46),1),1,0))))</f>
        <v>46308.956166919568</v>
      </c>
      <c r="H47" s="23">
        <f>IF(D47="","",IF(IFERROR(VLOOKUP(D47,LISTS!$A$2:$E$10,3,FALSE),0)=0,0,IF(IFERROR(COUNTIFS($C$2:C46,C47,$H$2:H46,1,$G$2:G46,"&gt;="&amp;(G47-15/1440)),0)&gt;0,0,1)))</f>
        <v>0</v>
      </c>
      <c r="I47" s="23" t="str">
        <f>IF(H47=1,C47&amp;"|"&amp;COUNTIFS($C$2:C47,C47,$H$2:H47,1),"")</f>
        <v/>
      </c>
      <c r="J47" s="23" t="str">
        <f>IF(D47="","",IF(A47="","Missing time",IF(D47="NO_SLOTS",IF(COUNTIF(PARTNERS!$A$2:$A$88,E47)=0,"Write the company in column E","OK"),IF(C47="","Missing phone",IF(COUNTIF(DESK!$F$2:$F$601,C47)=0,"Phone not found: copy it from your list",IF(AND(E47&lt;&gt;"",COUNTIFS(DESK!$F$2:$F$601,C47,DESK!$B$2:$B$601,E47)=0),"Company is not one of theirs","OK"))))))</f>
        <v>OK</v>
      </c>
    </row>
    <row r="48" spans="1:10" x14ac:dyDescent="0.35">
      <c r="A48" s="19">
        <v>46309.292351249016</v>
      </c>
      <c r="B48" s="20" t="s">
        <v>2127</v>
      </c>
      <c r="C48" s="21" t="s">
        <v>726</v>
      </c>
      <c r="D48" s="20" t="s">
        <v>30</v>
      </c>
      <c r="E48" s="20" t="s">
        <v>267</v>
      </c>
      <c r="F48" s="20" t="s">
        <v>2128</v>
      </c>
      <c r="G48" s="22">
        <f>IF(A48="","",IF(A48&gt;=1,A48,IF(MAX($G$2:G47)=0,INT(SETTINGS!$B$4)+A48,INT(MAX($G$2:G47))+A48+IF(A48&lt;MOD(MAX($G$2:G47),1),1,0))))</f>
        <v>46309.292351249016</v>
      </c>
      <c r="H48" s="23">
        <f>IF(D48="","",IF(IFERROR(VLOOKUP(D48,LISTS!$A$2:$E$10,3,FALSE),0)=0,0,IF(IFERROR(COUNTIFS($C$2:C47,C48,$H$2:H47,1,$G$2:G47,"&gt;="&amp;(G48-15/1440)),0)&gt;0,0,1)))</f>
        <v>0</v>
      </c>
      <c r="I48" s="23" t="str">
        <f>IF(H48=1,C48&amp;"|"&amp;COUNTIFS($C$2:C48,C48,$H$2:H48,1),"")</f>
        <v/>
      </c>
      <c r="J48" s="23" t="str">
        <f>IF(D48="","",IF(A48="","Missing time",IF(D48="NO_SLOTS",IF(COUNTIF(PARTNERS!$A$2:$A$88,E48)=0,"Write the company in column E","OK"),IF(C48="","Missing phone",IF(COUNTIF(DESK!$F$2:$F$601,C48)=0,"Phone not found: copy it from your list",IF(AND(E48&lt;&gt;"",COUNTIFS(DESK!$F$2:$F$601,C48,DESK!$B$2:$B$601,E48)=0),"Company is not one of theirs","OK"))))))</f>
        <v>OK</v>
      </c>
    </row>
    <row r="49" spans="1:10" x14ac:dyDescent="0.35">
      <c r="A49" s="19">
        <v>46309.295594006151</v>
      </c>
      <c r="B49" s="20" t="s">
        <v>2127</v>
      </c>
      <c r="C49" s="21" t="s">
        <v>1517</v>
      </c>
      <c r="D49" s="20" t="s">
        <v>30</v>
      </c>
      <c r="E49" s="20" t="s">
        <v>279</v>
      </c>
      <c r="F49" s="20" t="s">
        <v>2128</v>
      </c>
      <c r="G49" s="22">
        <f>IF(A49="","",IF(A49&gt;=1,A49,IF(MAX($G$2:G48)=0,INT(SETTINGS!$B$4)+A49,INT(MAX($G$2:G48))+A49+IF(A49&lt;MOD(MAX($G$2:G48),1),1,0))))</f>
        <v>46309.295594006151</v>
      </c>
      <c r="H49" s="23">
        <f>IF(D49="","",IF(IFERROR(VLOOKUP(D49,LISTS!$A$2:$E$10,3,FALSE),0)=0,0,IF(IFERROR(COUNTIFS($C$2:C48,C49,$H$2:H48,1,$G$2:G48,"&gt;="&amp;(G49-15/1440)),0)&gt;0,0,1)))</f>
        <v>0</v>
      </c>
      <c r="I49" s="23" t="str">
        <f>IF(H49=1,C49&amp;"|"&amp;COUNTIFS($C$2:C49,C49,$H$2:H49,1),"")</f>
        <v/>
      </c>
      <c r="J49" s="23" t="str">
        <f>IF(D49="","",IF(A49="","Missing time",IF(D49="NO_SLOTS",IF(COUNTIF(PARTNERS!$A$2:$A$88,E49)=0,"Write the company in column E","OK"),IF(C49="","Missing phone",IF(COUNTIF(DESK!$F$2:$F$601,C49)=0,"Phone not found: copy it from your list",IF(AND(E49&lt;&gt;"",COUNTIFS(DESK!$F$2:$F$601,C49,DESK!$B$2:$B$601,E49)=0),"Company is not one of theirs","OK"))))))</f>
        <v>OK</v>
      </c>
    </row>
    <row r="50" spans="1:10" x14ac:dyDescent="0.35">
      <c r="A50" s="19">
        <v>46309.302666550604</v>
      </c>
      <c r="B50" s="20" t="s">
        <v>2127</v>
      </c>
      <c r="C50" s="21" t="s">
        <v>1402</v>
      </c>
      <c r="D50" s="20" t="s">
        <v>30</v>
      </c>
      <c r="E50" s="20" t="s">
        <v>426</v>
      </c>
      <c r="F50" s="20" t="s">
        <v>2128</v>
      </c>
      <c r="G50" s="22">
        <f>IF(A50="","",IF(A50&gt;=1,A50,IF(MAX($G$2:G49)=0,INT(SETTINGS!$B$4)+A50,INT(MAX($G$2:G49))+A50+IF(A50&lt;MOD(MAX($G$2:G49),1),1,0))))</f>
        <v>46309.302666550604</v>
      </c>
      <c r="H50" s="23">
        <f>IF(D50="","",IF(IFERROR(VLOOKUP(D50,LISTS!$A$2:$E$10,3,FALSE),0)=0,0,IF(IFERROR(COUNTIFS($C$2:C49,C50,$H$2:H49,1,$G$2:G49,"&gt;="&amp;(G50-15/1440)),0)&gt;0,0,1)))</f>
        <v>0</v>
      </c>
      <c r="I50" s="23" t="str">
        <f>IF(H50=1,C50&amp;"|"&amp;COUNTIFS($C$2:C50,C50,$H$2:H50,1),"")</f>
        <v/>
      </c>
      <c r="J50" s="23" t="str">
        <f>IF(D50="","",IF(A50="","Missing time",IF(D50="NO_SLOTS",IF(COUNTIF(PARTNERS!$A$2:$A$88,E50)=0,"Write the company in column E","OK"),IF(C50="","Missing phone",IF(COUNTIF(DESK!$F$2:$F$601,C50)=0,"Phone not found: copy it from your list",IF(AND(E50&lt;&gt;"",COUNTIFS(DESK!$F$2:$F$601,C50,DESK!$B$2:$B$601,E50)=0),"Company is not one of theirs","OK"))))))</f>
        <v>OK</v>
      </c>
    </row>
    <row r="51" spans="1:10" x14ac:dyDescent="0.35">
      <c r="A51" s="19">
        <v>46309.302669817705</v>
      </c>
      <c r="B51" s="20" t="s">
        <v>2127</v>
      </c>
      <c r="C51" s="21" t="s">
        <v>1061</v>
      </c>
      <c r="D51" s="20" t="s">
        <v>30</v>
      </c>
      <c r="E51" s="20" t="s">
        <v>189</v>
      </c>
      <c r="F51" s="20" t="s">
        <v>2128</v>
      </c>
      <c r="G51" s="22">
        <f>IF(A51="","",IF(A51&gt;=1,A51,IF(MAX($G$2:G50)=0,INT(SETTINGS!$B$4)+A51,INT(MAX($G$2:G50))+A51+IF(A51&lt;MOD(MAX($G$2:G50),1),1,0))))</f>
        <v>46309.302669817705</v>
      </c>
      <c r="H51" s="23">
        <f>IF(D51="","",IF(IFERROR(VLOOKUP(D51,LISTS!$A$2:$E$10,3,FALSE),0)=0,0,IF(IFERROR(COUNTIFS($C$2:C50,C51,$H$2:H50,1,$G$2:G50,"&gt;="&amp;(G51-15/1440)),0)&gt;0,0,1)))</f>
        <v>0</v>
      </c>
      <c r="I51" s="23" t="str">
        <f>IF(H51=1,C51&amp;"|"&amp;COUNTIFS($C$2:C51,C51,$H$2:H51,1),"")</f>
        <v/>
      </c>
      <c r="J51" s="23" t="str">
        <f>IF(D51="","",IF(A51="","Missing time",IF(D51="NO_SLOTS",IF(COUNTIF(PARTNERS!$A$2:$A$88,E51)=0,"Write the company in column E","OK"),IF(C51="","Missing phone",IF(COUNTIF(DESK!$F$2:$F$601,C51)=0,"Phone not found: copy it from your list",IF(AND(E51&lt;&gt;"",COUNTIFS(DESK!$F$2:$F$601,C51,DESK!$B$2:$B$601,E51)=0),"Company is not one of theirs","OK"))))))</f>
        <v>OK</v>
      </c>
    </row>
    <row r="52" spans="1:10" x14ac:dyDescent="0.35">
      <c r="A52" s="19">
        <v>46309.302768312475</v>
      </c>
      <c r="B52" s="20" t="s">
        <v>2127</v>
      </c>
      <c r="C52" s="21" t="s">
        <v>767</v>
      </c>
      <c r="D52" s="20" t="s">
        <v>30</v>
      </c>
      <c r="E52" s="20" t="s">
        <v>197</v>
      </c>
      <c r="F52" s="20" t="s">
        <v>2128</v>
      </c>
      <c r="G52" s="22">
        <f>IF(A52="","",IF(A52&gt;=1,A52,IF(MAX($G$2:G51)=0,INT(SETTINGS!$B$4)+A52,INT(MAX($G$2:G51))+A52+IF(A52&lt;MOD(MAX($G$2:G51),1),1,0))))</f>
        <v>46309.302768312475</v>
      </c>
      <c r="H52" s="23">
        <f>IF(D52="","",IF(IFERROR(VLOOKUP(D52,LISTS!$A$2:$E$10,3,FALSE),0)=0,0,IF(IFERROR(COUNTIFS($C$2:C51,C52,$H$2:H51,1,$G$2:G51,"&gt;="&amp;(G52-15/1440)),0)&gt;0,0,1)))</f>
        <v>0</v>
      </c>
      <c r="I52" s="23" t="str">
        <f>IF(H52=1,C52&amp;"|"&amp;COUNTIFS($C$2:C52,C52,$H$2:H52,1),"")</f>
        <v/>
      </c>
      <c r="J52" s="23" t="str">
        <f>IF(D52="","",IF(A52="","Missing time",IF(D52="NO_SLOTS",IF(COUNTIF(PARTNERS!$A$2:$A$88,E52)=0,"Write the company in column E","OK"),IF(C52="","Missing phone",IF(COUNTIF(DESK!$F$2:$F$601,C52)=0,"Phone not found: copy it from your list",IF(AND(E52&lt;&gt;"",COUNTIFS(DESK!$F$2:$F$601,C52,DESK!$B$2:$B$601,E52)=0),"Company is not one of theirs","OK"))))))</f>
        <v>OK</v>
      </c>
    </row>
    <row r="53" spans="1:10" x14ac:dyDescent="0.35">
      <c r="A53" s="19">
        <v>46309.309120829523</v>
      </c>
      <c r="B53" s="20" t="s">
        <v>2127</v>
      </c>
      <c r="C53" s="21" t="s">
        <v>685</v>
      </c>
      <c r="D53" s="20" t="s">
        <v>30</v>
      </c>
      <c r="E53" s="20" t="s">
        <v>204</v>
      </c>
      <c r="F53" s="20" t="s">
        <v>2128</v>
      </c>
      <c r="G53" s="22">
        <f>IF(A53="","",IF(A53&gt;=1,A53,IF(MAX($G$2:G52)=0,INT(SETTINGS!$B$4)+A53,INT(MAX($G$2:G52))+A53+IF(A53&lt;MOD(MAX($G$2:G52),1),1,0))))</f>
        <v>46309.309120829523</v>
      </c>
      <c r="H53" s="23">
        <f>IF(D53="","",IF(IFERROR(VLOOKUP(D53,LISTS!$A$2:$E$10,3,FALSE),0)=0,0,IF(IFERROR(COUNTIFS($C$2:C52,C53,$H$2:H52,1,$G$2:G52,"&gt;="&amp;(G53-15/1440)),0)&gt;0,0,1)))</f>
        <v>0</v>
      </c>
      <c r="I53" s="23" t="str">
        <f>IF(H53=1,C53&amp;"|"&amp;COUNTIFS($C$2:C53,C53,$H$2:H53,1),"")</f>
        <v/>
      </c>
      <c r="J53" s="23" t="str">
        <f>IF(D53="","",IF(A53="","Missing time",IF(D53="NO_SLOTS",IF(COUNTIF(PARTNERS!$A$2:$A$88,E53)=0,"Write the company in column E","OK"),IF(C53="","Missing phone",IF(COUNTIF(DESK!$F$2:$F$601,C53)=0,"Phone not found: copy it from your list",IF(AND(E53&lt;&gt;"",COUNTIFS(DESK!$F$2:$F$601,C53,DESK!$B$2:$B$601,E53)=0),"Company is not one of theirs","OK"))))))</f>
        <v>OK</v>
      </c>
    </row>
    <row r="54" spans="1:10" x14ac:dyDescent="0.35">
      <c r="A54" s="19">
        <v>46309.30915166156</v>
      </c>
      <c r="B54" s="20" t="s">
        <v>2127</v>
      </c>
      <c r="C54" s="21" t="s">
        <v>1760</v>
      </c>
      <c r="D54" s="20" t="s">
        <v>30</v>
      </c>
      <c r="E54" s="20" t="s">
        <v>194</v>
      </c>
      <c r="F54" s="20" t="s">
        <v>2128</v>
      </c>
      <c r="G54" s="22">
        <f>IF(A54="","",IF(A54&gt;=1,A54,IF(MAX($G$2:G53)=0,INT(SETTINGS!$B$4)+A54,INT(MAX($G$2:G53))+A54+IF(A54&lt;MOD(MAX($G$2:G53),1),1,0))))</f>
        <v>46309.30915166156</v>
      </c>
      <c r="H54" s="23">
        <f>IF(D54="","",IF(IFERROR(VLOOKUP(D54,LISTS!$A$2:$E$10,3,FALSE),0)=0,0,IF(IFERROR(COUNTIFS($C$2:C53,C54,$H$2:H53,1,$G$2:G53,"&gt;="&amp;(G54-15/1440)),0)&gt;0,0,1)))</f>
        <v>0</v>
      </c>
      <c r="I54" s="23" t="str">
        <f>IF(H54=1,C54&amp;"|"&amp;COUNTIFS($C$2:C54,C54,$H$2:H54,1),"")</f>
        <v/>
      </c>
      <c r="J54" s="23" t="str">
        <f>IF(D54="","",IF(A54="","Missing time",IF(D54="NO_SLOTS",IF(COUNTIF(PARTNERS!$A$2:$A$88,E54)=0,"Write the company in column E","OK"),IF(C54="","Missing phone",IF(COUNTIF(DESK!$F$2:$F$601,C54)=0,"Phone not found: copy it from your list",IF(AND(E54&lt;&gt;"",COUNTIFS(DESK!$F$2:$F$601,C54,DESK!$B$2:$B$601,E54)=0),"Company is not one of theirs","OK"))))))</f>
        <v>OK</v>
      </c>
    </row>
    <row r="55" spans="1:10" x14ac:dyDescent="0.35">
      <c r="A55" s="19">
        <v>46309.312794894875</v>
      </c>
      <c r="B55" s="20" t="s">
        <v>2127</v>
      </c>
      <c r="C55" s="21" t="s">
        <v>1900</v>
      </c>
      <c r="D55" s="20" t="s">
        <v>30</v>
      </c>
      <c r="E55" s="20" t="s">
        <v>189</v>
      </c>
      <c r="F55" s="20" t="s">
        <v>2128</v>
      </c>
      <c r="G55" s="22">
        <f>IF(A55="","",IF(A55&gt;=1,A55,IF(MAX($G$2:G54)=0,INT(SETTINGS!$B$4)+A55,INT(MAX($G$2:G54))+A55+IF(A55&lt;MOD(MAX($G$2:G54),1),1,0))))</f>
        <v>46309.312794894875</v>
      </c>
      <c r="H55" s="23">
        <f>IF(D55="","",IF(IFERROR(VLOOKUP(D55,LISTS!$A$2:$E$10,3,FALSE),0)=0,0,IF(IFERROR(COUNTIFS($C$2:C54,C55,$H$2:H54,1,$G$2:G54,"&gt;="&amp;(G55-15/1440)),0)&gt;0,0,1)))</f>
        <v>0</v>
      </c>
      <c r="I55" s="23" t="str">
        <f>IF(H55=1,C55&amp;"|"&amp;COUNTIFS($C$2:C55,C55,$H$2:H55,1),"")</f>
        <v/>
      </c>
      <c r="J55" s="23" t="str">
        <f>IF(D55="","",IF(A55="","Missing time",IF(D55="NO_SLOTS",IF(COUNTIF(PARTNERS!$A$2:$A$88,E55)=0,"Write the company in column E","OK"),IF(C55="","Missing phone",IF(COUNTIF(DESK!$F$2:$F$601,C55)=0,"Phone not found: copy it from your list",IF(AND(E55&lt;&gt;"",COUNTIFS(DESK!$F$2:$F$601,C55,DESK!$B$2:$B$601,E55)=0),"Company is not one of theirs","OK"))))))</f>
        <v>OK</v>
      </c>
    </row>
    <row r="56" spans="1:10" x14ac:dyDescent="0.35">
      <c r="A56" s="19">
        <v>46309.313927629883</v>
      </c>
      <c r="B56" s="20" t="s">
        <v>2127</v>
      </c>
      <c r="C56" s="21" t="s">
        <v>1872</v>
      </c>
      <c r="D56" s="20" t="s">
        <v>30</v>
      </c>
      <c r="E56" s="20" t="s">
        <v>252</v>
      </c>
      <c r="F56" s="20" t="s">
        <v>2128</v>
      </c>
      <c r="G56" s="22">
        <f>IF(A56="","",IF(A56&gt;=1,A56,IF(MAX($G$2:G55)=0,INT(SETTINGS!$B$4)+A56,INT(MAX($G$2:G55))+A56+IF(A56&lt;MOD(MAX($G$2:G55),1),1,0))))</f>
        <v>46309.313927629883</v>
      </c>
      <c r="H56" s="23">
        <f>IF(D56="","",IF(IFERROR(VLOOKUP(D56,LISTS!$A$2:$E$10,3,FALSE),0)=0,0,IF(IFERROR(COUNTIFS($C$2:C55,C56,$H$2:H55,1,$G$2:G55,"&gt;="&amp;(G56-15/1440)),0)&gt;0,0,1)))</f>
        <v>0</v>
      </c>
      <c r="I56" s="23" t="str">
        <f>IF(H56=1,C56&amp;"|"&amp;COUNTIFS($C$2:C56,C56,$H$2:H56,1),"")</f>
        <v/>
      </c>
      <c r="J56" s="23" t="str">
        <f>IF(D56="","",IF(A56="","Missing time",IF(D56="NO_SLOTS",IF(COUNTIF(PARTNERS!$A$2:$A$88,E56)=0,"Write the company in column E","OK"),IF(C56="","Missing phone",IF(COUNTIF(DESK!$F$2:$F$601,C56)=0,"Phone not found: copy it from your list",IF(AND(E56&lt;&gt;"",COUNTIFS(DESK!$F$2:$F$601,C56,DESK!$B$2:$B$601,E56)=0),"Company is not one of theirs","OK"))))))</f>
        <v>OK</v>
      </c>
    </row>
    <row r="57" spans="1:10" x14ac:dyDescent="0.35">
      <c r="A57" s="19">
        <v>46309.314122757947</v>
      </c>
      <c r="B57" s="20" t="s">
        <v>2127</v>
      </c>
      <c r="C57" s="21" t="s">
        <v>1714</v>
      </c>
      <c r="D57" s="20" t="s">
        <v>30</v>
      </c>
      <c r="E57" s="20" t="s">
        <v>189</v>
      </c>
      <c r="F57" s="20" t="s">
        <v>2128</v>
      </c>
      <c r="G57" s="22">
        <f>IF(A57="","",IF(A57&gt;=1,A57,IF(MAX($G$2:G56)=0,INT(SETTINGS!$B$4)+A57,INT(MAX($G$2:G56))+A57+IF(A57&lt;MOD(MAX($G$2:G56),1),1,0))))</f>
        <v>46309.314122757947</v>
      </c>
      <c r="H57" s="23">
        <f>IF(D57="","",IF(IFERROR(VLOOKUP(D57,LISTS!$A$2:$E$10,3,FALSE),0)=0,0,IF(IFERROR(COUNTIFS($C$2:C56,C57,$H$2:H56,1,$G$2:G56,"&gt;="&amp;(G57-15/1440)),0)&gt;0,0,1)))</f>
        <v>0</v>
      </c>
      <c r="I57" s="23" t="str">
        <f>IF(H57=1,C57&amp;"|"&amp;COUNTIFS($C$2:C57,C57,$H$2:H57,1),"")</f>
        <v/>
      </c>
      <c r="J57" s="23" t="str">
        <f>IF(D57="","",IF(A57="","Missing time",IF(D57="NO_SLOTS",IF(COUNTIF(PARTNERS!$A$2:$A$88,E57)=0,"Write the company in column E","OK"),IF(C57="","Missing phone",IF(COUNTIF(DESK!$F$2:$F$601,C57)=0,"Phone not found: copy it from your list",IF(AND(E57&lt;&gt;"",COUNTIFS(DESK!$F$2:$F$601,C57,DESK!$B$2:$B$601,E57)=0),"Company is not one of theirs","OK"))))))</f>
        <v>OK</v>
      </c>
    </row>
    <row r="58" spans="1:10" x14ac:dyDescent="0.35">
      <c r="A58" s="19">
        <v>46309.320030873896</v>
      </c>
      <c r="B58" s="20" t="s">
        <v>2127</v>
      </c>
      <c r="C58" s="21" t="s">
        <v>1551</v>
      </c>
      <c r="D58" s="20" t="s">
        <v>30</v>
      </c>
      <c r="E58" s="20" t="s">
        <v>194</v>
      </c>
      <c r="F58" s="20" t="s">
        <v>2128</v>
      </c>
      <c r="G58" s="22">
        <f>IF(A58="","",IF(A58&gt;=1,A58,IF(MAX($G$2:G57)=0,INT(SETTINGS!$B$4)+A58,INT(MAX($G$2:G57))+A58+IF(A58&lt;MOD(MAX($G$2:G57),1),1,0))))</f>
        <v>46309.320030873896</v>
      </c>
      <c r="H58" s="23">
        <f>IF(D58="","",IF(IFERROR(VLOOKUP(D58,LISTS!$A$2:$E$10,3,FALSE),0)=0,0,IF(IFERROR(COUNTIFS($C$2:C57,C58,$H$2:H57,1,$G$2:G57,"&gt;="&amp;(G58-15/1440)),0)&gt;0,0,1)))</f>
        <v>0</v>
      </c>
      <c r="I58" s="23" t="str">
        <f>IF(H58=1,C58&amp;"|"&amp;COUNTIFS($C$2:C58,C58,$H$2:H58,1),"")</f>
        <v/>
      </c>
      <c r="J58" s="23" t="str">
        <f>IF(D58="","",IF(A58="","Missing time",IF(D58="NO_SLOTS",IF(COUNTIF(PARTNERS!$A$2:$A$88,E58)=0,"Write the company in column E","OK"),IF(C58="","Missing phone",IF(COUNTIF(DESK!$F$2:$F$601,C58)=0,"Phone not found: copy it from your list",IF(AND(E58&lt;&gt;"",COUNTIFS(DESK!$F$2:$F$601,C58,DESK!$B$2:$B$601,E58)=0),"Company is not one of theirs","OK"))))))</f>
        <v>OK</v>
      </c>
    </row>
    <row r="59" spans="1:10" x14ac:dyDescent="0.35">
      <c r="A59" s="19">
        <v>46309.333970649604</v>
      </c>
      <c r="B59" s="20" t="s">
        <v>2127</v>
      </c>
      <c r="C59" s="21" t="s">
        <v>572</v>
      </c>
      <c r="D59" s="20" t="s">
        <v>30</v>
      </c>
      <c r="E59" s="20" t="s">
        <v>240</v>
      </c>
      <c r="F59" s="20" t="s">
        <v>2128</v>
      </c>
      <c r="G59" s="22">
        <f>IF(A59="","",IF(A59&gt;=1,A59,IF(MAX($G$2:G58)=0,INT(SETTINGS!$B$4)+A59,INT(MAX($G$2:G58))+A59+IF(A59&lt;MOD(MAX($G$2:G58),1),1,0))))</f>
        <v>46309.333970649604</v>
      </c>
      <c r="H59" s="23">
        <f>IF(D59="","",IF(IFERROR(VLOOKUP(D59,LISTS!$A$2:$E$10,3,FALSE),0)=0,0,IF(IFERROR(COUNTIFS($C$2:C58,C59,$H$2:H58,1,$G$2:G58,"&gt;="&amp;(G59-15/1440)),0)&gt;0,0,1)))</f>
        <v>0</v>
      </c>
      <c r="I59" s="23" t="str">
        <f>IF(H59=1,C59&amp;"|"&amp;COUNTIFS($C$2:C59,C59,$H$2:H59,1),"")</f>
        <v/>
      </c>
      <c r="J59" s="23" t="str">
        <f>IF(D59="","",IF(A59="","Missing time",IF(D59="NO_SLOTS",IF(COUNTIF(PARTNERS!$A$2:$A$88,E59)=0,"Write the company in column E","OK"),IF(C59="","Missing phone",IF(COUNTIF(DESK!$F$2:$F$601,C59)=0,"Phone not found: copy it from your list",IF(AND(E59&lt;&gt;"",COUNTIFS(DESK!$F$2:$F$601,C59,DESK!$B$2:$B$601,E59)=0),"Company is not one of theirs","OK"))))))</f>
        <v>OK</v>
      </c>
    </row>
    <row r="60" spans="1:10" x14ac:dyDescent="0.35">
      <c r="A60" s="19">
        <v>46309.334166539149</v>
      </c>
      <c r="B60" s="20" t="s">
        <v>2127</v>
      </c>
      <c r="C60" s="21" t="s">
        <v>1565</v>
      </c>
      <c r="D60" s="20" t="s">
        <v>30</v>
      </c>
      <c r="E60" s="20" t="s">
        <v>189</v>
      </c>
      <c r="F60" s="20" t="s">
        <v>2128</v>
      </c>
      <c r="G60" s="22">
        <f>IF(A60="","",IF(A60&gt;=1,A60,IF(MAX($G$2:G59)=0,INT(SETTINGS!$B$4)+A60,INT(MAX($G$2:G59))+A60+IF(A60&lt;MOD(MAX($G$2:G59),1),1,0))))</f>
        <v>46309.334166539149</v>
      </c>
      <c r="H60" s="23">
        <f>IF(D60="","",IF(IFERROR(VLOOKUP(D60,LISTS!$A$2:$E$10,3,FALSE),0)=0,0,IF(IFERROR(COUNTIFS($C$2:C59,C60,$H$2:H59,1,$G$2:G59,"&gt;="&amp;(G60-15/1440)),0)&gt;0,0,1)))</f>
        <v>0</v>
      </c>
      <c r="I60" s="23" t="str">
        <f>IF(H60=1,C60&amp;"|"&amp;COUNTIFS($C$2:C60,C60,$H$2:H60,1),"")</f>
        <v/>
      </c>
      <c r="J60" s="23" t="str">
        <f>IF(D60="","",IF(A60="","Missing time",IF(D60="NO_SLOTS",IF(COUNTIF(PARTNERS!$A$2:$A$88,E60)=0,"Write the company in column E","OK"),IF(C60="","Missing phone",IF(COUNTIF(DESK!$F$2:$F$601,C60)=0,"Phone not found: copy it from your list",IF(AND(E60&lt;&gt;"",COUNTIFS(DESK!$F$2:$F$601,C60,DESK!$B$2:$B$601,E60)=0),"Company is not one of theirs","OK"))))))</f>
        <v>OK</v>
      </c>
    </row>
    <row r="61" spans="1:10" x14ac:dyDescent="0.35">
      <c r="A61" s="19">
        <v>46309.335470968508</v>
      </c>
      <c r="B61" s="20" t="s">
        <v>2127</v>
      </c>
      <c r="C61" s="21" t="s">
        <v>933</v>
      </c>
      <c r="D61" s="20" t="s">
        <v>30</v>
      </c>
      <c r="E61" s="20" t="s">
        <v>194</v>
      </c>
      <c r="F61" s="20" t="s">
        <v>2128</v>
      </c>
      <c r="G61" s="22">
        <f>IF(A61="","",IF(A61&gt;=1,A61,IF(MAX($G$2:G60)=0,INT(SETTINGS!$B$4)+A61,INT(MAX($G$2:G60))+A61+IF(A61&lt;MOD(MAX($G$2:G60),1),1,0))))</f>
        <v>46309.335470968508</v>
      </c>
      <c r="H61" s="23">
        <f>IF(D61="","",IF(IFERROR(VLOOKUP(D61,LISTS!$A$2:$E$10,3,FALSE),0)=0,0,IF(IFERROR(COUNTIFS($C$2:C60,C61,$H$2:H60,1,$G$2:G60,"&gt;="&amp;(G61-15/1440)),0)&gt;0,0,1)))</f>
        <v>0</v>
      </c>
      <c r="I61" s="23" t="str">
        <f>IF(H61=1,C61&amp;"|"&amp;COUNTIFS($C$2:C61,C61,$H$2:H61,1),"")</f>
        <v/>
      </c>
      <c r="J61" s="23" t="str">
        <f>IF(D61="","",IF(A61="","Missing time",IF(D61="NO_SLOTS",IF(COUNTIF(PARTNERS!$A$2:$A$88,E61)=0,"Write the company in column E","OK"),IF(C61="","Missing phone",IF(COUNTIF(DESK!$F$2:$F$601,C61)=0,"Phone not found: copy it from your list",IF(AND(E61&lt;&gt;"",COUNTIFS(DESK!$F$2:$F$601,C61,DESK!$B$2:$B$601,E61)=0),"Company is not one of theirs","OK"))))))</f>
        <v>OK</v>
      </c>
    </row>
    <row r="62" spans="1:10" x14ac:dyDescent="0.35">
      <c r="A62" s="19">
        <v>46309.338526320149</v>
      </c>
      <c r="B62" s="20" t="s">
        <v>2127</v>
      </c>
      <c r="C62" s="21" t="s">
        <v>1437</v>
      </c>
      <c r="D62" s="20" t="s">
        <v>30</v>
      </c>
      <c r="E62" s="20" t="s">
        <v>189</v>
      </c>
      <c r="F62" s="20" t="s">
        <v>2128</v>
      </c>
      <c r="G62" s="22">
        <f>IF(A62="","",IF(A62&gt;=1,A62,IF(MAX($G$2:G61)=0,INT(SETTINGS!$B$4)+A62,INT(MAX($G$2:G61))+A62+IF(A62&lt;MOD(MAX($G$2:G61),1),1,0))))</f>
        <v>46309.338526320149</v>
      </c>
      <c r="H62" s="23">
        <f>IF(D62="","",IF(IFERROR(VLOOKUP(D62,LISTS!$A$2:$E$10,3,FALSE),0)=0,0,IF(IFERROR(COUNTIFS($C$2:C61,C62,$H$2:H61,1,$G$2:G61,"&gt;="&amp;(G62-15/1440)),0)&gt;0,0,1)))</f>
        <v>0</v>
      </c>
      <c r="I62" s="23" t="str">
        <f>IF(H62=1,C62&amp;"|"&amp;COUNTIFS($C$2:C62,C62,$H$2:H62,1),"")</f>
        <v/>
      </c>
      <c r="J62" s="23" t="str">
        <f>IF(D62="","",IF(A62="","Missing time",IF(D62="NO_SLOTS",IF(COUNTIF(PARTNERS!$A$2:$A$88,E62)=0,"Write the company in column E","OK"),IF(C62="","Missing phone",IF(COUNTIF(DESK!$F$2:$F$601,C62)=0,"Phone not found: copy it from your list",IF(AND(E62&lt;&gt;"",COUNTIFS(DESK!$F$2:$F$601,C62,DESK!$B$2:$B$601,E62)=0),"Company is not one of theirs","OK"))))))</f>
        <v>OK</v>
      </c>
    </row>
    <row r="63" spans="1:10" x14ac:dyDescent="0.35">
      <c r="A63" s="19">
        <v>46309.338666769872</v>
      </c>
      <c r="B63" s="20" t="s">
        <v>2127</v>
      </c>
      <c r="C63" s="21" t="s">
        <v>1135</v>
      </c>
      <c r="D63" s="20" t="s">
        <v>30</v>
      </c>
      <c r="E63" s="20" t="s">
        <v>194</v>
      </c>
      <c r="F63" s="20" t="s">
        <v>2128</v>
      </c>
      <c r="G63" s="22">
        <f>IF(A63="","",IF(A63&gt;=1,A63,IF(MAX($G$2:G62)=0,INT(SETTINGS!$B$4)+A63,INT(MAX($G$2:G62))+A63+IF(A63&lt;MOD(MAX($G$2:G62),1),1,0))))</f>
        <v>46309.338666769872</v>
      </c>
      <c r="H63" s="23">
        <f>IF(D63="","",IF(IFERROR(VLOOKUP(D63,LISTS!$A$2:$E$10,3,FALSE),0)=0,0,IF(IFERROR(COUNTIFS($C$2:C62,C63,$H$2:H62,1,$G$2:G62,"&gt;="&amp;(G63-15/1440)),0)&gt;0,0,1)))</f>
        <v>0</v>
      </c>
      <c r="I63" s="23" t="str">
        <f>IF(H63=1,C63&amp;"|"&amp;COUNTIFS($C$2:C63,C63,$H$2:H63,1),"")</f>
        <v/>
      </c>
      <c r="J63" s="23" t="str">
        <f>IF(D63="","",IF(A63="","Missing time",IF(D63="NO_SLOTS",IF(COUNTIF(PARTNERS!$A$2:$A$88,E63)=0,"Write the company in column E","OK"),IF(C63="","Missing phone",IF(COUNTIF(DESK!$F$2:$F$601,C63)=0,"Phone not found: copy it from your list",IF(AND(E63&lt;&gt;"",COUNTIFS(DESK!$F$2:$F$601,C63,DESK!$B$2:$B$601,E63)=0),"Company is not one of theirs","OK"))))))</f>
        <v>OK</v>
      </c>
    </row>
    <row r="64" spans="1:10" x14ac:dyDescent="0.35">
      <c r="A64" s="19">
        <v>46309.33888341362</v>
      </c>
      <c r="B64" s="20" t="s">
        <v>2127</v>
      </c>
      <c r="C64" s="21" t="s">
        <v>1215</v>
      </c>
      <c r="D64" s="20" t="s">
        <v>30</v>
      </c>
      <c r="E64" s="20" t="s">
        <v>303</v>
      </c>
      <c r="F64" s="20" t="s">
        <v>2128</v>
      </c>
      <c r="G64" s="22">
        <f>IF(A64="","",IF(A64&gt;=1,A64,IF(MAX($G$2:G63)=0,INT(SETTINGS!$B$4)+A64,INT(MAX($G$2:G63))+A64+IF(A64&lt;MOD(MAX($G$2:G63),1),1,0))))</f>
        <v>46309.33888341362</v>
      </c>
      <c r="H64" s="23">
        <f>IF(D64="","",IF(IFERROR(VLOOKUP(D64,LISTS!$A$2:$E$10,3,FALSE),0)=0,0,IF(IFERROR(COUNTIFS($C$2:C63,C64,$H$2:H63,1,$G$2:G63,"&gt;="&amp;(G64-15/1440)),0)&gt;0,0,1)))</f>
        <v>0</v>
      </c>
      <c r="I64" s="23" t="str">
        <f>IF(H64=1,C64&amp;"|"&amp;COUNTIFS($C$2:C64,C64,$H$2:H64,1),"")</f>
        <v/>
      </c>
      <c r="J64" s="23" t="str">
        <f>IF(D64="","",IF(A64="","Missing time",IF(D64="NO_SLOTS",IF(COUNTIF(PARTNERS!$A$2:$A$88,E64)=0,"Write the company in column E","OK"),IF(C64="","Missing phone",IF(COUNTIF(DESK!$F$2:$F$601,C64)=0,"Phone not found: copy it from your list",IF(AND(E64&lt;&gt;"",COUNTIFS(DESK!$F$2:$F$601,C64,DESK!$B$2:$B$601,E64)=0),"Company is not one of theirs","OK"))))))</f>
        <v>OK</v>
      </c>
    </row>
    <row r="65" spans="1:10" x14ac:dyDescent="0.35">
      <c r="A65" s="19">
        <v>46309.339413047972</v>
      </c>
      <c r="B65" s="20" t="s">
        <v>2127</v>
      </c>
      <c r="C65" s="21" t="s">
        <v>786</v>
      </c>
      <c r="D65" s="20" t="s">
        <v>30</v>
      </c>
      <c r="E65" s="20" t="s">
        <v>204</v>
      </c>
      <c r="F65" s="20" t="s">
        <v>2128</v>
      </c>
      <c r="G65" s="22">
        <f>IF(A65="","",IF(A65&gt;=1,A65,IF(MAX($G$2:G64)=0,INT(SETTINGS!$B$4)+A65,INT(MAX($G$2:G64))+A65+IF(A65&lt;MOD(MAX($G$2:G64),1),1,0))))</f>
        <v>46309.339413047972</v>
      </c>
      <c r="H65" s="23">
        <f>IF(D65="","",IF(IFERROR(VLOOKUP(D65,LISTS!$A$2:$E$10,3,FALSE),0)=0,0,IF(IFERROR(COUNTIFS($C$2:C64,C65,$H$2:H64,1,$G$2:G64,"&gt;="&amp;(G65-15/1440)),0)&gt;0,0,1)))</f>
        <v>0</v>
      </c>
      <c r="I65" s="23" t="str">
        <f>IF(H65=1,C65&amp;"|"&amp;COUNTIFS($C$2:C65,C65,$H$2:H65,1),"")</f>
        <v/>
      </c>
      <c r="J65" s="23" t="str">
        <f>IF(D65="","",IF(A65="","Missing time",IF(D65="NO_SLOTS",IF(COUNTIF(PARTNERS!$A$2:$A$88,E65)=0,"Write the company in column E","OK"),IF(C65="","Missing phone",IF(COUNTIF(DESK!$F$2:$F$601,C65)=0,"Phone not found: copy it from your list",IF(AND(E65&lt;&gt;"",COUNTIFS(DESK!$F$2:$F$601,C65,DESK!$B$2:$B$601,E65)=0),"Company is not one of theirs","OK"))))))</f>
        <v>OK</v>
      </c>
    </row>
    <row r="66" spans="1:10" x14ac:dyDescent="0.35">
      <c r="A66" s="19">
        <v>46309.344534617208</v>
      </c>
      <c r="B66" s="20" t="s">
        <v>2127</v>
      </c>
      <c r="C66" s="21" t="s">
        <v>1828</v>
      </c>
      <c r="D66" s="20" t="s">
        <v>30</v>
      </c>
      <c r="E66" s="20" t="s">
        <v>189</v>
      </c>
      <c r="F66" s="20" t="s">
        <v>2128</v>
      </c>
      <c r="G66" s="22">
        <f>IF(A66="","",IF(A66&gt;=1,A66,IF(MAX($G$2:G65)=0,INT(SETTINGS!$B$4)+A66,INT(MAX($G$2:G65))+A66+IF(A66&lt;MOD(MAX($G$2:G65),1),1,0))))</f>
        <v>46309.344534617208</v>
      </c>
      <c r="H66" s="23">
        <f>IF(D66="","",IF(IFERROR(VLOOKUP(D66,LISTS!$A$2:$E$10,3,FALSE),0)=0,0,IF(IFERROR(COUNTIFS($C$2:C65,C66,$H$2:H65,1,$G$2:G65,"&gt;="&amp;(G66-15/1440)),0)&gt;0,0,1)))</f>
        <v>0</v>
      </c>
      <c r="I66" s="23" t="str">
        <f>IF(H66=1,C66&amp;"|"&amp;COUNTIFS($C$2:C66,C66,$H$2:H66,1),"")</f>
        <v/>
      </c>
      <c r="J66" s="23" t="str">
        <f>IF(D66="","",IF(A66="","Missing time",IF(D66="NO_SLOTS",IF(COUNTIF(PARTNERS!$A$2:$A$88,E66)=0,"Write the company in column E","OK"),IF(C66="","Missing phone",IF(COUNTIF(DESK!$F$2:$F$601,C66)=0,"Phone not found: copy it from your list",IF(AND(E66&lt;&gt;"",COUNTIFS(DESK!$F$2:$F$601,C66,DESK!$B$2:$B$601,E66)=0),"Company is not one of theirs","OK"))))))</f>
        <v>OK</v>
      </c>
    </row>
    <row r="67" spans="1:10" x14ac:dyDescent="0.35">
      <c r="A67" s="19">
        <v>46309.347532153261</v>
      </c>
      <c r="B67" s="20" t="s">
        <v>2127</v>
      </c>
      <c r="C67" s="21" t="s">
        <v>1763</v>
      </c>
      <c r="D67" s="20" t="s">
        <v>30</v>
      </c>
      <c r="E67" s="20" t="s">
        <v>216</v>
      </c>
      <c r="F67" s="20" t="s">
        <v>2128</v>
      </c>
      <c r="G67" s="22">
        <f>IF(A67="","",IF(A67&gt;=1,A67,IF(MAX($G$2:G66)=0,INT(SETTINGS!$B$4)+A67,INT(MAX($G$2:G66))+A67+IF(A67&lt;MOD(MAX($G$2:G66),1),1,0))))</f>
        <v>46309.347532153261</v>
      </c>
      <c r="H67" s="23">
        <f>IF(D67="","",IF(IFERROR(VLOOKUP(D67,LISTS!$A$2:$E$10,3,FALSE),0)=0,0,IF(IFERROR(COUNTIFS($C$2:C66,C67,$H$2:H66,1,$G$2:G66,"&gt;="&amp;(G67-15/1440)),0)&gt;0,0,1)))</f>
        <v>0</v>
      </c>
      <c r="I67" s="23" t="str">
        <f>IF(H67=1,C67&amp;"|"&amp;COUNTIFS($C$2:C67,C67,$H$2:H67,1),"")</f>
        <v/>
      </c>
      <c r="J67" s="23" t="str">
        <f>IF(D67="","",IF(A67="","Missing time",IF(D67="NO_SLOTS",IF(COUNTIF(PARTNERS!$A$2:$A$88,E67)=0,"Write the company in column E","OK"),IF(C67="","Missing phone",IF(COUNTIF(DESK!$F$2:$F$601,C67)=0,"Phone not found: copy it from your list",IF(AND(E67&lt;&gt;"",COUNTIFS(DESK!$F$2:$F$601,C67,DESK!$B$2:$B$601,E67)=0),"Company is not one of theirs","OK"))))))</f>
        <v>OK</v>
      </c>
    </row>
    <row r="68" spans="1:10" x14ac:dyDescent="0.35">
      <c r="A68" s="19">
        <v>46309.347794726702</v>
      </c>
      <c r="B68" s="20" t="s">
        <v>2127</v>
      </c>
      <c r="C68" s="21" t="s">
        <v>1851</v>
      </c>
      <c r="D68" s="20" t="s">
        <v>30</v>
      </c>
      <c r="E68" s="20" t="s">
        <v>291</v>
      </c>
      <c r="F68" s="20" t="s">
        <v>2128</v>
      </c>
      <c r="G68" s="22">
        <f>IF(A68="","",IF(A68&gt;=1,A68,IF(MAX($G$2:G67)=0,INT(SETTINGS!$B$4)+A68,INT(MAX($G$2:G67))+A68+IF(A68&lt;MOD(MAX($G$2:G67),1),1,0))))</f>
        <v>46309.347794726702</v>
      </c>
      <c r="H68" s="23">
        <f>IF(D68="","",IF(IFERROR(VLOOKUP(D68,LISTS!$A$2:$E$10,3,FALSE),0)=0,0,IF(IFERROR(COUNTIFS($C$2:C67,C68,$H$2:H67,1,$G$2:G67,"&gt;="&amp;(G68-15/1440)),0)&gt;0,0,1)))</f>
        <v>0</v>
      </c>
      <c r="I68" s="23" t="str">
        <f>IF(H68=1,C68&amp;"|"&amp;COUNTIFS($C$2:C68,C68,$H$2:H68,1),"")</f>
        <v/>
      </c>
      <c r="J68" s="23" t="str">
        <f>IF(D68="","",IF(A68="","Missing time",IF(D68="NO_SLOTS",IF(COUNTIF(PARTNERS!$A$2:$A$88,E68)=0,"Write the company in column E","OK"),IF(C68="","Missing phone",IF(COUNTIF(DESK!$F$2:$F$601,C68)=0,"Phone not found: copy it from your list",IF(AND(E68&lt;&gt;"",COUNTIFS(DESK!$F$2:$F$601,C68,DESK!$B$2:$B$601,E68)=0),"Company is not one of theirs","OK"))))))</f>
        <v>OK</v>
      </c>
    </row>
    <row r="69" spans="1:10" x14ac:dyDescent="0.35">
      <c r="A69" s="19">
        <v>46309.348021026977</v>
      </c>
      <c r="B69" s="20" t="s">
        <v>2127</v>
      </c>
      <c r="C69" s="21" t="s">
        <v>881</v>
      </c>
      <c r="D69" s="20" t="s">
        <v>30</v>
      </c>
      <c r="E69" s="20" t="s">
        <v>252</v>
      </c>
      <c r="F69" s="20" t="s">
        <v>2128</v>
      </c>
      <c r="G69" s="22">
        <f>IF(A69="","",IF(A69&gt;=1,A69,IF(MAX($G$2:G68)=0,INT(SETTINGS!$B$4)+A69,INT(MAX($G$2:G68))+A69+IF(A69&lt;MOD(MAX($G$2:G68),1),1,0))))</f>
        <v>46309.348021026977</v>
      </c>
      <c r="H69" s="23">
        <f>IF(D69="","",IF(IFERROR(VLOOKUP(D69,LISTS!$A$2:$E$10,3,FALSE),0)=0,0,IF(IFERROR(COUNTIFS($C$2:C68,C69,$H$2:H68,1,$G$2:G68,"&gt;="&amp;(G69-15/1440)),0)&gt;0,0,1)))</f>
        <v>0</v>
      </c>
      <c r="I69" s="23" t="str">
        <f>IF(H69=1,C69&amp;"|"&amp;COUNTIFS($C$2:C69,C69,$H$2:H69,1),"")</f>
        <v/>
      </c>
      <c r="J69" s="23" t="str">
        <f>IF(D69="","",IF(A69="","Missing time",IF(D69="NO_SLOTS",IF(COUNTIF(PARTNERS!$A$2:$A$88,E69)=0,"Write the company in column E","OK"),IF(C69="","Missing phone",IF(COUNTIF(DESK!$F$2:$F$601,C69)=0,"Phone not found: copy it from your list",IF(AND(E69&lt;&gt;"",COUNTIFS(DESK!$F$2:$F$601,C69,DESK!$B$2:$B$601,E69)=0),"Company is not one of theirs","OK"))))))</f>
        <v>OK</v>
      </c>
    </row>
    <row r="70" spans="1:10" x14ac:dyDescent="0.35">
      <c r="A70" s="19">
        <v>46309.355232294824</v>
      </c>
      <c r="B70" s="20" t="s">
        <v>2127</v>
      </c>
      <c r="C70" s="21" t="s">
        <v>1468</v>
      </c>
      <c r="D70" s="20" t="s">
        <v>30</v>
      </c>
      <c r="E70" s="20" t="s">
        <v>194</v>
      </c>
      <c r="F70" s="20" t="s">
        <v>2128</v>
      </c>
      <c r="G70" s="22">
        <f>IF(A70="","",IF(A70&gt;=1,A70,IF(MAX($G$2:G69)=0,INT(SETTINGS!$B$4)+A70,INT(MAX($G$2:G69))+A70+IF(A70&lt;MOD(MAX($G$2:G69),1),1,0))))</f>
        <v>46309.355232294824</v>
      </c>
      <c r="H70" s="23">
        <f>IF(D70="","",IF(IFERROR(VLOOKUP(D70,LISTS!$A$2:$E$10,3,FALSE),0)=0,0,IF(IFERROR(COUNTIFS($C$2:C69,C70,$H$2:H69,1,$G$2:G69,"&gt;="&amp;(G70-15/1440)),0)&gt;0,0,1)))</f>
        <v>0</v>
      </c>
      <c r="I70" s="23" t="str">
        <f>IF(H70=1,C70&amp;"|"&amp;COUNTIFS($C$2:C70,C70,$H$2:H70,1),"")</f>
        <v/>
      </c>
      <c r="J70" s="23" t="str">
        <f>IF(D70="","",IF(A70="","Missing time",IF(D70="NO_SLOTS",IF(COUNTIF(PARTNERS!$A$2:$A$88,E70)=0,"Write the company in column E","OK"),IF(C70="","Missing phone",IF(COUNTIF(DESK!$F$2:$F$601,C70)=0,"Phone not found: copy it from your list",IF(AND(E70&lt;&gt;"",COUNTIFS(DESK!$F$2:$F$601,C70,DESK!$B$2:$B$601,E70)=0),"Company is not one of theirs","OK"))))))</f>
        <v>OK</v>
      </c>
    </row>
    <row r="71" spans="1:10" x14ac:dyDescent="0.35">
      <c r="A71" s="19">
        <v>46309.355401448207</v>
      </c>
      <c r="B71" s="20" t="s">
        <v>2127</v>
      </c>
      <c r="C71" s="21" t="s">
        <v>622</v>
      </c>
      <c r="D71" s="20" t="s">
        <v>30</v>
      </c>
      <c r="E71" s="20" t="s">
        <v>345</v>
      </c>
      <c r="F71" s="20" t="s">
        <v>2128</v>
      </c>
      <c r="G71" s="22">
        <f>IF(A71="","",IF(A71&gt;=1,A71,IF(MAX($G$2:G70)=0,INT(SETTINGS!$B$4)+A71,INT(MAX($G$2:G70))+A71+IF(A71&lt;MOD(MAX($G$2:G70),1),1,0))))</f>
        <v>46309.355401448207</v>
      </c>
      <c r="H71" s="23">
        <f>IF(D71="","",IF(IFERROR(VLOOKUP(D71,LISTS!$A$2:$E$10,3,FALSE),0)=0,0,IF(IFERROR(COUNTIFS($C$2:C70,C71,$H$2:H70,1,$G$2:G70,"&gt;="&amp;(G71-15/1440)),0)&gt;0,0,1)))</f>
        <v>0</v>
      </c>
      <c r="I71" s="23" t="str">
        <f>IF(H71=1,C71&amp;"|"&amp;COUNTIFS($C$2:C71,C71,$H$2:H71,1),"")</f>
        <v/>
      </c>
      <c r="J71" s="23" t="str">
        <f>IF(D71="","",IF(A71="","Missing time",IF(D71="NO_SLOTS",IF(COUNTIF(PARTNERS!$A$2:$A$88,E71)=0,"Write the company in column E","OK"),IF(C71="","Missing phone",IF(COUNTIF(DESK!$F$2:$F$601,C71)=0,"Phone not found: copy it from your list",IF(AND(E71&lt;&gt;"",COUNTIFS(DESK!$F$2:$F$601,C71,DESK!$B$2:$B$601,E71)=0),"Company is not one of theirs","OK"))))))</f>
        <v>OK</v>
      </c>
    </row>
    <row r="72" spans="1:10" x14ac:dyDescent="0.35">
      <c r="A72" s="19">
        <v>46309.367541644446</v>
      </c>
      <c r="B72" s="20" t="s">
        <v>2127</v>
      </c>
      <c r="C72" s="21" t="s">
        <v>1055</v>
      </c>
      <c r="D72" s="20" t="s">
        <v>30</v>
      </c>
      <c r="E72" s="20" t="s">
        <v>197</v>
      </c>
      <c r="F72" s="20" t="s">
        <v>2128</v>
      </c>
      <c r="G72" s="22">
        <f>IF(A72="","",IF(A72&gt;=1,A72,IF(MAX($G$2:G71)=0,INT(SETTINGS!$B$4)+A72,INT(MAX($G$2:G71))+A72+IF(A72&lt;MOD(MAX($G$2:G71),1),1,0))))</f>
        <v>46309.367541644446</v>
      </c>
      <c r="H72" s="23">
        <f>IF(D72="","",IF(IFERROR(VLOOKUP(D72,LISTS!$A$2:$E$10,3,FALSE),0)=0,0,IF(IFERROR(COUNTIFS($C$2:C71,C72,$H$2:H71,1,$G$2:G71,"&gt;="&amp;(G72-15/1440)),0)&gt;0,0,1)))</f>
        <v>0</v>
      </c>
      <c r="I72" s="23" t="str">
        <f>IF(H72=1,C72&amp;"|"&amp;COUNTIFS($C$2:C72,C72,$H$2:H72,1),"")</f>
        <v/>
      </c>
      <c r="J72" s="23" t="str">
        <f>IF(D72="","",IF(A72="","Missing time",IF(D72="NO_SLOTS",IF(COUNTIF(PARTNERS!$A$2:$A$88,E72)=0,"Write the company in column E","OK"),IF(C72="","Missing phone",IF(COUNTIF(DESK!$F$2:$F$601,C72)=0,"Phone not found: copy it from your list",IF(AND(E72&lt;&gt;"",COUNTIFS(DESK!$F$2:$F$601,C72,DESK!$B$2:$B$601,E72)=0),"Company is not one of theirs","OK"))))))</f>
        <v>OK</v>
      </c>
    </row>
    <row r="73" spans="1:10" x14ac:dyDescent="0.35">
      <c r="A73" s="19">
        <v>46309.368572616877</v>
      </c>
      <c r="B73" s="20" t="s">
        <v>2127</v>
      </c>
      <c r="C73" s="21" t="s">
        <v>1128</v>
      </c>
      <c r="D73" s="20" t="s">
        <v>30</v>
      </c>
      <c r="E73" s="20" t="s">
        <v>231</v>
      </c>
      <c r="F73" s="20" t="s">
        <v>2128</v>
      </c>
      <c r="G73" s="22">
        <f>IF(A73="","",IF(A73&gt;=1,A73,IF(MAX($G$2:G72)=0,INT(SETTINGS!$B$4)+A73,INT(MAX($G$2:G72))+A73+IF(A73&lt;MOD(MAX($G$2:G72),1),1,0))))</f>
        <v>46309.368572616877</v>
      </c>
      <c r="H73" s="23">
        <f>IF(D73="","",IF(IFERROR(VLOOKUP(D73,LISTS!$A$2:$E$10,3,FALSE),0)=0,0,IF(IFERROR(COUNTIFS($C$2:C72,C73,$H$2:H72,1,$G$2:G72,"&gt;="&amp;(G73-15/1440)),0)&gt;0,0,1)))</f>
        <v>0</v>
      </c>
      <c r="I73" s="23" t="str">
        <f>IF(H73=1,C73&amp;"|"&amp;COUNTIFS($C$2:C73,C73,$H$2:H73,1),"")</f>
        <v/>
      </c>
      <c r="J73" s="23" t="str">
        <f>IF(D73="","",IF(A73="","Missing time",IF(D73="NO_SLOTS",IF(COUNTIF(PARTNERS!$A$2:$A$88,E73)=0,"Write the company in column E","OK"),IF(C73="","Missing phone",IF(COUNTIF(DESK!$F$2:$F$601,C73)=0,"Phone not found: copy it from your list",IF(AND(E73&lt;&gt;"",COUNTIFS(DESK!$F$2:$F$601,C73,DESK!$B$2:$B$601,E73)=0),"Company is not one of theirs","OK"))))))</f>
        <v>OK</v>
      </c>
    </row>
    <row r="74" spans="1:10" x14ac:dyDescent="0.35">
      <c r="A74" s="19">
        <v>46309.36930789789</v>
      </c>
      <c r="B74" s="20" t="s">
        <v>2127</v>
      </c>
      <c r="C74" s="21" t="s">
        <v>959</v>
      </c>
      <c r="D74" s="20" t="s">
        <v>30</v>
      </c>
      <c r="E74" s="20" t="s">
        <v>201</v>
      </c>
      <c r="F74" s="20" t="s">
        <v>2128</v>
      </c>
      <c r="G74" s="22">
        <f>IF(A74="","",IF(A74&gt;=1,A74,IF(MAX($G$2:G73)=0,INT(SETTINGS!$B$4)+A74,INT(MAX($G$2:G73))+A74+IF(A74&lt;MOD(MAX($G$2:G73),1),1,0))))</f>
        <v>46309.36930789789</v>
      </c>
      <c r="H74" s="23">
        <f>IF(D74="","",IF(IFERROR(VLOOKUP(D74,LISTS!$A$2:$E$10,3,FALSE),0)=0,0,IF(IFERROR(COUNTIFS($C$2:C73,C74,$H$2:H73,1,$G$2:G73,"&gt;="&amp;(G74-15/1440)),0)&gt;0,0,1)))</f>
        <v>0</v>
      </c>
      <c r="I74" s="23" t="str">
        <f>IF(H74=1,C74&amp;"|"&amp;COUNTIFS($C$2:C74,C74,$H$2:H74,1),"")</f>
        <v/>
      </c>
      <c r="J74" s="23" t="str">
        <f>IF(D74="","",IF(A74="","Missing time",IF(D74="NO_SLOTS",IF(COUNTIF(PARTNERS!$A$2:$A$88,E74)=0,"Write the company in column E","OK"),IF(C74="","Missing phone",IF(COUNTIF(DESK!$F$2:$F$601,C74)=0,"Phone not found: copy it from your list",IF(AND(E74&lt;&gt;"",COUNTIFS(DESK!$F$2:$F$601,C74,DESK!$B$2:$B$601,E74)=0),"Company is not one of theirs","OK"))))))</f>
        <v>OK</v>
      </c>
    </row>
    <row r="75" spans="1:10" x14ac:dyDescent="0.35">
      <c r="A75" s="19">
        <v>46309.371788765544</v>
      </c>
      <c r="B75" s="20" t="s">
        <v>2127</v>
      </c>
      <c r="C75" s="21" t="s">
        <v>1717</v>
      </c>
      <c r="D75" s="20" t="s">
        <v>30</v>
      </c>
      <c r="E75" s="20" t="s">
        <v>194</v>
      </c>
      <c r="F75" s="20" t="s">
        <v>2128</v>
      </c>
      <c r="G75" s="22">
        <f>IF(A75="","",IF(A75&gt;=1,A75,IF(MAX($G$2:G74)=0,INT(SETTINGS!$B$4)+A75,INT(MAX($G$2:G74))+A75+IF(A75&lt;MOD(MAX($G$2:G74),1),1,0))))</f>
        <v>46309.371788765544</v>
      </c>
      <c r="H75" s="23">
        <f>IF(D75="","",IF(IFERROR(VLOOKUP(D75,LISTS!$A$2:$E$10,3,FALSE),0)=0,0,IF(IFERROR(COUNTIFS($C$2:C74,C75,$H$2:H74,1,$G$2:G74,"&gt;="&amp;(G75-15/1440)),0)&gt;0,0,1)))</f>
        <v>0</v>
      </c>
      <c r="I75" s="23" t="str">
        <f>IF(H75=1,C75&amp;"|"&amp;COUNTIFS($C$2:C75,C75,$H$2:H75,1),"")</f>
        <v/>
      </c>
      <c r="J75" s="23" t="str">
        <f>IF(D75="","",IF(A75="","Missing time",IF(D75="NO_SLOTS",IF(COUNTIF(PARTNERS!$A$2:$A$88,E75)=0,"Write the company in column E","OK"),IF(C75="","Missing phone",IF(COUNTIF(DESK!$F$2:$F$601,C75)=0,"Phone not found: copy it from your list",IF(AND(E75&lt;&gt;"",COUNTIFS(DESK!$F$2:$F$601,C75,DESK!$B$2:$B$601,E75)=0),"Company is not one of theirs","OK"))))))</f>
        <v>OK</v>
      </c>
    </row>
    <row r="76" spans="1:10" x14ac:dyDescent="0.35">
      <c r="A76" s="19">
        <v>46309.374379519068</v>
      </c>
      <c r="B76" s="20" t="s">
        <v>2127</v>
      </c>
      <c r="C76" s="21" t="s">
        <v>1061</v>
      </c>
      <c r="D76" s="20" t="s">
        <v>30</v>
      </c>
      <c r="E76" s="20" t="s">
        <v>213</v>
      </c>
      <c r="F76" s="20" t="s">
        <v>2128</v>
      </c>
      <c r="G76" s="22">
        <f>IF(A76="","",IF(A76&gt;=1,A76,IF(MAX($G$2:G75)=0,INT(SETTINGS!$B$4)+A76,INT(MAX($G$2:G75))+A76+IF(A76&lt;MOD(MAX($G$2:G75),1),1,0))))</f>
        <v>46309.374379519068</v>
      </c>
      <c r="H76" s="23">
        <f>IF(D76="","",IF(IFERROR(VLOOKUP(D76,LISTS!$A$2:$E$10,3,FALSE),0)=0,0,IF(IFERROR(COUNTIFS($C$2:C75,C76,$H$2:H75,1,$G$2:G75,"&gt;="&amp;(G76-15/1440)),0)&gt;0,0,1)))</f>
        <v>0</v>
      </c>
      <c r="I76" s="23" t="str">
        <f>IF(H76=1,C76&amp;"|"&amp;COUNTIFS($C$2:C76,C76,$H$2:H76,1),"")</f>
        <v/>
      </c>
      <c r="J76" s="23" t="str">
        <f>IF(D76="","",IF(A76="","Missing time",IF(D76="NO_SLOTS",IF(COUNTIF(PARTNERS!$A$2:$A$88,E76)=0,"Write the company in column E","OK"),IF(C76="","Missing phone",IF(COUNTIF(DESK!$F$2:$F$601,C76)=0,"Phone not found: copy it from your list",IF(AND(E76&lt;&gt;"",COUNTIFS(DESK!$F$2:$F$601,C76,DESK!$B$2:$B$601,E76)=0),"Company is not one of theirs","OK"))))))</f>
        <v>OK</v>
      </c>
    </row>
    <row r="77" spans="1:10" x14ac:dyDescent="0.35">
      <c r="A77" s="19">
        <v>46309.374644547672</v>
      </c>
      <c r="B77" s="20" t="s">
        <v>2127</v>
      </c>
      <c r="C77" s="21" t="s">
        <v>595</v>
      </c>
      <c r="D77" s="20" t="s">
        <v>30</v>
      </c>
      <c r="E77" s="20" t="s">
        <v>366</v>
      </c>
      <c r="F77" s="20" t="s">
        <v>2128</v>
      </c>
      <c r="G77" s="22">
        <f>IF(A77="","",IF(A77&gt;=1,A77,IF(MAX($G$2:G76)=0,INT(SETTINGS!$B$4)+A77,INT(MAX($G$2:G76))+A77+IF(A77&lt;MOD(MAX($G$2:G76),1),1,0))))</f>
        <v>46309.374644547672</v>
      </c>
      <c r="H77" s="23">
        <f>IF(D77="","",IF(IFERROR(VLOOKUP(D77,LISTS!$A$2:$E$10,3,FALSE),0)=0,0,IF(IFERROR(COUNTIFS($C$2:C76,C77,$H$2:H76,1,$G$2:G76,"&gt;="&amp;(G77-15/1440)),0)&gt;0,0,1)))</f>
        <v>0</v>
      </c>
      <c r="I77" s="23" t="str">
        <f>IF(H77=1,C77&amp;"|"&amp;COUNTIFS($C$2:C77,C77,$H$2:H77,1),"")</f>
        <v/>
      </c>
      <c r="J77" s="23" t="str">
        <f>IF(D77="","",IF(A77="","Missing time",IF(D77="NO_SLOTS",IF(COUNTIF(PARTNERS!$A$2:$A$88,E77)=0,"Write the company in column E","OK"),IF(C77="","Missing phone",IF(COUNTIF(DESK!$F$2:$F$601,C77)=0,"Phone not found: copy it from your list",IF(AND(E77&lt;&gt;"",COUNTIFS(DESK!$F$2:$F$601,C77,DESK!$B$2:$B$601,E77)=0),"Company is not one of theirs","OK"))))))</f>
        <v>OK</v>
      </c>
    </row>
    <row r="78" spans="1:10" x14ac:dyDescent="0.35">
      <c r="A78" s="19">
        <v>46309.376967033138</v>
      </c>
      <c r="B78" s="20" t="s">
        <v>2127</v>
      </c>
      <c r="C78" s="21" t="s">
        <v>1012</v>
      </c>
      <c r="D78" s="20" t="s">
        <v>30</v>
      </c>
      <c r="E78" s="20" t="s">
        <v>194</v>
      </c>
      <c r="F78" s="20" t="s">
        <v>2128</v>
      </c>
      <c r="G78" s="22">
        <f>IF(A78="","",IF(A78&gt;=1,A78,IF(MAX($G$2:G77)=0,INT(SETTINGS!$B$4)+A78,INT(MAX($G$2:G77))+A78+IF(A78&lt;MOD(MAX($G$2:G77),1),1,0))))</f>
        <v>46309.376967033138</v>
      </c>
      <c r="H78" s="23">
        <f>IF(D78="","",IF(IFERROR(VLOOKUP(D78,LISTS!$A$2:$E$10,3,FALSE),0)=0,0,IF(IFERROR(COUNTIFS($C$2:C77,C78,$H$2:H77,1,$G$2:G77,"&gt;="&amp;(G78-15/1440)),0)&gt;0,0,1)))</f>
        <v>0</v>
      </c>
      <c r="I78" s="23" t="str">
        <f>IF(H78=1,C78&amp;"|"&amp;COUNTIFS($C$2:C78,C78,$H$2:H78,1),"")</f>
        <v/>
      </c>
      <c r="J78" s="23" t="str">
        <f>IF(D78="","",IF(A78="","Missing time",IF(D78="NO_SLOTS",IF(COUNTIF(PARTNERS!$A$2:$A$88,E78)=0,"Write the company in column E","OK"),IF(C78="","Missing phone",IF(COUNTIF(DESK!$F$2:$F$601,C78)=0,"Phone not found: copy it from your list",IF(AND(E78&lt;&gt;"",COUNTIFS(DESK!$F$2:$F$601,C78,DESK!$B$2:$B$601,E78)=0),"Company is not one of theirs","OK"))))))</f>
        <v>OK</v>
      </c>
    </row>
    <row r="79" spans="1:10" x14ac:dyDescent="0.35">
      <c r="A79" s="19">
        <v>46309.386283475993</v>
      </c>
      <c r="B79" s="20" t="s">
        <v>2127</v>
      </c>
      <c r="C79" s="21" t="s">
        <v>512</v>
      </c>
      <c r="D79" s="20" t="s">
        <v>30</v>
      </c>
      <c r="E79" s="20" t="s">
        <v>189</v>
      </c>
      <c r="F79" s="20" t="s">
        <v>2128</v>
      </c>
      <c r="G79" s="22">
        <f>IF(A79="","",IF(A79&gt;=1,A79,IF(MAX($G$2:G78)=0,INT(SETTINGS!$B$4)+A79,INT(MAX($G$2:G78))+A79+IF(A79&lt;MOD(MAX($G$2:G78),1),1,0))))</f>
        <v>46309.386283475993</v>
      </c>
      <c r="H79" s="23">
        <f>IF(D79="","",IF(IFERROR(VLOOKUP(D79,LISTS!$A$2:$E$10,3,FALSE),0)=0,0,IF(IFERROR(COUNTIFS($C$2:C78,C79,$H$2:H78,1,$G$2:G78,"&gt;="&amp;(G79-15/1440)),0)&gt;0,0,1)))</f>
        <v>0</v>
      </c>
      <c r="I79" s="23" t="str">
        <f>IF(H79=1,C79&amp;"|"&amp;COUNTIFS($C$2:C79,C79,$H$2:H79,1),"")</f>
        <v/>
      </c>
      <c r="J79" s="23" t="str">
        <f>IF(D79="","",IF(A79="","Missing time",IF(D79="NO_SLOTS",IF(COUNTIF(PARTNERS!$A$2:$A$88,E79)=0,"Write the company in column E","OK"),IF(C79="","Missing phone",IF(COUNTIF(DESK!$F$2:$F$601,C79)=0,"Phone not found: copy it from your list",IF(AND(E79&lt;&gt;"",COUNTIFS(DESK!$F$2:$F$601,C79,DESK!$B$2:$B$601,E79)=0),"Company is not one of theirs","OK"))))))</f>
        <v>OK</v>
      </c>
    </row>
    <row r="80" spans="1:10" x14ac:dyDescent="0.35">
      <c r="A80" s="19">
        <v>46309.388954054411</v>
      </c>
      <c r="B80" s="20" t="s">
        <v>2127</v>
      </c>
      <c r="C80" s="21" t="s">
        <v>1358</v>
      </c>
      <c r="D80" s="20" t="s">
        <v>30</v>
      </c>
      <c r="E80" s="20" t="s">
        <v>189</v>
      </c>
      <c r="F80" s="20" t="s">
        <v>2128</v>
      </c>
      <c r="G80" s="22">
        <f>IF(A80="","",IF(A80&gt;=1,A80,IF(MAX($G$2:G79)=0,INT(SETTINGS!$B$4)+A80,INT(MAX($G$2:G79))+A80+IF(A80&lt;MOD(MAX($G$2:G79),1),1,0))))</f>
        <v>46309.388954054411</v>
      </c>
      <c r="H80" s="23">
        <f>IF(D80="","",IF(IFERROR(VLOOKUP(D80,LISTS!$A$2:$E$10,3,FALSE),0)=0,0,IF(IFERROR(COUNTIFS($C$2:C79,C80,$H$2:H79,1,$G$2:G79,"&gt;="&amp;(G80-15/1440)),0)&gt;0,0,1)))</f>
        <v>0</v>
      </c>
      <c r="I80" s="23" t="str">
        <f>IF(H80=1,C80&amp;"|"&amp;COUNTIFS($C$2:C80,C80,$H$2:H80,1),"")</f>
        <v/>
      </c>
      <c r="J80" s="23" t="str">
        <f>IF(D80="","",IF(A80="","Missing time",IF(D80="NO_SLOTS",IF(COUNTIF(PARTNERS!$A$2:$A$88,E80)=0,"Write the company in column E","OK"),IF(C80="","Missing phone",IF(COUNTIF(DESK!$F$2:$F$601,C80)=0,"Phone not found: copy it from your list",IF(AND(E80&lt;&gt;"",COUNTIFS(DESK!$F$2:$F$601,C80,DESK!$B$2:$B$601,E80)=0),"Company is not one of theirs","OK"))))))</f>
        <v>OK</v>
      </c>
    </row>
    <row r="81" spans="1:10" x14ac:dyDescent="0.35">
      <c r="A81" s="19">
        <v>46309.390723859731</v>
      </c>
      <c r="B81" s="20" t="s">
        <v>2127</v>
      </c>
      <c r="C81" s="21" t="s">
        <v>1900</v>
      </c>
      <c r="D81" s="20" t="s">
        <v>30</v>
      </c>
      <c r="E81" s="20" t="s">
        <v>327</v>
      </c>
      <c r="F81" s="20" t="s">
        <v>2128</v>
      </c>
      <c r="G81" s="22">
        <f>IF(A81="","",IF(A81&gt;=1,A81,IF(MAX($G$2:G80)=0,INT(SETTINGS!$B$4)+A81,INT(MAX($G$2:G80))+A81+IF(A81&lt;MOD(MAX($G$2:G80),1),1,0))))</f>
        <v>46309.390723859731</v>
      </c>
      <c r="H81" s="23">
        <f>IF(D81="","",IF(IFERROR(VLOOKUP(D81,LISTS!$A$2:$E$10,3,FALSE),0)=0,0,IF(IFERROR(COUNTIFS($C$2:C80,C81,$H$2:H80,1,$G$2:G80,"&gt;="&amp;(G81-15/1440)),0)&gt;0,0,1)))</f>
        <v>0</v>
      </c>
      <c r="I81" s="23" t="str">
        <f>IF(H81=1,C81&amp;"|"&amp;COUNTIFS($C$2:C81,C81,$H$2:H81,1),"")</f>
        <v/>
      </c>
      <c r="J81" s="23" t="str">
        <f>IF(D81="","",IF(A81="","Missing time",IF(D81="NO_SLOTS",IF(COUNTIF(PARTNERS!$A$2:$A$88,E81)=0,"Write the company in column E","OK"),IF(C81="","Missing phone",IF(COUNTIF(DESK!$F$2:$F$601,C81)=0,"Phone not found: copy it from your list",IF(AND(E81&lt;&gt;"",COUNTIFS(DESK!$F$2:$F$601,C81,DESK!$B$2:$B$601,E81)=0),"Company is not one of theirs","OK"))))))</f>
        <v>OK</v>
      </c>
    </row>
    <row r="82" spans="1:10" x14ac:dyDescent="0.35">
      <c r="A82" s="19">
        <v>46309.395406428441</v>
      </c>
      <c r="B82" s="20" t="s">
        <v>2127</v>
      </c>
      <c r="C82" s="21" t="s">
        <v>817</v>
      </c>
      <c r="D82" s="20" t="s">
        <v>30</v>
      </c>
      <c r="E82" s="20" t="s">
        <v>201</v>
      </c>
      <c r="F82" s="20" t="s">
        <v>2128</v>
      </c>
      <c r="G82" s="22">
        <f>IF(A82="","",IF(A82&gt;=1,A82,IF(MAX($G$2:G81)=0,INT(SETTINGS!$B$4)+A82,INT(MAX($G$2:G81))+A82+IF(A82&lt;MOD(MAX($G$2:G81),1),1,0))))</f>
        <v>46309.395406428441</v>
      </c>
      <c r="H82" s="23">
        <f>IF(D82="","",IF(IFERROR(VLOOKUP(D82,LISTS!$A$2:$E$10,3,FALSE),0)=0,0,IF(IFERROR(COUNTIFS($C$2:C81,C82,$H$2:H81,1,$G$2:G81,"&gt;="&amp;(G82-15/1440)),0)&gt;0,0,1)))</f>
        <v>0</v>
      </c>
      <c r="I82" s="23" t="str">
        <f>IF(H82=1,C82&amp;"|"&amp;COUNTIFS($C$2:C82,C82,$H$2:H82,1),"")</f>
        <v/>
      </c>
      <c r="J82" s="23" t="str">
        <f>IF(D82="","",IF(A82="","Missing time",IF(D82="NO_SLOTS",IF(COUNTIF(PARTNERS!$A$2:$A$88,E82)=0,"Write the company in column E","OK"),IF(C82="","Missing phone",IF(COUNTIF(DESK!$F$2:$F$601,C82)=0,"Phone not found: copy it from your list",IF(AND(E82&lt;&gt;"",COUNTIFS(DESK!$F$2:$F$601,C82,DESK!$B$2:$B$601,E82)=0),"Company is not one of theirs","OK"))))))</f>
        <v>OK</v>
      </c>
    </row>
    <row r="83" spans="1:10" x14ac:dyDescent="0.35">
      <c r="A83" s="19">
        <v>46309.396633832002</v>
      </c>
      <c r="B83" s="20" t="s">
        <v>2127</v>
      </c>
      <c r="C83" s="21" t="s">
        <v>1554</v>
      </c>
      <c r="D83" s="20" t="s">
        <v>30</v>
      </c>
      <c r="E83" s="20" t="s">
        <v>207</v>
      </c>
      <c r="F83" s="20" t="s">
        <v>2128</v>
      </c>
      <c r="G83" s="22">
        <f>IF(A83="","",IF(A83&gt;=1,A83,IF(MAX($G$2:G82)=0,INT(SETTINGS!$B$4)+A83,INT(MAX($G$2:G82))+A83+IF(A83&lt;MOD(MAX($G$2:G82),1),1,0))))</f>
        <v>46309.396633832002</v>
      </c>
      <c r="H83" s="23">
        <f>IF(D83="","",IF(IFERROR(VLOOKUP(D83,LISTS!$A$2:$E$10,3,FALSE),0)=0,0,IF(IFERROR(COUNTIFS($C$2:C82,C83,$H$2:H82,1,$G$2:G82,"&gt;="&amp;(G83-15/1440)),0)&gt;0,0,1)))</f>
        <v>0</v>
      </c>
      <c r="I83" s="23" t="str">
        <f>IF(H83=1,C83&amp;"|"&amp;COUNTIFS($C$2:C83,C83,$H$2:H83,1),"")</f>
        <v/>
      </c>
      <c r="J83" s="23" t="str">
        <f>IF(D83="","",IF(A83="","Missing time",IF(D83="NO_SLOTS",IF(COUNTIF(PARTNERS!$A$2:$A$88,E83)=0,"Write the company in column E","OK"),IF(C83="","Missing phone",IF(COUNTIF(DESK!$F$2:$F$601,C83)=0,"Phone not found: copy it from your list",IF(AND(E83&lt;&gt;"",COUNTIFS(DESK!$F$2:$F$601,C83,DESK!$B$2:$B$601,E83)=0),"Company is not one of theirs","OK"))))))</f>
        <v>OK</v>
      </c>
    </row>
    <row r="84" spans="1:10" x14ac:dyDescent="0.35">
      <c r="A84" s="19">
        <v>46309.39872595507</v>
      </c>
      <c r="B84" s="20" t="s">
        <v>2127</v>
      </c>
      <c r="C84" s="21" t="s">
        <v>775</v>
      </c>
      <c r="D84" s="20" t="s">
        <v>30</v>
      </c>
      <c r="E84" s="20" t="s">
        <v>189</v>
      </c>
      <c r="F84" s="20" t="s">
        <v>2128</v>
      </c>
      <c r="G84" s="22">
        <f>IF(A84="","",IF(A84&gt;=1,A84,IF(MAX($G$2:G83)=0,INT(SETTINGS!$B$4)+A84,INT(MAX($G$2:G83))+A84+IF(A84&lt;MOD(MAX($G$2:G83),1),1,0))))</f>
        <v>46309.39872595507</v>
      </c>
      <c r="H84" s="23">
        <f>IF(D84="","",IF(IFERROR(VLOOKUP(D84,LISTS!$A$2:$E$10,3,FALSE),0)=0,0,IF(IFERROR(COUNTIFS($C$2:C83,C84,$H$2:H83,1,$G$2:G83,"&gt;="&amp;(G84-15/1440)),0)&gt;0,0,1)))</f>
        <v>0</v>
      </c>
      <c r="I84" s="23" t="str">
        <f>IF(H84=1,C84&amp;"|"&amp;COUNTIFS($C$2:C84,C84,$H$2:H84,1),"")</f>
        <v/>
      </c>
      <c r="J84" s="23" t="str">
        <f>IF(D84="","",IF(A84="","Missing time",IF(D84="NO_SLOTS",IF(COUNTIF(PARTNERS!$A$2:$A$88,E84)=0,"Write the company in column E","OK"),IF(C84="","Missing phone",IF(COUNTIF(DESK!$F$2:$F$601,C84)=0,"Phone not found: copy it from your list",IF(AND(E84&lt;&gt;"",COUNTIFS(DESK!$F$2:$F$601,C84,DESK!$B$2:$B$601,E84)=0),"Company is not one of theirs","OK"))))))</f>
        <v>OK</v>
      </c>
    </row>
    <row r="85" spans="1:10" x14ac:dyDescent="0.35">
      <c r="A85" s="19">
        <v>46309.399036588584</v>
      </c>
      <c r="B85" s="20" t="s">
        <v>2127</v>
      </c>
      <c r="C85" s="21" t="s">
        <v>1610</v>
      </c>
      <c r="D85" s="20" t="s">
        <v>30</v>
      </c>
      <c r="E85" s="20" t="s">
        <v>201</v>
      </c>
      <c r="F85" s="20" t="s">
        <v>2128</v>
      </c>
      <c r="G85" s="22">
        <f>IF(A85="","",IF(A85&gt;=1,A85,IF(MAX($G$2:G84)=0,INT(SETTINGS!$B$4)+A85,INT(MAX($G$2:G84))+A85+IF(A85&lt;MOD(MAX($G$2:G84),1),1,0))))</f>
        <v>46309.399036588584</v>
      </c>
      <c r="H85" s="23">
        <f>IF(D85="","",IF(IFERROR(VLOOKUP(D85,LISTS!$A$2:$E$10,3,FALSE),0)=0,0,IF(IFERROR(COUNTIFS($C$2:C84,C85,$H$2:H84,1,$G$2:G84,"&gt;="&amp;(G85-15/1440)),0)&gt;0,0,1)))</f>
        <v>0</v>
      </c>
      <c r="I85" s="23" t="str">
        <f>IF(H85=1,C85&amp;"|"&amp;COUNTIFS($C$2:C85,C85,$H$2:H85,1),"")</f>
        <v/>
      </c>
      <c r="J85" s="23" t="str">
        <f>IF(D85="","",IF(A85="","Missing time",IF(D85="NO_SLOTS",IF(COUNTIF(PARTNERS!$A$2:$A$88,E85)=0,"Write the company in column E","OK"),IF(C85="","Missing phone",IF(COUNTIF(DESK!$F$2:$F$601,C85)=0,"Phone not found: copy it from your list",IF(AND(E85&lt;&gt;"",COUNTIFS(DESK!$F$2:$F$601,C85,DESK!$B$2:$B$601,E85)=0),"Company is not one of theirs","OK"))))))</f>
        <v>OK</v>
      </c>
    </row>
    <row r="86" spans="1:10" x14ac:dyDescent="0.35">
      <c r="A86" s="19">
        <v>46309.400877989472</v>
      </c>
      <c r="B86" s="20" t="s">
        <v>2127</v>
      </c>
      <c r="C86" s="21" t="s">
        <v>959</v>
      </c>
      <c r="D86" s="20" t="s">
        <v>30</v>
      </c>
      <c r="E86" s="20" t="s">
        <v>189</v>
      </c>
      <c r="F86" s="20" t="s">
        <v>2128</v>
      </c>
      <c r="G86" s="22">
        <f>IF(A86="","",IF(A86&gt;=1,A86,IF(MAX($G$2:G85)=0,INT(SETTINGS!$B$4)+A86,INT(MAX($G$2:G85))+A86+IF(A86&lt;MOD(MAX($G$2:G85),1),1,0))))</f>
        <v>46309.400877989472</v>
      </c>
      <c r="H86" s="23">
        <f>IF(D86="","",IF(IFERROR(VLOOKUP(D86,LISTS!$A$2:$E$10,3,FALSE),0)=0,0,IF(IFERROR(COUNTIFS($C$2:C85,C86,$H$2:H85,1,$G$2:G85,"&gt;="&amp;(G86-15/1440)),0)&gt;0,0,1)))</f>
        <v>0</v>
      </c>
      <c r="I86" s="23" t="str">
        <f>IF(H86=1,C86&amp;"|"&amp;COUNTIFS($C$2:C86,C86,$H$2:H86,1),"")</f>
        <v/>
      </c>
      <c r="J86" s="23" t="str">
        <f>IF(D86="","",IF(A86="","Missing time",IF(D86="NO_SLOTS",IF(COUNTIF(PARTNERS!$A$2:$A$88,E86)=0,"Write the company in column E","OK"),IF(C86="","Missing phone",IF(COUNTIF(DESK!$F$2:$F$601,C86)=0,"Phone not found: copy it from your list",IF(AND(E86&lt;&gt;"",COUNTIFS(DESK!$F$2:$F$601,C86,DESK!$B$2:$B$601,E86)=0),"Company is not one of theirs","OK"))))))</f>
        <v>OK</v>
      </c>
    </row>
    <row r="87" spans="1:10" x14ac:dyDescent="0.35">
      <c r="A87" s="19">
        <v>46309.403956548798</v>
      </c>
      <c r="B87" s="20" t="s">
        <v>2127</v>
      </c>
      <c r="C87" s="21" t="s">
        <v>647</v>
      </c>
      <c r="D87" s="20" t="s">
        <v>30</v>
      </c>
      <c r="E87" s="20" t="s">
        <v>189</v>
      </c>
      <c r="F87" s="20" t="s">
        <v>2128</v>
      </c>
      <c r="G87" s="22">
        <f>IF(A87="","",IF(A87&gt;=1,A87,IF(MAX($G$2:G86)=0,INT(SETTINGS!$B$4)+A87,INT(MAX($G$2:G86))+A87+IF(A87&lt;MOD(MAX($G$2:G86),1),1,0))))</f>
        <v>46309.403956548798</v>
      </c>
      <c r="H87" s="23">
        <f>IF(D87="","",IF(IFERROR(VLOOKUP(D87,LISTS!$A$2:$E$10,3,FALSE),0)=0,0,IF(IFERROR(COUNTIFS($C$2:C86,C87,$H$2:H86,1,$G$2:G86,"&gt;="&amp;(G87-15/1440)),0)&gt;0,0,1)))</f>
        <v>0</v>
      </c>
      <c r="I87" s="23" t="str">
        <f>IF(H87=1,C87&amp;"|"&amp;COUNTIFS($C$2:C87,C87,$H$2:H87,1),"")</f>
        <v/>
      </c>
      <c r="J87" s="23" t="str">
        <f>IF(D87="","",IF(A87="","Missing time",IF(D87="NO_SLOTS",IF(COUNTIF(PARTNERS!$A$2:$A$88,E87)=0,"Write the company in column E","OK"),IF(C87="","Missing phone",IF(COUNTIF(DESK!$F$2:$F$601,C87)=0,"Phone not found: copy it from your list",IF(AND(E87&lt;&gt;"",COUNTIFS(DESK!$F$2:$F$601,C87,DESK!$B$2:$B$601,E87)=0),"Company is not one of theirs","OK"))))))</f>
        <v>OK</v>
      </c>
    </row>
    <row r="88" spans="1:10" x14ac:dyDescent="0.35">
      <c r="A88" s="19">
        <v>46309.406357890221</v>
      </c>
      <c r="B88" s="20" t="s">
        <v>2127</v>
      </c>
      <c r="C88" s="21" t="s">
        <v>1145</v>
      </c>
      <c r="D88" s="20" t="s">
        <v>30</v>
      </c>
      <c r="E88" s="20" t="s">
        <v>231</v>
      </c>
      <c r="F88" s="20" t="s">
        <v>2128</v>
      </c>
      <c r="G88" s="22">
        <f>IF(A88="","",IF(A88&gt;=1,A88,IF(MAX($G$2:G87)=0,INT(SETTINGS!$B$4)+A88,INT(MAX($G$2:G87))+A88+IF(A88&lt;MOD(MAX($G$2:G87),1),1,0))))</f>
        <v>46309.406357890221</v>
      </c>
      <c r="H88" s="23">
        <f>IF(D88="","",IF(IFERROR(VLOOKUP(D88,LISTS!$A$2:$E$10,3,FALSE),0)=0,0,IF(IFERROR(COUNTIFS($C$2:C87,C88,$H$2:H87,1,$G$2:G87,"&gt;="&amp;(G88-15/1440)),0)&gt;0,0,1)))</f>
        <v>0</v>
      </c>
      <c r="I88" s="23" t="str">
        <f>IF(H88=1,C88&amp;"|"&amp;COUNTIFS($C$2:C88,C88,$H$2:H88,1),"")</f>
        <v/>
      </c>
      <c r="J88" s="23" t="str">
        <f>IF(D88="","",IF(A88="","Missing time",IF(D88="NO_SLOTS",IF(COUNTIF(PARTNERS!$A$2:$A$88,E88)=0,"Write the company in column E","OK"),IF(C88="","Missing phone",IF(COUNTIF(DESK!$F$2:$F$601,C88)=0,"Phone not found: copy it from your list",IF(AND(E88&lt;&gt;"",COUNTIFS(DESK!$F$2:$F$601,C88,DESK!$B$2:$B$601,E88)=0),"Company is not one of theirs","OK"))))))</f>
        <v>OK</v>
      </c>
    </row>
    <row r="89" spans="1:10" x14ac:dyDescent="0.35">
      <c r="A89" s="19">
        <v>46309.40805325353</v>
      </c>
      <c r="B89" s="20" t="s">
        <v>2127</v>
      </c>
      <c r="C89" s="21" t="s">
        <v>1937</v>
      </c>
      <c r="D89" s="20" t="s">
        <v>30</v>
      </c>
      <c r="E89" s="20" t="s">
        <v>369</v>
      </c>
      <c r="F89" s="20" t="s">
        <v>2128</v>
      </c>
      <c r="G89" s="22">
        <f>IF(A89="","",IF(A89&gt;=1,A89,IF(MAX($G$2:G88)=0,INT(SETTINGS!$B$4)+A89,INT(MAX($G$2:G88))+A89+IF(A89&lt;MOD(MAX($G$2:G88),1),1,0))))</f>
        <v>46309.40805325353</v>
      </c>
      <c r="H89" s="23">
        <f>IF(D89="","",IF(IFERROR(VLOOKUP(D89,LISTS!$A$2:$E$10,3,FALSE),0)=0,0,IF(IFERROR(COUNTIFS($C$2:C88,C89,$H$2:H88,1,$G$2:G88,"&gt;="&amp;(G89-15/1440)),0)&gt;0,0,1)))</f>
        <v>0</v>
      </c>
      <c r="I89" s="23" t="str">
        <f>IF(H89=1,C89&amp;"|"&amp;COUNTIFS($C$2:C89,C89,$H$2:H89,1),"")</f>
        <v/>
      </c>
      <c r="J89" s="23" t="str">
        <f>IF(D89="","",IF(A89="","Missing time",IF(D89="NO_SLOTS",IF(COUNTIF(PARTNERS!$A$2:$A$88,E89)=0,"Write the company in column E","OK"),IF(C89="","Missing phone",IF(COUNTIF(DESK!$F$2:$F$601,C89)=0,"Phone not found: copy it from your list",IF(AND(E89&lt;&gt;"",COUNTIFS(DESK!$F$2:$F$601,C89,DESK!$B$2:$B$601,E89)=0),"Company is not one of theirs","OK"))))))</f>
        <v>OK</v>
      </c>
    </row>
    <row r="90" spans="1:10" x14ac:dyDescent="0.35">
      <c r="A90" s="19">
        <v>46309.412344054108</v>
      </c>
      <c r="B90" s="20" t="s">
        <v>2127</v>
      </c>
      <c r="C90" s="21" t="s">
        <v>1511</v>
      </c>
      <c r="D90" s="20" t="s">
        <v>30</v>
      </c>
      <c r="E90" s="20" t="s">
        <v>197</v>
      </c>
      <c r="F90" s="20" t="s">
        <v>2128</v>
      </c>
      <c r="G90" s="22">
        <f>IF(A90="","",IF(A90&gt;=1,A90,IF(MAX($G$2:G89)=0,INT(SETTINGS!$B$4)+A90,INT(MAX($G$2:G89))+A90+IF(A90&lt;MOD(MAX($G$2:G89),1),1,0))))</f>
        <v>46309.412344054108</v>
      </c>
      <c r="H90" s="23">
        <f>IF(D90="","",IF(IFERROR(VLOOKUP(D90,LISTS!$A$2:$E$10,3,FALSE),0)=0,0,IF(IFERROR(COUNTIFS($C$2:C89,C90,$H$2:H89,1,$G$2:G89,"&gt;="&amp;(G90-15/1440)),0)&gt;0,0,1)))</f>
        <v>0</v>
      </c>
      <c r="I90" s="23" t="str">
        <f>IF(H90=1,C90&amp;"|"&amp;COUNTIFS($C$2:C90,C90,$H$2:H90,1),"")</f>
        <v/>
      </c>
      <c r="J90" s="23" t="str">
        <f>IF(D90="","",IF(A90="","Missing time",IF(D90="NO_SLOTS",IF(COUNTIF(PARTNERS!$A$2:$A$88,E90)=0,"Write the company in column E","OK"),IF(C90="","Missing phone",IF(COUNTIF(DESK!$F$2:$F$601,C90)=0,"Phone not found: copy it from your list",IF(AND(E90&lt;&gt;"",COUNTIFS(DESK!$F$2:$F$601,C90,DESK!$B$2:$B$601,E90)=0),"Company is not one of theirs","OK"))))))</f>
        <v>OK</v>
      </c>
    </row>
    <row r="91" spans="1:10" x14ac:dyDescent="0.35">
      <c r="A91" s="19">
        <v>46309.41234450398</v>
      </c>
      <c r="B91" s="20" t="s">
        <v>2127</v>
      </c>
      <c r="C91" s="21" t="s">
        <v>913</v>
      </c>
      <c r="D91" s="20" t="s">
        <v>30</v>
      </c>
      <c r="E91" s="20" t="s">
        <v>210</v>
      </c>
      <c r="F91" s="20" t="s">
        <v>2128</v>
      </c>
      <c r="G91" s="22">
        <f>IF(A91="","",IF(A91&gt;=1,A91,IF(MAX($G$2:G90)=0,INT(SETTINGS!$B$4)+A91,INT(MAX($G$2:G90))+A91+IF(A91&lt;MOD(MAX($G$2:G90),1),1,0))))</f>
        <v>46309.41234450398</v>
      </c>
      <c r="H91" s="23">
        <f>IF(D91="","",IF(IFERROR(VLOOKUP(D91,LISTS!$A$2:$E$10,3,FALSE),0)=0,0,IF(IFERROR(COUNTIFS($C$2:C90,C91,$H$2:H90,1,$G$2:G90,"&gt;="&amp;(G91-15/1440)),0)&gt;0,0,1)))</f>
        <v>0</v>
      </c>
      <c r="I91" s="23" t="str">
        <f>IF(H91=1,C91&amp;"|"&amp;COUNTIFS($C$2:C91,C91,$H$2:H91,1),"")</f>
        <v/>
      </c>
      <c r="J91" s="23" t="str">
        <f>IF(D91="","",IF(A91="","Missing time",IF(D91="NO_SLOTS",IF(COUNTIF(PARTNERS!$A$2:$A$88,E91)=0,"Write the company in column E","OK"),IF(C91="","Missing phone",IF(COUNTIF(DESK!$F$2:$F$601,C91)=0,"Phone not found: copy it from your list",IF(AND(E91&lt;&gt;"",COUNTIFS(DESK!$F$2:$F$601,C91,DESK!$B$2:$B$601,E91)=0),"Company is not one of theirs","OK"))))))</f>
        <v>OK</v>
      </c>
    </row>
    <row r="92" spans="1:10" x14ac:dyDescent="0.35">
      <c r="A92" s="19">
        <v>46309.420780410117</v>
      </c>
      <c r="B92" s="20" t="s">
        <v>48</v>
      </c>
      <c r="C92" s="21" t="s">
        <v>933</v>
      </c>
      <c r="D92" s="20" t="s">
        <v>22</v>
      </c>
      <c r="E92" s="20"/>
      <c r="F92" s="20" t="s">
        <v>2129</v>
      </c>
      <c r="G92" s="22">
        <f>IF(A92="","",IF(A92&gt;=1,A92,IF(MAX($G$2:G91)=0,INT(SETTINGS!$B$4)+A92,INT(MAX($G$2:G91))+A92+IF(A92&lt;MOD(MAX($G$2:G91),1),1,0))))</f>
        <v>46309.420780410117</v>
      </c>
      <c r="H92" s="23">
        <f>IF(D92="","",IF(IFERROR(VLOOKUP(D92,LISTS!$A$2:$E$10,3,FALSE),0)=0,0,IF(IFERROR(COUNTIFS($C$2:C91,C92,$H$2:H91,1,$G$2:G91,"&gt;="&amp;(G92-15/1440)),0)&gt;0,0,1)))</f>
        <v>1</v>
      </c>
      <c r="I92" s="23" t="str">
        <f>IF(H92=1,C92&amp;"|"&amp;COUNTIFS($C$2:C92,C92,$H$2:H92,1),"")</f>
        <v>9000004791|1</v>
      </c>
      <c r="J92" s="23" t="str">
        <f>IF(D92="","",IF(A92="","Missing time",IF(D92="NO_SLOTS",IF(COUNTIF(PARTNERS!$A$2:$A$88,E92)=0,"Write the company in column E","OK"),IF(C92="","Missing phone",IF(COUNTIF(DESK!$F$2:$F$601,C92)=0,"Phone not found: copy it from your list",IF(AND(E92&lt;&gt;"",COUNTIFS(DESK!$F$2:$F$601,C92,DESK!$B$2:$B$601,E92)=0),"Company is not one of theirs","OK"))))))</f>
        <v>OK</v>
      </c>
    </row>
    <row r="93" spans="1:10" x14ac:dyDescent="0.35">
      <c r="A93" s="19">
        <v>46309.421011891594</v>
      </c>
      <c r="B93" s="20" t="s">
        <v>48</v>
      </c>
      <c r="C93" s="21" t="s">
        <v>933</v>
      </c>
      <c r="D93" s="20" t="s">
        <v>20</v>
      </c>
      <c r="E93" s="20" t="s">
        <v>261</v>
      </c>
      <c r="F93" s="20"/>
      <c r="G93" s="22">
        <f>IF(A93="","",IF(A93&gt;=1,A93,IF(MAX($G$2:G92)=0,INT(SETTINGS!$B$4)+A93,INT(MAX($G$2:G92))+A93+IF(A93&lt;MOD(MAX($G$2:G92),1),1,0))))</f>
        <v>46309.421011891594</v>
      </c>
      <c r="H93" s="23">
        <f>IF(D93="","",IF(IFERROR(VLOOKUP(D93,LISTS!$A$2:$E$10,3,FALSE),0)=0,0,IF(IFERROR(COUNTIFS($C$2:C92,C93,$H$2:H92,1,$G$2:G92,"&gt;="&amp;(G93-15/1440)),0)&gt;0,0,1)))</f>
        <v>0</v>
      </c>
      <c r="I93" s="23" t="str">
        <f>IF(H93=1,C93&amp;"|"&amp;COUNTIFS($C$2:C93,C93,$H$2:H93,1),"")</f>
        <v/>
      </c>
      <c r="J93" s="23" t="str">
        <f>IF(D93="","",IF(A93="","Missing time",IF(D93="NO_SLOTS",IF(COUNTIF(PARTNERS!$A$2:$A$88,E93)=0,"Write the company in column E","OK"),IF(C93="","Missing phone",IF(COUNTIF(DESK!$F$2:$F$601,C93)=0,"Phone not found: copy it from your list",IF(AND(E93&lt;&gt;"",COUNTIFS(DESK!$F$2:$F$601,C93,DESK!$B$2:$B$601,E93)=0),"Company is not one of theirs","OK"))))))</f>
        <v>OK</v>
      </c>
    </row>
    <row r="94" spans="1:10" x14ac:dyDescent="0.35">
      <c r="A94" s="19">
        <v>46309.425018286078</v>
      </c>
      <c r="B94" s="20" t="s">
        <v>48</v>
      </c>
      <c r="C94" s="21" t="s">
        <v>1429</v>
      </c>
      <c r="D94" s="20" t="s">
        <v>18</v>
      </c>
      <c r="E94" s="20"/>
      <c r="F94" s="20" t="s">
        <v>2130</v>
      </c>
      <c r="G94" s="22">
        <f>IF(A94="","",IF(A94&gt;=1,A94,IF(MAX($G$2:G93)=0,INT(SETTINGS!$B$4)+A94,INT(MAX($G$2:G93))+A94+IF(A94&lt;MOD(MAX($G$2:G93),1),1,0))))</f>
        <v>46309.425018286078</v>
      </c>
      <c r="H94" s="23">
        <f>IF(D94="","",IF(IFERROR(VLOOKUP(D94,LISTS!$A$2:$E$10,3,FALSE),0)=0,0,IF(IFERROR(COUNTIFS($C$2:C93,C94,$H$2:H93,1,$G$2:G93,"&gt;="&amp;(G94-15/1440)),0)&gt;0,0,1)))</f>
        <v>1</v>
      </c>
      <c r="I94" s="23" t="str">
        <f>IF(H94=1,C94&amp;"|"&amp;COUNTIFS($C$2:C94,C94,$H$2:H94,1),"")</f>
        <v>9000000852|1</v>
      </c>
      <c r="J94" s="23" t="str">
        <f>IF(D94="","",IF(A94="","Missing time",IF(D94="NO_SLOTS",IF(COUNTIF(PARTNERS!$A$2:$A$88,E94)=0,"Write the company in column E","OK"),IF(C94="","Missing phone",IF(COUNTIF(DESK!$F$2:$F$601,C94)=0,"Phone not found: copy it from your list",IF(AND(E94&lt;&gt;"",COUNTIFS(DESK!$F$2:$F$601,C94,DESK!$B$2:$B$601,E94)=0),"Company is not one of theirs","OK"))))))</f>
        <v>OK</v>
      </c>
    </row>
    <row r="95" spans="1:10" x14ac:dyDescent="0.35">
      <c r="A95" s="19">
        <v>46309.430149936823</v>
      </c>
      <c r="B95" s="20" t="s">
        <v>48</v>
      </c>
      <c r="C95" s="21" t="s">
        <v>1337</v>
      </c>
      <c r="D95" s="20" t="s">
        <v>18</v>
      </c>
      <c r="E95" s="20"/>
      <c r="F95" s="20" t="s">
        <v>2130</v>
      </c>
      <c r="G95" s="22">
        <f>IF(A95="","",IF(A95&gt;=1,A95,IF(MAX($G$2:G94)=0,INT(SETTINGS!$B$4)+A95,INT(MAX($G$2:G94))+A95+IF(A95&lt;MOD(MAX($G$2:G94),1),1,0))))</f>
        <v>46309.430149936823</v>
      </c>
      <c r="H95" s="23">
        <f>IF(D95="","",IF(IFERROR(VLOOKUP(D95,LISTS!$A$2:$E$10,3,FALSE),0)=0,0,IF(IFERROR(COUNTIFS($C$2:C94,C95,$H$2:H94,1,$G$2:G94,"&gt;="&amp;(G95-15/1440)),0)&gt;0,0,1)))</f>
        <v>1</v>
      </c>
      <c r="I95" s="23" t="str">
        <f>IF(H95=1,C95&amp;"|"&amp;COUNTIFS($C$2:C95,C95,$H$2:H95,1),"")</f>
        <v>9000004869|1</v>
      </c>
      <c r="J95" s="23" t="str">
        <f>IF(D95="","",IF(A95="","Missing time",IF(D95="NO_SLOTS",IF(COUNTIF(PARTNERS!$A$2:$A$88,E95)=0,"Write the company in column E","OK"),IF(C95="","Missing phone",IF(COUNTIF(DESK!$F$2:$F$601,C95)=0,"Phone not found: copy it from your list",IF(AND(E95&lt;&gt;"",COUNTIFS(DESK!$F$2:$F$601,C95,DESK!$B$2:$B$601,E95)=0),"Company is not one of theirs","OK"))))))</f>
        <v>OK</v>
      </c>
    </row>
    <row r="96" spans="1:10" x14ac:dyDescent="0.35">
      <c r="A96" s="19">
        <v>46309.433918311595</v>
      </c>
      <c r="B96" s="20" t="s">
        <v>48</v>
      </c>
      <c r="C96" s="21" t="s">
        <v>898</v>
      </c>
      <c r="D96" s="20" t="s">
        <v>16</v>
      </c>
      <c r="E96" s="20"/>
      <c r="F96" s="20"/>
      <c r="G96" s="22">
        <f>IF(A96="","",IF(A96&gt;=1,A96,IF(MAX($G$2:G95)=0,INT(SETTINGS!$B$4)+A96,INT(MAX($G$2:G95))+A96+IF(A96&lt;MOD(MAX($G$2:G95),1),1,0))))</f>
        <v>46309.433918311595</v>
      </c>
      <c r="H96" s="23">
        <f>IF(D96="","",IF(IFERROR(VLOOKUP(D96,LISTS!$A$2:$E$10,3,FALSE),0)=0,0,IF(IFERROR(COUNTIFS($C$2:C95,C96,$H$2:H95,1,$G$2:G95,"&gt;="&amp;(G96-15/1440)),0)&gt;0,0,1)))</f>
        <v>1</v>
      </c>
      <c r="I96" s="23" t="str">
        <f>IF(H96=1,C96&amp;"|"&amp;COUNTIFS($C$2:C96,C96,$H$2:H96,1),"")</f>
        <v>9000003543|1</v>
      </c>
      <c r="J96" s="23" t="str">
        <f>IF(D96="","",IF(A96="","Missing time",IF(D96="NO_SLOTS",IF(COUNTIF(PARTNERS!$A$2:$A$88,E96)=0,"Write the company in column E","OK"),IF(C96="","Missing phone",IF(COUNTIF(DESK!$F$2:$F$601,C96)=0,"Phone not found: copy it from your list",IF(AND(E96&lt;&gt;"",COUNTIFS(DESK!$F$2:$F$601,C96,DESK!$B$2:$B$601,E96)=0),"Company is not one of theirs","OK"))))))</f>
        <v>OK</v>
      </c>
    </row>
    <row r="97" spans="1:10" x14ac:dyDescent="0.35">
      <c r="A97" s="19">
        <v>46309.436012346196</v>
      </c>
      <c r="B97" s="20" t="s">
        <v>48</v>
      </c>
      <c r="C97" s="21" t="s">
        <v>508</v>
      </c>
      <c r="D97" s="20" t="s">
        <v>22</v>
      </c>
      <c r="E97" s="20"/>
      <c r="F97" s="20" t="s">
        <v>2129</v>
      </c>
      <c r="G97" s="22">
        <f>IF(A97="","",IF(A97&gt;=1,A97,IF(MAX($G$2:G96)=0,INT(SETTINGS!$B$4)+A97,INT(MAX($G$2:G96))+A97+IF(A97&lt;MOD(MAX($G$2:G96),1),1,0))))</f>
        <v>46309.436012346196</v>
      </c>
      <c r="H97" s="23">
        <f>IF(D97="","",IF(IFERROR(VLOOKUP(D97,LISTS!$A$2:$E$10,3,FALSE),0)=0,0,IF(IFERROR(COUNTIFS($C$2:C96,C97,$H$2:H96,1,$G$2:G96,"&gt;="&amp;(G97-15/1440)),0)&gt;0,0,1)))</f>
        <v>1</v>
      </c>
      <c r="I97" s="23" t="str">
        <f>IF(H97=1,C97&amp;"|"&amp;COUNTIFS($C$2:C97,C97,$H$2:H97,1),"")</f>
        <v>9000005363|1</v>
      </c>
      <c r="J97" s="23" t="str">
        <f>IF(D97="","",IF(A97="","Missing time",IF(D97="NO_SLOTS",IF(COUNTIF(PARTNERS!$A$2:$A$88,E97)=0,"Write the company in column E","OK"),IF(C97="","Missing phone",IF(COUNTIF(DESK!$F$2:$F$601,C97)=0,"Phone not found: copy it from your list",IF(AND(E97&lt;&gt;"",COUNTIFS(DESK!$F$2:$F$601,C97,DESK!$B$2:$B$601,E97)=0),"Company is not one of theirs","OK"))))))</f>
        <v>OK</v>
      </c>
    </row>
    <row r="98" spans="1:10" x14ac:dyDescent="0.35">
      <c r="A98" s="19">
        <v>46309.420269158116</v>
      </c>
      <c r="B98" s="20" t="s">
        <v>2127</v>
      </c>
      <c r="C98" s="21" t="s">
        <v>1681</v>
      </c>
      <c r="D98" s="20" t="s">
        <v>30</v>
      </c>
      <c r="E98" s="20" t="s">
        <v>267</v>
      </c>
      <c r="F98" s="20" t="s">
        <v>2128</v>
      </c>
      <c r="G98" s="22">
        <f>IF(A98="","",IF(A98&gt;=1,A98,IF(MAX($G$2:G97)=0,INT(SETTINGS!$B$4)+A98,INT(MAX($G$2:G97))+A98+IF(A98&lt;MOD(MAX($G$2:G97),1),1,0))))</f>
        <v>46309.420269158116</v>
      </c>
      <c r="H98" s="23">
        <f>IF(D98="","",IF(IFERROR(VLOOKUP(D98,LISTS!$A$2:$E$10,3,FALSE),0)=0,0,IF(IFERROR(COUNTIFS($C$2:C97,C98,$H$2:H97,1,$G$2:G97,"&gt;="&amp;(G98-15/1440)),0)&gt;0,0,1)))</f>
        <v>0</v>
      </c>
      <c r="I98" s="23" t="str">
        <f>IF(H98=1,C98&amp;"|"&amp;COUNTIFS($C$2:C98,C98,$H$2:H98,1),"")</f>
        <v/>
      </c>
      <c r="J98" s="23" t="str">
        <f>IF(D98="","",IF(A98="","Missing time",IF(D98="NO_SLOTS",IF(COUNTIF(PARTNERS!$A$2:$A$88,E98)=0,"Write the company in column E","OK"),IF(C98="","Missing phone",IF(COUNTIF(DESK!$F$2:$F$601,C98)=0,"Phone not found: copy it from your list",IF(AND(E98&lt;&gt;"",COUNTIFS(DESK!$F$2:$F$601,C98,DESK!$B$2:$B$601,E98)=0),"Company is not one of theirs","OK"))))))</f>
        <v>OK</v>
      </c>
    </row>
    <row r="99" spans="1:10" x14ac:dyDescent="0.35">
      <c r="A99" s="19">
        <v>46309.420512072043</v>
      </c>
      <c r="B99" s="20" t="s">
        <v>2127</v>
      </c>
      <c r="C99" s="21" t="s">
        <v>1083</v>
      </c>
      <c r="D99" s="20" t="s">
        <v>30</v>
      </c>
      <c r="E99" s="20" t="s">
        <v>189</v>
      </c>
      <c r="F99" s="20" t="s">
        <v>2128</v>
      </c>
      <c r="G99" s="22">
        <f>IF(A99="","",IF(A99&gt;=1,A99,IF(MAX($G$2:G98)=0,INT(SETTINGS!$B$4)+A99,INT(MAX($G$2:G98))+A99+IF(A99&lt;MOD(MAX($G$2:G98),1),1,0))))</f>
        <v>46309.420512072043</v>
      </c>
      <c r="H99" s="23">
        <f>IF(D99="","",IF(IFERROR(VLOOKUP(D99,LISTS!$A$2:$E$10,3,FALSE),0)=0,0,IF(IFERROR(COUNTIFS($C$2:C98,C99,$H$2:H98,1,$G$2:G98,"&gt;="&amp;(G99-15/1440)),0)&gt;0,0,1)))</f>
        <v>0</v>
      </c>
      <c r="I99" s="23" t="str">
        <f>IF(H99=1,C99&amp;"|"&amp;COUNTIFS($C$2:C99,C99,$H$2:H99,1),"")</f>
        <v/>
      </c>
      <c r="J99" s="23" t="str">
        <f>IF(D99="","",IF(A99="","Missing time",IF(D99="NO_SLOTS",IF(COUNTIF(PARTNERS!$A$2:$A$88,E99)=0,"Write the company in column E","OK"),IF(C99="","Missing phone",IF(COUNTIF(DESK!$F$2:$F$601,C99)=0,"Phone not found: copy it from your list",IF(AND(E99&lt;&gt;"",COUNTIFS(DESK!$F$2:$F$601,C99,DESK!$B$2:$B$601,E99)=0),"Company is not one of theirs","OK"))))))</f>
        <v>OK</v>
      </c>
    </row>
    <row r="100" spans="1:10" x14ac:dyDescent="0.35">
      <c r="A100" s="19">
        <v>46309.424485615556</v>
      </c>
      <c r="B100" s="20" t="s">
        <v>2127</v>
      </c>
      <c r="C100" s="21" t="s">
        <v>536</v>
      </c>
      <c r="D100" s="20" t="s">
        <v>30</v>
      </c>
      <c r="E100" s="20" t="s">
        <v>201</v>
      </c>
      <c r="F100" s="20" t="s">
        <v>2128</v>
      </c>
      <c r="G100" s="22">
        <f>IF(A100="","",IF(A100&gt;=1,A100,IF(MAX($G$2:G99)=0,INT(SETTINGS!$B$4)+A100,INT(MAX($G$2:G99))+A100+IF(A100&lt;MOD(MAX($G$2:G99),1),1,0))))</f>
        <v>46309.424485615556</v>
      </c>
      <c r="H100" s="23">
        <f>IF(D100="","",IF(IFERROR(VLOOKUP(D100,LISTS!$A$2:$E$10,3,FALSE),0)=0,0,IF(IFERROR(COUNTIFS($C$2:C99,C100,$H$2:H99,1,$G$2:G99,"&gt;="&amp;(G100-15/1440)),0)&gt;0,0,1)))</f>
        <v>0</v>
      </c>
      <c r="I100" s="23" t="str">
        <f>IF(H100=1,C100&amp;"|"&amp;COUNTIFS($C$2:C100,C100,$H$2:H100,1),"")</f>
        <v/>
      </c>
      <c r="J100" s="23" t="str">
        <f>IF(D100="","",IF(A100="","Missing time",IF(D100="NO_SLOTS",IF(COUNTIF(PARTNERS!$A$2:$A$88,E100)=0,"Write the company in column E","OK"),IF(C100="","Missing phone",IF(COUNTIF(DESK!$F$2:$F$601,C100)=0,"Phone not found: copy it from your list",IF(AND(E100&lt;&gt;"",COUNTIFS(DESK!$F$2:$F$601,C100,DESK!$B$2:$B$601,E100)=0),"Company is not one of theirs","OK"))))))</f>
        <v>OK</v>
      </c>
    </row>
    <row r="101" spans="1:10" x14ac:dyDescent="0.35">
      <c r="A101" s="19">
        <v>46309.424850362724</v>
      </c>
      <c r="B101" s="20" t="s">
        <v>2127</v>
      </c>
      <c r="C101" s="21" t="s">
        <v>1319</v>
      </c>
      <c r="D101" s="20" t="s">
        <v>30</v>
      </c>
      <c r="E101" s="20" t="s">
        <v>249</v>
      </c>
      <c r="F101" s="20" t="s">
        <v>2128</v>
      </c>
      <c r="G101" s="22">
        <f>IF(A101="","",IF(A101&gt;=1,A101,IF(MAX($G$2:G100)=0,INT(SETTINGS!$B$4)+A101,INT(MAX($G$2:G100))+A101+IF(A101&lt;MOD(MAX($G$2:G100),1),1,0))))</f>
        <v>46309.424850362724</v>
      </c>
      <c r="H101" s="23">
        <f>IF(D101="","",IF(IFERROR(VLOOKUP(D101,LISTS!$A$2:$E$10,3,FALSE),0)=0,0,IF(IFERROR(COUNTIFS($C$2:C100,C101,$H$2:H100,1,$G$2:G100,"&gt;="&amp;(G101-15/1440)),0)&gt;0,0,1)))</f>
        <v>0</v>
      </c>
      <c r="I101" s="23" t="str">
        <f>IF(H101=1,C101&amp;"|"&amp;COUNTIFS($C$2:C101,C101,$H$2:H101,1),"")</f>
        <v/>
      </c>
      <c r="J101" s="23" t="str">
        <f>IF(D101="","",IF(A101="","Missing time",IF(D101="NO_SLOTS",IF(COUNTIF(PARTNERS!$A$2:$A$88,E101)=0,"Write the company in column E","OK"),IF(C101="","Missing phone",IF(COUNTIF(DESK!$F$2:$F$601,C101)=0,"Phone not found: copy it from your list",IF(AND(E101&lt;&gt;"",COUNTIFS(DESK!$F$2:$F$601,C101,DESK!$B$2:$B$601,E101)=0),"Company is not one of theirs","OK"))))))</f>
        <v>OK</v>
      </c>
    </row>
    <row r="102" spans="1:10" x14ac:dyDescent="0.35">
      <c r="A102" s="19">
        <v>46309.435277758159</v>
      </c>
      <c r="B102" s="20" t="s">
        <v>2127</v>
      </c>
      <c r="C102" s="21" t="s">
        <v>967</v>
      </c>
      <c r="D102" s="20" t="s">
        <v>30</v>
      </c>
      <c r="E102" s="20" t="s">
        <v>189</v>
      </c>
      <c r="F102" s="20" t="s">
        <v>2128</v>
      </c>
      <c r="G102" s="22">
        <f>IF(A102="","",IF(A102&gt;=1,A102,IF(MAX($G$2:G101)=0,INT(SETTINGS!$B$4)+A102,INT(MAX($G$2:G101))+A102+IF(A102&lt;MOD(MAX($G$2:G101),1),1,0))))</f>
        <v>46309.435277758159</v>
      </c>
      <c r="H102" s="23">
        <f>IF(D102="","",IF(IFERROR(VLOOKUP(D102,LISTS!$A$2:$E$10,3,FALSE),0)=0,0,IF(IFERROR(COUNTIFS($C$2:C101,C102,$H$2:H101,1,$G$2:G101,"&gt;="&amp;(G102-15/1440)),0)&gt;0,0,1)))</f>
        <v>0</v>
      </c>
      <c r="I102" s="23" t="str">
        <f>IF(H102=1,C102&amp;"|"&amp;COUNTIFS($C$2:C102,C102,$H$2:H102,1),"")</f>
        <v/>
      </c>
      <c r="J102" s="23" t="str">
        <f>IF(D102="","",IF(A102="","Missing time",IF(D102="NO_SLOTS",IF(COUNTIF(PARTNERS!$A$2:$A$88,E102)=0,"Write the company in column E","OK"),IF(C102="","Missing phone",IF(COUNTIF(DESK!$F$2:$F$601,C102)=0,"Phone not found: copy it from your list",IF(AND(E102&lt;&gt;"",COUNTIFS(DESK!$F$2:$F$601,C102,DESK!$B$2:$B$601,E102)=0),"Company is not one of theirs","OK"))))))</f>
        <v>OK</v>
      </c>
    </row>
    <row r="103" spans="1:10" x14ac:dyDescent="0.35">
      <c r="A103" s="19">
        <v>46309.435426353913</v>
      </c>
      <c r="B103" s="20" t="s">
        <v>2127</v>
      </c>
      <c r="C103" s="21" t="s">
        <v>1911</v>
      </c>
      <c r="D103" s="20" t="s">
        <v>30</v>
      </c>
      <c r="E103" s="20" t="s">
        <v>243</v>
      </c>
      <c r="F103" s="20" t="s">
        <v>2128</v>
      </c>
      <c r="G103" s="22">
        <f>IF(A103="","",IF(A103&gt;=1,A103,IF(MAX($G$2:G102)=0,INT(SETTINGS!$B$4)+A103,INT(MAX($G$2:G102))+A103+IF(A103&lt;MOD(MAX($G$2:G102),1),1,0))))</f>
        <v>46309.435426353913</v>
      </c>
      <c r="H103" s="23">
        <f>IF(D103="","",IF(IFERROR(VLOOKUP(D103,LISTS!$A$2:$E$10,3,FALSE),0)=0,0,IF(IFERROR(COUNTIFS($C$2:C102,C103,$H$2:H102,1,$G$2:G102,"&gt;="&amp;(G103-15/1440)),0)&gt;0,0,1)))</f>
        <v>0</v>
      </c>
      <c r="I103" s="23" t="str">
        <f>IF(H103=1,C103&amp;"|"&amp;COUNTIFS($C$2:C103,C103,$H$2:H103,1),"")</f>
        <v/>
      </c>
      <c r="J103" s="23" t="str">
        <f>IF(D103="","",IF(A103="","Missing time",IF(D103="NO_SLOTS",IF(COUNTIF(PARTNERS!$A$2:$A$88,E103)=0,"Write the company in column E","OK"),IF(C103="","Missing phone",IF(COUNTIF(DESK!$F$2:$F$601,C103)=0,"Phone not found: copy it from your list",IF(AND(E103&lt;&gt;"",COUNTIFS(DESK!$F$2:$F$601,C103,DESK!$B$2:$B$601,E103)=0),"Company is not one of theirs","OK"))))))</f>
        <v>OK</v>
      </c>
    </row>
    <row r="104" spans="1:10" x14ac:dyDescent="0.35">
      <c r="A104" s="19">
        <v>46309.440748530629</v>
      </c>
      <c r="B104" s="20" t="s">
        <v>48</v>
      </c>
      <c r="C104" s="21" t="s">
        <v>718</v>
      </c>
      <c r="D104" s="20" t="s">
        <v>16</v>
      </c>
      <c r="E104" s="20"/>
      <c r="F104" s="20"/>
      <c r="G104" s="22">
        <f>IF(A104="","",IF(A104&gt;=1,A104,IF(MAX($G$2:G103)=0,INT(SETTINGS!$B$4)+A104,INT(MAX($G$2:G103))+A104+IF(A104&lt;MOD(MAX($G$2:G103),1),1,0))))</f>
        <v>46309.440748530629</v>
      </c>
      <c r="H104" s="23">
        <f>IF(D104="","",IF(IFERROR(VLOOKUP(D104,LISTS!$A$2:$E$10,3,FALSE),0)=0,0,IF(IFERROR(COUNTIFS($C$2:C103,C104,$H$2:H103,1,$G$2:G103,"&gt;="&amp;(G104-15/1440)),0)&gt;0,0,1)))</f>
        <v>1</v>
      </c>
      <c r="I104" s="23" t="str">
        <f>IF(H104=1,C104&amp;"|"&amp;COUNTIFS($C$2:C104,C104,$H$2:H104,1),"")</f>
        <v>9000001580|1</v>
      </c>
      <c r="J104" s="23" t="str">
        <f>IF(D104="","",IF(A104="","Missing time",IF(D104="NO_SLOTS",IF(COUNTIF(PARTNERS!$A$2:$A$88,E104)=0,"Write the company in column E","OK"),IF(C104="","Missing phone",IF(COUNTIF(DESK!$F$2:$F$601,C104)=0,"Phone not found: copy it from your list",IF(AND(E104&lt;&gt;"",COUNTIFS(DESK!$F$2:$F$601,C104,DESK!$B$2:$B$601,E104)=0),"Company is not one of theirs","OK"))))))</f>
        <v>OK</v>
      </c>
    </row>
    <row r="105" spans="1:10" x14ac:dyDescent="0.35">
      <c r="A105" s="19">
        <v>46309.445155305628</v>
      </c>
      <c r="B105" s="20" t="s">
        <v>48</v>
      </c>
      <c r="C105" s="21" t="s">
        <v>753</v>
      </c>
      <c r="D105" s="20" t="s">
        <v>20</v>
      </c>
      <c r="E105" s="20"/>
      <c r="F105" s="20"/>
      <c r="G105" s="22">
        <f>IF(A105="","",IF(A105&gt;=1,A105,IF(MAX($G$2:G104)=0,INT(SETTINGS!$B$4)+A105,INT(MAX($G$2:G104))+A105+IF(A105&lt;MOD(MAX($G$2:G104),1),1,0))))</f>
        <v>46309.445155305628</v>
      </c>
      <c r="H105" s="23">
        <f>IF(D105="","",IF(IFERROR(VLOOKUP(D105,LISTS!$A$2:$E$10,3,FALSE),0)=0,0,IF(IFERROR(COUNTIFS($C$2:C104,C105,$H$2:H104,1,$G$2:G104,"&gt;="&amp;(G105-15/1440)),0)&gt;0,0,1)))</f>
        <v>1</v>
      </c>
      <c r="I105" s="23" t="str">
        <f>IF(H105=1,C105&amp;"|"&amp;COUNTIFS($C$2:C105,C105,$H$2:H105,1),"")</f>
        <v>9000003530|1</v>
      </c>
      <c r="J105" s="23" t="str">
        <f>IF(D105="","",IF(A105="","Missing time",IF(D105="NO_SLOTS",IF(COUNTIF(PARTNERS!$A$2:$A$88,E105)=0,"Write the company in column E","OK"),IF(C105="","Missing phone",IF(COUNTIF(DESK!$F$2:$F$601,C105)=0,"Phone not found: copy it from your list",IF(AND(E105&lt;&gt;"",COUNTIFS(DESK!$F$2:$F$601,C105,DESK!$B$2:$B$601,E105)=0),"Company is not one of theirs","OK"))))))</f>
        <v>OK</v>
      </c>
    </row>
    <row r="106" spans="1:10" x14ac:dyDescent="0.35">
      <c r="A106" s="19">
        <v>46309.44967991743</v>
      </c>
      <c r="B106" s="20" t="s">
        <v>48</v>
      </c>
      <c r="C106" s="21" t="s">
        <v>837</v>
      </c>
      <c r="D106" s="20" t="s">
        <v>26</v>
      </c>
      <c r="E106" s="20"/>
      <c r="F106" s="20" t="s">
        <v>2131</v>
      </c>
      <c r="G106" s="22">
        <f>IF(A106="","",IF(A106&gt;=1,A106,IF(MAX($G$2:G105)=0,INT(SETTINGS!$B$4)+A106,INT(MAX($G$2:G105))+A106+IF(A106&lt;MOD(MAX($G$2:G105),1),1,0))))</f>
        <v>46309.44967991743</v>
      </c>
      <c r="H106" s="23">
        <f>IF(D106="","",IF(IFERROR(VLOOKUP(D106,LISTS!$A$2:$E$10,3,FALSE),0)=0,0,IF(IFERROR(COUNTIFS($C$2:C105,C106,$H$2:H105,1,$G$2:G105,"&gt;="&amp;(G106-15/1440)),0)&gt;0,0,1)))</f>
        <v>1</v>
      </c>
      <c r="I106" s="23" t="str">
        <f>IF(H106=1,C106&amp;"|"&amp;COUNTIFS($C$2:C106,C106,$H$2:H106,1),"")</f>
        <v>9000003699|1</v>
      </c>
      <c r="J106" s="23" t="str">
        <f>IF(D106="","",IF(A106="","Missing time",IF(D106="NO_SLOTS",IF(COUNTIF(PARTNERS!$A$2:$A$88,E106)=0,"Write the company in column E","OK"),IF(C106="","Missing phone",IF(COUNTIF(DESK!$F$2:$F$601,C106)=0,"Phone not found: copy it from your list",IF(AND(E106&lt;&gt;"",COUNTIFS(DESK!$F$2:$F$601,C106,DESK!$B$2:$B$601,E106)=0),"Company is not one of theirs","OK"))))))</f>
        <v>OK</v>
      </c>
    </row>
    <row r="107" spans="1:10" x14ac:dyDescent="0.35">
      <c r="A107" s="19">
        <v>46309.453518420865</v>
      </c>
      <c r="B107" s="20" t="s">
        <v>48</v>
      </c>
      <c r="C107" s="21" t="s">
        <v>954</v>
      </c>
      <c r="D107" s="20" t="s">
        <v>16</v>
      </c>
      <c r="E107" s="20"/>
      <c r="F107" s="20"/>
      <c r="G107" s="22">
        <f>IF(A107="","",IF(A107&gt;=1,A107,IF(MAX($G$2:G106)=0,INT(SETTINGS!$B$4)+A107,INT(MAX($G$2:G106))+A107+IF(A107&lt;MOD(MAX($G$2:G106),1),1,0))))</f>
        <v>46309.453518420865</v>
      </c>
      <c r="H107" s="23">
        <f>IF(D107="","",IF(IFERROR(VLOOKUP(D107,LISTS!$A$2:$E$10,3,FALSE),0)=0,0,IF(IFERROR(COUNTIFS($C$2:C106,C107,$H$2:H106,1,$G$2:G106,"&gt;="&amp;(G107-15/1440)),0)&gt;0,0,1)))</f>
        <v>1</v>
      </c>
      <c r="I107" s="23" t="str">
        <f>IF(H107=1,C107&amp;"|"&amp;COUNTIFS($C$2:C107,C107,$H$2:H107,1),"")</f>
        <v>9000002295|1</v>
      </c>
      <c r="J107" s="23" t="str">
        <f>IF(D107="","",IF(A107="","Missing time",IF(D107="NO_SLOTS",IF(COUNTIF(PARTNERS!$A$2:$A$88,E107)=0,"Write the company in column E","OK"),IF(C107="","Missing phone",IF(COUNTIF(DESK!$F$2:$F$601,C107)=0,"Phone not found: copy it from your list",IF(AND(E107&lt;&gt;"",COUNTIFS(DESK!$F$2:$F$601,C107,DESK!$B$2:$B$601,E107)=0),"Company is not one of theirs","OK"))))))</f>
        <v>OK</v>
      </c>
    </row>
    <row r="108" spans="1:10" x14ac:dyDescent="0.35">
      <c r="A108" s="19">
        <v>46309.456652563538</v>
      </c>
      <c r="B108" s="20" t="s">
        <v>48</v>
      </c>
      <c r="C108" s="21" t="s">
        <v>1229</v>
      </c>
      <c r="D108" s="20" t="s">
        <v>16</v>
      </c>
      <c r="E108" s="20"/>
      <c r="F108" s="20"/>
      <c r="G108" s="22">
        <f>IF(A108="","",IF(A108&gt;=1,A108,IF(MAX($G$2:G107)=0,INT(SETTINGS!$B$4)+A108,INT(MAX($G$2:G107))+A108+IF(A108&lt;MOD(MAX($G$2:G107),1),1,0))))</f>
        <v>46309.456652563538</v>
      </c>
      <c r="H108" s="23">
        <f>IF(D108="","",IF(IFERROR(VLOOKUP(D108,LISTS!$A$2:$E$10,3,FALSE),0)=0,0,IF(IFERROR(COUNTIFS($C$2:C107,C108,$H$2:H107,1,$G$2:G107,"&gt;="&amp;(G108-15/1440)),0)&gt;0,0,1)))</f>
        <v>1</v>
      </c>
      <c r="I108" s="23" t="str">
        <f>IF(H108=1,C108&amp;"|"&amp;COUNTIFS($C$2:C108,C108,$H$2:H108,1),"")</f>
        <v>9000003348|1</v>
      </c>
      <c r="J108" s="23" t="str">
        <f>IF(D108="","",IF(A108="","Missing time",IF(D108="NO_SLOTS",IF(COUNTIF(PARTNERS!$A$2:$A$88,E108)=0,"Write the company in column E","OK"),IF(C108="","Missing phone",IF(COUNTIF(DESK!$F$2:$F$601,C108)=0,"Phone not found: copy it from your list",IF(AND(E108&lt;&gt;"",COUNTIFS(DESK!$F$2:$F$601,C108,DESK!$B$2:$B$601,E108)=0),"Company is not one of theirs","OK"))))))</f>
        <v>OK</v>
      </c>
    </row>
    <row r="109" spans="1:10" x14ac:dyDescent="0.35">
      <c r="A109" s="19">
        <v>46309.439307407498</v>
      </c>
      <c r="B109" s="20" t="s">
        <v>2127</v>
      </c>
      <c r="C109" s="21" t="s">
        <v>1289</v>
      </c>
      <c r="D109" s="20" t="s">
        <v>30</v>
      </c>
      <c r="E109" s="20" t="s">
        <v>201</v>
      </c>
      <c r="F109" s="20" t="s">
        <v>2128</v>
      </c>
      <c r="G109" s="22">
        <f>IF(A109="","",IF(A109&gt;=1,A109,IF(MAX($G$2:G108)=0,INT(SETTINGS!$B$4)+A109,INT(MAX($G$2:G108))+A109+IF(A109&lt;MOD(MAX($G$2:G108),1),1,0))))</f>
        <v>46309.439307407498</v>
      </c>
      <c r="H109" s="23">
        <f>IF(D109="","",IF(IFERROR(VLOOKUP(D109,LISTS!$A$2:$E$10,3,FALSE),0)=0,0,IF(IFERROR(COUNTIFS($C$2:C108,C109,$H$2:H108,1,$G$2:G108,"&gt;="&amp;(G109-15/1440)),0)&gt;0,0,1)))</f>
        <v>0</v>
      </c>
      <c r="I109" s="23" t="str">
        <f>IF(H109=1,C109&amp;"|"&amp;COUNTIFS($C$2:C109,C109,$H$2:H109,1),"")</f>
        <v/>
      </c>
      <c r="J109" s="23" t="str">
        <f>IF(D109="","",IF(A109="","Missing time",IF(D109="NO_SLOTS",IF(COUNTIF(PARTNERS!$A$2:$A$88,E109)=0,"Write the company in column E","OK"),IF(C109="","Missing phone",IF(COUNTIF(DESK!$F$2:$F$601,C109)=0,"Phone not found: copy it from your list",IF(AND(E109&lt;&gt;"",COUNTIFS(DESK!$F$2:$F$601,C109,DESK!$B$2:$B$601,E109)=0),"Company is not one of theirs","OK"))))))</f>
        <v>OK</v>
      </c>
    </row>
    <row r="110" spans="1:10" x14ac:dyDescent="0.35">
      <c r="A110" s="19">
        <v>46309.441581253384</v>
      </c>
      <c r="B110" s="20" t="s">
        <v>2127</v>
      </c>
      <c r="C110" s="21" t="s">
        <v>933</v>
      </c>
      <c r="D110" s="20" t="s">
        <v>30</v>
      </c>
      <c r="E110" s="20" t="s">
        <v>189</v>
      </c>
      <c r="F110" s="20" t="s">
        <v>2128</v>
      </c>
      <c r="G110" s="22">
        <f>IF(A110="","",IF(A110&gt;=1,A110,IF(MAX($G$2:G109)=0,INT(SETTINGS!$B$4)+A110,INT(MAX($G$2:G109))+A110+IF(A110&lt;MOD(MAX($G$2:G109),1),1,0))))</f>
        <v>46309.441581253384</v>
      </c>
      <c r="H110" s="23">
        <f>IF(D110="","",IF(IFERROR(VLOOKUP(D110,LISTS!$A$2:$E$10,3,FALSE),0)=0,0,IF(IFERROR(COUNTIFS($C$2:C109,C110,$H$2:H109,1,$G$2:G109,"&gt;="&amp;(G110-15/1440)),0)&gt;0,0,1)))</f>
        <v>0</v>
      </c>
      <c r="I110" s="23" t="str">
        <f>IF(H110=1,C110&amp;"|"&amp;COUNTIFS($C$2:C110,C110,$H$2:H110,1),"")</f>
        <v/>
      </c>
      <c r="J110" s="23" t="str">
        <f>IF(D110="","",IF(A110="","Missing time",IF(D110="NO_SLOTS",IF(COUNTIF(PARTNERS!$A$2:$A$88,E110)=0,"Write the company in column E","OK"),IF(C110="","Missing phone",IF(COUNTIF(DESK!$F$2:$F$601,C110)=0,"Phone not found: copy it from your list",IF(AND(E110&lt;&gt;"",COUNTIFS(DESK!$F$2:$F$601,C110,DESK!$B$2:$B$601,E110)=0),"Company is not one of theirs","OK"))))))</f>
        <v>OK</v>
      </c>
    </row>
    <row r="111" spans="1:10" x14ac:dyDescent="0.35">
      <c r="A111" s="19">
        <v>46309.443356945892</v>
      </c>
      <c r="B111" s="20" t="s">
        <v>2127</v>
      </c>
      <c r="C111" s="21" t="s">
        <v>516</v>
      </c>
      <c r="D111" s="20" t="s">
        <v>30</v>
      </c>
      <c r="E111" s="20" t="s">
        <v>309</v>
      </c>
      <c r="F111" s="20" t="s">
        <v>2128</v>
      </c>
      <c r="G111" s="22">
        <f>IF(A111="","",IF(A111&gt;=1,A111,IF(MAX($G$2:G110)=0,INT(SETTINGS!$B$4)+A111,INT(MAX($G$2:G110))+A111+IF(A111&lt;MOD(MAX($G$2:G110),1),1,0))))</f>
        <v>46309.443356945892</v>
      </c>
      <c r="H111" s="23">
        <f>IF(D111="","",IF(IFERROR(VLOOKUP(D111,LISTS!$A$2:$E$10,3,FALSE),0)=0,0,IF(IFERROR(COUNTIFS($C$2:C110,C111,$H$2:H110,1,$G$2:G110,"&gt;="&amp;(G111-15/1440)),0)&gt;0,0,1)))</f>
        <v>0</v>
      </c>
      <c r="I111" s="23" t="str">
        <f>IF(H111=1,C111&amp;"|"&amp;COUNTIFS($C$2:C111,C111,$H$2:H111,1),"")</f>
        <v/>
      </c>
      <c r="J111" s="23" t="str">
        <f>IF(D111="","",IF(A111="","Missing time",IF(D111="NO_SLOTS",IF(COUNTIF(PARTNERS!$A$2:$A$88,E111)=0,"Write the company in column E","OK"),IF(C111="","Missing phone",IF(COUNTIF(DESK!$F$2:$F$601,C111)=0,"Phone not found: copy it from your list",IF(AND(E111&lt;&gt;"",COUNTIFS(DESK!$F$2:$F$601,C111,DESK!$B$2:$B$601,E111)=0),"Company is not one of theirs","OK"))))))</f>
        <v>OK</v>
      </c>
    </row>
    <row r="112" spans="1:10" x14ac:dyDescent="0.35">
      <c r="A112" s="19">
        <v>46309.451773741122</v>
      </c>
      <c r="B112" s="20" t="s">
        <v>2127</v>
      </c>
      <c r="C112" s="21" t="s">
        <v>1128</v>
      </c>
      <c r="D112" s="20" t="s">
        <v>30</v>
      </c>
      <c r="E112" s="20" t="s">
        <v>240</v>
      </c>
      <c r="F112" s="20" t="s">
        <v>2128</v>
      </c>
      <c r="G112" s="22">
        <f>IF(A112="","",IF(A112&gt;=1,A112,IF(MAX($G$2:G111)=0,INT(SETTINGS!$B$4)+A112,INT(MAX($G$2:G111))+A112+IF(A112&lt;MOD(MAX($G$2:G111),1),1,0))))</f>
        <v>46309.451773741122</v>
      </c>
      <c r="H112" s="23">
        <f>IF(D112="","",IF(IFERROR(VLOOKUP(D112,LISTS!$A$2:$E$10,3,FALSE),0)=0,0,IF(IFERROR(COUNTIFS($C$2:C111,C112,$H$2:H111,1,$G$2:G111,"&gt;="&amp;(G112-15/1440)),0)&gt;0,0,1)))</f>
        <v>0</v>
      </c>
      <c r="I112" s="23" t="str">
        <f>IF(H112=1,C112&amp;"|"&amp;COUNTIFS($C$2:C112,C112,$H$2:H112,1),"")</f>
        <v/>
      </c>
      <c r="J112" s="23" t="str">
        <f>IF(D112="","",IF(A112="","Missing time",IF(D112="NO_SLOTS",IF(COUNTIF(PARTNERS!$A$2:$A$88,E112)=0,"Write the company in column E","OK"),IF(C112="","Missing phone",IF(COUNTIF(DESK!$F$2:$F$601,C112)=0,"Phone not found: copy it from your list",IF(AND(E112&lt;&gt;"",COUNTIFS(DESK!$F$2:$F$601,C112,DESK!$B$2:$B$601,E112)=0),"Company is not one of theirs","OK"))))))</f>
        <v>OK</v>
      </c>
    </row>
    <row r="113" spans="1:10" x14ac:dyDescent="0.35">
      <c r="A113" s="19">
        <v>46309.453737891483</v>
      </c>
      <c r="B113" s="20" t="s">
        <v>2127</v>
      </c>
      <c r="C113" s="21" t="s">
        <v>508</v>
      </c>
      <c r="D113" s="20" t="s">
        <v>30</v>
      </c>
      <c r="E113" s="20" t="s">
        <v>189</v>
      </c>
      <c r="F113" s="20" t="s">
        <v>2132</v>
      </c>
      <c r="G113" s="22">
        <f>IF(A113="","",IF(A113&gt;=1,A113,IF(MAX($G$2:G112)=0,INT(SETTINGS!$B$4)+A113,INT(MAX($G$2:G112))+A113+IF(A113&lt;MOD(MAX($G$2:G112),1),1,0))))</f>
        <v>46309.453737891483</v>
      </c>
      <c r="H113" s="23">
        <f>IF(D113="","",IF(IFERROR(VLOOKUP(D113,LISTS!$A$2:$E$10,3,FALSE),0)=0,0,IF(IFERROR(COUNTIFS($C$2:C112,C113,$H$2:H112,1,$G$2:G112,"&gt;="&amp;(G113-15/1440)),0)&gt;0,0,1)))</f>
        <v>0</v>
      </c>
      <c r="I113" s="23" t="str">
        <f>IF(H113=1,C113&amp;"|"&amp;COUNTIFS($C$2:C113,C113,$H$2:H113,1),"")</f>
        <v/>
      </c>
      <c r="J113" s="23" t="str">
        <f>IF(D113="","",IF(A113="","Missing time",IF(D113="NO_SLOTS",IF(COUNTIF(PARTNERS!$A$2:$A$88,E113)=0,"Write the company in column E","OK"),IF(C113="","Missing phone",IF(COUNTIF(DESK!$F$2:$F$601,C113)=0,"Phone not found: copy it from your list",IF(AND(E113&lt;&gt;"",COUNTIFS(DESK!$F$2:$F$601,C113,DESK!$B$2:$B$601,E113)=0),"Company is not one of theirs","OK"))))))</f>
        <v>OK</v>
      </c>
    </row>
    <row r="114" spans="1:10" x14ac:dyDescent="0.35">
      <c r="A114" s="19">
        <v>46309.461726697438</v>
      </c>
      <c r="B114" s="20" t="s">
        <v>48</v>
      </c>
      <c r="C114" s="21" t="s">
        <v>1289</v>
      </c>
      <c r="D114" s="20" t="s">
        <v>16</v>
      </c>
      <c r="E114" s="20"/>
      <c r="F114" s="20"/>
      <c r="G114" s="22">
        <f>IF(A114="","",IF(A114&gt;=1,A114,IF(MAX($G$2:G113)=0,INT(SETTINGS!$B$4)+A114,INT(MAX($G$2:G113))+A114+IF(A114&lt;MOD(MAX($G$2:G113),1),1,0))))</f>
        <v>46309.461726697438</v>
      </c>
      <c r="H114" s="23">
        <f>IF(D114="","",IF(IFERROR(VLOOKUP(D114,LISTS!$A$2:$E$10,3,FALSE),0)=0,0,IF(IFERROR(COUNTIFS($C$2:C113,C114,$H$2:H113,1,$G$2:G113,"&gt;="&amp;(G114-15/1440)),0)&gt;0,0,1)))</f>
        <v>1</v>
      </c>
      <c r="I114" s="23" t="str">
        <f>IF(H114=1,C114&amp;"|"&amp;COUNTIFS($C$2:C114,C114,$H$2:H114,1),"")</f>
        <v>9000002165|1</v>
      </c>
      <c r="J114" s="23" t="str">
        <f>IF(D114="","",IF(A114="","Missing time",IF(D114="NO_SLOTS",IF(COUNTIF(PARTNERS!$A$2:$A$88,E114)=0,"Write the company in column E","OK"),IF(C114="","Missing phone",IF(COUNTIF(DESK!$F$2:$F$601,C114)=0,"Phone not found: copy it from your list",IF(AND(E114&lt;&gt;"",COUNTIFS(DESK!$F$2:$F$601,C114,DESK!$B$2:$B$601,E114)=0),"Company is not one of theirs","OK"))))))</f>
        <v>OK</v>
      </c>
    </row>
    <row r="115" spans="1:10" x14ac:dyDescent="0.35">
      <c r="A115" s="19">
        <v>46309.46530677034</v>
      </c>
      <c r="B115" s="20" t="s">
        <v>48</v>
      </c>
      <c r="C115" s="21" t="s">
        <v>1785</v>
      </c>
      <c r="D115" s="20" t="s">
        <v>16</v>
      </c>
      <c r="E115" s="20"/>
      <c r="F115" s="20"/>
      <c r="G115" s="22">
        <f>IF(A115="","",IF(A115&gt;=1,A115,IF(MAX($G$2:G114)=0,INT(SETTINGS!$B$4)+A115,INT(MAX($G$2:G114))+A115+IF(A115&lt;MOD(MAX($G$2:G114),1),1,0))))</f>
        <v>46309.46530677034</v>
      </c>
      <c r="H115" s="23">
        <f>IF(D115="","",IF(IFERROR(VLOOKUP(D115,LISTS!$A$2:$E$10,3,FALSE),0)=0,0,IF(IFERROR(COUNTIFS($C$2:C114,C115,$H$2:H114,1,$G$2:G114,"&gt;="&amp;(G115-15/1440)),0)&gt;0,0,1)))</f>
        <v>1</v>
      </c>
      <c r="I115" s="23" t="str">
        <f>IF(H115=1,C115&amp;"|"&amp;COUNTIFS($C$2:C115,C115,$H$2:H115,1),"")</f>
        <v>9000000969|1</v>
      </c>
      <c r="J115" s="23" t="str">
        <f>IF(D115="","",IF(A115="","Missing time",IF(D115="NO_SLOTS",IF(COUNTIF(PARTNERS!$A$2:$A$88,E115)=0,"Write the company in column E","OK"),IF(C115="","Missing phone",IF(COUNTIF(DESK!$F$2:$F$601,C115)=0,"Phone not found: copy it from your list",IF(AND(E115&lt;&gt;"",COUNTIFS(DESK!$F$2:$F$601,C115,DESK!$B$2:$B$601,E115)=0),"Company is not one of theirs","OK"))))))</f>
        <v>OK</v>
      </c>
    </row>
    <row r="116" spans="1:10" x14ac:dyDescent="0.35">
      <c r="A116" s="19">
        <v>46309.471299871293</v>
      </c>
      <c r="B116" s="20" t="s">
        <v>48</v>
      </c>
      <c r="C116" s="21" t="s">
        <v>1310</v>
      </c>
      <c r="D116" s="20" t="s">
        <v>16</v>
      </c>
      <c r="E116" s="20"/>
      <c r="F116" s="20"/>
      <c r="G116" s="22">
        <f>IF(A116="","",IF(A116&gt;=1,A116,IF(MAX($G$2:G115)=0,INT(SETTINGS!$B$4)+A116,INT(MAX($G$2:G115))+A116+IF(A116&lt;MOD(MAX($G$2:G115),1),1,0))))</f>
        <v>46309.471299871293</v>
      </c>
      <c r="H116" s="23">
        <f>IF(D116="","",IF(IFERROR(VLOOKUP(D116,LISTS!$A$2:$E$10,3,FALSE),0)=0,0,IF(IFERROR(COUNTIFS($C$2:C115,C116,$H$2:H115,1,$G$2:G115,"&gt;="&amp;(G116-15/1440)),0)&gt;0,0,1)))</f>
        <v>1</v>
      </c>
      <c r="I116" s="23" t="str">
        <f>IF(H116=1,C116&amp;"|"&amp;COUNTIFS($C$2:C116,C116,$H$2:H116,1),"")</f>
        <v>9000002958|1</v>
      </c>
      <c r="J116" s="23" t="str">
        <f>IF(D116="","",IF(A116="","Missing time",IF(D116="NO_SLOTS",IF(COUNTIF(PARTNERS!$A$2:$A$88,E116)=0,"Write the company in column E","OK"),IF(C116="","Missing phone",IF(COUNTIF(DESK!$F$2:$F$601,C116)=0,"Phone not found: copy it from your list",IF(AND(E116&lt;&gt;"",COUNTIFS(DESK!$F$2:$F$601,C116,DESK!$B$2:$B$601,E116)=0),"Company is not one of theirs","OK"))))))</f>
        <v>OK</v>
      </c>
    </row>
    <row r="117" spans="1:10" x14ac:dyDescent="0.35">
      <c r="A117" s="19">
        <v>46309.476359650835</v>
      </c>
      <c r="B117" s="20" t="s">
        <v>48</v>
      </c>
      <c r="C117" s="21" t="s">
        <v>504</v>
      </c>
      <c r="D117" s="20" t="s">
        <v>20</v>
      </c>
      <c r="E117" s="20"/>
      <c r="F117" s="20"/>
      <c r="G117" s="22">
        <f>IF(A117="","",IF(A117&gt;=1,A117,IF(MAX($G$2:G116)=0,INT(SETTINGS!$B$4)+A117,INT(MAX($G$2:G116))+A117+IF(A117&lt;MOD(MAX($G$2:G116),1),1,0))))</f>
        <v>46309.476359650835</v>
      </c>
      <c r="H117" s="23">
        <f>IF(D117="","",IF(IFERROR(VLOOKUP(D117,LISTS!$A$2:$E$10,3,FALSE),0)=0,0,IF(IFERROR(COUNTIFS($C$2:C116,C117,$H$2:H116,1,$G$2:G116,"&gt;="&amp;(G117-15/1440)),0)&gt;0,0,1)))</f>
        <v>1</v>
      </c>
      <c r="I117" s="23" t="str">
        <f>IF(H117=1,C117&amp;"|"&amp;COUNTIFS($C$2:C117,C117,$H$2:H117,1),"")</f>
        <v>9000001177|1</v>
      </c>
      <c r="J117" s="23" t="str">
        <f>IF(D117="","",IF(A117="","Missing time",IF(D117="NO_SLOTS",IF(COUNTIF(PARTNERS!$A$2:$A$88,E117)=0,"Write the company in column E","OK"),IF(C117="","Missing phone",IF(COUNTIF(DESK!$F$2:$F$601,C117)=0,"Phone not found: copy it from your list",IF(AND(E117&lt;&gt;"",COUNTIFS(DESK!$F$2:$F$601,C117,DESK!$B$2:$B$601,E117)=0),"Company is not one of theirs","OK"))))))</f>
        <v>OK</v>
      </c>
    </row>
    <row r="118" spans="1:10" x14ac:dyDescent="0.35">
      <c r="A118" s="19">
        <v>46309.459538439194</v>
      </c>
      <c r="B118" s="20" t="s">
        <v>2127</v>
      </c>
      <c r="C118" s="21" t="s">
        <v>804</v>
      </c>
      <c r="D118" s="20" t="s">
        <v>30</v>
      </c>
      <c r="E118" s="20" t="s">
        <v>207</v>
      </c>
      <c r="F118" s="20" t="s">
        <v>2128</v>
      </c>
      <c r="G118" s="22">
        <f>IF(A118="","",IF(A118&gt;=1,A118,IF(MAX($G$2:G117)=0,INT(SETTINGS!$B$4)+A118,INT(MAX($G$2:G117))+A118+IF(A118&lt;MOD(MAX($G$2:G117),1),1,0))))</f>
        <v>46309.459538439194</v>
      </c>
      <c r="H118" s="23">
        <f>IF(D118="","",IF(IFERROR(VLOOKUP(D118,LISTS!$A$2:$E$10,3,FALSE),0)=0,0,IF(IFERROR(COUNTIFS($C$2:C117,C118,$H$2:H117,1,$G$2:G117,"&gt;="&amp;(G118-15/1440)),0)&gt;0,0,1)))</f>
        <v>0</v>
      </c>
      <c r="I118" s="23" t="str">
        <f>IF(H118=1,C118&amp;"|"&amp;COUNTIFS($C$2:C118,C118,$H$2:H118,1),"")</f>
        <v/>
      </c>
      <c r="J118" s="23" t="str">
        <f>IF(D118="","",IF(A118="","Missing time",IF(D118="NO_SLOTS",IF(COUNTIF(PARTNERS!$A$2:$A$88,E118)=0,"Write the company in column E","OK"),IF(C118="","Missing phone",IF(COUNTIF(DESK!$F$2:$F$601,C118)=0,"Phone not found: copy it from your list",IF(AND(E118&lt;&gt;"",COUNTIFS(DESK!$F$2:$F$601,C118,DESK!$B$2:$B$601,E118)=0),"Company is not one of theirs","OK"))))))</f>
        <v>OK</v>
      </c>
    </row>
    <row r="119" spans="1:10" x14ac:dyDescent="0.35">
      <c r="A119" s="19">
        <v>46309.459890352977</v>
      </c>
      <c r="B119" s="20" t="s">
        <v>2127</v>
      </c>
      <c r="C119" s="21" t="s">
        <v>1429</v>
      </c>
      <c r="D119" s="20" t="s">
        <v>30</v>
      </c>
      <c r="E119" s="20" t="s">
        <v>194</v>
      </c>
      <c r="F119" s="20" t="s">
        <v>2128</v>
      </c>
      <c r="G119" s="22">
        <f>IF(A119="","",IF(A119&gt;=1,A119,IF(MAX($G$2:G118)=0,INT(SETTINGS!$B$4)+A119,INT(MAX($G$2:G118))+A119+IF(A119&lt;MOD(MAX($G$2:G118),1),1,0))))</f>
        <v>46309.459890352977</v>
      </c>
      <c r="H119" s="23">
        <f>IF(D119="","",IF(IFERROR(VLOOKUP(D119,LISTS!$A$2:$E$10,3,FALSE),0)=0,0,IF(IFERROR(COUNTIFS($C$2:C118,C119,$H$2:H118,1,$G$2:G118,"&gt;="&amp;(G119-15/1440)),0)&gt;0,0,1)))</f>
        <v>0</v>
      </c>
      <c r="I119" s="23" t="str">
        <f>IF(H119=1,C119&amp;"|"&amp;COUNTIFS($C$2:C119,C119,$H$2:H119,1),"")</f>
        <v/>
      </c>
      <c r="J119" s="23" t="str">
        <f>IF(D119="","",IF(A119="","Missing time",IF(D119="NO_SLOTS",IF(COUNTIF(PARTNERS!$A$2:$A$88,E119)=0,"Write the company in column E","OK"),IF(C119="","Missing phone",IF(COUNTIF(DESK!$F$2:$F$601,C119)=0,"Phone not found: copy it from your list",IF(AND(E119&lt;&gt;"",COUNTIFS(DESK!$F$2:$F$601,C119,DESK!$B$2:$B$601,E119)=0),"Company is not one of theirs","OK"))))))</f>
        <v>OK</v>
      </c>
    </row>
    <row r="120" spans="1:10" x14ac:dyDescent="0.35">
      <c r="A120" s="19">
        <v>46309.461132443786</v>
      </c>
      <c r="B120" s="20" t="s">
        <v>2127</v>
      </c>
      <c r="C120" s="21" t="s">
        <v>577</v>
      </c>
      <c r="D120" s="20" t="s">
        <v>30</v>
      </c>
      <c r="E120" s="20" t="s">
        <v>402</v>
      </c>
      <c r="F120" s="20" t="s">
        <v>2128</v>
      </c>
      <c r="G120" s="22">
        <f>IF(A120="","",IF(A120&gt;=1,A120,IF(MAX($G$2:G119)=0,INT(SETTINGS!$B$4)+A120,INT(MAX($G$2:G119))+A120+IF(A120&lt;MOD(MAX($G$2:G119),1),1,0))))</f>
        <v>46309.461132443786</v>
      </c>
      <c r="H120" s="23">
        <f>IF(D120="","",IF(IFERROR(VLOOKUP(D120,LISTS!$A$2:$E$10,3,FALSE),0)=0,0,IF(IFERROR(COUNTIFS($C$2:C119,C120,$H$2:H119,1,$G$2:G119,"&gt;="&amp;(G120-15/1440)),0)&gt;0,0,1)))</f>
        <v>0</v>
      </c>
      <c r="I120" s="23" t="str">
        <f>IF(H120=1,C120&amp;"|"&amp;COUNTIFS($C$2:C120,C120,$H$2:H120,1),"")</f>
        <v/>
      </c>
      <c r="J120" s="23" t="str">
        <f>IF(D120="","",IF(A120="","Missing time",IF(D120="NO_SLOTS",IF(COUNTIF(PARTNERS!$A$2:$A$88,E120)=0,"Write the company in column E","OK"),IF(C120="","Missing phone",IF(COUNTIF(DESK!$F$2:$F$601,C120)=0,"Phone not found: copy it from your list",IF(AND(E120&lt;&gt;"",COUNTIFS(DESK!$F$2:$F$601,C120,DESK!$B$2:$B$601,E120)=0),"Company is not one of theirs","OK"))))))</f>
        <v>OK</v>
      </c>
    </row>
    <row r="121" spans="1:10" x14ac:dyDescent="0.35">
      <c r="A121" s="19">
        <v>46309.462033828015</v>
      </c>
      <c r="B121" s="20" t="s">
        <v>2127</v>
      </c>
      <c r="C121" s="21" t="s">
        <v>1554</v>
      </c>
      <c r="D121" s="20" t="s">
        <v>30</v>
      </c>
      <c r="E121" s="20" t="s">
        <v>189</v>
      </c>
      <c r="F121" s="20" t="s">
        <v>2128</v>
      </c>
      <c r="G121" s="22">
        <f>IF(A121="","",IF(A121&gt;=1,A121,IF(MAX($G$2:G120)=0,INT(SETTINGS!$B$4)+A121,INT(MAX($G$2:G120))+A121+IF(A121&lt;MOD(MAX($G$2:G120),1),1,0))))</f>
        <v>46309.462033828015</v>
      </c>
      <c r="H121" s="23">
        <f>IF(D121="","",IF(IFERROR(VLOOKUP(D121,LISTS!$A$2:$E$10,3,FALSE),0)=0,0,IF(IFERROR(COUNTIFS($C$2:C120,C121,$H$2:H120,1,$G$2:G120,"&gt;="&amp;(G121-15/1440)),0)&gt;0,0,1)))</f>
        <v>0</v>
      </c>
      <c r="I121" s="23" t="str">
        <f>IF(H121=1,C121&amp;"|"&amp;COUNTIFS($C$2:C121,C121,$H$2:H121,1),"")</f>
        <v/>
      </c>
      <c r="J121" s="23" t="str">
        <f>IF(D121="","",IF(A121="","Missing time",IF(D121="NO_SLOTS",IF(COUNTIF(PARTNERS!$A$2:$A$88,E121)=0,"Write the company in column E","OK"),IF(C121="","Missing phone",IF(COUNTIF(DESK!$F$2:$F$601,C121)=0,"Phone not found: copy it from your list",IF(AND(E121&lt;&gt;"",COUNTIFS(DESK!$F$2:$F$601,C121,DESK!$B$2:$B$601,E121)=0),"Company is not one of theirs","OK"))))))</f>
        <v>OK</v>
      </c>
    </row>
    <row r="122" spans="1:10" x14ac:dyDescent="0.35">
      <c r="A122" s="19">
        <v>46309.462900326296</v>
      </c>
      <c r="B122" s="20" t="s">
        <v>2127</v>
      </c>
      <c r="C122" s="21" t="s">
        <v>1667</v>
      </c>
      <c r="D122" s="20" t="s">
        <v>30</v>
      </c>
      <c r="E122" s="20" t="s">
        <v>194</v>
      </c>
      <c r="F122" s="20" t="s">
        <v>2128</v>
      </c>
      <c r="G122" s="22">
        <f>IF(A122="","",IF(A122&gt;=1,A122,IF(MAX($G$2:G121)=0,INT(SETTINGS!$B$4)+A122,INT(MAX($G$2:G121))+A122+IF(A122&lt;MOD(MAX($G$2:G121),1),1,0))))</f>
        <v>46309.462900326296</v>
      </c>
      <c r="H122" s="23">
        <f>IF(D122="","",IF(IFERROR(VLOOKUP(D122,LISTS!$A$2:$E$10,3,FALSE),0)=0,0,IF(IFERROR(COUNTIFS($C$2:C121,C122,$H$2:H121,1,$G$2:G121,"&gt;="&amp;(G122-15/1440)),0)&gt;0,0,1)))</f>
        <v>0</v>
      </c>
      <c r="I122" s="23" t="str">
        <f>IF(H122=1,C122&amp;"|"&amp;COUNTIFS($C$2:C122,C122,$H$2:H122,1),"")</f>
        <v/>
      </c>
      <c r="J122" s="23" t="str">
        <f>IF(D122="","",IF(A122="","Missing time",IF(D122="NO_SLOTS",IF(COUNTIF(PARTNERS!$A$2:$A$88,E122)=0,"Write the company in column E","OK"),IF(C122="","Missing phone",IF(COUNTIF(DESK!$F$2:$F$601,C122)=0,"Phone not found: copy it from your list",IF(AND(E122&lt;&gt;"",COUNTIFS(DESK!$F$2:$F$601,C122,DESK!$B$2:$B$601,E122)=0),"Company is not one of theirs","OK"))))))</f>
        <v>OK</v>
      </c>
    </row>
    <row r="123" spans="1:10" x14ac:dyDescent="0.35">
      <c r="A123" s="19">
        <v>46309.46528172282</v>
      </c>
      <c r="B123" s="20" t="s">
        <v>2127</v>
      </c>
      <c r="C123" s="21" t="s">
        <v>531</v>
      </c>
      <c r="D123" s="20" t="s">
        <v>30</v>
      </c>
      <c r="E123" s="20" t="s">
        <v>432</v>
      </c>
      <c r="F123" s="20" t="s">
        <v>2128</v>
      </c>
      <c r="G123" s="22">
        <f>IF(A123="","",IF(A123&gt;=1,A123,IF(MAX($G$2:G122)=0,INT(SETTINGS!$B$4)+A123,INT(MAX($G$2:G122))+A123+IF(A123&lt;MOD(MAX($G$2:G122),1),1,0))))</f>
        <v>46309.46528172282</v>
      </c>
      <c r="H123" s="23">
        <f>IF(D123="","",IF(IFERROR(VLOOKUP(D123,LISTS!$A$2:$E$10,3,FALSE),0)=0,0,IF(IFERROR(COUNTIFS($C$2:C122,C123,$H$2:H122,1,$G$2:G122,"&gt;="&amp;(G123-15/1440)),0)&gt;0,0,1)))</f>
        <v>0</v>
      </c>
      <c r="I123" s="23" t="str">
        <f>IF(H123=1,C123&amp;"|"&amp;COUNTIFS($C$2:C123,C123,$H$2:H123,1),"")</f>
        <v/>
      </c>
      <c r="J123" s="23" t="str">
        <f>IF(D123="","",IF(A123="","Missing time",IF(D123="NO_SLOTS",IF(COUNTIF(PARTNERS!$A$2:$A$88,E123)=0,"Write the company in column E","OK"),IF(C123="","Missing phone",IF(COUNTIF(DESK!$F$2:$F$601,C123)=0,"Phone not found: copy it from your list",IF(AND(E123&lt;&gt;"",COUNTIFS(DESK!$F$2:$F$601,C123,DESK!$B$2:$B$601,E123)=0),"Company is not one of theirs","OK"))))))</f>
        <v>OK</v>
      </c>
    </row>
    <row r="124" spans="1:10" x14ac:dyDescent="0.35">
      <c r="A124" s="19">
        <v>46309.467643768432</v>
      </c>
      <c r="B124" s="20" t="s">
        <v>2127</v>
      </c>
      <c r="C124" s="21" t="s">
        <v>625</v>
      </c>
      <c r="D124" s="20" t="s">
        <v>30</v>
      </c>
      <c r="E124" s="20" t="s">
        <v>189</v>
      </c>
      <c r="F124" s="20" t="s">
        <v>2128</v>
      </c>
      <c r="G124" s="22">
        <f>IF(A124="","",IF(A124&gt;=1,A124,IF(MAX($G$2:G123)=0,INT(SETTINGS!$B$4)+A124,INT(MAX($G$2:G123))+A124+IF(A124&lt;MOD(MAX($G$2:G123),1),1,0))))</f>
        <v>46309.467643768432</v>
      </c>
      <c r="H124" s="23">
        <f>IF(D124="","",IF(IFERROR(VLOOKUP(D124,LISTS!$A$2:$E$10,3,FALSE),0)=0,0,IF(IFERROR(COUNTIFS($C$2:C123,C124,$H$2:H123,1,$G$2:G123,"&gt;="&amp;(G124-15/1440)),0)&gt;0,0,1)))</f>
        <v>0</v>
      </c>
      <c r="I124" s="23" t="str">
        <f>IF(H124=1,C124&amp;"|"&amp;COUNTIFS($C$2:C124,C124,$H$2:H124,1),"")</f>
        <v/>
      </c>
      <c r="J124" s="23" t="str">
        <f>IF(D124="","",IF(A124="","Missing time",IF(D124="NO_SLOTS",IF(COUNTIF(PARTNERS!$A$2:$A$88,E124)=0,"Write the company in column E","OK"),IF(C124="","Missing phone",IF(COUNTIF(DESK!$F$2:$F$601,C124)=0,"Phone not found: copy it from your list",IF(AND(E124&lt;&gt;"",COUNTIFS(DESK!$F$2:$F$601,C124,DESK!$B$2:$B$601,E124)=0),"Company is not one of theirs","OK"))))))</f>
        <v>OK</v>
      </c>
    </row>
    <row r="125" spans="1:10" x14ac:dyDescent="0.35">
      <c r="A125" s="19">
        <v>46309.482679723646</v>
      </c>
      <c r="B125" s="20" t="s">
        <v>48</v>
      </c>
      <c r="C125" s="21" t="s">
        <v>531</v>
      </c>
      <c r="D125" s="20" t="s">
        <v>20</v>
      </c>
      <c r="E125" s="20"/>
      <c r="F125" s="20"/>
      <c r="G125" s="22">
        <f>IF(A125="","",IF(A125&gt;=1,A125,IF(MAX($G$2:G124)=0,INT(SETTINGS!$B$4)+A125,INT(MAX($G$2:G124))+A125+IF(A125&lt;MOD(MAX($G$2:G124),1),1,0))))</f>
        <v>46309.482679723646</v>
      </c>
      <c r="H125" s="23">
        <f>IF(D125="","",IF(IFERROR(VLOOKUP(D125,LISTS!$A$2:$E$10,3,FALSE),0)=0,0,IF(IFERROR(COUNTIFS($C$2:C124,C125,$H$2:H124,1,$G$2:G124,"&gt;="&amp;(G125-15/1440)),0)&gt;0,0,1)))</f>
        <v>1</v>
      </c>
      <c r="I125" s="23" t="str">
        <f>IF(H125=1,C125&amp;"|"&amp;COUNTIFS($C$2:C125,C125,$H$2:H125,1),"")</f>
        <v>9000001008|1</v>
      </c>
      <c r="J125" s="23" t="str">
        <f>IF(D125="","",IF(A125="","Missing time",IF(D125="NO_SLOTS",IF(COUNTIF(PARTNERS!$A$2:$A$88,E125)=0,"Write the company in column E","OK"),IF(C125="","Missing phone",IF(COUNTIF(DESK!$F$2:$F$601,C125)=0,"Phone not found: copy it from your list",IF(AND(E125&lt;&gt;"",COUNTIFS(DESK!$F$2:$F$601,C125,DESK!$B$2:$B$601,E125)=0),"Company is not one of theirs","OK"))))))</f>
        <v>OK</v>
      </c>
    </row>
    <row r="126" spans="1:10" x14ac:dyDescent="0.35">
      <c r="A126" s="19">
        <v>46309.487604738439</v>
      </c>
      <c r="B126" s="20" t="s">
        <v>48</v>
      </c>
      <c r="C126" s="21" t="s">
        <v>544</v>
      </c>
      <c r="D126" s="20" t="s">
        <v>18</v>
      </c>
      <c r="E126" s="20"/>
      <c r="F126" s="20" t="s">
        <v>2130</v>
      </c>
      <c r="G126" s="22">
        <f>IF(A126="","",IF(A126&gt;=1,A126,IF(MAX($G$2:G125)=0,INT(SETTINGS!$B$4)+A126,INT(MAX($G$2:G125))+A126+IF(A126&lt;MOD(MAX($G$2:G125),1),1,0))))</f>
        <v>46309.487604738439</v>
      </c>
      <c r="H126" s="23">
        <f>IF(D126="","",IF(IFERROR(VLOOKUP(D126,LISTS!$A$2:$E$10,3,FALSE),0)=0,0,IF(IFERROR(COUNTIFS($C$2:C125,C126,$H$2:H125,1,$G$2:G125,"&gt;="&amp;(G126-15/1440)),0)&gt;0,0,1)))</f>
        <v>1</v>
      </c>
      <c r="I126" s="23" t="str">
        <f>IF(H126=1,C126&amp;"|"&amp;COUNTIFS($C$2:C126,C126,$H$2:H126,1),"")</f>
        <v>9000004271|1</v>
      </c>
      <c r="J126" s="23" t="str">
        <f>IF(D126="","",IF(A126="","Missing time",IF(D126="NO_SLOTS",IF(COUNTIF(PARTNERS!$A$2:$A$88,E126)=0,"Write the company in column E","OK"),IF(C126="","Missing phone",IF(COUNTIF(DESK!$F$2:$F$601,C126)=0,"Phone not found: copy it from your list",IF(AND(E126&lt;&gt;"",COUNTIFS(DESK!$F$2:$F$601,C126,DESK!$B$2:$B$601,E126)=0),"Company is not one of theirs","OK"))))))</f>
        <v>OK</v>
      </c>
    </row>
    <row r="127" spans="1:10" x14ac:dyDescent="0.35">
      <c r="A127" s="19">
        <v>46309.490362378245</v>
      </c>
      <c r="B127" s="20" t="s">
        <v>48</v>
      </c>
      <c r="C127" s="21" t="s">
        <v>804</v>
      </c>
      <c r="D127" s="20" t="s">
        <v>20</v>
      </c>
      <c r="E127" s="20"/>
      <c r="F127" s="20"/>
      <c r="G127" s="22">
        <f>IF(A127="","",IF(A127&gt;=1,A127,IF(MAX($G$2:G126)=0,INT(SETTINGS!$B$4)+A127,INT(MAX($G$2:G126))+A127+IF(A127&lt;MOD(MAX($G$2:G126),1),1,0))))</f>
        <v>46309.490362378245</v>
      </c>
      <c r="H127" s="23">
        <f>IF(D127="","",IF(IFERROR(VLOOKUP(D127,LISTS!$A$2:$E$10,3,FALSE),0)=0,0,IF(IFERROR(COUNTIFS($C$2:C126,C127,$H$2:H126,1,$G$2:G126,"&gt;="&amp;(G127-15/1440)),0)&gt;0,0,1)))</f>
        <v>1</v>
      </c>
      <c r="I127" s="23" t="str">
        <f>IF(H127=1,C127&amp;"|"&amp;COUNTIFS($C$2:C127,C127,$H$2:H127,1),"")</f>
        <v>9000003491|1</v>
      </c>
      <c r="J127" s="23" t="str">
        <f>IF(D127="","",IF(A127="","Missing time",IF(D127="NO_SLOTS",IF(COUNTIF(PARTNERS!$A$2:$A$88,E127)=0,"Write the company in column E","OK"),IF(C127="","Missing phone",IF(COUNTIF(DESK!$F$2:$F$601,C127)=0,"Phone not found: copy it from your list",IF(AND(E127&lt;&gt;"",COUNTIFS(DESK!$F$2:$F$601,C127,DESK!$B$2:$B$601,E127)=0),"Company is not one of theirs","OK"))))))</f>
        <v>OK</v>
      </c>
    </row>
    <row r="128" spans="1:10" x14ac:dyDescent="0.35">
      <c r="A128" s="19">
        <v>46309.49511669093</v>
      </c>
      <c r="B128" s="20" t="s">
        <v>48</v>
      </c>
      <c r="C128" s="21" t="s">
        <v>853</v>
      </c>
      <c r="D128" s="20" t="s">
        <v>22</v>
      </c>
      <c r="E128" s="20"/>
      <c r="F128" s="20" t="s">
        <v>2129</v>
      </c>
      <c r="G128" s="22">
        <f>IF(A128="","",IF(A128&gt;=1,A128,IF(MAX($G$2:G127)=0,INT(SETTINGS!$B$4)+A128,INT(MAX($G$2:G127))+A128+IF(A128&lt;MOD(MAX($G$2:G127),1),1,0))))</f>
        <v>46309.49511669093</v>
      </c>
      <c r="H128" s="23">
        <f>IF(D128="","",IF(IFERROR(VLOOKUP(D128,LISTS!$A$2:$E$10,3,FALSE),0)=0,0,IF(IFERROR(COUNTIFS($C$2:C127,C128,$H$2:H127,1,$G$2:G127,"&gt;="&amp;(G128-15/1440)),0)&gt;0,0,1)))</f>
        <v>1</v>
      </c>
      <c r="I128" s="23" t="str">
        <f>IF(H128=1,C128&amp;"|"&amp;COUNTIFS($C$2:C128,C128,$H$2:H128,1),"")</f>
        <v>9000000462|1</v>
      </c>
      <c r="J128" s="23" t="str">
        <f>IF(D128="","",IF(A128="","Missing time",IF(D128="NO_SLOTS",IF(COUNTIF(PARTNERS!$A$2:$A$88,E128)=0,"Write the company in column E","OK"),IF(C128="","Missing phone",IF(COUNTIF(DESK!$F$2:$F$601,C128)=0,"Phone not found: copy it from your list",IF(AND(E128&lt;&gt;"",COUNTIFS(DESK!$F$2:$F$601,C128,DESK!$B$2:$B$601,E128)=0),"Company is not one of theirs","OK"))))))</f>
        <v>OK</v>
      </c>
    </row>
    <row r="129" spans="1:10" x14ac:dyDescent="0.35">
      <c r="A129" s="19">
        <v>46309.499735475416</v>
      </c>
      <c r="B129" s="20" t="s">
        <v>48</v>
      </c>
      <c r="C129" s="21" t="s">
        <v>884</v>
      </c>
      <c r="D129" s="20" t="s">
        <v>22</v>
      </c>
      <c r="E129" s="20"/>
      <c r="F129" s="20" t="s">
        <v>2129</v>
      </c>
      <c r="G129" s="22">
        <f>IF(A129="","",IF(A129&gt;=1,A129,IF(MAX($G$2:G128)=0,INT(SETTINGS!$B$4)+A129,INT(MAX($G$2:G128))+A129+IF(A129&lt;MOD(MAX($G$2:G128),1),1,0))))</f>
        <v>46309.499735475416</v>
      </c>
      <c r="H129" s="23">
        <f>IF(D129="","",IF(IFERROR(VLOOKUP(D129,LISTS!$A$2:$E$10,3,FALSE),0)=0,0,IF(IFERROR(COUNTIFS($C$2:C128,C129,$H$2:H128,1,$G$2:G128,"&gt;="&amp;(G129-15/1440)),0)&gt;0,0,1)))</f>
        <v>1</v>
      </c>
      <c r="I129" s="23" t="str">
        <f>IF(H129=1,C129&amp;"|"&amp;COUNTIFS($C$2:C129,C129,$H$2:H129,1),"")</f>
        <v>9000004427|1</v>
      </c>
      <c r="J129" s="23" t="str">
        <f>IF(D129="","",IF(A129="","Missing time",IF(D129="NO_SLOTS",IF(COUNTIF(PARTNERS!$A$2:$A$88,E129)=0,"Write the company in column E","OK"),IF(C129="","Missing phone",IF(COUNTIF(DESK!$F$2:$F$601,C129)=0,"Phone not found: copy it from your list",IF(AND(E129&lt;&gt;"",COUNTIFS(DESK!$F$2:$F$601,C129,DESK!$B$2:$B$601,E129)=0),"Company is not one of theirs","OK"))))))</f>
        <v>OK</v>
      </c>
    </row>
    <row r="130" spans="1:10" x14ac:dyDescent="0.35">
      <c r="A130" s="19">
        <v>46309.499966956893</v>
      </c>
      <c r="B130" s="20" t="s">
        <v>48</v>
      </c>
      <c r="C130" s="21" t="s">
        <v>884</v>
      </c>
      <c r="D130" s="20" t="s">
        <v>20</v>
      </c>
      <c r="E130" s="20" t="s">
        <v>197</v>
      </c>
      <c r="F130" s="20"/>
      <c r="G130" s="22">
        <f>IF(A130="","",IF(A130&gt;=1,A130,IF(MAX($G$2:G129)=0,INT(SETTINGS!$B$4)+A130,INT(MAX($G$2:G129))+A130+IF(A130&lt;MOD(MAX($G$2:G129),1),1,0))))</f>
        <v>46309.499966956893</v>
      </c>
      <c r="H130" s="23">
        <f>IF(D130="","",IF(IFERROR(VLOOKUP(D130,LISTS!$A$2:$E$10,3,FALSE),0)=0,0,IF(IFERROR(COUNTIFS($C$2:C129,C130,$H$2:H129,1,$G$2:G129,"&gt;="&amp;(G130-15/1440)),0)&gt;0,0,1)))</f>
        <v>0</v>
      </c>
      <c r="I130" s="23" t="str">
        <f>IF(H130=1,C130&amp;"|"&amp;COUNTIFS($C$2:C130,C130,$H$2:H130,1),"")</f>
        <v/>
      </c>
      <c r="J130" s="23" t="str">
        <f>IF(D130="","",IF(A130="","Missing time",IF(D130="NO_SLOTS",IF(COUNTIF(PARTNERS!$A$2:$A$88,E130)=0,"Write the company in column E","OK"),IF(C130="","Missing phone",IF(COUNTIF(DESK!$F$2:$F$601,C130)=0,"Phone not found: copy it from your list",IF(AND(E130&lt;&gt;"",COUNTIFS(DESK!$F$2:$F$601,C130,DESK!$B$2:$B$601,E130)=0),"Company is not one of theirs","OK"))))))</f>
        <v>OK</v>
      </c>
    </row>
    <row r="131" spans="1:10" x14ac:dyDescent="0.35">
      <c r="A131" s="19">
        <v>46309.485389268935</v>
      </c>
      <c r="B131" s="20" t="s">
        <v>2127</v>
      </c>
      <c r="C131" s="21" t="s">
        <v>1229</v>
      </c>
      <c r="D131" s="20" t="s">
        <v>30</v>
      </c>
      <c r="E131" s="20" t="s">
        <v>207</v>
      </c>
      <c r="F131" s="20" t="s">
        <v>2128</v>
      </c>
      <c r="G131" s="22">
        <f>IF(A131="","",IF(A131&gt;=1,A131,IF(MAX($G$2:G130)=0,INT(SETTINGS!$B$4)+A131,INT(MAX($G$2:G130))+A131+IF(A131&lt;MOD(MAX($G$2:G130),1),1,0))))</f>
        <v>46309.485389268935</v>
      </c>
      <c r="H131" s="23">
        <f>IF(D131="","",IF(IFERROR(VLOOKUP(D131,LISTS!$A$2:$E$10,3,FALSE),0)=0,0,IF(IFERROR(COUNTIFS($C$2:C130,C131,$H$2:H130,1,$G$2:G130,"&gt;="&amp;(G131-15/1440)),0)&gt;0,0,1)))</f>
        <v>0</v>
      </c>
      <c r="I131" s="23" t="str">
        <f>IF(H131=1,C131&amp;"|"&amp;COUNTIFS($C$2:C131,C131,$H$2:H131,1),"")</f>
        <v/>
      </c>
      <c r="J131" s="23" t="str">
        <f>IF(D131="","",IF(A131="","Missing time",IF(D131="NO_SLOTS",IF(COUNTIF(PARTNERS!$A$2:$A$88,E131)=0,"Write the company in column E","OK"),IF(C131="","Missing phone",IF(COUNTIF(DESK!$F$2:$F$601,C131)=0,"Phone not found: copy it from your list",IF(AND(E131&lt;&gt;"",COUNTIFS(DESK!$F$2:$F$601,C131,DESK!$B$2:$B$601,E131)=0),"Company is not one of theirs","OK"))))))</f>
        <v>OK</v>
      </c>
    </row>
    <row r="132" spans="1:10" x14ac:dyDescent="0.35">
      <c r="A132" s="19">
        <v>46309.491160385936</v>
      </c>
      <c r="B132" s="20" t="s">
        <v>2127</v>
      </c>
      <c r="C132" s="21" t="s">
        <v>675</v>
      </c>
      <c r="D132" s="20" t="s">
        <v>30</v>
      </c>
      <c r="E132" s="20" t="s">
        <v>197</v>
      </c>
      <c r="F132" s="20" t="s">
        <v>2128</v>
      </c>
      <c r="G132" s="22">
        <f>IF(A132="","",IF(A132&gt;=1,A132,IF(MAX($G$2:G131)=0,INT(SETTINGS!$B$4)+A132,INT(MAX($G$2:G131))+A132+IF(A132&lt;MOD(MAX($G$2:G131),1),1,0))))</f>
        <v>46309.491160385936</v>
      </c>
      <c r="H132" s="23">
        <f>IF(D132="","",IF(IFERROR(VLOOKUP(D132,LISTS!$A$2:$E$10,3,FALSE),0)=0,0,IF(IFERROR(COUNTIFS($C$2:C131,C132,$H$2:H131,1,$G$2:G131,"&gt;="&amp;(G132-15/1440)),0)&gt;0,0,1)))</f>
        <v>0</v>
      </c>
      <c r="I132" s="23" t="str">
        <f>IF(H132=1,C132&amp;"|"&amp;COUNTIFS($C$2:C132,C132,$H$2:H132,1),"")</f>
        <v/>
      </c>
      <c r="J132" s="23" t="str">
        <f>IF(D132="","",IF(A132="","Missing time",IF(D132="NO_SLOTS",IF(COUNTIF(PARTNERS!$A$2:$A$88,E132)=0,"Write the company in column E","OK"),IF(C132="","Missing phone",IF(COUNTIF(DESK!$F$2:$F$601,C132)=0,"Phone not found: copy it from your list",IF(AND(E132&lt;&gt;"",COUNTIFS(DESK!$F$2:$F$601,C132,DESK!$B$2:$B$601,E132)=0),"Company is not one of theirs","OK"))))))</f>
        <v>OK</v>
      </c>
    </row>
    <row r="133" spans="1:10" x14ac:dyDescent="0.35">
      <c r="A133" s="19">
        <v>46309.492253085009</v>
      </c>
      <c r="B133" s="20" t="s">
        <v>2127</v>
      </c>
      <c r="C133" s="21" t="s">
        <v>1741</v>
      </c>
      <c r="D133" s="20" t="s">
        <v>30</v>
      </c>
      <c r="E133" s="20" t="s">
        <v>210</v>
      </c>
      <c r="F133" s="20" t="s">
        <v>2128</v>
      </c>
      <c r="G133" s="22">
        <f>IF(A133="","",IF(A133&gt;=1,A133,IF(MAX($G$2:G132)=0,INT(SETTINGS!$B$4)+A133,INT(MAX($G$2:G132))+A133+IF(A133&lt;MOD(MAX($G$2:G132),1),1,0))))</f>
        <v>46309.492253085009</v>
      </c>
      <c r="H133" s="23">
        <f>IF(D133="","",IF(IFERROR(VLOOKUP(D133,LISTS!$A$2:$E$10,3,FALSE),0)=0,0,IF(IFERROR(COUNTIFS($C$2:C132,C133,$H$2:H132,1,$G$2:G132,"&gt;="&amp;(G133-15/1440)),0)&gt;0,0,1)))</f>
        <v>0</v>
      </c>
      <c r="I133" s="23" t="str">
        <f>IF(H133=1,C133&amp;"|"&amp;COUNTIFS($C$2:C133,C133,$H$2:H133,1),"")</f>
        <v/>
      </c>
      <c r="J133" s="23" t="str">
        <f>IF(D133="","",IF(A133="","Missing time",IF(D133="NO_SLOTS",IF(COUNTIF(PARTNERS!$A$2:$A$88,E133)=0,"Write the company in column E","OK"),IF(C133="","Missing phone",IF(COUNTIF(DESK!$F$2:$F$601,C133)=0,"Phone not found: copy it from your list",IF(AND(E133&lt;&gt;"",COUNTIFS(DESK!$F$2:$F$601,C133,DESK!$B$2:$B$601,E133)=0),"Company is not one of theirs","OK"))))))</f>
        <v>OK</v>
      </c>
    </row>
    <row r="134" spans="1:10" x14ac:dyDescent="0.35">
      <c r="A134" s="19">
        <v>46309.494325010019</v>
      </c>
      <c r="B134" s="20" t="s">
        <v>2127</v>
      </c>
      <c r="C134" s="21" t="s">
        <v>1080</v>
      </c>
      <c r="D134" s="20" t="s">
        <v>30</v>
      </c>
      <c r="E134" s="20" t="s">
        <v>194</v>
      </c>
      <c r="F134" s="20" t="s">
        <v>2128</v>
      </c>
      <c r="G134" s="22">
        <f>IF(A134="","",IF(A134&gt;=1,A134,IF(MAX($G$2:G133)=0,INT(SETTINGS!$B$4)+A134,INT(MAX($G$2:G133))+A134+IF(A134&lt;MOD(MAX($G$2:G133),1),1,0))))</f>
        <v>46309.494325010019</v>
      </c>
      <c r="H134" s="23">
        <f>IF(D134="","",IF(IFERROR(VLOOKUP(D134,LISTS!$A$2:$E$10,3,FALSE),0)=0,0,IF(IFERROR(COUNTIFS($C$2:C133,C134,$H$2:H133,1,$G$2:G133,"&gt;="&amp;(G134-15/1440)),0)&gt;0,0,1)))</f>
        <v>0</v>
      </c>
      <c r="I134" s="23" t="str">
        <f>IF(H134=1,C134&amp;"|"&amp;COUNTIFS($C$2:C134,C134,$H$2:H134,1),"")</f>
        <v/>
      </c>
      <c r="J134" s="23" t="str">
        <f>IF(D134="","",IF(A134="","Missing time",IF(D134="NO_SLOTS",IF(COUNTIF(PARTNERS!$A$2:$A$88,E134)=0,"Write the company in column E","OK"),IF(C134="","Missing phone",IF(COUNTIF(DESK!$F$2:$F$601,C134)=0,"Phone not found: copy it from your list",IF(AND(E134&lt;&gt;"",COUNTIFS(DESK!$F$2:$F$601,C134,DESK!$B$2:$B$601,E134)=0),"Company is not one of theirs","OK"))))))</f>
        <v>OK</v>
      </c>
    </row>
    <row r="135" spans="1:10" x14ac:dyDescent="0.35">
      <c r="A135" s="19">
        <v>46309.49749448472</v>
      </c>
      <c r="B135" s="20" t="s">
        <v>2127</v>
      </c>
      <c r="C135" s="21" t="s">
        <v>1166</v>
      </c>
      <c r="D135" s="20" t="s">
        <v>30</v>
      </c>
      <c r="E135" s="20" t="s">
        <v>306</v>
      </c>
      <c r="F135" s="20" t="s">
        <v>2128</v>
      </c>
      <c r="G135" s="22">
        <f>IF(A135="","",IF(A135&gt;=1,A135,IF(MAX($G$2:G134)=0,INT(SETTINGS!$B$4)+A135,INT(MAX($G$2:G134))+A135+IF(A135&lt;MOD(MAX($G$2:G134),1),1,0))))</f>
        <v>46309.49749448472</v>
      </c>
      <c r="H135" s="23">
        <f>IF(D135="","",IF(IFERROR(VLOOKUP(D135,LISTS!$A$2:$E$10,3,FALSE),0)=0,0,IF(IFERROR(COUNTIFS($C$2:C134,C135,$H$2:H134,1,$G$2:G134,"&gt;="&amp;(G135-15/1440)),0)&gt;0,0,1)))</f>
        <v>0</v>
      </c>
      <c r="I135" s="23" t="str">
        <f>IF(H135=1,C135&amp;"|"&amp;COUNTIFS($C$2:C135,C135,$H$2:H135,1),"")</f>
        <v/>
      </c>
      <c r="J135" s="23" t="str">
        <f>IF(D135="","",IF(A135="","Missing time",IF(D135="NO_SLOTS",IF(COUNTIF(PARTNERS!$A$2:$A$88,E135)=0,"Write the company in column E","OK"),IF(C135="","Missing phone",IF(COUNTIF(DESK!$F$2:$F$601,C135)=0,"Phone not found: copy it from your list",IF(AND(E135&lt;&gt;"",COUNTIFS(DESK!$F$2:$F$601,C135,DESK!$B$2:$B$601,E135)=0),"Company is not one of theirs","OK"))))))</f>
        <v>OK</v>
      </c>
    </row>
    <row r="136" spans="1:10" x14ac:dyDescent="0.35">
      <c r="A136" s="19">
        <v>46309.503856786425</v>
      </c>
      <c r="B136" s="20" t="s">
        <v>68</v>
      </c>
      <c r="C136" s="21" t="s">
        <v>1156</v>
      </c>
      <c r="D136" s="20" t="s">
        <v>22</v>
      </c>
      <c r="E136" s="20"/>
      <c r="F136" s="20" t="s">
        <v>2129</v>
      </c>
      <c r="G136" s="22">
        <f>IF(A136="","",IF(A136&gt;=1,A136,IF(MAX($G$2:G135)=0,INT(SETTINGS!$B$4)+A136,INT(MAX($G$2:G135))+A136+IF(A136&lt;MOD(MAX($G$2:G135),1),1,0))))</f>
        <v>46309.503856786425</v>
      </c>
      <c r="H136" s="23">
        <f>IF(D136="","",IF(IFERROR(VLOOKUP(D136,LISTS!$A$2:$E$10,3,FALSE),0)=0,0,IF(IFERROR(COUNTIFS($C$2:C135,C136,$H$2:H135,1,$G$2:G135,"&gt;="&amp;(G136-15/1440)),0)&gt;0,0,1)))</f>
        <v>1</v>
      </c>
      <c r="I136" s="23" t="str">
        <f>IF(H136=1,C136&amp;"|"&amp;COUNTIFS($C$2:C136,C136,$H$2:H136,1),"")</f>
        <v>9000003803|1</v>
      </c>
      <c r="J136" s="23" t="str">
        <f>IF(D136="","",IF(A136="","Missing time",IF(D136="NO_SLOTS",IF(COUNTIF(PARTNERS!$A$2:$A$88,E136)=0,"Write the company in column E","OK"),IF(C136="","Missing phone",IF(COUNTIF(DESK!$F$2:$F$601,C136)=0,"Phone not found: copy it from your list",IF(AND(E136&lt;&gt;"",COUNTIFS(DESK!$F$2:$F$601,C136,DESK!$B$2:$B$601,E136)=0),"Company is not one of theirs","OK"))))))</f>
        <v>OK</v>
      </c>
    </row>
    <row r="137" spans="1:10" x14ac:dyDescent="0.35">
      <c r="A137" s="19">
        <v>46309.504088267902</v>
      </c>
      <c r="B137" s="20" t="s">
        <v>68</v>
      </c>
      <c r="C137" s="21" t="s">
        <v>1156</v>
      </c>
      <c r="D137" s="20" t="s">
        <v>20</v>
      </c>
      <c r="E137" s="20" t="s">
        <v>210</v>
      </c>
      <c r="F137" s="20"/>
      <c r="G137" s="22">
        <f>IF(A137="","",IF(A137&gt;=1,A137,IF(MAX($G$2:G136)=0,INT(SETTINGS!$B$4)+A137,INT(MAX($G$2:G136))+A137+IF(A137&lt;MOD(MAX($G$2:G136),1),1,0))))</f>
        <v>46309.504088267902</v>
      </c>
      <c r="H137" s="23">
        <f>IF(D137="","",IF(IFERROR(VLOOKUP(D137,LISTS!$A$2:$E$10,3,FALSE),0)=0,0,IF(IFERROR(COUNTIFS($C$2:C136,C137,$H$2:H136,1,$G$2:G136,"&gt;="&amp;(G137-15/1440)),0)&gt;0,0,1)))</f>
        <v>0</v>
      </c>
      <c r="I137" s="23" t="str">
        <f>IF(H137=1,C137&amp;"|"&amp;COUNTIFS($C$2:C137,C137,$H$2:H137,1),"")</f>
        <v/>
      </c>
      <c r="J137" s="23" t="str">
        <f>IF(D137="","",IF(A137="","Missing time",IF(D137="NO_SLOTS",IF(COUNTIF(PARTNERS!$A$2:$A$88,E137)=0,"Write the company in column E","OK"),IF(C137="","Missing phone",IF(COUNTIF(DESK!$F$2:$F$601,C137)=0,"Phone not found: copy it from your list",IF(AND(E137&lt;&gt;"",COUNTIFS(DESK!$F$2:$F$601,C137,DESK!$B$2:$B$601,E137)=0),"Company is not one of theirs","OK"))))))</f>
        <v>OK</v>
      </c>
    </row>
    <row r="138" spans="1:10" x14ac:dyDescent="0.35">
      <c r="A138" s="19">
        <v>46309.504528382473</v>
      </c>
      <c r="B138" s="20" t="s">
        <v>48</v>
      </c>
      <c r="C138" s="21" t="s">
        <v>1355</v>
      </c>
      <c r="D138" s="20" t="s">
        <v>16</v>
      </c>
      <c r="E138" s="20"/>
      <c r="F138" s="20"/>
      <c r="G138" s="22">
        <f>IF(A138="","",IF(A138&gt;=1,A138,IF(MAX($G$2:G137)=0,INT(SETTINGS!$B$4)+A138,INT(MAX($G$2:G137))+A138+IF(A138&lt;MOD(MAX($G$2:G137),1),1,0))))</f>
        <v>46309.504528382473</v>
      </c>
      <c r="H138" s="23">
        <f>IF(D138="","",IF(IFERROR(VLOOKUP(D138,LISTS!$A$2:$E$10,3,FALSE),0)=0,0,IF(IFERROR(COUNTIFS($C$2:C137,C138,$H$2:H137,1,$G$2:G137,"&gt;="&amp;(G138-15/1440)),0)&gt;0,0,1)))</f>
        <v>1</v>
      </c>
      <c r="I138" s="23" t="str">
        <f>IF(H138=1,C138&amp;"|"&amp;COUNTIFS($C$2:C138,C138,$H$2:H138,1),"")</f>
        <v>9000004076|1</v>
      </c>
      <c r="J138" s="23" t="str">
        <f>IF(D138="","",IF(A138="","Missing time",IF(D138="NO_SLOTS",IF(COUNTIF(PARTNERS!$A$2:$A$88,E138)=0,"Write the company in column E","OK"),IF(C138="","Missing phone",IF(COUNTIF(DESK!$F$2:$F$601,C138)=0,"Phone not found: copy it from your list",IF(AND(E138&lt;&gt;"",COUNTIFS(DESK!$F$2:$F$601,C138,DESK!$B$2:$B$601,E138)=0),"Company is not one of theirs","OK"))))))</f>
        <v>OK</v>
      </c>
    </row>
    <row r="139" spans="1:10" x14ac:dyDescent="0.35">
      <c r="A139" s="19">
        <v>46309.507180137465</v>
      </c>
      <c r="B139" s="20" t="s">
        <v>68</v>
      </c>
      <c r="C139" s="21" t="s">
        <v>1539</v>
      </c>
      <c r="D139" s="20" t="s">
        <v>16</v>
      </c>
      <c r="E139" s="20"/>
      <c r="F139" s="20"/>
      <c r="G139" s="22">
        <f>IF(A139="","",IF(A139&gt;=1,A139,IF(MAX($G$2:G138)=0,INT(SETTINGS!$B$4)+A139,INT(MAX($G$2:G138))+A139+IF(A139&lt;MOD(MAX($G$2:G138),1),1,0))))</f>
        <v>46309.507180137465</v>
      </c>
      <c r="H139" s="23">
        <f>IF(D139="","",IF(IFERROR(VLOOKUP(D139,LISTS!$A$2:$E$10,3,FALSE),0)=0,0,IF(IFERROR(COUNTIFS($C$2:C138,C139,$H$2:H138,1,$G$2:G138,"&gt;="&amp;(G139-15/1440)),0)&gt;0,0,1)))</f>
        <v>1</v>
      </c>
      <c r="I139" s="23" t="str">
        <f>IF(H139=1,C139&amp;"|"&amp;COUNTIFS($C$2:C139,C139,$H$2:H139,1),"")</f>
        <v>9000002711|1</v>
      </c>
      <c r="J139" s="23" t="str">
        <f>IF(D139="","",IF(A139="","Missing time",IF(D139="NO_SLOTS",IF(COUNTIF(PARTNERS!$A$2:$A$88,E139)=0,"Write the company in column E","OK"),IF(C139="","Missing phone",IF(COUNTIF(DESK!$F$2:$F$601,C139)=0,"Phone not found: copy it from your list",IF(AND(E139&lt;&gt;"",COUNTIFS(DESK!$F$2:$F$601,C139,DESK!$B$2:$B$601,E139)=0),"Company is not one of theirs","OK"))))))</f>
        <v>OK</v>
      </c>
    </row>
    <row r="140" spans="1:10" x14ac:dyDescent="0.35">
      <c r="A140" s="19">
        <v>46309.509216936742</v>
      </c>
      <c r="B140" s="20" t="s">
        <v>48</v>
      </c>
      <c r="C140" s="21" t="s">
        <v>1364</v>
      </c>
      <c r="D140" s="20" t="s">
        <v>18</v>
      </c>
      <c r="E140" s="20"/>
      <c r="F140" s="20" t="s">
        <v>2130</v>
      </c>
      <c r="G140" s="22">
        <f>IF(A140="","",IF(A140&gt;=1,A140,IF(MAX($G$2:G139)=0,INT(SETTINGS!$B$4)+A140,INT(MAX($G$2:G139))+A140+IF(A140&lt;MOD(MAX($G$2:G139),1),1,0))))</f>
        <v>46309.509216936742</v>
      </c>
      <c r="H140" s="23">
        <f>IF(D140="","",IF(IFERROR(VLOOKUP(D140,LISTS!$A$2:$E$10,3,FALSE),0)=0,0,IF(IFERROR(COUNTIFS($C$2:C139,C140,$H$2:H139,1,$G$2:G139,"&gt;="&amp;(G140-15/1440)),0)&gt;0,0,1)))</f>
        <v>1</v>
      </c>
      <c r="I140" s="23" t="str">
        <f>IF(H140=1,C140&amp;"|"&amp;COUNTIFS($C$2:C140,C140,$H$2:H140,1),"")</f>
        <v>9000004310|1</v>
      </c>
      <c r="J140" s="23" t="str">
        <f>IF(D140="","",IF(A140="","Missing time",IF(D140="NO_SLOTS",IF(COUNTIF(PARTNERS!$A$2:$A$88,E140)=0,"Write the company in column E","OK"),IF(C140="","Missing phone",IF(COUNTIF(DESK!$F$2:$F$601,C140)=0,"Phone not found: copy it from your list",IF(AND(E140&lt;&gt;"",COUNTIFS(DESK!$F$2:$F$601,C140,DESK!$B$2:$B$601,E140)=0),"Company is not one of theirs","OK"))))))</f>
        <v>OK</v>
      </c>
    </row>
    <row r="141" spans="1:10" x14ac:dyDescent="0.35">
      <c r="A141" s="19">
        <v>46309.510447202607</v>
      </c>
      <c r="B141" s="20" t="s">
        <v>68</v>
      </c>
      <c r="C141" s="21" t="s">
        <v>1690</v>
      </c>
      <c r="D141" s="20" t="s">
        <v>16</v>
      </c>
      <c r="E141" s="20"/>
      <c r="F141" s="20"/>
      <c r="G141" s="22">
        <f>IF(A141="","",IF(A141&gt;=1,A141,IF(MAX($G$2:G140)=0,INT(SETTINGS!$B$4)+A141,INT(MAX($G$2:G140))+A141+IF(A141&lt;MOD(MAX($G$2:G140),1),1,0))))</f>
        <v>46309.510447202607</v>
      </c>
      <c r="H141" s="23">
        <f>IF(D141="","",IF(IFERROR(VLOOKUP(D141,LISTS!$A$2:$E$10,3,FALSE),0)=0,0,IF(IFERROR(COUNTIFS($C$2:C140,C141,$H$2:H140,1,$G$2:G140,"&gt;="&amp;(G141-15/1440)),0)&gt;0,0,1)))</f>
        <v>1</v>
      </c>
      <c r="I141" s="23" t="str">
        <f>IF(H141=1,C141&amp;"|"&amp;COUNTIFS($C$2:C141,C141,$H$2:H141,1),"")</f>
        <v>9000004089|1</v>
      </c>
      <c r="J141" s="23" t="str">
        <f>IF(D141="","",IF(A141="","Missing time",IF(D141="NO_SLOTS",IF(COUNTIF(PARTNERS!$A$2:$A$88,E141)=0,"Write the company in column E","OK"),IF(C141="","Missing phone",IF(COUNTIF(DESK!$F$2:$F$601,C141)=0,"Phone not found: copy it from your list",IF(AND(E141&lt;&gt;"",COUNTIFS(DESK!$F$2:$F$601,C141,DESK!$B$2:$B$601,E141)=0),"Company is not one of theirs","OK"))))))</f>
        <v>OK</v>
      </c>
    </row>
    <row r="142" spans="1:10" x14ac:dyDescent="0.35">
      <c r="A142" s="19">
        <v>46309.512637352302</v>
      </c>
      <c r="B142" s="20" t="s">
        <v>48</v>
      </c>
      <c r="C142" s="21" t="s">
        <v>1406</v>
      </c>
      <c r="D142" s="20" t="s">
        <v>16</v>
      </c>
      <c r="E142" s="20"/>
      <c r="F142" s="20"/>
      <c r="G142" s="22">
        <f>IF(A142="","",IF(A142&gt;=1,A142,IF(MAX($G$2:G141)=0,INT(SETTINGS!$B$4)+A142,INT(MAX($G$2:G141))+A142+IF(A142&lt;MOD(MAX($G$2:G141),1),1,0))))</f>
        <v>46309.512637352302</v>
      </c>
      <c r="H142" s="23">
        <f>IF(D142="","",IF(IFERROR(VLOOKUP(D142,LISTS!$A$2:$E$10,3,FALSE),0)=0,0,IF(IFERROR(COUNTIFS($C$2:C141,C142,$H$2:H141,1,$G$2:G141,"&gt;="&amp;(G142-15/1440)),0)&gt;0,0,1)))</f>
        <v>1</v>
      </c>
      <c r="I142" s="23" t="str">
        <f>IF(H142=1,C142&amp;"|"&amp;COUNTIFS($C$2:C142,C142,$H$2:H142,1),"")</f>
        <v>9000001268|1</v>
      </c>
      <c r="J142" s="23" t="str">
        <f>IF(D142="","",IF(A142="","Missing time",IF(D142="NO_SLOTS",IF(COUNTIF(PARTNERS!$A$2:$A$88,E142)=0,"Write the company in column E","OK"),IF(C142="","Missing phone",IF(COUNTIF(DESK!$F$2:$F$601,C142)=0,"Phone not found: copy it from your list",IF(AND(E142&lt;&gt;"",COUNTIFS(DESK!$F$2:$F$601,C142,DESK!$B$2:$B$601,E142)=0),"Company is not one of theirs","OK"))))))</f>
        <v>OK</v>
      </c>
    </row>
    <row r="143" spans="1:10" x14ac:dyDescent="0.35">
      <c r="A143" s="19">
        <v>46309.515194377796</v>
      </c>
      <c r="B143" s="20" t="s">
        <v>68</v>
      </c>
      <c r="C143" s="21" t="s">
        <v>824</v>
      </c>
      <c r="D143" s="20" t="s">
        <v>20</v>
      </c>
      <c r="E143" s="20"/>
      <c r="F143" s="20"/>
      <c r="G143" s="22">
        <f>IF(A143="","",IF(A143&gt;=1,A143,IF(MAX($G$2:G142)=0,INT(SETTINGS!$B$4)+A143,INT(MAX($G$2:G142))+A143+IF(A143&lt;MOD(MAX($G$2:G142),1),1,0))))</f>
        <v>46309.515194377796</v>
      </c>
      <c r="H143" s="23">
        <f>IF(D143="","",IF(IFERROR(VLOOKUP(D143,LISTS!$A$2:$E$10,3,FALSE),0)=0,0,IF(IFERROR(COUNTIFS($C$2:C142,C143,$H$2:H142,1,$G$2:G142,"&gt;="&amp;(G143-15/1440)),0)&gt;0,0,1)))</f>
        <v>1</v>
      </c>
      <c r="I143" s="23" t="str">
        <f>IF(H143=1,C143&amp;"|"&amp;COUNTIFS($C$2:C143,C143,$H$2:H143,1),"")</f>
        <v>9000003361|1</v>
      </c>
      <c r="J143" s="23" t="str">
        <f>IF(D143="","",IF(A143="","Missing time",IF(D143="NO_SLOTS",IF(COUNTIF(PARTNERS!$A$2:$A$88,E143)=0,"Write the company in column E","OK"),IF(C143="","Missing phone",IF(COUNTIF(DESK!$F$2:$F$601,C143)=0,"Phone not found: copy it from your list",IF(AND(E143&lt;&gt;"",COUNTIFS(DESK!$F$2:$F$601,C143,DESK!$B$2:$B$601,E143)=0),"Company is not one of theirs","OK"))))))</f>
        <v>OK</v>
      </c>
    </row>
    <row r="144" spans="1:10" x14ac:dyDescent="0.35">
      <c r="A144" s="19">
        <v>46309.516132682962</v>
      </c>
      <c r="B144" s="20" t="s">
        <v>48</v>
      </c>
      <c r="C144" s="21" t="s">
        <v>1617</v>
      </c>
      <c r="D144" s="20" t="s">
        <v>16</v>
      </c>
      <c r="E144" s="20"/>
      <c r="F144" s="20"/>
      <c r="G144" s="22">
        <f>IF(A144="","",IF(A144&gt;=1,A144,IF(MAX($G$2:G143)=0,INT(SETTINGS!$B$4)+A144,INT(MAX($G$2:G143))+A144+IF(A144&lt;MOD(MAX($G$2:G143),1),1,0))))</f>
        <v>46309.516132682962</v>
      </c>
      <c r="H144" s="23">
        <f>IF(D144="","",IF(IFERROR(VLOOKUP(D144,LISTS!$A$2:$E$10,3,FALSE),0)=0,0,IF(IFERROR(COUNTIFS($C$2:C143,C144,$H$2:H143,1,$G$2:G143,"&gt;="&amp;(G144-15/1440)),0)&gt;0,0,1)))</f>
        <v>1</v>
      </c>
      <c r="I144" s="23" t="str">
        <f>IF(H144=1,C144&amp;"|"&amp;COUNTIFS($C$2:C144,C144,$H$2:H144,1),"")</f>
        <v>9000005038|1</v>
      </c>
      <c r="J144" s="23" t="str">
        <f>IF(D144="","",IF(A144="","Missing time",IF(D144="NO_SLOTS",IF(COUNTIF(PARTNERS!$A$2:$A$88,E144)=0,"Write the company in column E","OK"),IF(C144="","Missing phone",IF(COUNTIF(DESK!$F$2:$F$601,C144)=0,"Phone not found: copy it from your list",IF(AND(E144&lt;&gt;"",COUNTIFS(DESK!$F$2:$F$601,C144,DESK!$B$2:$B$601,E144)=0),"Company is not one of theirs","OK"))))))</f>
        <v>OK</v>
      </c>
    </row>
    <row r="145" spans="1:10" x14ac:dyDescent="0.35">
      <c r="A145" s="19">
        <v>46309.518036844041</v>
      </c>
      <c r="B145" s="20" t="s">
        <v>2127</v>
      </c>
      <c r="C145" s="21" t="s">
        <v>1650</v>
      </c>
      <c r="D145" s="20" t="s">
        <v>30</v>
      </c>
      <c r="E145" s="20" t="s">
        <v>197</v>
      </c>
      <c r="F145" s="20" t="s">
        <v>2128</v>
      </c>
      <c r="G145" s="22">
        <f>IF(A145="","",IF(A145&gt;=1,A145,IF(MAX($G$2:G144)=0,INT(SETTINGS!$B$4)+A145,INT(MAX($G$2:G144))+A145+IF(A145&lt;MOD(MAX($G$2:G144),1),1,0))))</f>
        <v>46309.518036844041</v>
      </c>
      <c r="H145" s="23">
        <f>IF(D145="","",IF(IFERROR(VLOOKUP(D145,LISTS!$A$2:$E$10,3,FALSE),0)=0,0,IF(IFERROR(COUNTIFS($C$2:C144,C145,$H$2:H144,1,$G$2:G144,"&gt;="&amp;(G145-15/1440)),0)&gt;0,0,1)))</f>
        <v>0</v>
      </c>
      <c r="I145" s="23" t="str">
        <f>IF(H145=1,C145&amp;"|"&amp;COUNTIFS($C$2:C145,C145,$H$2:H145,1),"")</f>
        <v/>
      </c>
      <c r="J145" s="23" t="str">
        <f>IF(D145="","",IF(A145="","Missing time",IF(D145="NO_SLOTS",IF(COUNTIF(PARTNERS!$A$2:$A$88,E145)=0,"Write the company in column E","OK"),IF(C145="","Missing phone",IF(COUNTIF(DESK!$F$2:$F$601,C145)=0,"Phone not found: copy it from your list",IF(AND(E145&lt;&gt;"",COUNTIFS(DESK!$F$2:$F$601,C145,DESK!$B$2:$B$601,E145)=0),"Company is not one of theirs","OK"))))))</f>
        <v>OK</v>
      </c>
    </row>
    <row r="146" spans="1:10" x14ac:dyDescent="0.35">
      <c r="A146" s="19">
        <v>46309.524598457014</v>
      </c>
      <c r="B146" s="20" t="s">
        <v>68</v>
      </c>
      <c r="C146" s="21" t="s">
        <v>1337</v>
      </c>
      <c r="D146" s="20" t="s">
        <v>16</v>
      </c>
      <c r="E146" s="20"/>
      <c r="F146" s="20"/>
      <c r="G146" s="22">
        <f>IF(A146="","",IF(A146&gt;=1,A146,IF(MAX($G$2:G145)=0,INT(SETTINGS!$B$4)+A146,INT(MAX($G$2:G145))+A146+IF(A146&lt;MOD(MAX($G$2:G145),1),1,0))))</f>
        <v>46309.524598457014</v>
      </c>
      <c r="H146" s="23">
        <f>IF(D146="","",IF(IFERROR(VLOOKUP(D146,LISTS!$A$2:$E$10,3,FALSE),0)=0,0,IF(IFERROR(COUNTIFS($C$2:C145,C146,$H$2:H145,1,$G$2:G145,"&gt;="&amp;(G146-15/1440)),0)&gt;0,0,1)))</f>
        <v>1</v>
      </c>
      <c r="I146" s="23" t="str">
        <f>IF(H146=1,C146&amp;"|"&amp;COUNTIFS($C$2:C146,C146,$H$2:H146,1),"")</f>
        <v>9000004869|2</v>
      </c>
      <c r="J146" s="23" t="str">
        <f>IF(D146="","",IF(A146="","Missing time",IF(D146="NO_SLOTS",IF(COUNTIF(PARTNERS!$A$2:$A$88,E146)=0,"Write the company in column E","OK"),IF(C146="","Missing phone",IF(COUNTIF(DESK!$F$2:$F$601,C146)=0,"Phone not found: copy it from your list",IF(AND(E146&lt;&gt;"",COUNTIFS(DESK!$F$2:$F$601,C146,DESK!$B$2:$B$601,E146)=0),"Company is not one of theirs","OK"))))))</f>
        <v>OK</v>
      </c>
    </row>
    <row r="147" spans="1:10" x14ac:dyDescent="0.35">
      <c r="A147" s="19">
        <v>46309.525481364741</v>
      </c>
      <c r="B147" s="20" t="s">
        <v>48</v>
      </c>
      <c r="C147" s="21" t="s">
        <v>1868</v>
      </c>
      <c r="D147" s="20" t="s">
        <v>16</v>
      </c>
      <c r="E147" s="20"/>
      <c r="F147" s="20"/>
      <c r="G147" s="22">
        <f>IF(A147="","",IF(A147&gt;=1,A147,IF(MAX($G$2:G146)=0,INT(SETTINGS!$B$4)+A147,INT(MAX($G$2:G146))+A147+IF(A147&lt;MOD(MAX($G$2:G146),1),1,0))))</f>
        <v>46309.525481364741</v>
      </c>
      <c r="H147" s="23">
        <f>IF(D147="","",IF(IFERROR(VLOOKUP(D147,LISTS!$A$2:$E$10,3,FALSE),0)=0,0,IF(IFERROR(COUNTIFS($C$2:C146,C147,$H$2:H146,1,$G$2:G146,"&gt;="&amp;(G147-15/1440)),0)&gt;0,0,1)))</f>
        <v>1</v>
      </c>
      <c r="I147" s="23" t="str">
        <f>IF(H147=1,C147&amp;"|"&amp;COUNTIFS($C$2:C147,C147,$H$2:H147,1),"")</f>
        <v>9000002724|1</v>
      </c>
      <c r="J147" s="23" t="str">
        <f>IF(D147="","",IF(A147="","Missing time",IF(D147="NO_SLOTS",IF(COUNTIF(PARTNERS!$A$2:$A$88,E147)=0,"Write the company in column E","OK"),IF(C147="","Missing phone",IF(COUNTIF(DESK!$F$2:$F$601,C147)=0,"Phone not found: copy it from your list",IF(AND(E147&lt;&gt;"",COUNTIFS(DESK!$F$2:$F$601,C147,DESK!$B$2:$B$601,E147)=0),"Company is not one of theirs","OK"))))))</f>
        <v>OK</v>
      </c>
    </row>
    <row r="148" spans="1:10" x14ac:dyDescent="0.35">
      <c r="A148" s="19">
        <v>46309.529681081229</v>
      </c>
      <c r="B148" s="20" t="s">
        <v>48</v>
      </c>
      <c r="C148" s="21" t="s">
        <v>790</v>
      </c>
      <c r="D148" s="20" t="s">
        <v>16</v>
      </c>
      <c r="E148" s="20"/>
      <c r="F148" s="20"/>
      <c r="G148" s="22">
        <f>IF(A148="","",IF(A148&gt;=1,A148,IF(MAX($G$2:G147)=0,INT(SETTINGS!$B$4)+A148,INT(MAX($G$2:G147))+A148+IF(A148&lt;MOD(MAX($G$2:G147),1),1,0))))</f>
        <v>46309.529681081229</v>
      </c>
      <c r="H148" s="23">
        <f>IF(D148="","",IF(IFERROR(VLOOKUP(D148,LISTS!$A$2:$E$10,3,FALSE),0)=0,0,IF(IFERROR(COUNTIFS($C$2:C147,C148,$H$2:H147,1,$G$2:G147,"&gt;="&amp;(G148-15/1440)),0)&gt;0,0,1)))</f>
        <v>1</v>
      </c>
      <c r="I148" s="23" t="str">
        <f>IF(H148=1,C148&amp;"|"&amp;COUNTIFS($C$2:C148,C148,$H$2:H148,1),"")</f>
        <v>9000002386|1</v>
      </c>
      <c r="J148" s="23" t="str">
        <f>IF(D148="","",IF(A148="","Missing time",IF(D148="NO_SLOTS",IF(COUNTIF(PARTNERS!$A$2:$A$88,E148)=0,"Write the company in column E","OK"),IF(C148="","Missing phone",IF(COUNTIF(DESK!$F$2:$F$601,C148)=0,"Phone not found: copy it from your list",IF(AND(E148&lt;&gt;"",COUNTIFS(DESK!$F$2:$F$601,C148,DESK!$B$2:$B$601,E148)=0),"Company is not one of theirs","OK"))))))</f>
        <v>OK</v>
      </c>
    </row>
    <row r="149" spans="1:10" x14ac:dyDescent="0.35">
      <c r="A149" s="19">
        <v>46309.530807302246</v>
      </c>
      <c r="B149" s="20" t="s">
        <v>68</v>
      </c>
      <c r="C149" s="21" t="s">
        <v>1344</v>
      </c>
      <c r="D149" s="20" t="s">
        <v>16</v>
      </c>
      <c r="E149" s="20"/>
      <c r="F149" s="20"/>
      <c r="G149" s="22">
        <f>IF(A149="","",IF(A149&gt;=1,A149,IF(MAX($G$2:G148)=0,INT(SETTINGS!$B$4)+A149,INT(MAX($G$2:G148))+A149+IF(A149&lt;MOD(MAX($G$2:G148),1),1,0))))</f>
        <v>46309.530807302246</v>
      </c>
      <c r="H149" s="23">
        <f>IF(D149="","",IF(IFERROR(VLOOKUP(D149,LISTS!$A$2:$E$10,3,FALSE),0)=0,0,IF(IFERROR(COUNTIFS($C$2:C148,C149,$H$2:H148,1,$G$2:G148,"&gt;="&amp;(G149-15/1440)),0)&gt;0,0,1)))</f>
        <v>1</v>
      </c>
      <c r="I149" s="23" t="str">
        <f>IF(H149=1,C149&amp;"|"&amp;COUNTIFS($C$2:C149,C149,$H$2:H149,1),"")</f>
        <v>9000003153|1</v>
      </c>
      <c r="J149" s="23" t="str">
        <f>IF(D149="","",IF(A149="","Missing time",IF(D149="NO_SLOTS",IF(COUNTIF(PARTNERS!$A$2:$A$88,E149)=0,"Write the company in column E","OK"),IF(C149="","Missing phone",IF(COUNTIF(DESK!$F$2:$F$601,C149)=0,"Phone not found: copy it from your list",IF(AND(E149&lt;&gt;"",COUNTIFS(DESK!$F$2:$F$601,C149,DESK!$B$2:$B$601,E149)=0),"Company is not one of theirs","OK"))))))</f>
        <v>OK</v>
      </c>
    </row>
    <row r="150" spans="1:10" x14ac:dyDescent="0.35">
      <c r="A150" s="19">
        <v>46309.53392214021</v>
      </c>
      <c r="B150" s="20" t="s">
        <v>48</v>
      </c>
      <c r="C150" s="21" t="s">
        <v>1769</v>
      </c>
      <c r="D150" s="20" t="s">
        <v>16</v>
      </c>
      <c r="E150" s="20"/>
      <c r="F150" s="20"/>
      <c r="G150" s="22">
        <f>IF(A150="","",IF(A150&gt;=1,A150,IF(MAX($G$2:G149)=0,INT(SETTINGS!$B$4)+A150,INT(MAX($G$2:G149))+A150+IF(A150&lt;MOD(MAX($G$2:G149),1),1,0))))</f>
        <v>46309.53392214021</v>
      </c>
      <c r="H150" s="23">
        <f>IF(D150="","",IF(IFERROR(VLOOKUP(D150,LISTS!$A$2:$E$10,3,FALSE),0)=0,0,IF(IFERROR(COUNTIFS($C$2:C149,C150,$H$2:H149,1,$G$2:G149,"&gt;="&amp;(G150-15/1440)),0)&gt;0,0,1)))</f>
        <v>1</v>
      </c>
      <c r="I150" s="23" t="str">
        <f>IF(H150=1,C150&amp;"|"&amp;COUNTIFS($C$2:C150,C150,$H$2:H150,1),"")</f>
        <v>9000003738|1</v>
      </c>
      <c r="J150" s="23" t="str">
        <f>IF(D150="","",IF(A150="","Missing time",IF(D150="NO_SLOTS",IF(COUNTIF(PARTNERS!$A$2:$A$88,E150)=0,"Write the company in column E","OK"),IF(C150="","Missing phone",IF(COUNTIF(DESK!$F$2:$F$601,C150)=0,"Phone not found: copy it from your list",IF(AND(E150&lt;&gt;"",COUNTIFS(DESK!$F$2:$F$601,C150,DESK!$B$2:$B$601,E150)=0),"Company is not one of theirs","OK"))))))</f>
        <v>OK</v>
      </c>
    </row>
    <row r="151" spans="1:10" x14ac:dyDescent="0.35">
      <c r="A151" s="19">
        <v>46309.535009124564</v>
      </c>
      <c r="B151" s="20" t="s">
        <v>68</v>
      </c>
      <c r="C151" s="21" t="s">
        <v>898</v>
      </c>
      <c r="D151" s="20" t="s">
        <v>22</v>
      </c>
      <c r="E151" s="20"/>
      <c r="F151" s="20" t="s">
        <v>2129</v>
      </c>
      <c r="G151" s="22">
        <f>IF(A151="","",IF(A151&gt;=1,A151,IF(MAX($G$2:G150)=0,INT(SETTINGS!$B$4)+A151,INT(MAX($G$2:G150))+A151+IF(A151&lt;MOD(MAX($G$2:G150),1),1,0))))</f>
        <v>46309.535009124564</v>
      </c>
      <c r="H151" s="23">
        <f>IF(D151="","",IF(IFERROR(VLOOKUP(D151,LISTS!$A$2:$E$10,3,FALSE),0)=0,0,IF(IFERROR(COUNTIFS($C$2:C150,C151,$H$2:H150,1,$G$2:G150,"&gt;="&amp;(G151-15/1440)),0)&gt;0,0,1)))</f>
        <v>1</v>
      </c>
      <c r="I151" s="23" t="str">
        <f>IF(H151=1,C151&amp;"|"&amp;COUNTIFS($C$2:C151,C151,$H$2:H151,1),"")</f>
        <v>9000003543|2</v>
      </c>
      <c r="J151" s="23" t="str">
        <f>IF(D151="","",IF(A151="","Missing time",IF(D151="NO_SLOTS",IF(COUNTIF(PARTNERS!$A$2:$A$88,E151)=0,"Write the company in column E","OK"),IF(C151="","Missing phone",IF(COUNTIF(DESK!$F$2:$F$601,C151)=0,"Phone not found: copy it from your list",IF(AND(E151&lt;&gt;"",COUNTIFS(DESK!$F$2:$F$601,C151,DESK!$B$2:$B$601,E151)=0),"Company is not one of theirs","OK"))))))</f>
        <v>OK</v>
      </c>
    </row>
    <row r="152" spans="1:10" x14ac:dyDescent="0.35">
      <c r="A152" s="19">
        <v>46309.537645826189</v>
      </c>
      <c r="B152" s="20" t="s">
        <v>48</v>
      </c>
      <c r="C152" s="21" t="s">
        <v>521</v>
      </c>
      <c r="D152" s="20" t="s">
        <v>16</v>
      </c>
      <c r="E152" s="20"/>
      <c r="F152" s="20"/>
      <c r="G152" s="22">
        <f>IF(A152="","",IF(A152&gt;=1,A152,IF(MAX($G$2:G151)=0,INT(SETTINGS!$B$4)+A152,INT(MAX($G$2:G151))+A152+IF(A152&lt;MOD(MAX($G$2:G151),1),1,0))))</f>
        <v>46309.537645826189</v>
      </c>
      <c r="H152" s="23">
        <f>IF(D152="","",IF(IFERROR(VLOOKUP(D152,LISTS!$A$2:$E$10,3,FALSE),0)=0,0,IF(IFERROR(COUNTIFS($C$2:C151,C152,$H$2:H151,1,$G$2:G151,"&gt;="&amp;(G152-15/1440)),0)&gt;0,0,1)))</f>
        <v>1</v>
      </c>
      <c r="I152" s="23" t="str">
        <f>IF(H152=1,C152&amp;"|"&amp;COUNTIFS($C$2:C152,C152,$H$2:H152,1),"")</f>
        <v>9000002048|1</v>
      </c>
      <c r="J152" s="23" t="str">
        <f>IF(D152="","",IF(A152="","Missing time",IF(D152="NO_SLOTS",IF(COUNTIF(PARTNERS!$A$2:$A$88,E152)=0,"Write the company in column E","OK"),IF(C152="","Missing phone",IF(COUNTIF(DESK!$F$2:$F$601,C152)=0,"Phone not found: copy it from your list",IF(AND(E152&lt;&gt;"",COUNTIFS(DESK!$F$2:$F$601,C152,DESK!$B$2:$B$601,E152)=0),"Company is not one of theirs","OK"))))))</f>
        <v>OK</v>
      </c>
    </row>
    <row r="153" spans="1:10" x14ac:dyDescent="0.35">
      <c r="A153" s="19">
        <v>46309.538328447627</v>
      </c>
      <c r="B153" s="20" t="s">
        <v>68</v>
      </c>
      <c r="C153" s="21" t="s">
        <v>548</v>
      </c>
      <c r="D153" s="20" t="s">
        <v>20</v>
      </c>
      <c r="E153" s="20"/>
      <c r="F153" s="20"/>
      <c r="G153" s="22">
        <f>IF(A153="","",IF(A153&gt;=1,A153,IF(MAX($G$2:G152)=0,INT(SETTINGS!$B$4)+A153,INT(MAX($G$2:G152))+A153+IF(A153&lt;MOD(MAX($G$2:G152),1),1,0))))</f>
        <v>46309.538328447627</v>
      </c>
      <c r="H153" s="23">
        <f>IF(D153="","",IF(IFERROR(VLOOKUP(D153,LISTS!$A$2:$E$10,3,FALSE),0)=0,0,IF(IFERROR(COUNTIFS($C$2:C152,C153,$H$2:H152,1,$G$2:G152,"&gt;="&amp;(G153-15/1440)),0)&gt;0,0,1)))</f>
        <v>1</v>
      </c>
      <c r="I153" s="23" t="str">
        <f>IF(H153=1,C153&amp;"|"&amp;COUNTIFS($C$2:C153,C153,$H$2:H153,1),"")</f>
        <v>9000004583|1</v>
      </c>
      <c r="J153" s="23" t="str">
        <f>IF(D153="","",IF(A153="","Missing time",IF(D153="NO_SLOTS",IF(COUNTIF(PARTNERS!$A$2:$A$88,E153)=0,"Write the company in column E","OK"),IF(C153="","Missing phone",IF(COUNTIF(DESK!$F$2:$F$601,C153)=0,"Phone not found: copy it from your list",IF(AND(E153&lt;&gt;"",COUNTIFS(DESK!$F$2:$F$601,C153,DESK!$B$2:$B$601,E153)=0),"Company is not one of theirs","OK"))))))</f>
        <v>OK</v>
      </c>
    </row>
    <row r="154" spans="1:10" x14ac:dyDescent="0.35">
      <c r="A154" s="19">
        <v>46309.540807108242</v>
      </c>
      <c r="B154" s="20" t="s">
        <v>68</v>
      </c>
      <c r="C154" s="21" t="s">
        <v>563</v>
      </c>
      <c r="D154" s="20" t="s">
        <v>20</v>
      </c>
      <c r="E154" s="20"/>
      <c r="F154" s="20"/>
      <c r="G154" s="22">
        <f>IF(A154="","",IF(A154&gt;=1,A154,IF(MAX($G$2:G153)=0,INT(SETTINGS!$B$4)+A154,INT(MAX($G$2:G153))+A154+IF(A154&lt;MOD(MAX($G$2:G153),1),1,0))))</f>
        <v>46309.540807108242</v>
      </c>
      <c r="H154" s="23">
        <f>IF(D154="","",IF(IFERROR(VLOOKUP(D154,LISTS!$A$2:$E$10,3,FALSE),0)=0,0,IF(IFERROR(COUNTIFS($C$2:C153,C154,$H$2:H153,1,$G$2:G153,"&gt;="&amp;(G154-15/1440)),0)&gt;0,0,1)))</f>
        <v>1</v>
      </c>
      <c r="I154" s="23" t="str">
        <f>IF(H154=1,C154&amp;"|"&amp;COUNTIFS($C$2:C154,C154,$H$2:H154,1),"")</f>
        <v>9000005493|1</v>
      </c>
      <c r="J154" s="23" t="str">
        <f>IF(D154="","",IF(A154="","Missing time",IF(D154="NO_SLOTS",IF(COUNTIF(PARTNERS!$A$2:$A$88,E154)=0,"Write the company in column E","OK"),IF(C154="","Missing phone",IF(COUNTIF(DESK!$F$2:$F$601,C154)=0,"Phone not found: copy it from your list",IF(AND(E154&lt;&gt;"",COUNTIFS(DESK!$F$2:$F$601,C154,DESK!$B$2:$B$601,E154)=0),"Company is not one of theirs","OK"))))))</f>
        <v>OK</v>
      </c>
    </row>
    <row r="155" spans="1:10" x14ac:dyDescent="0.35">
      <c r="A155" s="19">
        <v>46309.541408177131</v>
      </c>
      <c r="B155" s="20" t="s">
        <v>48</v>
      </c>
      <c r="C155" s="21" t="s">
        <v>526</v>
      </c>
      <c r="D155" s="20" t="s">
        <v>20</v>
      </c>
      <c r="E155" s="20"/>
      <c r="F155" s="20"/>
      <c r="G155" s="22">
        <f>IF(A155="","",IF(A155&gt;=1,A155,IF(MAX($G$2:G154)=0,INT(SETTINGS!$B$4)+A155,INT(MAX($G$2:G154))+A155+IF(A155&lt;MOD(MAX($G$2:G154),1),1,0))))</f>
        <v>46309.541408177131</v>
      </c>
      <c r="H155" s="23">
        <f>IF(D155="","",IF(IFERROR(VLOOKUP(D155,LISTS!$A$2:$E$10,3,FALSE),0)=0,0,IF(IFERROR(COUNTIFS($C$2:C154,C155,$H$2:H154,1,$G$2:G154,"&gt;="&amp;(G155-15/1440)),0)&gt;0,0,1)))</f>
        <v>1</v>
      </c>
      <c r="I155" s="23" t="str">
        <f>IF(H155=1,C155&amp;"|"&amp;COUNTIFS($C$2:C155,C155,$H$2:H155,1),"")</f>
        <v>9000004752|1</v>
      </c>
      <c r="J155" s="23" t="str">
        <f>IF(D155="","",IF(A155="","Missing time",IF(D155="NO_SLOTS",IF(COUNTIF(PARTNERS!$A$2:$A$88,E155)=0,"Write the company in column E","OK"),IF(C155="","Missing phone",IF(COUNTIF(DESK!$F$2:$F$601,C155)=0,"Phone not found: copy it from your list",IF(AND(E155&lt;&gt;"",COUNTIFS(DESK!$F$2:$F$601,C155,DESK!$B$2:$B$601,E155)=0),"Company is not one of theirs","OK"))))))</f>
        <v>OK</v>
      </c>
    </row>
    <row r="156" spans="1:10" x14ac:dyDescent="0.35">
      <c r="A156" s="19">
        <v>46309.534486865239</v>
      </c>
      <c r="B156" s="20" t="s">
        <v>2127</v>
      </c>
      <c r="C156" s="21" t="s">
        <v>1100</v>
      </c>
      <c r="D156" s="20" t="s">
        <v>30</v>
      </c>
      <c r="E156" s="20" t="s">
        <v>363</v>
      </c>
      <c r="F156" s="20" t="s">
        <v>2128</v>
      </c>
      <c r="G156" s="22">
        <f>IF(A156="","",IF(A156&gt;=1,A156,IF(MAX($G$2:G155)=0,INT(SETTINGS!$B$4)+A156,INT(MAX($G$2:G155))+A156+IF(A156&lt;MOD(MAX($G$2:G155),1),1,0))))</f>
        <v>46309.534486865239</v>
      </c>
      <c r="H156" s="23">
        <f>IF(D156="","",IF(IFERROR(VLOOKUP(D156,LISTS!$A$2:$E$10,3,FALSE),0)=0,0,IF(IFERROR(COUNTIFS($C$2:C155,C156,$H$2:H155,1,$G$2:G155,"&gt;="&amp;(G156-15/1440)),0)&gt;0,0,1)))</f>
        <v>0</v>
      </c>
      <c r="I156" s="23" t="str">
        <f>IF(H156=1,C156&amp;"|"&amp;COUNTIFS($C$2:C156,C156,$H$2:H156,1),"")</f>
        <v/>
      </c>
      <c r="J156" s="23" t="str">
        <f>IF(D156="","",IF(A156="","Missing time",IF(D156="NO_SLOTS",IF(COUNTIF(PARTNERS!$A$2:$A$88,E156)=0,"Write the company in column E","OK"),IF(C156="","Missing phone",IF(COUNTIF(DESK!$F$2:$F$601,C156)=0,"Phone not found: copy it from your list",IF(AND(E156&lt;&gt;"",COUNTIFS(DESK!$F$2:$F$601,C156,DESK!$B$2:$B$601,E156)=0),"Company is not one of theirs","OK"))))))</f>
        <v>OK</v>
      </c>
    </row>
    <row r="157" spans="1:10" x14ac:dyDescent="0.35">
      <c r="A157" s="19">
        <v>46309.538017578103</v>
      </c>
      <c r="B157" s="20" t="s">
        <v>2127</v>
      </c>
      <c r="C157" s="21" t="s">
        <v>898</v>
      </c>
      <c r="D157" s="20" t="s">
        <v>30</v>
      </c>
      <c r="E157" s="20" t="s">
        <v>303</v>
      </c>
      <c r="F157" s="20" t="s">
        <v>2128</v>
      </c>
      <c r="G157" s="22">
        <f>IF(A157="","",IF(A157&gt;=1,A157,IF(MAX($G$2:G156)=0,INT(SETTINGS!$B$4)+A157,INT(MAX($G$2:G156))+A157+IF(A157&lt;MOD(MAX($G$2:G156),1),1,0))))</f>
        <v>46309.538017578103</v>
      </c>
      <c r="H157" s="23">
        <f>IF(D157="","",IF(IFERROR(VLOOKUP(D157,LISTS!$A$2:$E$10,3,FALSE),0)=0,0,IF(IFERROR(COUNTIFS($C$2:C156,C157,$H$2:H156,1,$G$2:G156,"&gt;="&amp;(G157-15/1440)),0)&gt;0,0,1)))</f>
        <v>0</v>
      </c>
      <c r="I157" s="23" t="str">
        <f>IF(H157=1,C157&amp;"|"&amp;COUNTIFS($C$2:C157,C157,$H$2:H157,1),"")</f>
        <v/>
      </c>
      <c r="J157" s="23" t="str">
        <f>IF(D157="","",IF(A157="","Missing time",IF(D157="NO_SLOTS",IF(COUNTIF(PARTNERS!$A$2:$A$88,E157)=0,"Write the company in column E","OK"),IF(C157="","Missing phone",IF(COUNTIF(DESK!$F$2:$F$601,C157)=0,"Phone not found: copy it from your list",IF(AND(E157&lt;&gt;"",COUNTIFS(DESK!$F$2:$F$601,C157,DESK!$B$2:$B$601,E157)=0),"Company is not one of theirs","OK"))))))</f>
        <v>OK</v>
      </c>
    </row>
    <row r="158" spans="1:10" x14ac:dyDescent="0.35">
      <c r="A158" s="19">
        <v>46309.539099883987</v>
      </c>
      <c r="B158" s="20" t="s">
        <v>2127</v>
      </c>
      <c r="C158" s="21" t="s">
        <v>1558</v>
      </c>
      <c r="D158" s="20" t="s">
        <v>30</v>
      </c>
      <c r="E158" s="20" t="s">
        <v>309</v>
      </c>
      <c r="F158" s="20" t="s">
        <v>2128</v>
      </c>
      <c r="G158" s="22">
        <f>IF(A158="","",IF(A158&gt;=1,A158,IF(MAX($G$2:G157)=0,INT(SETTINGS!$B$4)+A158,INT(MAX($G$2:G157))+A158+IF(A158&lt;MOD(MAX($G$2:G157),1),1,0))))</f>
        <v>46309.539099883987</v>
      </c>
      <c r="H158" s="23">
        <f>IF(D158="","",IF(IFERROR(VLOOKUP(D158,LISTS!$A$2:$E$10,3,FALSE),0)=0,0,IF(IFERROR(COUNTIFS($C$2:C157,C158,$H$2:H157,1,$G$2:G157,"&gt;="&amp;(G158-15/1440)),0)&gt;0,0,1)))</f>
        <v>0</v>
      </c>
      <c r="I158" s="23" t="str">
        <f>IF(H158=1,C158&amp;"|"&amp;COUNTIFS($C$2:C158,C158,$H$2:H158,1),"")</f>
        <v/>
      </c>
      <c r="J158" s="23" t="str">
        <f>IF(D158="","",IF(A158="","Missing time",IF(D158="NO_SLOTS",IF(COUNTIF(PARTNERS!$A$2:$A$88,E158)=0,"Write the company in column E","OK"),IF(C158="","Missing phone",IF(COUNTIF(DESK!$F$2:$F$601,C158)=0,"Phone not found: copy it from your list",IF(AND(E158&lt;&gt;"",COUNTIFS(DESK!$F$2:$F$601,C158,DESK!$B$2:$B$601,E158)=0),"Company is not one of theirs","OK"))))))</f>
        <v>OK</v>
      </c>
    </row>
    <row r="159" spans="1:10" x14ac:dyDescent="0.35">
      <c r="A159" s="19">
        <v>46309.540598635991</v>
      </c>
      <c r="B159" s="20" t="s">
        <v>2127</v>
      </c>
      <c r="C159" s="21" t="s">
        <v>647</v>
      </c>
      <c r="D159" s="20" t="s">
        <v>30</v>
      </c>
      <c r="E159" s="20" t="s">
        <v>258</v>
      </c>
      <c r="F159" s="20" t="s">
        <v>2128</v>
      </c>
      <c r="G159" s="22">
        <f>IF(A159="","",IF(A159&gt;=1,A159,IF(MAX($G$2:G158)=0,INT(SETTINGS!$B$4)+A159,INT(MAX($G$2:G158))+A159+IF(A159&lt;MOD(MAX($G$2:G158),1),1,0))))</f>
        <v>46309.540598635991</v>
      </c>
      <c r="H159" s="23">
        <f>IF(D159="","",IF(IFERROR(VLOOKUP(D159,LISTS!$A$2:$E$10,3,FALSE),0)=0,0,IF(IFERROR(COUNTIFS($C$2:C158,C159,$H$2:H158,1,$G$2:G158,"&gt;="&amp;(G159-15/1440)),0)&gt;0,0,1)))</f>
        <v>0</v>
      </c>
      <c r="I159" s="23" t="str">
        <f>IF(H159=1,C159&amp;"|"&amp;COUNTIFS($C$2:C159,C159,$H$2:H159,1),"")</f>
        <v/>
      </c>
      <c r="J159" s="23" t="str">
        <f>IF(D159="","",IF(A159="","Missing time",IF(D159="NO_SLOTS",IF(COUNTIF(PARTNERS!$A$2:$A$88,E159)=0,"Write the company in column E","OK"),IF(C159="","Missing phone",IF(COUNTIF(DESK!$F$2:$F$601,C159)=0,"Phone not found: copy it from your list",IF(AND(E159&lt;&gt;"",COUNTIFS(DESK!$F$2:$F$601,C159,DESK!$B$2:$B$601,E159)=0),"Company is not one of theirs","OK"))))))</f>
        <v>OK</v>
      </c>
    </row>
    <row r="160" spans="1:10" x14ac:dyDescent="0.35">
      <c r="A160" s="19">
        <v>46309.546410623261</v>
      </c>
      <c r="B160" s="20" t="s">
        <v>48</v>
      </c>
      <c r="C160" s="21" t="s">
        <v>718</v>
      </c>
      <c r="D160" s="20" t="s">
        <v>20</v>
      </c>
      <c r="E160" s="20"/>
      <c r="F160" s="20"/>
      <c r="G160" s="22">
        <f>IF(A160="","",IF(A160&gt;=1,A160,IF(MAX($G$2:G159)=0,INT(SETTINGS!$B$4)+A160,INT(MAX($G$2:G159))+A160+IF(A160&lt;MOD(MAX($G$2:G159),1),1,0))))</f>
        <v>46309.546410623261</v>
      </c>
      <c r="H160" s="23">
        <f>IF(D160="","",IF(IFERROR(VLOOKUP(D160,LISTS!$A$2:$E$10,3,FALSE),0)=0,0,IF(IFERROR(COUNTIFS($C$2:C159,C160,$H$2:H159,1,$G$2:G159,"&gt;="&amp;(G160-15/1440)),0)&gt;0,0,1)))</f>
        <v>1</v>
      </c>
      <c r="I160" s="23" t="str">
        <f>IF(H160=1,C160&amp;"|"&amp;COUNTIFS($C$2:C160,C160,$H$2:H160,1),"")</f>
        <v>9000001580|2</v>
      </c>
      <c r="J160" s="23" t="str">
        <f>IF(D160="","",IF(A160="","Missing time",IF(D160="NO_SLOTS",IF(COUNTIF(PARTNERS!$A$2:$A$88,E160)=0,"Write the company in column E","OK"),IF(C160="","Missing phone",IF(COUNTIF(DESK!$F$2:$F$601,C160)=0,"Phone not found: copy it from your list",IF(AND(E160&lt;&gt;"",COUNTIFS(DESK!$F$2:$F$601,C160,DESK!$B$2:$B$601,E160)=0),"Company is not one of theirs","OK"))))))</f>
        <v>OK</v>
      </c>
    </row>
    <row r="161" spans="1:10" x14ac:dyDescent="0.35">
      <c r="A161" s="19">
        <v>46309.546778370532</v>
      </c>
      <c r="B161" s="20" t="s">
        <v>68</v>
      </c>
      <c r="C161" s="21" t="s">
        <v>954</v>
      </c>
      <c r="D161" s="20" t="s">
        <v>20</v>
      </c>
      <c r="E161" s="20"/>
      <c r="F161" s="20"/>
      <c r="G161" s="22">
        <f>IF(A161="","",IF(A161&gt;=1,A161,IF(MAX($G$2:G160)=0,INT(SETTINGS!$B$4)+A161,INT(MAX($G$2:G160))+A161+IF(A161&lt;MOD(MAX($G$2:G160),1),1,0))))</f>
        <v>46309.546778370532</v>
      </c>
      <c r="H161" s="23">
        <f>IF(D161="","",IF(IFERROR(VLOOKUP(D161,LISTS!$A$2:$E$10,3,FALSE),0)=0,0,IF(IFERROR(COUNTIFS($C$2:C160,C161,$H$2:H160,1,$G$2:G160,"&gt;="&amp;(G161-15/1440)),0)&gt;0,0,1)))</f>
        <v>1</v>
      </c>
      <c r="I161" s="23" t="str">
        <f>IF(H161=1,C161&amp;"|"&amp;COUNTIFS($C$2:C161,C161,$H$2:H161,1),"")</f>
        <v>9000002295|2</v>
      </c>
      <c r="J161" s="23" t="str">
        <f>IF(D161="","",IF(A161="","Missing time",IF(D161="NO_SLOTS",IF(COUNTIF(PARTNERS!$A$2:$A$88,E161)=0,"Write the company in column E","OK"),IF(C161="","Missing phone",IF(COUNTIF(DESK!$F$2:$F$601,C161)=0,"Phone not found: copy it from your list",IF(AND(E161&lt;&gt;"",COUNTIFS(DESK!$F$2:$F$601,C161,DESK!$B$2:$B$601,E161)=0),"Company is not one of theirs","OK"))))))</f>
        <v>OK</v>
      </c>
    </row>
    <row r="162" spans="1:10" x14ac:dyDescent="0.35">
      <c r="A162" s="19">
        <v>46309.548868423677</v>
      </c>
      <c r="B162" s="20" t="s">
        <v>68</v>
      </c>
      <c r="C162" s="21" t="s">
        <v>567</v>
      </c>
      <c r="D162" s="20" t="s">
        <v>20</v>
      </c>
      <c r="E162" s="20"/>
      <c r="F162" s="20"/>
      <c r="G162" s="22">
        <f>IF(A162="","",IF(A162&gt;=1,A162,IF(MAX($G$2:G161)=0,INT(SETTINGS!$B$4)+A162,INT(MAX($G$2:G161))+A162+IF(A162&lt;MOD(MAX($G$2:G161),1),1,0))))</f>
        <v>46309.548868423677</v>
      </c>
      <c r="H162" s="23">
        <f>IF(D162="","",IF(IFERROR(VLOOKUP(D162,LISTS!$A$2:$E$10,3,FALSE),0)=0,0,IF(IFERROR(COUNTIFS($C$2:C161,C162,$H$2:H161,1,$G$2:G161,"&gt;="&amp;(G162-15/1440)),0)&gt;0,0,1)))</f>
        <v>1</v>
      </c>
      <c r="I162" s="23" t="str">
        <f>IF(H162=1,C162&amp;"|"&amp;COUNTIFS($C$2:C162,C162,$H$2:H162,1),"")</f>
        <v>9000002139|1</v>
      </c>
      <c r="J162" s="23" t="str">
        <f>IF(D162="","",IF(A162="","Missing time",IF(D162="NO_SLOTS",IF(COUNTIF(PARTNERS!$A$2:$A$88,E162)=0,"Write the company in column E","OK"),IF(C162="","Missing phone",IF(COUNTIF(DESK!$F$2:$F$601,C162)=0,"Phone not found: copy it from your list",IF(AND(E162&lt;&gt;"",COUNTIFS(DESK!$F$2:$F$601,C162,DESK!$B$2:$B$601,E162)=0),"Company is not one of theirs","OK"))))))</f>
        <v>OK</v>
      </c>
    </row>
    <row r="163" spans="1:10" x14ac:dyDescent="0.35">
      <c r="A163" s="19">
        <v>46309.549958282696</v>
      </c>
      <c r="B163" s="20" t="s">
        <v>48</v>
      </c>
      <c r="C163" s="21" t="s">
        <v>540</v>
      </c>
      <c r="D163" s="20" t="s">
        <v>18</v>
      </c>
      <c r="E163" s="20"/>
      <c r="F163" s="20" t="s">
        <v>2130</v>
      </c>
      <c r="G163" s="22">
        <f>IF(A163="","",IF(A163&gt;=1,A163,IF(MAX($G$2:G162)=0,INT(SETTINGS!$B$4)+A163,INT(MAX($G$2:G162))+A163+IF(A163&lt;MOD(MAX($G$2:G162),1),1,0))))</f>
        <v>46309.549958282696</v>
      </c>
      <c r="H163" s="23">
        <f>IF(D163="","",IF(IFERROR(VLOOKUP(D163,LISTS!$A$2:$E$10,3,FALSE),0)=0,0,IF(IFERROR(COUNTIFS($C$2:C162,C163,$H$2:H162,1,$G$2:G162,"&gt;="&amp;(G163-15/1440)),0)&gt;0,0,1)))</f>
        <v>1</v>
      </c>
      <c r="I163" s="23" t="str">
        <f>IF(H163=1,C163&amp;"|"&amp;COUNTIFS($C$2:C163,C163,$H$2:H163,1),"")</f>
        <v>9000000696|1</v>
      </c>
      <c r="J163" s="23" t="str">
        <f>IF(D163="","",IF(A163="","Missing time",IF(D163="NO_SLOTS",IF(COUNTIF(PARTNERS!$A$2:$A$88,E163)=0,"Write the company in column E","OK"),IF(C163="","Missing phone",IF(COUNTIF(DESK!$F$2:$F$601,C163)=0,"Phone not found: copy it from your list",IF(AND(E163&lt;&gt;"",COUNTIFS(DESK!$F$2:$F$601,C163,DESK!$B$2:$B$601,E163)=0),"Company is not one of theirs","OK"))))))</f>
        <v>OK</v>
      </c>
    </row>
    <row r="164" spans="1:10" x14ac:dyDescent="0.35">
      <c r="A164" s="19">
        <v>46309.552231059744</v>
      </c>
      <c r="B164" s="20" t="s">
        <v>48</v>
      </c>
      <c r="C164" s="21" t="s">
        <v>558</v>
      </c>
      <c r="D164" s="20" t="s">
        <v>16</v>
      </c>
      <c r="E164" s="20"/>
      <c r="F164" s="20"/>
      <c r="G164" s="22">
        <f>IF(A164="","",IF(A164&gt;=1,A164,IF(MAX($G$2:G163)=0,INT(SETTINGS!$B$4)+A164,INT(MAX($G$2:G163))+A164+IF(A164&lt;MOD(MAX($G$2:G163),1),1,0))))</f>
        <v>46309.552231059744</v>
      </c>
      <c r="H164" s="23">
        <f>IF(D164="","",IF(IFERROR(VLOOKUP(D164,LISTS!$A$2:$E$10,3,FALSE),0)=0,0,IF(IFERROR(COUNTIFS($C$2:C163,C164,$H$2:H163,1,$G$2:G163,"&gt;="&amp;(G164-15/1440)),0)&gt;0,0,1)))</f>
        <v>1</v>
      </c>
      <c r="I164" s="23" t="str">
        <f>IF(H164=1,C164&amp;"|"&amp;COUNTIFS($C$2:C164,C164,$H$2:H164,1),"")</f>
        <v>9000000566|1</v>
      </c>
      <c r="J164" s="23" t="str">
        <f>IF(D164="","",IF(A164="","Missing time",IF(D164="NO_SLOTS",IF(COUNTIF(PARTNERS!$A$2:$A$88,E164)=0,"Write the company in column E","OK"),IF(C164="","Missing phone",IF(COUNTIF(DESK!$F$2:$F$601,C164)=0,"Phone not found: copy it from your list",IF(AND(E164&lt;&gt;"",COUNTIFS(DESK!$F$2:$F$601,C164,DESK!$B$2:$B$601,E164)=0),"Company is not one of theirs","OK"))))))</f>
        <v>OK</v>
      </c>
    </row>
    <row r="165" spans="1:10" x14ac:dyDescent="0.35">
      <c r="A165" s="19">
        <v>46309.552292990593</v>
      </c>
      <c r="B165" s="20" t="s">
        <v>68</v>
      </c>
      <c r="C165" s="21" t="s">
        <v>604</v>
      </c>
      <c r="D165" s="20" t="s">
        <v>20</v>
      </c>
      <c r="E165" s="20"/>
      <c r="F165" s="20"/>
      <c r="G165" s="22">
        <f>IF(A165="","",IF(A165&gt;=1,A165,IF(MAX($G$2:G164)=0,INT(SETTINGS!$B$4)+A165,INT(MAX($G$2:G164))+A165+IF(A165&lt;MOD(MAX($G$2:G164),1),1,0))))</f>
        <v>46309.552292990593</v>
      </c>
      <c r="H165" s="23">
        <f>IF(D165="","",IF(IFERROR(VLOOKUP(D165,LISTS!$A$2:$E$10,3,FALSE),0)=0,0,IF(IFERROR(COUNTIFS($C$2:C164,C165,$H$2:H164,1,$G$2:G164,"&gt;="&amp;(G165-15/1440)),0)&gt;0,0,1)))</f>
        <v>1</v>
      </c>
      <c r="I165" s="23" t="str">
        <f>IF(H165=1,C165&amp;"|"&amp;COUNTIFS($C$2:C165,C165,$H$2:H165,1),"")</f>
        <v>9000005467|1</v>
      </c>
      <c r="J165" s="23" t="str">
        <f>IF(D165="","",IF(A165="","Missing time",IF(D165="NO_SLOTS",IF(COUNTIF(PARTNERS!$A$2:$A$88,E165)=0,"Write the company in column E","OK"),IF(C165="","Missing phone",IF(COUNTIF(DESK!$F$2:$F$601,C165)=0,"Phone not found: copy it from your list",IF(AND(E165&lt;&gt;"",COUNTIFS(DESK!$F$2:$F$601,C165,DESK!$B$2:$B$601,E165)=0),"Company is not one of theirs","OK"))))))</f>
        <v>OK</v>
      </c>
    </row>
    <row r="166" spans="1:10" x14ac:dyDescent="0.35">
      <c r="A166" s="19">
        <v>46309.554516890632</v>
      </c>
      <c r="B166" s="20" t="s">
        <v>48</v>
      </c>
      <c r="C166" s="21" t="s">
        <v>591</v>
      </c>
      <c r="D166" s="20" t="s">
        <v>20</v>
      </c>
      <c r="E166" s="20"/>
      <c r="F166" s="20"/>
      <c r="G166" s="22">
        <f>IF(A166="","",IF(A166&gt;=1,A166,IF(MAX($G$2:G165)=0,INT(SETTINGS!$B$4)+A166,INT(MAX($G$2:G165))+A166+IF(A166&lt;MOD(MAX($G$2:G165),1),1,0))))</f>
        <v>46309.554516890632</v>
      </c>
      <c r="H166" s="23">
        <f>IF(D166="","",IF(IFERROR(VLOOKUP(D166,LISTS!$A$2:$E$10,3,FALSE),0)=0,0,IF(IFERROR(COUNTIFS($C$2:C165,C166,$H$2:H165,1,$G$2:G165,"&gt;="&amp;(G166-15/1440)),0)&gt;0,0,1)))</f>
        <v>1</v>
      </c>
      <c r="I166" s="23" t="str">
        <f>IF(H166=1,C166&amp;"|"&amp;COUNTIFS($C$2:C166,C166,$H$2:H166,1),"")</f>
        <v>9000002646|1</v>
      </c>
      <c r="J166" s="23" t="str">
        <f>IF(D166="","",IF(A166="","Missing time",IF(D166="NO_SLOTS",IF(COUNTIF(PARTNERS!$A$2:$A$88,E166)=0,"Write the company in column E","OK"),IF(C166="","Missing phone",IF(COUNTIF(DESK!$F$2:$F$601,C166)=0,"Phone not found: copy it from your list",IF(AND(E166&lt;&gt;"",COUNTIFS(DESK!$F$2:$F$601,C166,DESK!$B$2:$B$601,E166)=0),"Company is not one of theirs","OK"))))))</f>
        <v>OK</v>
      </c>
    </row>
    <row r="167" spans="1:10" x14ac:dyDescent="0.35">
      <c r="A167" s="19">
        <v>46309.555473542932</v>
      </c>
      <c r="B167" s="20" t="s">
        <v>68</v>
      </c>
      <c r="C167" s="21" t="s">
        <v>638</v>
      </c>
      <c r="D167" s="20" t="s">
        <v>16</v>
      </c>
      <c r="E167" s="20"/>
      <c r="F167" s="20"/>
      <c r="G167" s="22">
        <f>IF(A167="","",IF(A167&gt;=1,A167,IF(MAX($G$2:G166)=0,INT(SETTINGS!$B$4)+A167,INT(MAX($G$2:G166))+A167+IF(A167&lt;MOD(MAX($G$2:G166),1),1,0))))</f>
        <v>46309.555473542932</v>
      </c>
      <c r="H167" s="23">
        <f>IF(D167="","",IF(IFERROR(VLOOKUP(D167,LISTS!$A$2:$E$10,3,FALSE),0)=0,0,IF(IFERROR(COUNTIFS($C$2:C166,C167,$H$2:H166,1,$G$2:G166,"&gt;="&amp;(G167-15/1440)),0)&gt;0,0,1)))</f>
        <v>1</v>
      </c>
      <c r="I167" s="23" t="str">
        <f>IF(H167=1,C167&amp;"|"&amp;COUNTIFS($C$2:C167,C167,$H$2:H167,1),"")</f>
        <v>9000005519|1</v>
      </c>
      <c r="J167" s="23" t="str">
        <f>IF(D167="","",IF(A167="","Missing time",IF(D167="NO_SLOTS",IF(COUNTIF(PARTNERS!$A$2:$A$88,E167)=0,"Write the company in column E","OK"),IF(C167="","Missing phone",IF(COUNTIF(DESK!$F$2:$F$601,C167)=0,"Phone not found: copy it from your list",IF(AND(E167&lt;&gt;"",COUNTIFS(DESK!$F$2:$F$601,C167,DESK!$B$2:$B$601,E167)=0),"Company is not one of theirs","OK"))))))</f>
        <v>OK</v>
      </c>
    </row>
    <row r="168" spans="1:10" x14ac:dyDescent="0.35">
      <c r="A168" s="19">
        <v>46309.557636605554</v>
      </c>
      <c r="B168" s="20" t="s">
        <v>48</v>
      </c>
      <c r="C168" s="21" t="s">
        <v>618</v>
      </c>
      <c r="D168" s="20" t="s">
        <v>18</v>
      </c>
      <c r="E168" s="20"/>
      <c r="F168" s="20" t="s">
        <v>2130</v>
      </c>
      <c r="G168" s="22">
        <f>IF(A168="","",IF(A168&gt;=1,A168,IF(MAX($G$2:G167)=0,INT(SETTINGS!$B$4)+A168,INT(MAX($G$2:G167))+A168+IF(A168&lt;MOD(MAX($G$2:G167),1),1,0))))</f>
        <v>46309.557636605554</v>
      </c>
      <c r="H168" s="23">
        <f>IF(D168="","",IF(IFERROR(VLOOKUP(D168,LISTS!$A$2:$E$10,3,FALSE),0)=0,0,IF(IFERROR(COUNTIFS($C$2:C167,C168,$H$2:H167,1,$G$2:G167,"&gt;="&amp;(G168-15/1440)),0)&gt;0,0,1)))</f>
        <v>1</v>
      </c>
      <c r="I168" s="23" t="str">
        <f>IF(H168=1,C168&amp;"|"&amp;COUNTIFS($C$2:C168,C168,$H$2:H168,1),"")</f>
        <v>9000005376|1</v>
      </c>
      <c r="J168" s="23" t="str">
        <f>IF(D168="","",IF(A168="","Missing time",IF(D168="NO_SLOTS",IF(COUNTIF(PARTNERS!$A$2:$A$88,E168)=0,"Write the company in column E","OK"),IF(C168="","Missing phone",IF(COUNTIF(DESK!$F$2:$F$601,C168)=0,"Phone not found: copy it from your list",IF(AND(E168&lt;&gt;"",COUNTIFS(DESK!$F$2:$F$601,C168,DESK!$B$2:$B$601,E168)=0),"Company is not one of theirs","OK"))))))</f>
        <v>OK</v>
      </c>
    </row>
    <row r="169" spans="1:10" x14ac:dyDescent="0.35">
      <c r="A169" s="19">
        <v>46309.55847786097</v>
      </c>
      <c r="B169" s="20" t="s">
        <v>68</v>
      </c>
      <c r="C169" s="21" t="s">
        <v>678</v>
      </c>
      <c r="D169" s="20" t="s">
        <v>22</v>
      </c>
      <c r="E169" s="20"/>
      <c r="F169" s="20" t="s">
        <v>2129</v>
      </c>
      <c r="G169" s="22">
        <f>IF(A169="","",IF(A169&gt;=1,A169,IF(MAX($G$2:G168)=0,INT(SETTINGS!$B$4)+A169,INT(MAX($G$2:G168))+A169+IF(A169&lt;MOD(MAX($G$2:G168),1),1,0))))</f>
        <v>46309.55847786097</v>
      </c>
      <c r="H169" s="23">
        <f>IF(D169="","",IF(IFERROR(VLOOKUP(D169,LISTS!$A$2:$E$10,3,FALSE),0)=0,0,IF(IFERROR(COUNTIFS($C$2:C168,C169,$H$2:H168,1,$G$2:G168,"&gt;="&amp;(G169-15/1440)),0)&gt;0,0,1)))</f>
        <v>1</v>
      </c>
      <c r="I169" s="23" t="str">
        <f>IF(H169=1,C169&amp;"|"&amp;COUNTIFS($C$2:C169,C169,$H$2:H169,1),"")</f>
        <v>9000001567|1</v>
      </c>
      <c r="J169" s="23" t="str">
        <f>IF(D169="","",IF(A169="","Missing time",IF(D169="NO_SLOTS",IF(COUNTIF(PARTNERS!$A$2:$A$88,E169)=0,"Write the company in column E","OK"),IF(C169="","Missing phone",IF(COUNTIF(DESK!$F$2:$F$601,C169)=0,"Phone not found: copy it from your list",IF(AND(E169&lt;&gt;"",COUNTIFS(DESK!$F$2:$F$601,C169,DESK!$B$2:$B$601,E169)=0),"Company is not one of theirs","OK"))))))</f>
        <v>OK</v>
      </c>
    </row>
    <row r="170" spans="1:10" x14ac:dyDescent="0.35">
      <c r="A170" s="19">
        <v>46309.559838626563</v>
      </c>
      <c r="B170" s="20" t="s">
        <v>48</v>
      </c>
      <c r="C170" s="21" t="s">
        <v>642</v>
      </c>
      <c r="D170" s="20" t="s">
        <v>20</v>
      </c>
      <c r="E170" s="20"/>
      <c r="F170" s="20"/>
      <c r="G170" s="22">
        <f>IF(A170="","",IF(A170&gt;=1,A170,IF(MAX($G$2:G169)=0,INT(SETTINGS!$B$4)+A170,INT(MAX($G$2:G169))+A170+IF(A170&lt;MOD(MAX($G$2:G169),1),1,0))))</f>
        <v>46309.559838626563</v>
      </c>
      <c r="H170" s="23">
        <f>IF(D170="","",IF(IFERROR(VLOOKUP(D170,LISTS!$A$2:$E$10,3,FALSE),0)=0,0,IF(IFERROR(COUNTIFS($C$2:C169,C170,$H$2:H169,1,$G$2:G169,"&gt;="&amp;(G170-15/1440)),0)&gt;0,0,1)))</f>
        <v>1</v>
      </c>
      <c r="I170" s="23" t="str">
        <f>IF(H170=1,C170&amp;"|"&amp;COUNTIFS($C$2:C170,C170,$H$2:H170,1),"")</f>
        <v>9000004466|1</v>
      </c>
      <c r="J170" s="23" t="str">
        <f>IF(D170="","",IF(A170="","Missing time",IF(D170="NO_SLOTS",IF(COUNTIF(PARTNERS!$A$2:$A$88,E170)=0,"Write the company in column E","OK"),IF(C170="","Missing phone",IF(COUNTIF(DESK!$F$2:$F$601,C170)=0,"Phone not found: copy it from your list",IF(AND(E170&lt;&gt;"",COUNTIFS(DESK!$F$2:$F$601,C170,DESK!$B$2:$B$601,E170)=0),"Company is not one of theirs","OK"))))))</f>
        <v>OK</v>
      </c>
    </row>
    <row r="171" spans="1:10" x14ac:dyDescent="0.35">
      <c r="A171" s="19">
        <v>46309.561848318415</v>
      </c>
      <c r="B171" s="20" t="s">
        <v>68</v>
      </c>
      <c r="C171" s="21" t="s">
        <v>734</v>
      </c>
      <c r="D171" s="20" t="s">
        <v>22</v>
      </c>
      <c r="E171" s="20"/>
      <c r="F171" s="20" t="s">
        <v>2129</v>
      </c>
      <c r="G171" s="22">
        <f>IF(A171="","",IF(A171&gt;=1,A171,IF(MAX($G$2:G170)=0,INT(SETTINGS!$B$4)+A171,INT(MAX($G$2:G170))+A171+IF(A171&lt;MOD(MAX($G$2:G170),1),1,0))))</f>
        <v>46309.561848318415</v>
      </c>
      <c r="H171" s="23">
        <f>IF(D171="","",IF(IFERROR(VLOOKUP(D171,LISTS!$A$2:$E$10,3,FALSE),0)=0,0,IF(IFERROR(COUNTIFS($C$2:C170,C171,$H$2:H170,1,$G$2:G170,"&gt;="&amp;(G171-15/1440)),0)&gt;0,0,1)))</f>
        <v>1</v>
      </c>
      <c r="I171" s="23" t="str">
        <f>IF(H171=1,C171&amp;"|"&amp;COUNTIFS($C$2:C171,C171,$H$2:H171,1),"")</f>
        <v>9000002321|1</v>
      </c>
      <c r="J171" s="23" t="str">
        <f>IF(D171="","",IF(A171="","Missing time",IF(D171="NO_SLOTS",IF(COUNTIF(PARTNERS!$A$2:$A$88,E171)=0,"Write the company in column E","OK"),IF(C171="","Missing phone",IF(COUNTIF(DESK!$F$2:$F$601,C171)=0,"Phone not found: copy it from your list",IF(AND(E171&lt;&gt;"",COUNTIFS(DESK!$F$2:$F$601,C171,DESK!$B$2:$B$601,E171)=0),"Company is not one of theirs","OK"))))))</f>
        <v>OK</v>
      </c>
    </row>
    <row r="172" spans="1:10" x14ac:dyDescent="0.35">
      <c r="A172" s="19">
        <v>46309.562459259905</v>
      </c>
      <c r="B172" s="20" t="s">
        <v>48</v>
      </c>
      <c r="C172" s="21" t="s">
        <v>652</v>
      </c>
      <c r="D172" s="20" t="s">
        <v>26</v>
      </c>
      <c r="E172" s="20"/>
      <c r="F172" s="20" t="s">
        <v>2131</v>
      </c>
      <c r="G172" s="22">
        <f>IF(A172="","",IF(A172&gt;=1,A172,IF(MAX($G$2:G171)=0,INT(SETTINGS!$B$4)+A172,INT(MAX($G$2:G171))+A172+IF(A172&lt;MOD(MAX($G$2:G171),1),1,0))))</f>
        <v>46309.562459259905</v>
      </c>
      <c r="H172" s="23">
        <f>IF(D172="","",IF(IFERROR(VLOOKUP(D172,LISTS!$A$2:$E$10,3,FALSE),0)=0,0,IF(IFERROR(COUNTIFS($C$2:C171,C172,$H$2:H171,1,$G$2:G171,"&gt;="&amp;(G172-15/1440)),0)&gt;0,0,1)))</f>
        <v>1</v>
      </c>
      <c r="I172" s="23" t="str">
        <f>IF(H172=1,C172&amp;"|"&amp;COUNTIFS($C$2:C172,C172,$H$2:H172,1),"")</f>
        <v>9000004492|1</v>
      </c>
      <c r="J172" s="23" t="str">
        <f>IF(D172="","",IF(A172="","Missing time",IF(D172="NO_SLOTS",IF(COUNTIF(PARTNERS!$A$2:$A$88,E172)=0,"Write the company in column E","OK"),IF(C172="","Missing phone",IF(COUNTIF(DESK!$F$2:$F$601,C172)=0,"Phone not found: copy it from your list",IF(AND(E172&lt;&gt;"",COUNTIFS(DESK!$F$2:$F$601,C172,DESK!$B$2:$B$601,E172)=0),"Company is not one of theirs","OK"))))))</f>
        <v>OK</v>
      </c>
    </row>
    <row r="173" spans="1:10" x14ac:dyDescent="0.35">
      <c r="A173" s="19">
        <v>46309.549783891045</v>
      </c>
      <c r="B173" s="20" t="s">
        <v>2127</v>
      </c>
      <c r="C173" s="21" t="s">
        <v>1361</v>
      </c>
      <c r="D173" s="20" t="s">
        <v>30</v>
      </c>
      <c r="E173" s="20" t="s">
        <v>189</v>
      </c>
      <c r="F173" s="20" t="s">
        <v>2128</v>
      </c>
      <c r="G173" s="22">
        <f>IF(A173="","",IF(A173&gt;=1,A173,IF(MAX($G$2:G172)=0,INT(SETTINGS!$B$4)+A173,INT(MAX($G$2:G172))+A173+IF(A173&lt;MOD(MAX($G$2:G172),1),1,0))))</f>
        <v>46309.549783891045</v>
      </c>
      <c r="H173" s="23">
        <f>IF(D173="","",IF(IFERROR(VLOOKUP(D173,LISTS!$A$2:$E$10,3,FALSE),0)=0,0,IF(IFERROR(COUNTIFS($C$2:C172,C173,$H$2:H172,1,$G$2:G172,"&gt;="&amp;(G173-15/1440)),0)&gt;0,0,1)))</f>
        <v>0</v>
      </c>
      <c r="I173" s="23" t="str">
        <f>IF(H173=1,C173&amp;"|"&amp;COUNTIFS($C$2:C173,C173,$H$2:H173,1),"")</f>
        <v/>
      </c>
      <c r="J173" s="23" t="str">
        <f>IF(D173="","",IF(A173="","Missing time",IF(D173="NO_SLOTS",IF(COUNTIF(PARTNERS!$A$2:$A$88,E173)=0,"Write the company in column E","OK"),IF(C173="","Missing phone",IF(COUNTIF(DESK!$F$2:$F$601,C173)=0,"Phone not found: copy it from your list",IF(AND(E173&lt;&gt;"",COUNTIFS(DESK!$F$2:$F$601,C173,DESK!$B$2:$B$601,E173)=0),"Company is not one of theirs","OK"))))))</f>
        <v>OK</v>
      </c>
    </row>
    <row r="174" spans="1:10" x14ac:dyDescent="0.35">
      <c r="A174" s="19">
        <v>46309.557924797809</v>
      </c>
      <c r="B174" s="20" t="s">
        <v>2127</v>
      </c>
      <c r="C174" s="21" t="s">
        <v>920</v>
      </c>
      <c r="D174" s="20" t="s">
        <v>30</v>
      </c>
      <c r="E174" s="20" t="s">
        <v>194</v>
      </c>
      <c r="F174" s="20" t="s">
        <v>2128</v>
      </c>
      <c r="G174" s="22">
        <f>IF(A174="","",IF(A174&gt;=1,A174,IF(MAX($G$2:G173)=0,INT(SETTINGS!$B$4)+A174,INT(MAX($G$2:G173))+A174+IF(A174&lt;MOD(MAX($G$2:G173),1),1,0))))</f>
        <v>46309.557924797809</v>
      </c>
      <c r="H174" s="23">
        <f>IF(D174="","",IF(IFERROR(VLOOKUP(D174,LISTS!$A$2:$E$10,3,FALSE),0)=0,0,IF(IFERROR(COUNTIFS($C$2:C173,C174,$H$2:H173,1,$G$2:G173,"&gt;="&amp;(G174-15/1440)),0)&gt;0,0,1)))</f>
        <v>0</v>
      </c>
      <c r="I174" s="23" t="str">
        <f>IF(H174=1,C174&amp;"|"&amp;COUNTIFS($C$2:C174,C174,$H$2:H174,1),"")</f>
        <v/>
      </c>
      <c r="J174" s="23" t="str">
        <f>IF(D174="","",IF(A174="","Missing time",IF(D174="NO_SLOTS",IF(COUNTIF(PARTNERS!$A$2:$A$88,E174)=0,"Write the company in column E","OK"),IF(C174="","Missing phone",IF(COUNTIF(DESK!$F$2:$F$601,C174)=0,"Phone not found: copy it from your list",IF(AND(E174&lt;&gt;"",COUNTIFS(DESK!$F$2:$F$601,C174,DESK!$B$2:$B$601,E174)=0),"Company is not one of theirs","OK"))))))</f>
        <v>OK</v>
      </c>
    </row>
    <row r="175" spans="1:10" x14ac:dyDescent="0.35">
      <c r="A175" s="19">
        <v>46309.56680413874</v>
      </c>
      <c r="B175" s="20" t="s">
        <v>68</v>
      </c>
      <c r="C175" s="21" t="s">
        <v>1785</v>
      </c>
      <c r="D175" s="20" t="s">
        <v>20</v>
      </c>
      <c r="E175" s="20"/>
      <c r="F175" s="20"/>
      <c r="G175" s="22">
        <f>IF(A175="","",IF(A175&gt;=1,A175,IF(MAX($G$2:G174)=0,INT(SETTINGS!$B$4)+A175,INT(MAX($G$2:G174))+A175+IF(A175&lt;MOD(MAX($G$2:G174),1),1,0))))</f>
        <v>46309.56680413874</v>
      </c>
      <c r="H175" s="23">
        <f>IF(D175="","",IF(IFERROR(VLOOKUP(D175,LISTS!$A$2:$E$10,3,FALSE),0)=0,0,IF(IFERROR(COUNTIFS($C$2:C174,C175,$H$2:H174,1,$G$2:G174,"&gt;="&amp;(G175-15/1440)),0)&gt;0,0,1)))</f>
        <v>1</v>
      </c>
      <c r="I175" s="23" t="str">
        <f>IF(H175=1,C175&amp;"|"&amp;COUNTIFS($C$2:C175,C175,$H$2:H175,1),"")</f>
        <v>9000000969|2</v>
      </c>
      <c r="J175" s="23" t="str">
        <f>IF(D175="","",IF(A175="","Missing time",IF(D175="NO_SLOTS",IF(COUNTIF(PARTNERS!$A$2:$A$88,E175)=0,"Write the company in column E","OK"),IF(C175="","Missing phone",IF(COUNTIF(DESK!$F$2:$F$601,C175)=0,"Phone not found: copy it from your list",IF(AND(E175&lt;&gt;"",COUNTIFS(DESK!$F$2:$F$601,C175,DESK!$B$2:$B$601,E175)=0),"Company is not one of theirs","OK"))))))</f>
        <v>OK</v>
      </c>
    </row>
    <row r="176" spans="1:10" x14ac:dyDescent="0.35">
      <c r="A176" s="19">
        <v>46309.568520364628</v>
      </c>
      <c r="B176" s="20" t="s">
        <v>48</v>
      </c>
      <c r="C176" s="21" t="s">
        <v>1310</v>
      </c>
      <c r="D176" s="20" t="s">
        <v>16</v>
      </c>
      <c r="E176" s="20"/>
      <c r="F176" s="20"/>
      <c r="G176" s="22">
        <f>IF(A176="","",IF(A176&gt;=1,A176,IF(MAX($G$2:G175)=0,INT(SETTINGS!$B$4)+A176,INT(MAX($G$2:G175))+A176+IF(A176&lt;MOD(MAX($G$2:G175),1),1,0))))</f>
        <v>46309.568520364628</v>
      </c>
      <c r="H176" s="23">
        <f>IF(D176="","",IF(IFERROR(VLOOKUP(D176,LISTS!$A$2:$E$10,3,FALSE),0)=0,0,IF(IFERROR(COUNTIFS($C$2:C175,C176,$H$2:H175,1,$G$2:G175,"&gt;="&amp;(G176-15/1440)),0)&gt;0,0,1)))</f>
        <v>1</v>
      </c>
      <c r="I176" s="23" t="str">
        <f>IF(H176=1,C176&amp;"|"&amp;COUNTIFS($C$2:C176,C176,$H$2:H176,1),"")</f>
        <v>9000002958|2</v>
      </c>
      <c r="J176" s="23" t="str">
        <f>IF(D176="","",IF(A176="","Missing time",IF(D176="NO_SLOTS",IF(COUNTIF(PARTNERS!$A$2:$A$88,E176)=0,"Write the company in column E","OK"),IF(C176="","Missing phone",IF(COUNTIF(DESK!$F$2:$F$601,C176)=0,"Phone not found: copy it from your list",IF(AND(E176&lt;&gt;"",COUNTIFS(DESK!$F$2:$F$601,C176,DESK!$B$2:$B$601,E176)=0),"Company is not one of theirs","OK"))))))</f>
        <v>OK</v>
      </c>
    </row>
    <row r="177" spans="1:10" x14ac:dyDescent="0.35">
      <c r="A177" s="19">
        <v>46309.569986312381</v>
      </c>
      <c r="B177" s="20" t="s">
        <v>68</v>
      </c>
      <c r="C177" s="21" t="s">
        <v>738</v>
      </c>
      <c r="D177" s="20" t="s">
        <v>20</v>
      </c>
      <c r="E177" s="20"/>
      <c r="F177" s="20"/>
      <c r="G177" s="22">
        <f>IF(A177="","",IF(A177&gt;=1,A177,IF(MAX($G$2:G176)=0,INT(SETTINGS!$B$4)+A177,INT(MAX($G$2:G176))+A177+IF(A177&lt;MOD(MAX($G$2:G176),1),1,0))))</f>
        <v>46309.569986312381</v>
      </c>
      <c r="H177" s="23">
        <f>IF(D177="","",IF(IFERROR(VLOOKUP(D177,LISTS!$A$2:$E$10,3,FALSE),0)=0,0,IF(IFERROR(COUNTIFS($C$2:C176,C177,$H$2:H176,1,$G$2:G176,"&gt;="&amp;(G177-15/1440)),0)&gt;0,0,1)))</f>
        <v>1</v>
      </c>
      <c r="I177" s="23" t="str">
        <f>IF(H177=1,C177&amp;"|"&amp;COUNTIFS($C$2:C177,C177,$H$2:H177,1),"")</f>
        <v>9000003647|1</v>
      </c>
      <c r="J177" s="23" t="str">
        <f>IF(D177="","",IF(A177="","Missing time",IF(D177="NO_SLOTS",IF(COUNTIF(PARTNERS!$A$2:$A$88,E177)=0,"Write the company in column E","OK"),IF(C177="","Missing phone",IF(COUNTIF(DESK!$F$2:$F$601,C177)=0,"Phone not found: copy it from your list",IF(AND(E177&lt;&gt;"",COUNTIFS(DESK!$F$2:$F$601,C177,DESK!$B$2:$B$601,E177)=0),"Company is not one of theirs","OK"))))))</f>
        <v>OK</v>
      </c>
    </row>
    <row r="178" spans="1:10" x14ac:dyDescent="0.35">
      <c r="A178" s="19">
        <v>46309.570935173993</v>
      </c>
      <c r="B178" s="20" t="s">
        <v>48</v>
      </c>
      <c r="C178" s="21" t="s">
        <v>689</v>
      </c>
      <c r="D178" s="20" t="s">
        <v>20</v>
      </c>
      <c r="E178" s="20"/>
      <c r="F178" s="20"/>
      <c r="G178" s="22">
        <f>IF(A178="","",IF(A178&gt;=1,A178,IF(MAX($G$2:G177)=0,INT(SETTINGS!$B$4)+A178,INT(MAX($G$2:G177))+A178+IF(A178&lt;MOD(MAX($G$2:G177),1),1,0))))</f>
        <v>46309.570935173993</v>
      </c>
      <c r="H178" s="23">
        <f>IF(D178="","",IF(IFERROR(VLOOKUP(D178,LISTS!$A$2:$E$10,3,FALSE),0)=0,0,IF(IFERROR(COUNTIFS($C$2:C177,C178,$H$2:H177,1,$G$2:G177,"&gt;="&amp;(G178-15/1440)),0)&gt;0,0,1)))</f>
        <v>1</v>
      </c>
      <c r="I178" s="23" t="str">
        <f>IF(H178=1,C178&amp;"|"&amp;COUNTIFS($C$2:C178,C178,$H$2:H178,1),"")</f>
        <v>9000001788|1</v>
      </c>
      <c r="J178" s="23" t="str">
        <f>IF(D178="","",IF(A178="","Missing time",IF(D178="NO_SLOTS",IF(COUNTIF(PARTNERS!$A$2:$A$88,E178)=0,"Write the company in column E","OK"),IF(C178="","Missing phone",IF(COUNTIF(DESK!$F$2:$F$601,C178)=0,"Phone not found: copy it from your list",IF(AND(E178&lt;&gt;"",COUNTIFS(DESK!$F$2:$F$601,C178,DESK!$B$2:$B$601,E178)=0),"Company is not one of theirs","OK"))))))</f>
        <v>OK</v>
      </c>
    </row>
    <row r="179" spans="1:10" x14ac:dyDescent="0.35">
      <c r="A179" s="19">
        <v>46309.572937585188</v>
      </c>
      <c r="B179" s="20" t="s">
        <v>68</v>
      </c>
      <c r="C179" s="21" t="s">
        <v>865</v>
      </c>
      <c r="D179" s="20" t="s">
        <v>20</v>
      </c>
      <c r="E179" s="20"/>
      <c r="F179" s="20"/>
      <c r="G179" s="22">
        <f>IF(A179="","",IF(A179&gt;=1,A179,IF(MAX($G$2:G178)=0,INT(SETTINGS!$B$4)+A179,INT(MAX($G$2:G178))+A179+IF(A179&lt;MOD(MAX($G$2:G178),1),1,0))))</f>
        <v>46309.572937585188</v>
      </c>
      <c r="H179" s="23">
        <f>IF(D179="","",IF(IFERROR(VLOOKUP(D179,LISTS!$A$2:$E$10,3,FALSE),0)=0,0,IF(IFERROR(COUNTIFS($C$2:C178,C179,$H$2:H178,1,$G$2:G178,"&gt;="&amp;(G179-15/1440)),0)&gt;0,0,1)))</f>
        <v>1</v>
      </c>
      <c r="I179" s="23" t="str">
        <f>IF(H179=1,C179&amp;"|"&amp;COUNTIFS($C$2:C179,C179,$H$2:H179,1),"")</f>
        <v>9000002633|1</v>
      </c>
      <c r="J179" s="23" t="str">
        <f>IF(D179="","",IF(A179="","Missing time",IF(D179="NO_SLOTS",IF(COUNTIF(PARTNERS!$A$2:$A$88,E179)=0,"Write the company in column E","OK"),IF(C179="","Missing phone",IF(COUNTIF(DESK!$F$2:$F$601,C179)=0,"Phone not found: copy it from your list",IF(AND(E179&lt;&gt;"",COUNTIFS(DESK!$F$2:$F$601,C179,DESK!$B$2:$B$601,E179)=0),"Company is not one of theirs","OK"))))))</f>
        <v>OK</v>
      </c>
    </row>
    <row r="180" spans="1:10" x14ac:dyDescent="0.35">
      <c r="A180" s="19">
        <v>46309.573511108705</v>
      </c>
      <c r="B180" s="20" t="s">
        <v>48</v>
      </c>
      <c r="C180" s="21" t="s">
        <v>820</v>
      </c>
      <c r="D180" s="20" t="s">
        <v>22</v>
      </c>
      <c r="E180" s="20"/>
      <c r="F180" s="20" t="s">
        <v>2129</v>
      </c>
      <c r="G180" s="22">
        <f>IF(A180="","",IF(A180&gt;=1,A180,IF(MAX($G$2:G179)=0,INT(SETTINGS!$B$4)+A180,INT(MAX($G$2:G179))+A180+IF(A180&lt;MOD(MAX($G$2:G179),1),1,0))))</f>
        <v>46309.573511108705</v>
      </c>
      <c r="H180" s="23">
        <f>IF(D180="","",IF(IFERROR(VLOOKUP(D180,LISTS!$A$2:$E$10,3,FALSE),0)=0,0,IF(IFERROR(COUNTIFS($C$2:C179,C180,$H$2:H179,1,$G$2:G179,"&gt;="&amp;(G180-15/1440)),0)&gt;0,0,1)))</f>
        <v>1</v>
      </c>
      <c r="I180" s="23" t="str">
        <f>IF(H180=1,C180&amp;"|"&amp;COUNTIFS($C$2:C180,C180,$H$2:H180,1),"")</f>
        <v>9000001840|1</v>
      </c>
      <c r="J180" s="23" t="str">
        <f>IF(D180="","",IF(A180="","Missing time",IF(D180="NO_SLOTS",IF(COUNTIF(PARTNERS!$A$2:$A$88,E180)=0,"Write the company in column E","OK"),IF(C180="","Missing phone",IF(COUNTIF(DESK!$F$2:$F$601,C180)=0,"Phone not found: copy it from your list",IF(AND(E180&lt;&gt;"",COUNTIFS(DESK!$F$2:$F$601,C180,DESK!$B$2:$B$601,E180)=0),"Company is not one of theirs","OK"))))))</f>
        <v>OK</v>
      </c>
    </row>
    <row r="181" spans="1:10" x14ac:dyDescent="0.35">
      <c r="A181" s="19">
        <v>46309.575364971148</v>
      </c>
      <c r="B181" s="20" t="s">
        <v>68</v>
      </c>
      <c r="C181" s="21" t="s">
        <v>916</v>
      </c>
      <c r="D181" s="20" t="s">
        <v>16</v>
      </c>
      <c r="E181" s="20"/>
      <c r="F181" s="20"/>
      <c r="G181" s="22">
        <f>IF(A181="","",IF(A181&gt;=1,A181,IF(MAX($G$2:G180)=0,INT(SETTINGS!$B$4)+A181,INT(MAX($G$2:G180))+A181+IF(A181&lt;MOD(MAX($G$2:G180),1),1,0))))</f>
        <v>46309.575364971148</v>
      </c>
      <c r="H181" s="23">
        <f>IF(D181="","",IF(IFERROR(VLOOKUP(D181,LISTS!$A$2:$E$10,3,FALSE),0)=0,0,IF(IFERROR(COUNTIFS($C$2:C180,C181,$H$2:H180,1,$G$2:G180,"&gt;="&amp;(G181-15/1440)),0)&gt;0,0,1)))</f>
        <v>1</v>
      </c>
      <c r="I181" s="23" t="str">
        <f>IF(H181=1,C181&amp;"|"&amp;COUNTIFS($C$2:C181,C181,$H$2:H181,1),"")</f>
        <v>9000001879|1</v>
      </c>
      <c r="J181" s="23" t="str">
        <f>IF(D181="","",IF(A181="","Missing time",IF(D181="NO_SLOTS",IF(COUNTIF(PARTNERS!$A$2:$A$88,E181)=0,"Write the company in column E","OK"),IF(C181="","Missing phone",IF(COUNTIF(DESK!$F$2:$F$601,C181)=0,"Phone not found: copy it from your list",IF(AND(E181&lt;&gt;"",COUNTIFS(DESK!$F$2:$F$601,C181,DESK!$B$2:$B$601,E181)=0),"Company is not one of theirs","OK"))))))</f>
        <v>OK</v>
      </c>
    </row>
    <row r="182" spans="1:10" x14ac:dyDescent="0.35">
      <c r="A182" s="19">
        <v>46309.577495068763</v>
      </c>
      <c r="B182" s="20" t="s">
        <v>48</v>
      </c>
      <c r="C182" s="21" t="s">
        <v>831</v>
      </c>
      <c r="D182" s="20" t="s">
        <v>22</v>
      </c>
      <c r="E182" s="20"/>
      <c r="F182" s="20" t="s">
        <v>2129</v>
      </c>
      <c r="G182" s="22">
        <f>IF(A182="","",IF(A182&gt;=1,A182,IF(MAX($G$2:G181)=0,INT(SETTINGS!$B$4)+A182,INT(MAX($G$2:G181))+A182+IF(A182&lt;MOD(MAX($G$2:G181),1),1,0))))</f>
        <v>46309.577495068763</v>
      </c>
      <c r="H182" s="23">
        <f>IF(D182="","",IF(IFERROR(VLOOKUP(D182,LISTS!$A$2:$E$10,3,FALSE),0)=0,0,IF(IFERROR(COUNTIFS($C$2:C181,C182,$H$2:H181,1,$G$2:G181,"&gt;="&amp;(G182-15/1440)),0)&gt;0,0,1)))</f>
        <v>1</v>
      </c>
      <c r="I182" s="23" t="str">
        <f>IF(H182=1,C182&amp;"|"&amp;COUNTIFS($C$2:C182,C182,$H$2:H182,1),"")</f>
        <v>9000002308|1</v>
      </c>
      <c r="J182" s="23" t="str">
        <f>IF(D182="","",IF(A182="","Missing time",IF(D182="NO_SLOTS",IF(COUNTIF(PARTNERS!$A$2:$A$88,E182)=0,"Write the company in column E","OK"),IF(C182="","Missing phone",IF(COUNTIF(DESK!$F$2:$F$601,C182)=0,"Phone not found: copy it from your list",IF(AND(E182&lt;&gt;"",COUNTIFS(DESK!$F$2:$F$601,C182,DESK!$B$2:$B$601,E182)=0),"Company is not one of theirs","OK"))))))</f>
        <v>OK</v>
      </c>
    </row>
    <row r="183" spans="1:10" x14ac:dyDescent="0.35">
      <c r="A183" s="19">
        <v>46309.579496526065</v>
      </c>
      <c r="B183" s="20" t="s">
        <v>68</v>
      </c>
      <c r="C183" s="21" t="s">
        <v>924</v>
      </c>
      <c r="D183" s="20" t="s">
        <v>16</v>
      </c>
      <c r="E183" s="20"/>
      <c r="F183" s="20"/>
      <c r="G183" s="22">
        <f>IF(A183="","",IF(A183&gt;=1,A183,IF(MAX($G$2:G182)=0,INT(SETTINGS!$B$4)+A183,INT(MAX($G$2:G182))+A183+IF(A183&lt;MOD(MAX($G$2:G182),1),1,0))))</f>
        <v>46309.579496526065</v>
      </c>
      <c r="H183" s="23">
        <f>IF(D183="","",IF(IFERROR(VLOOKUP(D183,LISTS!$A$2:$E$10,3,FALSE),0)=0,0,IF(IFERROR(COUNTIFS($C$2:C182,C183,$H$2:H182,1,$G$2:G182,"&gt;="&amp;(G183-15/1440)),0)&gt;0,0,1)))</f>
        <v>1</v>
      </c>
      <c r="I183" s="23" t="str">
        <f>IF(H183=1,C183&amp;"|"&amp;COUNTIFS($C$2:C183,C183,$H$2:H183,1),"")</f>
        <v>9000002035|1</v>
      </c>
      <c r="J183" s="23" t="str">
        <f>IF(D183="","",IF(A183="","Missing time",IF(D183="NO_SLOTS",IF(COUNTIF(PARTNERS!$A$2:$A$88,E183)=0,"Write the company in column E","OK"),IF(C183="","Missing phone",IF(COUNTIF(DESK!$F$2:$F$601,C183)=0,"Phone not found: copy it from your list",IF(AND(E183&lt;&gt;"",COUNTIFS(DESK!$F$2:$F$601,C183,DESK!$B$2:$B$601,E183)=0),"Company is not one of theirs","OK"))))))</f>
        <v>OK</v>
      </c>
    </row>
    <row r="184" spans="1:10" x14ac:dyDescent="0.35">
      <c r="A184" s="19">
        <v>46309.580147443863</v>
      </c>
      <c r="B184" s="20" t="s">
        <v>48</v>
      </c>
      <c r="C184" s="21" t="s">
        <v>860</v>
      </c>
      <c r="D184" s="20" t="s">
        <v>20</v>
      </c>
      <c r="E184" s="20"/>
      <c r="F184" s="20"/>
      <c r="G184" s="22">
        <f>IF(A184="","",IF(A184&gt;=1,A184,IF(MAX($G$2:G183)=0,INT(SETTINGS!$B$4)+A184,INT(MAX($G$2:G183))+A184+IF(A184&lt;MOD(MAX($G$2:G183),1),1,0))))</f>
        <v>46309.580147443863</v>
      </c>
      <c r="H184" s="23">
        <f>IF(D184="","",IF(IFERROR(VLOOKUP(D184,LISTS!$A$2:$E$10,3,FALSE),0)=0,0,IF(IFERROR(COUNTIFS($C$2:C183,C184,$H$2:H183,1,$G$2:G183,"&gt;="&amp;(G184-15/1440)),0)&gt;0,0,1)))</f>
        <v>1</v>
      </c>
      <c r="I184" s="23" t="str">
        <f>IF(H184=1,C184&amp;"|"&amp;COUNTIFS($C$2:C184,C184,$H$2:H184,1),"")</f>
        <v>9000000046|1</v>
      </c>
      <c r="J184" s="23" t="str">
        <f>IF(D184="","",IF(A184="","Missing time",IF(D184="NO_SLOTS",IF(COUNTIF(PARTNERS!$A$2:$A$88,E184)=0,"Write the company in column E","OK"),IF(C184="","Missing phone",IF(COUNTIF(DESK!$F$2:$F$601,C184)=0,"Phone not found: copy it from your list",IF(AND(E184&lt;&gt;"",COUNTIFS(DESK!$F$2:$F$601,C184,DESK!$B$2:$B$601,E184)=0),"Company is not one of theirs","OK"))))))</f>
        <v>OK</v>
      </c>
    </row>
    <row r="185" spans="1:10" x14ac:dyDescent="0.35">
      <c r="A185" s="19">
        <v>46309.582126132394</v>
      </c>
      <c r="B185" s="20" t="s">
        <v>68</v>
      </c>
      <c r="C185" s="21" t="s">
        <v>939</v>
      </c>
      <c r="D185" s="20" t="s">
        <v>16</v>
      </c>
      <c r="E185" s="20"/>
      <c r="F185" s="20"/>
      <c r="G185" s="22">
        <f>IF(A185="","",IF(A185&gt;=1,A185,IF(MAX($G$2:G184)=0,INT(SETTINGS!$B$4)+A185,INT(MAX($G$2:G184))+A185+IF(A185&lt;MOD(MAX($G$2:G184),1),1,0))))</f>
        <v>46309.582126132394</v>
      </c>
      <c r="H185" s="23">
        <f>IF(D185="","",IF(IFERROR(VLOOKUP(D185,LISTS!$A$2:$E$10,3,FALSE),0)=0,0,IF(IFERROR(COUNTIFS($C$2:C184,C185,$H$2:H184,1,$G$2:G184,"&gt;="&amp;(G185-15/1440)),0)&gt;0,0,1)))</f>
        <v>1</v>
      </c>
      <c r="I185" s="23" t="str">
        <f>IF(H185=1,C185&amp;"|"&amp;COUNTIFS($C$2:C185,C185,$H$2:H185,1),"")</f>
        <v>9000001489|1</v>
      </c>
      <c r="J185" s="23" t="str">
        <f>IF(D185="","",IF(A185="","Missing time",IF(D185="NO_SLOTS",IF(COUNTIF(PARTNERS!$A$2:$A$88,E185)=0,"Write the company in column E","OK"),IF(C185="","Missing phone",IF(COUNTIF(DESK!$F$2:$F$601,C185)=0,"Phone not found: copy it from your list",IF(AND(E185&lt;&gt;"",COUNTIFS(DESK!$F$2:$F$601,C185,DESK!$B$2:$B$601,E185)=0),"Company is not one of theirs","OK"))))))</f>
        <v>OK</v>
      </c>
    </row>
    <row r="186" spans="1:10" x14ac:dyDescent="0.35">
      <c r="A186" s="19">
        <v>46309.583117434297</v>
      </c>
      <c r="B186" s="20" t="s">
        <v>48</v>
      </c>
      <c r="C186" s="21" t="s">
        <v>901</v>
      </c>
      <c r="D186" s="20" t="s">
        <v>20</v>
      </c>
      <c r="E186" s="20"/>
      <c r="F186" s="20"/>
      <c r="G186" s="22">
        <f>IF(A186="","",IF(A186&gt;=1,A186,IF(MAX($G$2:G185)=0,INT(SETTINGS!$B$4)+A186,INT(MAX($G$2:G185))+A186+IF(A186&lt;MOD(MAX($G$2:G185),1),1,0))))</f>
        <v>46309.583117434297</v>
      </c>
      <c r="H186" s="23">
        <f>IF(D186="","",IF(IFERROR(VLOOKUP(D186,LISTS!$A$2:$E$10,3,FALSE),0)=0,0,IF(IFERROR(COUNTIFS($C$2:C185,C186,$H$2:H185,1,$G$2:G185,"&gt;="&amp;(G186-15/1440)),0)&gt;0,0,1)))</f>
        <v>1</v>
      </c>
      <c r="I186" s="23" t="str">
        <f>IF(H186=1,C186&amp;"|"&amp;COUNTIFS($C$2:C186,C186,$H$2:H186,1),"")</f>
        <v>9000000748|1</v>
      </c>
      <c r="J186" s="23" t="str">
        <f>IF(D186="","",IF(A186="","Missing time",IF(D186="NO_SLOTS",IF(COUNTIF(PARTNERS!$A$2:$A$88,E186)=0,"Write the company in column E","OK"),IF(C186="","Missing phone",IF(COUNTIF(DESK!$F$2:$F$601,C186)=0,"Phone not found: copy it from your list",IF(AND(E186&lt;&gt;"",COUNTIFS(DESK!$F$2:$F$601,C186,DESK!$B$2:$B$601,E186)=0),"Company is not one of theirs","OK"))))))</f>
        <v>OK</v>
      </c>
    </row>
    <row r="187" spans="1:10" x14ac:dyDescent="0.35">
      <c r="A187" s="19">
        <v>46309.569550989152</v>
      </c>
      <c r="B187" s="20" t="s">
        <v>2127</v>
      </c>
      <c r="C187" s="21" t="s">
        <v>2006</v>
      </c>
      <c r="D187" s="20" t="s">
        <v>30</v>
      </c>
      <c r="E187" s="20" t="s">
        <v>285</v>
      </c>
      <c r="F187" s="20" t="s">
        <v>2128</v>
      </c>
      <c r="G187" s="22">
        <f>IF(A187="","",IF(A187&gt;=1,A187,IF(MAX($G$2:G186)=0,INT(SETTINGS!$B$4)+A187,INT(MAX($G$2:G186))+A187+IF(A187&lt;MOD(MAX($G$2:G186),1),1,0))))</f>
        <v>46309.569550989152</v>
      </c>
      <c r="H187" s="23">
        <f>IF(D187="","",IF(IFERROR(VLOOKUP(D187,LISTS!$A$2:$E$10,3,FALSE),0)=0,0,IF(IFERROR(COUNTIFS($C$2:C186,C187,$H$2:H186,1,$G$2:G186,"&gt;="&amp;(G187-15/1440)),0)&gt;0,0,1)))</f>
        <v>0</v>
      </c>
      <c r="I187" s="23" t="str">
        <f>IF(H187=1,C187&amp;"|"&amp;COUNTIFS($C$2:C187,C187,$H$2:H187,1),"")</f>
        <v/>
      </c>
      <c r="J187" s="23" t="str">
        <f>IF(D187="","",IF(A187="","Missing time",IF(D187="NO_SLOTS",IF(COUNTIF(PARTNERS!$A$2:$A$88,E187)=0,"Write the company in column E","OK"),IF(C187="","Missing phone",IF(COUNTIF(DESK!$F$2:$F$601,C187)=0,"Phone not found: copy it from your list",IF(AND(E187&lt;&gt;"",COUNTIFS(DESK!$F$2:$F$601,C187,DESK!$B$2:$B$601,E187)=0),"Company is not one of theirs","OK"))))))</f>
        <v>OK</v>
      </c>
    </row>
    <row r="188" spans="1:10" x14ac:dyDescent="0.35">
      <c r="A188" s="19">
        <v>46309.57944899796</v>
      </c>
      <c r="B188" s="20" t="s">
        <v>2127</v>
      </c>
      <c r="C188" s="21" t="s">
        <v>1156</v>
      </c>
      <c r="D188" s="20" t="s">
        <v>30</v>
      </c>
      <c r="E188" s="20" t="s">
        <v>249</v>
      </c>
      <c r="F188" s="20" t="s">
        <v>2132</v>
      </c>
      <c r="G188" s="22">
        <f>IF(A188="","",IF(A188&gt;=1,A188,IF(MAX($G$2:G187)=0,INT(SETTINGS!$B$4)+A188,INT(MAX($G$2:G187))+A188+IF(A188&lt;MOD(MAX($G$2:G187),1),1,0))))</f>
        <v>46309.57944899796</v>
      </c>
      <c r="H188" s="23">
        <f>IF(D188="","",IF(IFERROR(VLOOKUP(D188,LISTS!$A$2:$E$10,3,FALSE),0)=0,0,IF(IFERROR(COUNTIFS($C$2:C187,C188,$H$2:H187,1,$G$2:G187,"&gt;="&amp;(G188-15/1440)),0)&gt;0,0,1)))</f>
        <v>0</v>
      </c>
      <c r="I188" s="23" t="str">
        <f>IF(H188=1,C188&amp;"|"&amp;COUNTIFS($C$2:C188,C188,$H$2:H188,1),"")</f>
        <v/>
      </c>
      <c r="J188" s="23" t="str">
        <f>IF(D188="","",IF(A188="","Missing time",IF(D188="NO_SLOTS",IF(COUNTIF(PARTNERS!$A$2:$A$88,E188)=0,"Write the company in column E","OK"),IF(C188="","Missing phone",IF(COUNTIF(DESK!$F$2:$F$601,C188)=0,"Phone not found: copy it from your list",IF(AND(E188&lt;&gt;"",COUNTIFS(DESK!$F$2:$F$601,C188,DESK!$B$2:$B$601,E188)=0),"Company is not one of theirs","OK"))))))</f>
        <v>OK</v>
      </c>
    </row>
    <row r="189" spans="1:10" x14ac:dyDescent="0.35">
      <c r="A189" s="19">
        <v>46309.579584930427</v>
      </c>
      <c r="B189" s="20" t="s">
        <v>2127</v>
      </c>
      <c r="C189" s="21" t="s">
        <v>853</v>
      </c>
      <c r="D189" s="20" t="s">
        <v>30</v>
      </c>
      <c r="E189" s="20" t="s">
        <v>201</v>
      </c>
      <c r="F189" s="20" t="s">
        <v>2132</v>
      </c>
      <c r="G189" s="22">
        <f>IF(A189="","",IF(A189&gt;=1,A189,IF(MAX($G$2:G188)=0,INT(SETTINGS!$B$4)+A189,INT(MAX($G$2:G188))+A189+IF(A189&lt;MOD(MAX($G$2:G188),1),1,0))))</f>
        <v>46309.579584930427</v>
      </c>
      <c r="H189" s="23">
        <f>IF(D189="","",IF(IFERROR(VLOOKUP(D189,LISTS!$A$2:$E$10,3,FALSE),0)=0,0,IF(IFERROR(COUNTIFS($C$2:C188,C189,$H$2:H188,1,$G$2:G188,"&gt;="&amp;(G189-15/1440)),0)&gt;0,0,1)))</f>
        <v>0</v>
      </c>
      <c r="I189" s="23" t="str">
        <f>IF(H189=1,C189&amp;"|"&amp;COUNTIFS($C$2:C189,C189,$H$2:H189,1),"")</f>
        <v/>
      </c>
      <c r="J189" s="23" t="str">
        <f>IF(D189="","",IF(A189="","Missing time",IF(D189="NO_SLOTS",IF(COUNTIF(PARTNERS!$A$2:$A$88,E189)=0,"Write the company in column E","OK"),IF(C189="","Missing phone",IF(COUNTIF(DESK!$F$2:$F$601,C189)=0,"Phone not found: copy it from your list",IF(AND(E189&lt;&gt;"",COUNTIFS(DESK!$F$2:$F$601,C189,DESK!$B$2:$B$601,E189)=0),"Company is not one of theirs","OK"))))))</f>
        <v>OK</v>
      </c>
    </row>
    <row r="190" spans="1:10" x14ac:dyDescent="0.35">
      <c r="A190" s="19">
        <v>46309.581326879546</v>
      </c>
      <c r="B190" s="20" t="s">
        <v>2127</v>
      </c>
      <c r="C190" s="21" t="s">
        <v>984</v>
      </c>
      <c r="D190" s="20" t="s">
        <v>30</v>
      </c>
      <c r="E190" s="20" t="s">
        <v>342</v>
      </c>
      <c r="F190" s="20" t="s">
        <v>2128</v>
      </c>
      <c r="G190" s="22">
        <f>IF(A190="","",IF(A190&gt;=1,A190,IF(MAX($G$2:G189)=0,INT(SETTINGS!$B$4)+A190,INT(MAX($G$2:G189))+A190+IF(A190&lt;MOD(MAX($G$2:G189),1),1,0))))</f>
        <v>46309.581326879546</v>
      </c>
      <c r="H190" s="23">
        <f>IF(D190="","",IF(IFERROR(VLOOKUP(D190,LISTS!$A$2:$E$10,3,FALSE),0)=0,0,IF(IFERROR(COUNTIFS($C$2:C189,C190,$H$2:H189,1,$G$2:G189,"&gt;="&amp;(G190-15/1440)),0)&gt;0,0,1)))</f>
        <v>0</v>
      </c>
      <c r="I190" s="23" t="str">
        <f>IF(H190=1,C190&amp;"|"&amp;COUNTIFS($C$2:C190,C190,$H$2:H190,1),"")</f>
        <v/>
      </c>
      <c r="J190" s="23" t="str">
        <f>IF(D190="","",IF(A190="","Missing time",IF(D190="NO_SLOTS",IF(COUNTIF(PARTNERS!$A$2:$A$88,E190)=0,"Write the company in column E","OK"),IF(C190="","Missing phone",IF(COUNTIF(DESK!$F$2:$F$601,C190)=0,"Phone not found: copy it from your list",IF(AND(E190&lt;&gt;"",COUNTIFS(DESK!$F$2:$F$601,C190,DESK!$B$2:$B$601,E190)=0),"Company is not one of theirs","OK"))))))</f>
        <v>OK</v>
      </c>
    </row>
    <row r="191" spans="1:10" x14ac:dyDescent="0.35">
      <c r="A191" s="19">
        <v>46309.58636934316</v>
      </c>
      <c r="B191" s="20" t="s">
        <v>48</v>
      </c>
      <c r="C191" s="21" t="s">
        <v>930</v>
      </c>
      <c r="D191" s="20" t="s">
        <v>16</v>
      </c>
      <c r="E191" s="20"/>
      <c r="F191" s="20"/>
      <c r="G191" s="22">
        <f>IF(A191="","",IF(A191&gt;=1,A191,IF(MAX($G$2:G190)=0,INT(SETTINGS!$B$4)+A191,INT(MAX($G$2:G190))+A191+IF(A191&lt;MOD(MAX($G$2:G190),1),1,0))))</f>
        <v>46309.58636934316</v>
      </c>
      <c r="H191" s="23">
        <f>IF(D191="","",IF(IFERROR(VLOOKUP(D191,LISTS!$A$2:$E$10,3,FALSE),0)=0,0,IF(IFERROR(COUNTIFS($C$2:C190,C191,$H$2:H190,1,$G$2:G190,"&gt;="&amp;(G191-15/1440)),0)&gt;0,0,1)))</f>
        <v>1</v>
      </c>
      <c r="I191" s="23" t="str">
        <f>IF(H191=1,C191&amp;"|"&amp;COUNTIFS($C$2:C191,C191,$H$2:H191,1),"")</f>
        <v>9000000644|1</v>
      </c>
      <c r="J191" s="23" t="str">
        <f>IF(D191="","",IF(A191="","Missing time",IF(D191="NO_SLOTS",IF(COUNTIF(PARTNERS!$A$2:$A$88,E191)=0,"Write the company in column E","OK"),IF(C191="","Missing phone",IF(COUNTIF(DESK!$F$2:$F$601,C191)=0,"Phone not found: copy it from your list",IF(AND(E191&lt;&gt;"",COUNTIFS(DESK!$F$2:$F$601,C191,DESK!$B$2:$B$601,E191)=0),"Company is not one of theirs","OK"))))))</f>
        <v>OK</v>
      </c>
    </row>
    <row r="192" spans="1:10" x14ac:dyDescent="0.35">
      <c r="A192" s="19">
        <v>46309.587343512212</v>
      </c>
      <c r="B192" s="20" t="s">
        <v>68</v>
      </c>
      <c r="C192" s="21" t="s">
        <v>544</v>
      </c>
      <c r="D192" s="20" t="s">
        <v>16</v>
      </c>
      <c r="E192" s="20"/>
      <c r="F192" s="20"/>
      <c r="G192" s="22">
        <f>IF(A192="","",IF(A192&gt;=1,A192,IF(MAX($G$2:G191)=0,INT(SETTINGS!$B$4)+A192,INT(MAX($G$2:G191))+A192+IF(A192&lt;MOD(MAX($G$2:G191),1),1,0))))</f>
        <v>46309.587343512212</v>
      </c>
      <c r="H192" s="23">
        <f>IF(D192="","",IF(IFERROR(VLOOKUP(D192,LISTS!$A$2:$E$10,3,FALSE),0)=0,0,IF(IFERROR(COUNTIFS($C$2:C191,C192,$H$2:H191,1,$G$2:G191,"&gt;="&amp;(G192-15/1440)),0)&gt;0,0,1)))</f>
        <v>1</v>
      </c>
      <c r="I192" s="23" t="str">
        <f>IF(H192=1,C192&amp;"|"&amp;COUNTIFS($C$2:C192,C192,$H$2:H192,1),"")</f>
        <v>9000004271|2</v>
      </c>
      <c r="J192" s="23" t="str">
        <f>IF(D192="","",IF(A192="","Missing time",IF(D192="NO_SLOTS",IF(COUNTIF(PARTNERS!$A$2:$A$88,E192)=0,"Write the company in column E","OK"),IF(C192="","Missing phone",IF(COUNTIF(DESK!$F$2:$F$601,C192)=0,"Phone not found: copy it from your list",IF(AND(E192&lt;&gt;"",COUNTIFS(DESK!$F$2:$F$601,C192,DESK!$B$2:$B$601,E192)=0),"Company is not one of theirs","OK"))))))</f>
        <v>OK</v>
      </c>
    </row>
    <row r="193" spans="1:10" x14ac:dyDescent="0.35">
      <c r="A193" s="19">
        <v>46309.588894111301</v>
      </c>
      <c r="B193" s="20" t="s">
        <v>48</v>
      </c>
      <c r="C193" s="21" t="s">
        <v>1000</v>
      </c>
      <c r="D193" s="20" t="s">
        <v>16</v>
      </c>
      <c r="E193" s="20"/>
      <c r="F193" s="20"/>
      <c r="G193" s="22">
        <f>IF(A193="","",IF(A193&gt;=1,A193,IF(MAX($G$2:G192)=0,INT(SETTINGS!$B$4)+A193,INT(MAX($G$2:G192))+A193+IF(A193&lt;MOD(MAX($G$2:G192),1),1,0))))</f>
        <v>46309.588894111301</v>
      </c>
      <c r="H193" s="23">
        <f>IF(D193="","",IF(IFERROR(VLOOKUP(D193,LISTS!$A$2:$E$10,3,FALSE),0)=0,0,IF(IFERROR(COUNTIFS($C$2:C192,C193,$H$2:H192,1,$G$2:G192,"&gt;="&amp;(G193-15/1440)),0)&gt;0,0,1)))</f>
        <v>1</v>
      </c>
      <c r="I193" s="23" t="str">
        <f>IF(H193=1,C193&amp;"|"&amp;COUNTIFS($C$2:C193,C193,$H$2:H193,1),"")</f>
        <v>9000005298|1</v>
      </c>
      <c r="J193" s="23" t="str">
        <f>IF(D193="","",IF(A193="","Missing time",IF(D193="NO_SLOTS",IF(COUNTIF(PARTNERS!$A$2:$A$88,E193)=0,"Write the company in column E","OK"),IF(C193="","Missing phone",IF(COUNTIF(DESK!$F$2:$F$601,C193)=0,"Phone not found: copy it from your list",IF(AND(E193&lt;&gt;"",COUNTIFS(DESK!$F$2:$F$601,C193,DESK!$B$2:$B$601,E193)=0),"Company is not one of theirs","OK"))))))</f>
        <v>OK</v>
      </c>
    </row>
    <row r="194" spans="1:10" x14ac:dyDescent="0.35">
      <c r="A194" s="19">
        <v>46309.590454398771</v>
      </c>
      <c r="B194" s="20" t="s">
        <v>68</v>
      </c>
      <c r="C194" s="21" t="s">
        <v>980</v>
      </c>
      <c r="D194" s="20" t="s">
        <v>20</v>
      </c>
      <c r="E194" s="20"/>
      <c r="F194" s="20"/>
      <c r="G194" s="22">
        <f>IF(A194="","",IF(A194&gt;=1,A194,IF(MAX($G$2:G193)=0,INT(SETTINGS!$B$4)+A194,INT(MAX($G$2:G193))+A194+IF(A194&lt;MOD(MAX($G$2:G193),1),1,0))))</f>
        <v>46309.590454398771</v>
      </c>
      <c r="H194" s="23">
        <f>IF(D194="","",IF(IFERROR(VLOOKUP(D194,LISTS!$A$2:$E$10,3,FALSE),0)=0,0,IF(IFERROR(COUNTIFS($C$2:C193,C194,$H$2:H193,1,$G$2:G193,"&gt;="&amp;(G194-15/1440)),0)&gt;0,0,1)))</f>
        <v>1</v>
      </c>
      <c r="I194" s="23" t="str">
        <f>IF(H194=1,C194&amp;"|"&amp;COUNTIFS($C$2:C194,C194,$H$2:H194,1),"")</f>
        <v>9000002347|1</v>
      </c>
      <c r="J194" s="23" t="str">
        <f>IF(D194="","",IF(A194="","Missing time",IF(D194="NO_SLOTS",IF(COUNTIF(PARTNERS!$A$2:$A$88,E194)=0,"Write the company in column E","OK"),IF(C194="","Missing phone",IF(COUNTIF(DESK!$F$2:$F$601,C194)=0,"Phone not found: copy it from your list",IF(AND(E194&lt;&gt;"",COUNTIFS(DESK!$F$2:$F$601,C194,DESK!$B$2:$B$601,E194)=0),"Company is not one of theirs","OK"))))))</f>
        <v>OK</v>
      </c>
    </row>
    <row r="195" spans="1:10" x14ac:dyDescent="0.35">
      <c r="A195" s="19">
        <v>46309.591763727709</v>
      </c>
      <c r="B195" s="20" t="s">
        <v>48</v>
      </c>
      <c r="C195" s="21" t="s">
        <v>1049</v>
      </c>
      <c r="D195" s="20" t="s">
        <v>16</v>
      </c>
      <c r="E195" s="20"/>
      <c r="F195" s="20"/>
      <c r="G195" s="22">
        <f>IF(A195="","",IF(A195&gt;=1,A195,IF(MAX($G$2:G194)=0,INT(SETTINGS!$B$4)+A195,INT(MAX($G$2:G194))+A195+IF(A195&lt;MOD(MAX($G$2:G194),1),1,0))))</f>
        <v>46309.591763727709</v>
      </c>
      <c r="H195" s="23">
        <f>IF(D195="","",IF(IFERROR(VLOOKUP(D195,LISTS!$A$2:$E$10,3,FALSE),0)=0,0,IF(IFERROR(COUNTIFS($C$2:C194,C195,$H$2:H194,1,$G$2:G194,"&gt;="&amp;(G195-15/1440)),0)&gt;0,0,1)))</f>
        <v>1</v>
      </c>
      <c r="I195" s="23" t="str">
        <f>IF(H195=1,C195&amp;"|"&amp;COUNTIFS($C$2:C195,C195,$H$2:H195,1),"")</f>
        <v>9000002672|1</v>
      </c>
      <c r="J195" s="23" t="str">
        <f>IF(D195="","",IF(A195="","Missing time",IF(D195="NO_SLOTS",IF(COUNTIF(PARTNERS!$A$2:$A$88,E195)=0,"Write the company in column E","OK"),IF(C195="","Missing phone",IF(COUNTIF(DESK!$F$2:$F$601,C195)=0,"Phone not found: copy it from your list",IF(AND(E195&lt;&gt;"",COUNTIFS(DESK!$F$2:$F$601,C195,DESK!$B$2:$B$601,E195)=0),"Company is not one of theirs","OK"))))))</f>
        <v>OK</v>
      </c>
    </row>
    <row r="196" spans="1:10" x14ac:dyDescent="0.35">
      <c r="A196" s="19">
        <v>46309.593030679891</v>
      </c>
      <c r="B196" s="20" t="s">
        <v>68</v>
      </c>
      <c r="C196" s="21" t="s">
        <v>994</v>
      </c>
      <c r="D196" s="20" t="s">
        <v>22</v>
      </c>
      <c r="E196" s="20"/>
      <c r="F196" s="20" t="s">
        <v>2129</v>
      </c>
      <c r="G196" s="22">
        <f>IF(A196="","",IF(A196&gt;=1,A196,IF(MAX($G$2:G195)=0,INT(SETTINGS!$B$4)+A196,INT(MAX($G$2:G195))+A196+IF(A196&lt;MOD(MAX($G$2:G195),1),1,0))))</f>
        <v>46309.593030679891</v>
      </c>
      <c r="H196" s="23">
        <f>IF(D196="","",IF(IFERROR(VLOOKUP(D196,LISTS!$A$2:$E$10,3,FALSE),0)=0,0,IF(IFERROR(COUNTIFS($C$2:C195,C196,$H$2:H195,1,$G$2:G195,"&gt;="&amp;(G196-15/1440)),0)&gt;0,0,1)))</f>
        <v>1</v>
      </c>
      <c r="I196" s="23" t="str">
        <f>IF(H196=1,C196&amp;"|"&amp;COUNTIFS($C$2:C196,C196,$H$2:H196,1),"")</f>
        <v>9000004193|1</v>
      </c>
      <c r="J196" s="23" t="str">
        <f>IF(D196="","",IF(A196="","Missing time",IF(D196="NO_SLOTS",IF(COUNTIF(PARTNERS!$A$2:$A$88,E196)=0,"Write the company in column E","OK"),IF(C196="","Missing phone",IF(COUNTIF(DESK!$F$2:$F$601,C196)=0,"Phone not found: copy it from your list",IF(AND(E196&lt;&gt;"",COUNTIFS(DESK!$F$2:$F$601,C196,DESK!$B$2:$B$601,E196)=0),"Company is not one of theirs","OK"))))))</f>
        <v>OK</v>
      </c>
    </row>
    <row r="197" spans="1:10" x14ac:dyDescent="0.35">
      <c r="A197" s="19">
        <v>46309.594226895519</v>
      </c>
      <c r="B197" s="20" t="s">
        <v>48</v>
      </c>
      <c r="C197" s="21" t="s">
        <v>1199</v>
      </c>
      <c r="D197" s="20" t="s">
        <v>22</v>
      </c>
      <c r="E197" s="20"/>
      <c r="F197" s="20" t="s">
        <v>2129</v>
      </c>
      <c r="G197" s="22">
        <f>IF(A197="","",IF(A197&gt;=1,A197,IF(MAX($G$2:G196)=0,INT(SETTINGS!$B$4)+A197,INT(MAX($G$2:G196))+A197+IF(A197&lt;MOD(MAX($G$2:G196),1),1,0))))</f>
        <v>46309.594226895519</v>
      </c>
      <c r="H197" s="23">
        <f>IF(D197="","",IF(IFERROR(VLOOKUP(D197,LISTS!$A$2:$E$10,3,FALSE),0)=0,0,IF(IFERROR(COUNTIFS($C$2:C196,C197,$H$2:H196,1,$G$2:G196,"&gt;="&amp;(G197-15/1440)),0)&gt;0,0,1)))</f>
        <v>1</v>
      </c>
      <c r="I197" s="23" t="str">
        <f>IF(H197=1,C197&amp;"|"&amp;COUNTIFS($C$2:C197,C197,$H$2:H197,1),"")</f>
        <v>9000005532|1</v>
      </c>
      <c r="J197" s="23" t="str">
        <f>IF(D197="","",IF(A197="","Missing time",IF(D197="NO_SLOTS",IF(COUNTIF(PARTNERS!$A$2:$A$88,E197)=0,"Write the company in column E","OK"),IF(C197="","Missing phone",IF(COUNTIF(DESK!$F$2:$F$601,C197)=0,"Phone not found: copy it from your list",IF(AND(E197&lt;&gt;"",COUNTIFS(DESK!$F$2:$F$601,C197,DESK!$B$2:$B$601,E197)=0),"Company is not one of theirs","OK"))))))</f>
        <v>OK</v>
      </c>
    </row>
    <row r="198" spans="1:10" x14ac:dyDescent="0.35">
      <c r="A198" s="19">
        <v>46309.595324018417</v>
      </c>
      <c r="B198" s="20" t="s">
        <v>68</v>
      </c>
      <c r="C198" s="21" t="s">
        <v>997</v>
      </c>
      <c r="D198" s="20" t="s">
        <v>16</v>
      </c>
      <c r="E198" s="20"/>
      <c r="F198" s="20"/>
      <c r="G198" s="22">
        <f>IF(A198="","",IF(A198&gt;=1,A198,IF(MAX($G$2:G197)=0,INT(SETTINGS!$B$4)+A198,INT(MAX($G$2:G197))+A198+IF(A198&lt;MOD(MAX($G$2:G197),1),1,0))))</f>
        <v>46309.595324018417</v>
      </c>
      <c r="H198" s="23">
        <f>IF(D198="","",IF(IFERROR(VLOOKUP(D198,LISTS!$A$2:$E$10,3,FALSE),0)=0,0,IF(IFERROR(COUNTIFS($C$2:C197,C198,$H$2:H197,1,$G$2:G197,"&gt;="&amp;(G198-15/1440)),0)&gt;0,0,1)))</f>
        <v>1</v>
      </c>
      <c r="I198" s="23" t="str">
        <f>IF(H198=1,C198&amp;"|"&amp;COUNTIFS($C$2:C198,C198,$H$2:H198,1),"")</f>
        <v>9000004661|1</v>
      </c>
      <c r="J198" s="23" t="str">
        <f>IF(D198="","",IF(A198="","Missing time",IF(D198="NO_SLOTS",IF(COUNTIF(PARTNERS!$A$2:$A$88,E198)=0,"Write the company in column E","OK"),IF(C198="","Missing phone",IF(COUNTIF(DESK!$F$2:$F$601,C198)=0,"Phone not found: copy it from your list",IF(AND(E198&lt;&gt;"",COUNTIFS(DESK!$F$2:$F$601,C198,DESK!$B$2:$B$601,E198)=0),"Company is not one of theirs","OK"))))))</f>
        <v>OK</v>
      </c>
    </row>
    <row r="199" spans="1:10" x14ac:dyDescent="0.35">
      <c r="A199" s="19">
        <v>46309.597784443307</v>
      </c>
      <c r="B199" s="20" t="s">
        <v>48</v>
      </c>
      <c r="C199" s="21" t="s">
        <v>1202</v>
      </c>
      <c r="D199" s="20" t="s">
        <v>20</v>
      </c>
      <c r="E199" s="20"/>
      <c r="F199" s="20"/>
      <c r="G199" s="22">
        <f>IF(A199="","",IF(A199&gt;=1,A199,IF(MAX($G$2:G198)=0,INT(SETTINGS!$B$4)+A199,INT(MAX($G$2:G198))+A199+IF(A199&lt;MOD(MAX($G$2:G198),1),1,0))))</f>
        <v>46309.597784443307</v>
      </c>
      <c r="H199" s="23">
        <f>IF(D199="","",IF(IFERROR(VLOOKUP(D199,LISTS!$A$2:$E$10,3,FALSE),0)=0,0,IF(IFERROR(COUNTIFS($C$2:C198,C199,$H$2:H198,1,$G$2:G198,"&gt;="&amp;(G199-15/1440)),0)&gt;0,0,1)))</f>
        <v>1</v>
      </c>
      <c r="I199" s="23" t="str">
        <f>IF(H199=1,C199&amp;"|"&amp;COUNTIFS($C$2:C199,C199,$H$2:H199,1),"")</f>
        <v>9000004908|1</v>
      </c>
      <c r="J199" s="23" t="str">
        <f>IF(D199="","",IF(A199="","Missing time",IF(D199="NO_SLOTS",IF(COUNTIF(PARTNERS!$A$2:$A$88,E199)=0,"Write the company in column E","OK"),IF(C199="","Missing phone",IF(COUNTIF(DESK!$F$2:$F$601,C199)=0,"Phone not found: copy it from your list",IF(AND(E199&lt;&gt;"",COUNTIFS(DESK!$F$2:$F$601,C199,DESK!$B$2:$B$601,E199)=0),"Company is not one of theirs","OK"))))))</f>
        <v>OK</v>
      </c>
    </row>
    <row r="200" spans="1:10" x14ac:dyDescent="0.35">
      <c r="A200" s="19">
        <v>46309.598471470599</v>
      </c>
      <c r="B200" s="20" t="s">
        <v>68</v>
      </c>
      <c r="C200" s="21" t="s">
        <v>1036</v>
      </c>
      <c r="D200" s="20" t="s">
        <v>20</v>
      </c>
      <c r="E200" s="20"/>
      <c r="F200" s="20"/>
      <c r="G200" s="22">
        <f>IF(A200="","",IF(A200&gt;=1,A200,IF(MAX($G$2:G199)=0,INT(SETTINGS!$B$4)+A200,INT(MAX($G$2:G199))+A200+IF(A200&lt;MOD(MAX($G$2:G199),1),1,0))))</f>
        <v>46309.598471470599</v>
      </c>
      <c r="H200" s="23">
        <f>IF(D200="","",IF(IFERROR(VLOOKUP(D200,LISTS!$A$2:$E$10,3,FALSE),0)=0,0,IF(IFERROR(COUNTIFS($C$2:C199,C200,$H$2:H199,1,$G$2:G199,"&gt;="&amp;(G200-15/1440)),0)&gt;0,0,1)))</f>
        <v>1</v>
      </c>
      <c r="I200" s="23" t="str">
        <f>IF(H200=1,C200&amp;"|"&amp;COUNTIFS($C$2:C200,C200,$H$2:H200,1),"")</f>
        <v>9000003959|1</v>
      </c>
      <c r="J200" s="23" t="str">
        <f>IF(D200="","",IF(A200="","Missing time",IF(D200="NO_SLOTS",IF(COUNTIF(PARTNERS!$A$2:$A$88,E200)=0,"Write the company in column E","OK"),IF(C200="","Missing phone",IF(COUNTIF(DESK!$F$2:$F$601,C200)=0,"Phone not found: copy it from your list",IF(AND(E200&lt;&gt;"",COUNTIFS(DESK!$F$2:$F$601,C200,DESK!$B$2:$B$601,E200)=0),"Company is not one of theirs","OK"))))))</f>
        <v>OK</v>
      </c>
    </row>
    <row r="201" spans="1:10" x14ac:dyDescent="0.35">
      <c r="A201" s="19">
        <v>46309.600590676884</v>
      </c>
      <c r="B201" s="20" t="s">
        <v>68</v>
      </c>
      <c r="C201" s="21" t="s">
        <v>1052</v>
      </c>
      <c r="D201" s="20" t="s">
        <v>18</v>
      </c>
      <c r="E201" s="20"/>
      <c r="F201" s="20" t="s">
        <v>2130</v>
      </c>
      <c r="G201" s="22">
        <f>IF(A201="","",IF(A201&gt;=1,A201,IF(MAX($G$2:G200)=0,INT(SETTINGS!$B$4)+A201,INT(MAX($G$2:G200))+A201+IF(A201&lt;MOD(MAX($G$2:G200),1),1,0))))</f>
        <v>46309.600590676884</v>
      </c>
      <c r="H201" s="23">
        <f>IF(D201="","",IF(IFERROR(VLOOKUP(D201,LISTS!$A$2:$E$10,3,FALSE),0)=0,0,IF(IFERROR(COUNTIFS($C$2:C200,C201,$H$2:H200,1,$G$2:G200,"&gt;="&amp;(G201-15/1440)),0)&gt;0,0,1)))</f>
        <v>1</v>
      </c>
      <c r="I201" s="23" t="str">
        <f>IF(H201=1,C201&amp;"|"&amp;COUNTIFS($C$2:C201,C201,$H$2:H201,1),"")</f>
        <v>9000001359|1</v>
      </c>
      <c r="J201" s="23" t="str">
        <f>IF(D201="","",IF(A201="","Missing time",IF(D201="NO_SLOTS",IF(COUNTIF(PARTNERS!$A$2:$A$88,E201)=0,"Write the company in column E","OK"),IF(C201="","Missing phone",IF(COUNTIF(DESK!$F$2:$F$601,C201)=0,"Phone not found: copy it from your list",IF(AND(E201&lt;&gt;"",COUNTIFS(DESK!$F$2:$F$601,C201,DESK!$B$2:$B$601,E201)=0),"Company is not one of theirs","OK"))))))</f>
        <v>OK</v>
      </c>
    </row>
    <row r="202" spans="1:10" x14ac:dyDescent="0.35">
      <c r="A202" s="19">
        <v>46309.601881780021</v>
      </c>
      <c r="B202" s="20" t="s">
        <v>48</v>
      </c>
      <c r="C202" s="21" t="s">
        <v>1243</v>
      </c>
      <c r="D202" s="20" t="s">
        <v>20</v>
      </c>
      <c r="E202" s="20"/>
      <c r="F202" s="20"/>
      <c r="G202" s="22">
        <f>IF(A202="","",IF(A202&gt;=1,A202,IF(MAX($G$2:G201)=0,INT(SETTINGS!$B$4)+A202,INT(MAX($G$2:G201))+A202+IF(A202&lt;MOD(MAX($G$2:G201),1),1,0))))</f>
        <v>46309.601881780021</v>
      </c>
      <c r="H202" s="23">
        <f>IF(D202="","",IF(IFERROR(VLOOKUP(D202,LISTS!$A$2:$E$10,3,FALSE),0)=0,0,IF(IFERROR(COUNTIFS($C$2:C201,C202,$H$2:H201,1,$G$2:G201,"&gt;="&amp;(G202-15/1440)),0)&gt;0,0,1)))</f>
        <v>1</v>
      </c>
      <c r="I202" s="23" t="str">
        <f>IF(H202=1,C202&amp;"|"&amp;COUNTIFS($C$2:C202,C202,$H$2:H202,1),"")</f>
        <v>9000004154|1</v>
      </c>
      <c r="J202" s="23" t="str">
        <f>IF(D202="","",IF(A202="","Missing time",IF(D202="NO_SLOTS",IF(COUNTIF(PARTNERS!$A$2:$A$88,E202)=0,"Write the company in column E","OK"),IF(C202="","Missing phone",IF(COUNTIF(DESK!$F$2:$F$601,C202)=0,"Phone not found: copy it from your list",IF(AND(E202&lt;&gt;"",COUNTIFS(DESK!$F$2:$F$601,C202,DESK!$B$2:$B$601,E202)=0),"Company is not one of theirs","OK"))))))</f>
        <v>OK</v>
      </c>
    </row>
    <row r="203" spans="1:10" x14ac:dyDescent="0.35">
      <c r="A203" s="19">
        <v>46309.603681193919</v>
      </c>
      <c r="B203" s="20" t="s">
        <v>68</v>
      </c>
      <c r="C203" s="21" t="s">
        <v>1064</v>
      </c>
      <c r="D203" s="20" t="s">
        <v>22</v>
      </c>
      <c r="E203" s="20"/>
      <c r="F203" s="20" t="s">
        <v>2129</v>
      </c>
      <c r="G203" s="22">
        <f>IF(A203="","",IF(A203&gt;=1,A203,IF(MAX($G$2:G202)=0,INT(SETTINGS!$B$4)+A203,INT(MAX($G$2:G202))+A203+IF(A203&lt;MOD(MAX($G$2:G202),1),1,0))))</f>
        <v>46309.603681193919</v>
      </c>
      <c r="H203" s="23">
        <f>IF(D203="","",IF(IFERROR(VLOOKUP(D203,LISTS!$A$2:$E$10,3,FALSE),0)=0,0,IF(IFERROR(COUNTIFS($C$2:C202,C203,$H$2:H202,1,$G$2:G202,"&gt;="&amp;(G203-15/1440)),0)&gt;0,0,1)))</f>
        <v>1</v>
      </c>
      <c r="I203" s="23" t="str">
        <f>IF(H203=1,C203&amp;"|"&amp;COUNTIFS($C$2:C203,C203,$H$2:H203,1),"")</f>
        <v>9000002425|1</v>
      </c>
      <c r="J203" s="23" t="str">
        <f>IF(D203="","",IF(A203="","Missing time",IF(D203="NO_SLOTS",IF(COUNTIF(PARTNERS!$A$2:$A$88,E203)=0,"Write the company in column E","OK"),IF(C203="","Missing phone",IF(COUNTIF(DESK!$F$2:$F$601,C203)=0,"Phone not found: copy it from your list",IF(AND(E203&lt;&gt;"",COUNTIFS(DESK!$F$2:$F$601,C203,DESK!$B$2:$B$601,E203)=0),"Company is not one of theirs","OK"))))))</f>
        <v>OK</v>
      </c>
    </row>
    <row r="204" spans="1:10" x14ac:dyDescent="0.35">
      <c r="A204" s="19">
        <v>46309.597429586072</v>
      </c>
      <c r="B204" s="20" t="s">
        <v>2127</v>
      </c>
      <c r="C204" s="21" t="s">
        <v>820</v>
      </c>
      <c r="D204" s="20" t="s">
        <v>30</v>
      </c>
      <c r="E204" s="20" t="s">
        <v>194</v>
      </c>
      <c r="F204" s="20" t="s">
        <v>2128</v>
      </c>
      <c r="G204" s="22">
        <f>IF(A204="","",IF(A204&gt;=1,A204,IF(MAX($G$2:G203)=0,INT(SETTINGS!$B$4)+A204,INT(MAX($G$2:G203))+A204+IF(A204&lt;MOD(MAX($G$2:G203),1),1,0))))</f>
        <v>46309.597429586072</v>
      </c>
      <c r="H204" s="23">
        <f>IF(D204="","",IF(IFERROR(VLOOKUP(D204,LISTS!$A$2:$E$10,3,FALSE),0)=0,0,IF(IFERROR(COUNTIFS($C$2:C203,C204,$H$2:H203,1,$G$2:G203,"&gt;="&amp;(G204-15/1440)),0)&gt;0,0,1)))</f>
        <v>0</v>
      </c>
      <c r="I204" s="23" t="str">
        <f>IF(H204=1,C204&amp;"|"&amp;COUNTIFS($C$2:C204,C204,$H$2:H204,1),"")</f>
        <v/>
      </c>
      <c r="J204" s="23" t="str">
        <f>IF(D204="","",IF(A204="","Missing time",IF(D204="NO_SLOTS",IF(COUNTIF(PARTNERS!$A$2:$A$88,E204)=0,"Write the company in column E","OK"),IF(C204="","Missing phone",IF(COUNTIF(DESK!$F$2:$F$601,C204)=0,"Phone not found: copy it from your list",IF(AND(E204&lt;&gt;"",COUNTIFS(DESK!$F$2:$F$601,C204,DESK!$B$2:$B$601,E204)=0),"Company is not one of theirs","OK"))))))</f>
        <v>OK</v>
      </c>
    </row>
    <row r="205" spans="1:10" x14ac:dyDescent="0.35">
      <c r="A205" s="19">
        <v>46309.599668469433</v>
      </c>
      <c r="B205" s="20" t="s">
        <v>2127</v>
      </c>
      <c r="C205" s="21" t="s">
        <v>678</v>
      </c>
      <c r="D205" s="20" t="s">
        <v>30</v>
      </c>
      <c r="E205" s="20" t="s">
        <v>201</v>
      </c>
      <c r="F205" s="20" t="s">
        <v>2132</v>
      </c>
      <c r="G205" s="22">
        <f>IF(A205="","",IF(A205&gt;=1,A205,IF(MAX($G$2:G204)=0,INT(SETTINGS!$B$4)+A205,INT(MAX($G$2:G204))+A205+IF(A205&lt;MOD(MAX($G$2:G204),1),1,0))))</f>
        <v>46309.599668469433</v>
      </c>
      <c r="H205" s="23">
        <f>IF(D205="","",IF(IFERROR(VLOOKUP(D205,LISTS!$A$2:$E$10,3,FALSE),0)=0,0,IF(IFERROR(COUNTIFS($C$2:C204,C205,$H$2:H204,1,$G$2:G204,"&gt;="&amp;(G205-15/1440)),0)&gt;0,0,1)))</f>
        <v>0</v>
      </c>
      <c r="I205" s="23" t="str">
        <f>IF(H205=1,C205&amp;"|"&amp;COUNTIFS($C$2:C205,C205,$H$2:H205,1),"")</f>
        <v/>
      </c>
      <c r="J205" s="23" t="str">
        <f>IF(D205="","",IF(A205="","Missing time",IF(D205="NO_SLOTS",IF(COUNTIF(PARTNERS!$A$2:$A$88,E205)=0,"Write the company in column E","OK"),IF(C205="","Missing phone",IF(COUNTIF(DESK!$F$2:$F$601,C205)=0,"Phone not found: copy it from your list",IF(AND(E205&lt;&gt;"",COUNTIFS(DESK!$F$2:$F$601,C205,DESK!$B$2:$B$601,E205)=0),"Company is not one of theirs","OK"))))))</f>
        <v>OK</v>
      </c>
    </row>
    <row r="206" spans="1:10" x14ac:dyDescent="0.35">
      <c r="A206" s="19">
        <v>46309.607746054768</v>
      </c>
      <c r="B206" s="20" t="s">
        <v>48</v>
      </c>
      <c r="C206" s="21" t="s">
        <v>1355</v>
      </c>
      <c r="D206" s="20" t="s">
        <v>16</v>
      </c>
      <c r="E206" s="20"/>
      <c r="F206" s="20"/>
      <c r="G206" s="22">
        <f>IF(A206="","",IF(A206&gt;=1,A206,IF(MAX($G$2:G205)=0,INT(SETTINGS!$B$4)+A206,INT(MAX($G$2:G205))+A206+IF(A206&lt;MOD(MAX($G$2:G205),1),1,0))))</f>
        <v>46309.607746054768</v>
      </c>
      <c r="H206" s="23">
        <f>IF(D206="","",IF(IFERROR(VLOOKUP(D206,LISTS!$A$2:$E$10,3,FALSE),0)=0,0,IF(IFERROR(COUNTIFS($C$2:C205,C206,$H$2:H205,1,$G$2:G205,"&gt;="&amp;(G206-15/1440)),0)&gt;0,0,1)))</f>
        <v>1</v>
      </c>
      <c r="I206" s="23" t="str">
        <f>IF(H206=1,C206&amp;"|"&amp;COUNTIFS($C$2:C206,C206,$H$2:H206,1),"")</f>
        <v>9000004076|2</v>
      </c>
      <c r="J206" s="23" t="str">
        <f>IF(D206="","",IF(A206="","Missing time",IF(D206="NO_SLOTS",IF(COUNTIF(PARTNERS!$A$2:$A$88,E206)=0,"Write the company in column E","OK"),IF(C206="","Missing phone",IF(COUNTIF(DESK!$F$2:$F$601,C206)=0,"Phone not found: copy it from your list",IF(AND(E206&lt;&gt;"",COUNTIFS(DESK!$F$2:$F$601,C206,DESK!$B$2:$B$601,E206)=0),"Company is not one of theirs","OK"))))))</f>
        <v>OK</v>
      </c>
    </row>
    <row r="207" spans="1:10" x14ac:dyDescent="0.35">
      <c r="A207" s="19">
        <v>46309.609008699394</v>
      </c>
      <c r="B207" s="20" t="s">
        <v>68</v>
      </c>
      <c r="C207" s="21" t="s">
        <v>1539</v>
      </c>
      <c r="D207" s="20" t="s">
        <v>16</v>
      </c>
      <c r="E207" s="20"/>
      <c r="F207" s="20"/>
      <c r="G207" s="22">
        <f>IF(A207="","",IF(A207&gt;=1,A207,IF(MAX($G$2:G206)=0,INT(SETTINGS!$B$4)+A207,INT(MAX($G$2:G206))+A207+IF(A207&lt;MOD(MAX($G$2:G206),1),1,0))))</f>
        <v>46309.609008699394</v>
      </c>
      <c r="H207" s="23">
        <f>IF(D207="","",IF(IFERROR(VLOOKUP(D207,LISTS!$A$2:$E$10,3,FALSE),0)=0,0,IF(IFERROR(COUNTIFS($C$2:C206,C207,$H$2:H206,1,$G$2:G206,"&gt;="&amp;(G207-15/1440)),0)&gt;0,0,1)))</f>
        <v>1</v>
      </c>
      <c r="I207" s="23" t="str">
        <f>IF(H207=1,C207&amp;"|"&amp;COUNTIFS($C$2:C207,C207,$H$2:H207,1),"")</f>
        <v>9000002711|2</v>
      </c>
      <c r="J207" s="23" t="str">
        <f>IF(D207="","",IF(A207="","Missing time",IF(D207="NO_SLOTS",IF(COUNTIF(PARTNERS!$A$2:$A$88,E207)=0,"Write the company in column E","OK"),IF(C207="","Missing phone",IF(COUNTIF(DESK!$F$2:$F$601,C207)=0,"Phone not found: copy it from your list",IF(AND(E207&lt;&gt;"",COUNTIFS(DESK!$F$2:$F$601,C207,DESK!$B$2:$B$601,E207)=0),"Company is not one of theirs","OK"))))))</f>
        <v>OK</v>
      </c>
    </row>
    <row r="208" spans="1:10" x14ac:dyDescent="0.35">
      <c r="A208" s="19">
        <v>46309.611256474316</v>
      </c>
      <c r="B208" s="20" t="s">
        <v>48</v>
      </c>
      <c r="C208" s="21" t="s">
        <v>1364</v>
      </c>
      <c r="D208" s="20" t="s">
        <v>16</v>
      </c>
      <c r="E208" s="20"/>
      <c r="F208" s="20"/>
      <c r="G208" s="22">
        <f>IF(A208="","",IF(A208&gt;=1,A208,IF(MAX($G$2:G207)=0,INT(SETTINGS!$B$4)+A208,INT(MAX($G$2:G207))+A208+IF(A208&lt;MOD(MAX($G$2:G207),1),1,0))))</f>
        <v>46309.611256474316</v>
      </c>
      <c r="H208" s="23">
        <f>IF(D208="","",IF(IFERROR(VLOOKUP(D208,LISTS!$A$2:$E$10,3,FALSE),0)=0,0,IF(IFERROR(COUNTIFS($C$2:C207,C208,$H$2:H207,1,$G$2:G207,"&gt;="&amp;(G208-15/1440)),0)&gt;0,0,1)))</f>
        <v>1</v>
      </c>
      <c r="I208" s="23" t="str">
        <f>IF(H208=1,C208&amp;"|"&amp;COUNTIFS($C$2:C208,C208,$H$2:H208,1),"")</f>
        <v>9000004310|2</v>
      </c>
      <c r="J208" s="23" t="str">
        <f>IF(D208="","",IF(A208="","Missing time",IF(D208="NO_SLOTS",IF(COUNTIF(PARTNERS!$A$2:$A$88,E208)=0,"Write the company in column E","OK"),IF(C208="","Missing phone",IF(COUNTIF(DESK!$F$2:$F$601,C208)=0,"Phone not found: copy it from your list",IF(AND(E208&lt;&gt;"",COUNTIFS(DESK!$F$2:$F$601,C208,DESK!$B$2:$B$601,E208)=0),"Company is not one of theirs","OK"))))))</f>
        <v>OK</v>
      </c>
    </row>
    <row r="209" spans="1:10" x14ac:dyDescent="0.35">
      <c r="A209" s="19">
        <v>46309.612370890303</v>
      </c>
      <c r="B209" s="20" t="s">
        <v>68</v>
      </c>
      <c r="C209" s="21" t="s">
        <v>1690</v>
      </c>
      <c r="D209" s="20" t="s">
        <v>16</v>
      </c>
      <c r="E209" s="20"/>
      <c r="F209" s="20"/>
      <c r="G209" s="22">
        <f>IF(A209="","",IF(A209&gt;=1,A209,IF(MAX($G$2:G208)=0,INT(SETTINGS!$B$4)+A209,INT(MAX($G$2:G208))+A209+IF(A209&lt;MOD(MAX($G$2:G208),1),1,0))))</f>
        <v>46309.612370890303</v>
      </c>
      <c r="H209" s="23">
        <f>IF(D209="","",IF(IFERROR(VLOOKUP(D209,LISTS!$A$2:$E$10,3,FALSE),0)=0,0,IF(IFERROR(COUNTIFS($C$2:C208,C209,$H$2:H208,1,$G$2:G208,"&gt;="&amp;(G209-15/1440)),0)&gt;0,0,1)))</f>
        <v>1</v>
      </c>
      <c r="I209" s="23" t="str">
        <f>IF(H209=1,C209&amp;"|"&amp;COUNTIFS($C$2:C209,C209,$H$2:H209,1),"")</f>
        <v>9000004089|2</v>
      </c>
      <c r="J209" s="23" t="str">
        <f>IF(D209="","",IF(A209="","Missing time",IF(D209="NO_SLOTS",IF(COUNTIF(PARTNERS!$A$2:$A$88,E209)=0,"Write the company in column E","OK"),IF(C209="","Missing phone",IF(COUNTIF(DESK!$F$2:$F$601,C209)=0,"Phone not found: copy it from your list",IF(AND(E209&lt;&gt;"",COUNTIFS(DESK!$F$2:$F$601,C209,DESK!$B$2:$B$601,E209)=0),"Company is not one of theirs","OK"))))))</f>
        <v>OK</v>
      </c>
    </row>
    <row r="210" spans="1:10" x14ac:dyDescent="0.35">
      <c r="A210" s="19">
        <v>46309.614530894469</v>
      </c>
      <c r="B210" s="20" t="s">
        <v>48</v>
      </c>
      <c r="C210" s="21" t="s">
        <v>1406</v>
      </c>
      <c r="D210" s="20" t="s">
        <v>22</v>
      </c>
      <c r="E210" s="20"/>
      <c r="F210" s="20" t="s">
        <v>2129</v>
      </c>
      <c r="G210" s="22">
        <f>IF(A210="","",IF(A210&gt;=1,A210,IF(MAX($G$2:G209)=0,INT(SETTINGS!$B$4)+A210,INT(MAX($G$2:G209))+A210+IF(A210&lt;MOD(MAX($G$2:G209),1),1,0))))</f>
        <v>46309.614530894469</v>
      </c>
      <c r="H210" s="23">
        <f>IF(D210="","",IF(IFERROR(VLOOKUP(D210,LISTS!$A$2:$E$10,3,FALSE),0)=0,0,IF(IFERROR(COUNTIFS($C$2:C209,C210,$H$2:H209,1,$G$2:G209,"&gt;="&amp;(G210-15/1440)),0)&gt;0,0,1)))</f>
        <v>1</v>
      </c>
      <c r="I210" s="23" t="str">
        <f>IF(H210=1,C210&amp;"|"&amp;COUNTIFS($C$2:C210,C210,$H$2:H210,1),"")</f>
        <v>9000001268|2</v>
      </c>
      <c r="J210" s="23" t="str">
        <f>IF(D210="","",IF(A210="","Missing time",IF(D210="NO_SLOTS",IF(COUNTIF(PARTNERS!$A$2:$A$88,E210)=0,"Write the company in column E","OK"),IF(C210="","Missing phone",IF(COUNTIF(DESK!$F$2:$F$601,C210)=0,"Phone not found: copy it from your list",IF(AND(E210&lt;&gt;"",COUNTIFS(DESK!$F$2:$F$601,C210,DESK!$B$2:$B$601,E210)=0),"Company is not one of theirs","OK"))))))</f>
        <v>OK</v>
      </c>
    </row>
    <row r="211" spans="1:10" x14ac:dyDescent="0.35">
      <c r="A211" s="19">
        <v>46309.61474598413</v>
      </c>
      <c r="B211" s="20" t="s">
        <v>68</v>
      </c>
      <c r="C211" s="21" t="s">
        <v>1090</v>
      </c>
      <c r="D211" s="20" t="s">
        <v>18</v>
      </c>
      <c r="E211" s="20"/>
      <c r="F211" s="20" t="s">
        <v>2130</v>
      </c>
      <c r="G211" s="22">
        <f>IF(A211="","",IF(A211&gt;=1,A211,IF(MAX($G$2:G210)=0,INT(SETTINGS!$B$4)+A211,INT(MAX($G$2:G210))+A211+IF(A211&lt;MOD(MAX($G$2:G210),1),1,0))))</f>
        <v>46309.61474598413</v>
      </c>
      <c r="H211" s="23">
        <f>IF(D211="","",IF(IFERROR(VLOOKUP(D211,LISTS!$A$2:$E$10,3,FALSE),0)=0,0,IF(IFERROR(COUNTIFS($C$2:C210,C211,$H$2:H210,1,$G$2:G210,"&gt;="&amp;(G211-15/1440)),0)&gt;0,0,1)))</f>
        <v>1</v>
      </c>
      <c r="I211" s="23" t="str">
        <f>IF(H211=1,C211&amp;"|"&amp;COUNTIFS($C$2:C211,C211,$H$2:H211,1),"")</f>
        <v>9000005181|1</v>
      </c>
      <c r="J211" s="23" t="str">
        <f>IF(D211="","",IF(A211="","Missing time",IF(D211="NO_SLOTS",IF(COUNTIF(PARTNERS!$A$2:$A$88,E211)=0,"Write the company in column E","OK"),IF(C211="","Missing phone",IF(COUNTIF(DESK!$F$2:$F$601,C211)=0,"Phone not found: copy it from your list",IF(AND(E211&lt;&gt;"",COUNTIFS(DESK!$F$2:$F$601,C211,DESK!$B$2:$B$601,E211)=0),"Company is not one of theirs","OK"))))))</f>
        <v>OK</v>
      </c>
    </row>
    <row r="212" spans="1:10" x14ac:dyDescent="0.35">
      <c r="A212" s="19">
        <v>46309.614762375953</v>
      </c>
      <c r="B212" s="20" t="s">
        <v>48</v>
      </c>
      <c r="C212" s="21" t="s">
        <v>1406</v>
      </c>
      <c r="D212" s="20" t="s">
        <v>20</v>
      </c>
      <c r="E212" s="20" t="s">
        <v>216</v>
      </c>
      <c r="F212" s="20"/>
      <c r="G212" s="22">
        <f>IF(A212="","",IF(A212&gt;=1,A212,IF(MAX($G$2:G211)=0,INT(SETTINGS!$B$4)+A212,INT(MAX($G$2:G211))+A212+IF(A212&lt;MOD(MAX($G$2:G211),1),1,0))))</f>
        <v>46309.614762375953</v>
      </c>
      <c r="H212" s="23">
        <f>IF(D212="","",IF(IFERROR(VLOOKUP(D212,LISTS!$A$2:$E$10,3,FALSE),0)=0,0,IF(IFERROR(COUNTIFS($C$2:C211,C212,$H$2:H211,1,$G$2:G211,"&gt;="&amp;(G212-15/1440)),0)&gt;0,0,1)))</f>
        <v>0</v>
      </c>
      <c r="I212" s="23" t="str">
        <f>IF(H212=1,C212&amp;"|"&amp;COUNTIFS($C$2:C212,C212,$H$2:H212,1),"")</f>
        <v/>
      </c>
      <c r="J212" s="23" t="str">
        <f>IF(D212="","",IF(A212="","Missing time",IF(D212="NO_SLOTS",IF(COUNTIF(PARTNERS!$A$2:$A$88,E212)=0,"Write the company in column E","OK"),IF(C212="","Missing phone",IF(COUNTIF(DESK!$F$2:$F$601,C212)=0,"Phone not found: copy it from your list",IF(AND(E212&lt;&gt;"",COUNTIFS(DESK!$F$2:$F$601,C212,DESK!$B$2:$B$601,E212)=0),"Company is not one of theirs","OK"))))))</f>
        <v>OK</v>
      </c>
    </row>
    <row r="213" spans="1:10" x14ac:dyDescent="0.35">
      <c r="A213" s="19">
        <v>46309.618028761637</v>
      </c>
      <c r="B213" s="20" t="s">
        <v>48</v>
      </c>
      <c r="C213" s="21" t="s">
        <v>1617</v>
      </c>
      <c r="D213" s="20" t="s">
        <v>16</v>
      </c>
      <c r="E213" s="20"/>
      <c r="F213" s="20"/>
      <c r="G213" s="22">
        <f>IF(A213="","",IF(A213&gt;=1,A213,IF(MAX($G$2:G212)=0,INT(SETTINGS!$B$4)+A213,INT(MAX($G$2:G212))+A213+IF(A213&lt;MOD(MAX($G$2:G212),1),1,0))))</f>
        <v>46309.618028761637</v>
      </c>
      <c r="H213" s="23">
        <f>IF(D213="","",IF(IFERROR(VLOOKUP(D213,LISTS!$A$2:$E$10,3,FALSE),0)=0,0,IF(IFERROR(COUNTIFS($C$2:C212,C213,$H$2:H212,1,$G$2:G212,"&gt;="&amp;(G213-15/1440)),0)&gt;0,0,1)))</f>
        <v>1</v>
      </c>
      <c r="I213" s="23" t="str">
        <f>IF(H213=1,C213&amp;"|"&amp;COUNTIFS($C$2:C213,C213,$H$2:H213,1),"")</f>
        <v>9000005038|2</v>
      </c>
      <c r="J213" s="23" t="str">
        <f>IF(D213="","",IF(A213="","Missing time",IF(D213="NO_SLOTS",IF(COUNTIF(PARTNERS!$A$2:$A$88,E213)=0,"Write the company in column E","OK"),IF(C213="","Missing phone",IF(COUNTIF(DESK!$F$2:$F$601,C213)=0,"Phone not found: copy it from your list",IF(AND(E213&lt;&gt;"",COUNTIFS(DESK!$F$2:$F$601,C213,DESK!$B$2:$B$601,E213)=0),"Company is not one of theirs","OK"))))))</f>
        <v>OK</v>
      </c>
    </row>
    <row r="214" spans="1:10" x14ac:dyDescent="0.35">
      <c r="A214" s="19">
        <v>46309.618657818864</v>
      </c>
      <c r="B214" s="20" t="s">
        <v>68</v>
      </c>
      <c r="C214" s="21" t="s">
        <v>1132</v>
      </c>
      <c r="D214" s="20" t="s">
        <v>22</v>
      </c>
      <c r="E214" s="20"/>
      <c r="F214" s="20" t="s">
        <v>2129</v>
      </c>
      <c r="G214" s="22">
        <f>IF(A214="","",IF(A214&gt;=1,A214,IF(MAX($G$2:G213)=0,INT(SETTINGS!$B$4)+A214,INT(MAX($G$2:G213))+A214+IF(A214&lt;MOD(MAX($G$2:G213),1),1,0))))</f>
        <v>46309.618657818864</v>
      </c>
      <c r="H214" s="23">
        <f>IF(D214="","",IF(IFERROR(VLOOKUP(D214,LISTS!$A$2:$E$10,3,FALSE),0)=0,0,IF(IFERROR(COUNTIFS($C$2:C213,C214,$H$2:H213,1,$G$2:G213,"&gt;="&amp;(G214-15/1440)),0)&gt;0,0,1)))</f>
        <v>1</v>
      </c>
      <c r="I214" s="23" t="str">
        <f>IF(H214=1,C214&amp;"|"&amp;COUNTIFS($C$2:C214,C214,$H$2:H214,1),"")</f>
        <v>9000003725|1</v>
      </c>
      <c r="J214" s="23" t="str">
        <f>IF(D214="","",IF(A214="","Missing time",IF(D214="NO_SLOTS",IF(COUNTIF(PARTNERS!$A$2:$A$88,E214)=0,"Write the company in column E","OK"),IF(C214="","Missing phone",IF(COUNTIF(DESK!$F$2:$F$601,C214)=0,"Phone not found: copy it from your list",IF(AND(E214&lt;&gt;"",COUNTIFS(DESK!$F$2:$F$601,C214,DESK!$B$2:$B$601,E214)=0),"Company is not one of theirs","OK"))))))</f>
        <v>OK</v>
      </c>
    </row>
    <row r="215" spans="1:10" x14ac:dyDescent="0.35">
      <c r="A215" s="19">
        <v>46309.621374948387</v>
      </c>
      <c r="B215" s="20" t="s">
        <v>48</v>
      </c>
      <c r="C215" s="21" t="s">
        <v>1257</v>
      </c>
      <c r="D215" s="20" t="s">
        <v>20</v>
      </c>
      <c r="E215" s="20"/>
      <c r="F215" s="20"/>
      <c r="G215" s="22">
        <f>IF(A215="","",IF(A215&gt;=1,A215,IF(MAX($G$2:G214)=0,INT(SETTINGS!$B$4)+A215,INT(MAX($G$2:G214))+A215+IF(A215&lt;MOD(MAX($G$2:G214),1),1,0))))</f>
        <v>46309.621374948387</v>
      </c>
      <c r="H215" s="23">
        <f>IF(D215="","",IF(IFERROR(VLOOKUP(D215,LISTS!$A$2:$E$10,3,FALSE),0)=0,0,IF(IFERROR(COUNTIFS($C$2:C214,C215,$H$2:H214,1,$G$2:G214,"&gt;="&amp;(G215-15/1440)),0)&gt;0,0,1)))</f>
        <v>1</v>
      </c>
      <c r="I215" s="23" t="str">
        <f>IF(H215=1,C215&amp;"|"&amp;COUNTIFS($C$2:C215,C215,$H$2:H215,1),"")</f>
        <v>9000002282|1</v>
      </c>
      <c r="J215" s="23" t="str">
        <f>IF(D215="","",IF(A215="","Missing time",IF(D215="NO_SLOTS",IF(COUNTIF(PARTNERS!$A$2:$A$88,E215)=0,"Write the company in column E","OK"),IF(C215="","Missing phone",IF(COUNTIF(DESK!$F$2:$F$601,C215)=0,"Phone not found: copy it from your list",IF(AND(E215&lt;&gt;"",COUNTIFS(DESK!$F$2:$F$601,C215,DESK!$B$2:$B$601,E215)=0),"Company is not one of theirs","OK"))))))</f>
        <v>OK</v>
      </c>
    </row>
    <row r="216" spans="1:10" x14ac:dyDescent="0.35">
      <c r="A216" s="19">
        <v>46309.621958878335</v>
      </c>
      <c r="B216" s="20" t="s">
        <v>68</v>
      </c>
      <c r="C216" s="21" t="s">
        <v>1148</v>
      </c>
      <c r="D216" s="20" t="s">
        <v>16</v>
      </c>
      <c r="E216" s="20"/>
      <c r="F216" s="20"/>
      <c r="G216" s="22">
        <f>IF(A216="","",IF(A216&gt;=1,A216,IF(MAX($G$2:G215)=0,INT(SETTINGS!$B$4)+A216,INT(MAX($G$2:G215))+A216+IF(A216&lt;MOD(MAX($G$2:G215),1),1,0))))</f>
        <v>46309.621958878335</v>
      </c>
      <c r="H216" s="23">
        <f>IF(D216="","",IF(IFERROR(VLOOKUP(D216,LISTS!$A$2:$E$10,3,FALSE),0)=0,0,IF(IFERROR(COUNTIFS($C$2:C215,C216,$H$2:H215,1,$G$2:G215,"&gt;="&amp;(G216-15/1440)),0)&gt;0,0,1)))</f>
        <v>1</v>
      </c>
      <c r="I216" s="23" t="str">
        <f>IF(H216=1,C216&amp;"|"&amp;COUNTIFS($C$2:C216,C216,$H$2:H216,1),"")</f>
        <v>9000002893|1</v>
      </c>
      <c r="J216" s="23" t="str">
        <f>IF(D216="","",IF(A216="","Missing time",IF(D216="NO_SLOTS",IF(COUNTIF(PARTNERS!$A$2:$A$88,E216)=0,"Write the company in column E","OK"),IF(C216="","Missing phone",IF(COUNTIF(DESK!$F$2:$F$601,C216)=0,"Phone not found: copy it from your list",IF(AND(E216&lt;&gt;"",COUNTIFS(DESK!$F$2:$F$601,C216,DESK!$B$2:$B$601,E216)=0),"Company is not one of theirs","OK"))))))</f>
        <v>OK</v>
      </c>
    </row>
    <row r="217" spans="1:10" x14ac:dyDescent="0.35">
      <c r="A217" s="19">
        <v>46309.62471169178</v>
      </c>
      <c r="B217" s="20" t="s">
        <v>48</v>
      </c>
      <c r="C217" s="21" t="s">
        <v>1270</v>
      </c>
      <c r="D217" s="20" t="s">
        <v>16</v>
      </c>
      <c r="E217" s="20"/>
      <c r="F217" s="20"/>
      <c r="G217" s="22">
        <f>IF(A217="","",IF(A217&gt;=1,A217,IF(MAX($G$2:G216)=0,INT(SETTINGS!$B$4)+A217,INT(MAX($G$2:G216))+A217+IF(A217&lt;MOD(MAX($G$2:G216),1),1,0))))</f>
        <v>46309.62471169178</v>
      </c>
      <c r="H217" s="23">
        <f>IF(D217="","",IF(IFERROR(VLOOKUP(D217,LISTS!$A$2:$E$10,3,FALSE),0)=0,0,IF(IFERROR(COUNTIFS($C$2:C216,C217,$H$2:H216,1,$G$2:G216,"&gt;="&amp;(G217-15/1440)),0)&gt;0,0,1)))</f>
        <v>1</v>
      </c>
      <c r="I217" s="23" t="str">
        <f>IF(H217=1,C217&amp;"|"&amp;COUNTIFS($C$2:C217,C217,$H$2:H217,1),"")</f>
        <v>9000000176|1</v>
      </c>
      <c r="J217" s="23" t="str">
        <f>IF(D217="","",IF(A217="","Missing time",IF(D217="NO_SLOTS",IF(COUNTIF(PARTNERS!$A$2:$A$88,E217)=0,"Write the company in column E","OK"),IF(C217="","Missing phone",IF(COUNTIF(DESK!$F$2:$F$601,C217)=0,"Phone not found: copy it from your list",IF(AND(E217&lt;&gt;"",COUNTIFS(DESK!$F$2:$F$601,C217,DESK!$B$2:$B$601,E217)=0),"Company is not one of theirs","OK"))))))</f>
        <v>OK</v>
      </c>
    </row>
    <row r="218" spans="1:10" x14ac:dyDescent="0.35">
      <c r="A218" s="19">
        <v>46309.608396211734</v>
      </c>
      <c r="B218" s="20" t="s">
        <v>2127</v>
      </c>
      <c r="C218" s="21" t="s">
        <v>521</v>
      </c>
      <c r="D218" s="20" t="s">
        <v>30</v>
      </c>
      <c r="E218" s="20" t="s">
        <v>345</v>
      </c>
      <c r="F218" s="20" t="s">
        <v>2128</v>
      </c>
      <c r="G218" s="22">
        <f>IF(A218="","",IF(A218&gt;=1,A218,IF(MAX($G$2:G217)=0,INT(SETTINGS!$B$4)+A218,INT(MAX($G$2:G217))+A218+IF(A218&lt;MOD(MAX($G$2:G217),1),1,0))))</f>
        <v>46309.608396211734</v>
      </c>
      <c r="H218" s="23">
        <f>IF(D218="","",IF(IFERROR(VLOOKUP(D218,LISTS!$A$2:$E$10,3,FALSE),0)=0,0,IF(IFERROR(COUNTIFS($C$2:C217,C218,$H$2:H217,1,$G$2:G217,"&gt;="&amp;(G218-15/1440)),0)&gt;0,0,1)))</f>
        <v>0</v>
      </c>
      <c r="I218" s="23" t="str">
        <f>IF(H218=1,C218&amp;"|"&amp;COUNTIFS($C$2:C218,C218,$H$2:H218,1),"")</f>
        <v/>
      </c>
      <c r="J218" s="23" t="str">
        <f>IF(D218="","",IF(A218="","Missing time",IF(D218="NO_SLOTS",IF(COUNTIF(PARTNERS!$A$2:$A$88,E218)=0,"Write the company in column E","OK"),IF(C218="","Missing phone",IF(COUNTIF(DESK!$F$2:$F$601,C218)=0,"Phone not found: copy it from your list",IF(AND(E218&lt;&gt;"",COUNTIFS(DESK!$F$2:$F$601,C218,DESK!$B$2:$B$601,E218)=0),"Company is not one of theirs","OK"))))))</f>
        <v>OK</v>
      </c>
    </row>
    <row r="219" spans="1:10" x14ac:dyDescent="0.35">
      <c r="A219" s="19">
        <v>46309.62103185014</v>
      </c>
      <c r="B219" s="20" t="s">
        <v>2127</v>
      </c>
      <c r="C219" s="21" t="s">
        <v>1526</v>
      </c>
      <c r="D219" s="20" t="s">
        <v>30</v>
      </c>
      <c r="E219" s="20" t="s">
        <v>219</v>
      </c>
      <c r="F219" s="20" t="s">
        <v>2128</v>
      </c>
      <c r="G219" s="22">
        <f>IF(A219="","",IF(A219&gt;=1,A219,IF(MAX($G$2:G218)=0,INT(SETTINGS!$B$4)+A219,INT(MAX($G$2:G218))+A219+IF(A219&lt;MOD(MAX($G$2:G218),1),1,0))))</f>
        <v>46309.62103185014</v>
      </c>
      <c r="H219" s="23">
        <f>IF(D219="","",IF(IFERROR(VLOOKUP(D219,LISTS!$A$2:$E$10,3,FALSE),0)=0,0,IF(IFERROR(COUNTIFS($C$2:C218,C219,$H$2:H218,1,$G$2:G218,"&gt;="&amp;(G219-15/1440)),0)&gt;0,0,1)))</f>
        <v>0</v>
      </c>
      <c r="I219" s="23" t="str">
        <f>IF(H219=1,C219&amp;"|"&amp;COUNTIFS($C$2:C219,C219,$H$2:H219,1),"")</f>
        <v/>
      </c>
      <c r="J219" s="23" t="str">
        <f>IF(D219="","",IF(A219="","Missing time",IF(D219="NO_SLOTS",IF(COUNTIF(PARTNERS!$A$2:$A$88,E219)=0,"Write the company in column E","OK"),IF(C219="","Missing phone",IF(COUNTIF(DESK!$F$2:$F$601,C219)=0,"Phone not found: copy it from your list",IF(AND(E219&lt;&gt;"",COUNTIFS(DESK!$F$2:$F$601,C219,DESK!$B$2:$B$601,E219)=0),"Company is not one of theirs","OK"))))))</f>
        <v>OK</v>
      </c>
    </row>
    <row r="220" spans="1:10" x14ac:dyDescent="0.35">
      <c r="A220" s="19">
        <v>46309.628720436747</v>
      </c>
      <c r="B220" s="20" t="s">
        <v>48</v>
      </c>
      <c r="C220" s="21" t="s">
        <v>1868</v>
      </c>
      <c r="D220" s="20" t="s">
        <v>18</v>
      </c>
      <c r="E220" s="20"/>
      <c r="F220" s="20" t="s">
        <v>2130</v>
      </c>
      <c r="G220" s="22">
        <f>IF(A220="","",IF(A220&gt;=1,A220,IF(MAX($G$2:G219)=0,INT(SETTINGS!$B$4)+A220,INT(MAX($G$2:G219))+A220+IF(A220&lt;MOD(MAX($G$2:G219),1),1,0))))</f>
        <v>46309.628720436747</v>
      </c>
      <c r="H220" s="23">
        <f>IF(D220="","",IF(IFERROR(VLOOKUP(D220,LISTS!$A$2:$E$10,3,FALSE),0)=0,0,IF(IFERROR(COUNTIFS($C$2:C219,C220,$H$2:H219,1,$G$2:G219,"&gt;="&amp;(G220-15/1440)),0)&gt;0,0,1)))</f>
        <v>1</v>
      </c>
      <c r="I220" s="23" t="str">
        <f>IF(H220=1,C220&amp;"|"&amp;COUNTIFS($C$2:C220,C220,$H$2:H220,1),"")</f>
        <v>9000002724|2</v>
      </c>
      <c r="J220" s="23" t="str">
        <f>IF(D220="","",IF(A220="","Missing time",IF(D220="NO_SLOTS",IF(COUNTIF(PARTNERS!$A$2:$A$88,E220)=0,"Write the company in column E","OK"),IF(C220="","Missing phone",IF(COUNTIF(DESK!$F$2:$F$601,C220)=0,"Phone not found: copy it from your list",IF(AND(E220&lt;&gt;"",COUNTIFS(DESK!$F$2:$F$601,C220,DESK!$B$2:$B$601,E220)=0),"Company is not one of theirs","OK"))))))</f>
        <v>OK</v>
      </c>
    </row>
    <row r="221" spans="1:10" x14ac:dyDescent="0.35">
      <c r="A221" s="19">
        <v>46309.628933834108</v>
      </c>
      <c r="B221" s="20" t="s">
        <v>68</v>
      </c>
      <c r="C221" s="21" t="s">
        <v>1337</v>
      </c>
      <c r="D221" s="20" t="s">
        <v>16</v>
      </c>
      <c r="E221" s="20"/>
      <c r="F221" s="20"/>
      <c r="G221" s="22">
        <f>IF(A221="","",IF(A221&gt;=1,A221,IF(MAX($G$2:G220)=0,INT(SETTINGS!$B$4)+A221,INT(MAX($G$2:G220))+A221+IF(A221&lt;MOD(MAX($G$2:G220),1),1,0))))</f>
        <v>46309.628933834108</v>
      </c>
      <c r="H221" s="23">
        <f>IF(D221="","",IF(IFERROR(VLOOKUP(D221,LISTS!$A$2:$E$10,3,FALSE),0)=0,0,IF(IFERROR(COUNTIFS($C$2:C220,C221,$H$2:H220,1,$G$2:G220,"&gt;="&amp;(G221-15/1440)),0)&gt;0,0,1)))</f>
        <v>1</v>
      </c>
      <c r="I221" s="23" t="str">
        <f>IF(H221=1,C221&amp;"|"&amp;COUNTIFS($C$2:C221,C221,$H$2:H221,1),"")</f>
        <v>9000004869|3</v>
      </c>
      <c r="J221" s="23" t="str">
        <f>IF(D221="","",IF(A221="","Missing time",IF(D221="NO_SLOTS",IF(COUNTIF(PARTNERS!$A$2:$A$88,E221)=0,"Write the company in column E","OK"),IF(C221="","Missing phone",IF(COUNTIF(DESK!$F$2:$F$601,C221)=0,"Phone not found: copy it from your list",IF(AND(E221&lt;&gt;"",COUNTIFS(DESK!$F$2:$F$601,C221,DESK!$B$2:$B$601,E221)=0),"Company is not one of theirs","OK"))))))</f>
        <v>OK</v>
      </c>
    </row>
    <row r="222" spans="1:10" x14ac:dyDescent="0.35">
      <c r="A222" s="19">
        <v>46309.633741108482</v>
      </c>
      <c r="B222" s="20" t="s">
        <v>48</v>
      </c>
      <c r="C222" s="21" t="s">
        <v>790</v>
      </c>
      <c r="D222" s="20" t="s">
        <v>16</v>
      </c>
      <c r="E222" s="20"/>
      <c r="F222" s="20"/>
      <c r="G222" s="22">
        <f>IF(A222="","",IF(A222&gt;=1,A222,IF(MAX($G$2:G221)=0,INT(SETTINGS!$B$4)+A222,INT(MAX($G$2:G221))+A222+IF(A222&lt;MOD(MAX($G$2:G221),1),1,0))))</f>
        <v>46309.633741108482</v>
      </c>
      <c r="H222" s="23">
        <f>IF(D222="","",IF(IFERROR(VLOOKUP(D222,LISTS!$A$2:$E$10,3,FALSE),0)=0,0,IF(IFERROR(COUNTIFS($C$2:C221,C222,$H$2:H221,1,$G$2:G221,"&gt;="&amp;(G222-15/1440)),0)&gt;0,0,1)))</f>
        <v>1</v>
      </c>
      <c r="I222" s="23" t="str">
        <f>IF(H222=1,C222&amp;"|"&amp;COUNTIFS($C$2:C222,C222,$H$2:H222,1),"")</f>
        <v>9000002386|2</v>
      </c>
      <c r="J222" s="23" t="str">
        <f>IF(D222="","",IF(A222="","Missing time",IF(D222="NO_SLOTS",IF(COUNTIF(PARTNERS!$A$2:$A$88,E222)=0,"Write the company in column E","OK"),IF(C222="","Missing phone",IF(COUNTIF(DESK!$F$2:$F$601,C222)=0,"Phone not found: copy it from your list",IF(AND(E222&lt;&gt;"",COUNTIFS(DESK!$F$2:$F$601,C222,DESK!$B$2:$B$601,E222)=0),"Company is not one of theirs","OK"))))))</f>
        <v>OK</v>
      </c>
    </row>
    <row r="223" spans="1:10" x14ac:dyDescent="0.35">
      <c r="A223" s="19">
        <v>46309.634030132605</v>
      </c>
      <c r="B223" s="20" t="s">
        <v>68</v>
      </c>
      <c r="C223" s="21" t="s">
        <v>1344</v>
      </c>
      <c r="D223" s="20" t="s">
        <v>16</v>
      </c>
      <c r="E223" s="20"/>
      <c r="F223" s="20"/>
      <c r="G223" s="22">
        <f>IF(A223="","",IF(A223&gt;=1,A223,IF(MAX($G$2:G222)=0,INT(SETTINGS!$B$4)+A223,INT(MAX($G$2:G222))+A223+IF(A223&lt;MOD(MAX($G$2:G222),1),1,0))))</f>
        <v>46309.634030132605</v>
      </c>
      <c r="H223" s="23">
        <f>IF(D223="","",IF(IFERROR(VLOOKUP(D223,LISTS!$A$2:$E$10,3,FALSE),0)=0,0,IF(IFERROR(COUNTIFS($C$2:C222,C223,$H$2:H222,1,$G$2:G222,"&gt;="&amp;(G223-15/1440)),0)&gt;0,0,1)))</f>
        <v>1</v>
      </c>
      <c r="I223" s="23" t="str">
        <f>IF(H223=1,C223&amp;"|"&amp;COUNTIFS($C$2:C223,C223,$H$2:H223,1),"")</f>
        <v>9000003153|2</v>
      </c>
      <c r="J223" s="23" t="str">
        <f>IF(D223="","",IF(A223="","Missing time",IF(D223="NO_SLOTS",IF(COUNTIF(PARTNERS!$A$2:$A$88,E223)=0,"Write the company in column E","OK"),IF(C223="","Missing phone",IF(COUNTIF(DESK!$F$2:$F$601,C223)=0,"Phone not found: copy it from your list",IF(AND(E223&lt;&gt;"",COUNTIFS(DESK!$F$2:$F$601,C223,DESK!$B$2:$B$601,E223)=0),"Company is not one of theirs","OK"))))))</f>
        <v>OK</v>
      </c>
    </row>
    <row r="224" spans="1:10" x14ac:dyDescent="0.35">
      <c r="A224" s="19">
        <v>46309.637775160205</v>
      </c>
      <c r="B224" s="20" t="s">
        <v>68</v>
      </c>
      <c r="C224" s="21" t="s">
        <v>1240</v>
      </c>
      <c r="D224" s="20" t="s">
        <v>16</v>
      </c>
      <c r="E224" s="20"/>
      <c r="F224" s="20"/>
      <c r="G224" s="22">
        <f>IF(A224="","",IF(A224&gt;=1,A224,IF(MAX($G$2:G223)=0,INT(SETTINGS!$B$4)+A224,INT(MAX($G$2:G223))+A224+IF(A224&lt;MOD(MAX($G$2:G223),1),1,0))))</f>
        <v>46309.637775160205</v>
      </c>
      <c r="H224" s="23">
        <f>IF(D224="","",IF(IFERROR(VLOOKUP(D224,LISTS!$A$2:$E$10,3,FALSE),0)=0,0,IF(IFERROR(COUNTIFS($C$2:C223,C224,$H$2:H223,1,$G$2:G223,"&gt;="&amp;(G224-15/1440)),0)&gt;0,0,1)))</f>
        <v>1</v>
      </c>
      <c r="I224" s="23" t="str">
        <f>IF(H224=1,C224&amp;"|"&amp;COUNTIFS($C$2:C224,C224,$H$2:H224,1),"")</f>
        <v>9000004505|1</v>
      </c>
      <c r="J224" s="23" t="str">
        <f>IF(D224="","",IF(A224="","Missing time",IF(D224="NO_SLOTS",IF(COUNTIF(PARTNERS!$A$2:$A$88,E224)=0,"Write the company in column E","OK"),IF(C224="","Missing phone",IF(COUNTIF(DESK!$F$2:$F$601,C224)=0,"Phone not found: copy it from your list",IF(AND(E224&lt;&gt;"",COUNTIFS(DESK!$F$2:$F$601,C224,DESK!$B$2:$B$601,E224)=0),"Company is not one of theirs","OK"))))))</f>
        <v>OK</v>
      </c>
    </row>
    <row r="225" spans="1:10" x14ac:dyDescent="0.35">
      <c r="A225" s="19">
        <v>46309.639751395473</v>
      </c>
      <c r="B225" s="20" t="s">
        <v>48</v>
      </c>
      <c r="C225" s="21" t="s">
        <v>1769</v>
      </c>
      <c r="D225" s="20" t="s">
        <v>16</v>
      </c>
      <c r="E225" s="20"/>
      <c r="F225" s="20"/>
      <c r="G225" s="22">
        <f>IF(A225="","",IF(A225&gt;=1,A225,IF(MAX($G$2:G224)=0,INT(SETTINGS!$B$4)+A225,INT(MAX($G$2:G224))+A225+IF(A225&lt;MOD(MAX($G$2:G224),1),1,0))))</f>
        <v>46309.639751395473</v>
      </c>
      <c r="H225" s="23">
        <f>IF(D225="","",IF(IFERROR(VLOOKUP(D225,LISTS!$A$2:$E$10,3,FALSE),0)=0,0,IF(IFERROR(COUNTIFS($C$2:C224,C225,$H$2:H224,1,$G$2:G224,"&gt;="&amp;(G225-15/1440)),0)&gt;0,0,1)))</f>
        <v>1</v>
      </c>
      <c r="I225" s="23" t="str">
        <f>IF(H225=1,C225&amp;"|"&amp;COUNTIFS($C$2:C225,C225,$H$2:H225,1),"")</f>
        <v>9000003738|2</v>
      </c>
      <c r="J225" s="23" t="str">
        <f>IF(D225="","",IF(A225="","Missing time",IF(D225="NO_SLOTS",IF(COUNTIF(PARTNERS!$A$2:$A$88,E225)=0,"Write the company in column E","OK"),IF(C225="","Missing phone",IF(COUNTIF(DESK!$F$2:$F$601,C225)=0,"Phone not found: copy it from your list",IF(AND(E225&lt;&gt;"",COUNTIFS(DESK!$F$2:$F$601,C225,DESK!$B$2:$B$601,E225)=0),"Company is not one of theirs","OK"))))))</f>
        <v>OK</v>
      </c>
    </row>
    <row r="226" spans="1:10" x14ac:dyDescent="0.35">
      <c r="A226" s="19">
        <v>46309.641731207223</v>
      </c>
      <c r="B226" s="20" t="s">
        <v>68</v>
      </c>
      <c r="C226" s="21" t="s">
        <v>1295</v>
      </c>
      <c r="D226" s="20" t="s">
        <v>16</v>
      </c>
      <c r="E226" s="20"/>
      <c r="F226" s="20"/>
      <c r="G226" s="22">
        <f>IF(A226="","",IF(A226&gt;=1,A226,IF(MAX($G$2:G225)=0,INT(SETTINGS!$B$4)+A226,INT(MAX($G$2:G225))+A226+IF(A226&lt;MOD(MAX($G$2:G225),1),1,0))))</f>
        <v>46309.641731207223</v>
      </c>
      <c r="H226" s="23">
        <f>IF(D226="","",IF(IFERROR(VLOOKUP(D226,LISTS!$A$2:$E$10,3,FALSE),0)=0,0,IF(IFERROR(COUNTIFS($C$2:C225,C226,$H$2:H225,1,$G$2:G225,"&gt;="&amp;(G226-15/1440)),0)&gt;0,0,1)))</f>
        <v>1</v>
      </c>
      <c r="I226" s="23" t="str">
        <f>IF(H226=1,C226&amp;"|"&amp;COUNTIFS($C$2:C226,C226,$H$2:H226,1),"")</f>
        <v>9000001021|1</v>
      </c>
      <c r="J226" s="23" t="str">
        <f>IF(D226="","",IF(A226="","Missing time",IF(D226="NO_SLOTS",IF(COUNTIF(PARTNERS!$A$2:$A$88,E226)=0,"Write the company in column E","OK"),IF(C226="","Missing phone",IF(COUNTIF(DESK!$F$2:$F$601,C226)=0,"Phone not found: copy it from your list",IF(AND(E226&lt;&gt;"",COUNTIFS(DESK!$F$2:$F$601,C226,DESK!$B$2:$B$601,E226)=0),"Company is not one of theirs","OK"))))))</f>
        <v>OK</v>
      </c>
    </row>
    <row r="227" spans="1:10" x14ac:dyDescent="0.35">
      <c r="A227" s="19">
        <v>46309.642855571328</v>
      </c>
      <c r="B227" s="20" t="s">
        <v>48</v>
      </c>
      <c r="C227" s="21" t="s">
        <v>1274</v>
      </c>
      <c r="D227" s="20" t="s">
        <v>20</v>
      </c>
      <c r="E227" s="20"/>
      <c r="F227" s="20"/>
      <c r="G227" s="22">
        <f>IF(A227="","",IF(A227&gt;=1,A227,IF(MAX($G$2:G226)=0,INT(SETTINGS!$B$4)+A227,INT(MAX($G$2:G226))+A227+IF(A227&lt;MOD(MAX($G$2:G226),1),1,0))))</f>
        <v>46309.642855571328</v>
      </c>
      <c r="H227" s="23">
        <f>IF(D227="","",IF(IFERROR(VLOOKUP(D227,LISTS!$A$2:$E$10,3,FALSE),0)=0,0,IF(IFERROR(COUNTIFS($C$2:C226,C227,$H$2:H226,1,$G$2:G226,"&gt;="&amp;(G227-15/1440)),0)&gt;0,0,1)))</f>
        <v>1</v>
      </c>
      <c r="I227" s="23" t="str">
        <f>IF(H227=1,C227&amp;"|"&amp;COUNTIFS($C$2:C227,C227,$H$2:H227,1),"")</f>
        <v>9000003322|1</v>
      </c>
      <c r="J227" s="23" t="str">
        <f>IF(D227="","",IF(A227="","Missing time",IF(D227="NO_SLOTS",IF(COUNTIF(PARTNERS!$A$2:$A$88,E227)=0,"Write the company in column E","OK"),IF(C227="","Missing phone",IF(COUNTIF(DESK!$F$2:$F$601,C227)=0,"Phone not found: copy it from your list",IF(AND(E227&lt;&gt;"",COUNTIFS(DESK!$F$2:$F$601,C227,DESK!$B$2:$B$601,E227)=0),"Company is not one of theirs","OK"))))))</f>
        <v>OK</v>
      </c>
    </row>
    <row r="228" spans="1:10" x14ac:dyDescent="0.35">
      <c r="A228" s="19">
        <v>46309.644765567769</v>
      </c>
      <c r="B228" s="20" t="s">
        <v>68</v>
      </c>
      <c r="C228" s="21" t="s">
        <v>1376</v>
      </c>
      <c r="D228" s="20" t="s">
        <v>20</v>
      </c>
      <c r="E228" s="20"/>
      <c r="F228" s="20"/>
      <c r="G228" s="22">
        <f>IF(A228="","",IF(A228&gt;=1,A228,IF(MAX($G$2:G227)=0,INT(SETTINGS!$B$4)+A228,INT(MAX($G$2:G227))+A228+IF(A228&lt;MOD(MAX($G$2:G227),1),1,0))))</f>
        <v>46309.644765567769</v>
      </c>
      <c r="H228" s="23">
        <f>IF(D228="","",IF(IFERROR(VLOOKUP(D228,LISTS!$A$2:$E$10,3,FALSE),0)=0,0,IF(IFERROR(COUNTIFS($C$2:C227,C228,$H$2:H227,1,$G$2:G227,"&gt;="&amp;(G228-15/1440)),0)&gt;0,0,1)))</f>
        <v>1</v>
      </c>
      <c r="I228" s="23" t="str">
        <f>IF(H228=1,C228&amp;"|"&amp;COUNTIFS($C$2:C228,C228,$H$2:H228,1),"")</f>
        <v>9000002763|1</v>
      </c>
      <c r="J228" s="23" t="str">
        <f>IF(D228="","",IF(A228="","Missing time",IF(D228="NO_SLOTS",IF(COUNTIF(PARTNERS!$A$2:$A$88,E228)=0,"Write the company in column E","OK"),IF(C228="","Missing phone",IF(COUNTIF(DESK!$F$2:$F$601,C228)=0,"Phone not found: copy it from your list",IF(AND(E228&lt;&gt;"",COUNTIFS(DESK!$F$2:$F$601,C228,DESK!$B$2:$B$601,E228)=0),"Company is not one of theirs","OK"))))))</f>
        <v>OK</v>
      </c>
    </row>
    <row r="229" spans="1:10" x14ac:dyDescent="0.35">
      <c r="A229" s="19">
        <v>46309.645568782558</v>
      </c>
      <c r="B229" s="20" t="s">
        <v>48</v>
      </c>
      <c r="C229" s="21" t="s">
        <v>1341</v>
      </c>
      <c r="D229" s="20" t="s">
        <v>22</v>
      </c>
      <c r="E229" s="20"/>
      <c r="F229" s="20" t="s">
        <v>2129</v>
      </c>
      <c r="G229" s="22">
        <f>IF(A229="","",IF(A229&gt;=1,A229,IF(MAX($G$2:G228)=0,INT(SETTINGS!$B$4)+A229,INT(MAX($G$2:G228))+A229+IF(A229&lt;MOD(MAX($G$2:G228),1),1,0))))</f>
        <v>46309.645568782558</v>
      </c>
      <c r="H229" s="23">
        <f>IF(D229="","",IF(IFERROR(VLOOKUP(D229,LISTS!$A$2:$E$10,3,FALSE),0)=0,0,IF(IFERROR(COUNTIFS($C$2:C228,C229,$H$2:H228,1,$G$2:G228,"&gt;="&amp;(G229-15/1440)),0)&gt;0,0,1)))</f>
        <v>1</v>
      </c>
      <c r="I229" s="23" t="str">
        <f>IF(H229=1,C229&amp;"|"&amp;COUNTIFS($C$2:C229,C229,$H$2:H229,1),"")</f>
        <v>9000000410|1</v>
      </c>
      <c r="J229" s="23" t="str">
        <f>IF(D229="","",IF(A229="","Missing time",IF(D229="NO_SLOTS",IF(COUNTIF(PARTNERS!$A$2:$A$88,E229)=0,"Write the company in column E","OK"),IF(C229="","Missing phone",IF(COUNTIF(DESK!$F$2:$F$601,C229)=0,"Phone not found: copy it from your list",IF(AND(E229&lt;&gt;"",COUNTIFS(DESK!$F$2:$F$601,C229,DESK!$B$2:$B$601,E229)=0),"Company is not one of theirs","OK"))))))</f>
        <v>OK</v>
      </c>
    </row>
    <row r="230" spans="1:10" x14ac:dyDescent="0.35">
      <c r="A230" s="19">
        <v>46309.63084731689</v>
      </c>
      <c r="B230" s="20" t="s">
        <v>2127</v>
      </c>
      <c r="C230" s="21" t="s">
        <v>1132</v>
      </c>
      <c r="D230" s="20" t="s">
        <v>30</v>
      </c>
      <c r="E230" s="20" t="s">
        <v>189</v>
      </c>
      <c r="F230" s="20" t="s">
        <v>2132</v>
      </c>
      <c r="G230" s="22">
        <f>IF(A230="","",IF(A230&gt;=1,A230,IF(MAX($G$2:G229)=0,INT(SETTINGS!$B$4)+A230,INT(MAX($G$2:G229))+A230+IF(A230&lt;MOD(MAX($G$2:G229),1),1,0))))</f>
        <v>46309.63084731689</v>
      </c>
      <c r="H230" s="23">
        <f>IF(D230="","",IF(IFERROR(VLOOKUP(D230,LISTS!$A$2:$E$10,3,FALSE),0)=0,0,IF(IFERROR(COUNTIFS($C$2:C229,C230,$H$2:H229,1,$G$2:G229,"&gt;="&amp;(G230-15/1440)),0)&gt;0,0,1)))</f>
        <v>0</v>
      </c>
      <c r="I230" s="23" t="str">
        <f>IF(H230=1,C230&amp;"|"&amp;COUNTIFS($C$2:C230,C230,$H$2:H230,1),"")</f>
        <v/>
      </c>
      <c r="J230" s="23" t="str">
        <f>IF(D230="","",IF(A230="","Missing time",IF(D230="NO_SLOTS",IF(COUNTIF(PARTNERS!$A$2:$A$88,E230)=0,"Write the company in column E","OK"),IF(C230="","Missing phone",IF(COUNTIF(DESK!$F$2:$F$601,C230)=0,"Phone not found: copy it from your list",IF(AND(E230&lt;&gt;"",COUNTIFS(DESK!$F$2:$F$601,C230,DESK!$B$2:$B$601,E230)=0),"Company is not one of theirs","OK"))))))</f>
        <v>OK</v>
      </c>
    </row>
    <row r="231" spans="1:10" x14ac:dyDescent="0.35">
      <c r="A231" s="19">
        <v>46309.640601556704</v>
      </c>
      <c r="B231" s="20" t="s">
        <v>2127</v>
      </c>
      <c r="C231" s="21" t="s">
        <v>994</v>
      </c>
      <c r="D231" s="20" t="s">
        <v>30</v>
      </c>
      <c r="E231" s="20" t="s">
        <v>194</v>
      </c>
      <c r="F231" s="20" t="s">
        <v>2128</v>
      </c>
      <c r="G231" s="22">
        <f>IF(A231="","",IF(A231&gt;=1,A231,IF(MAX($G$2:G230)=0,INT(SETTINGS!$B$4)+A231,INT(MAX($G$2:G230))+A231+IF(A231&lt;MOD(MAX($G$2:G230),1),1,0))))</f>
        <v>46309.640601556704</v>
      </c>
      <c r="H231" s="23">
        <f>IF(D231="","",IF(IFERROR(VLOOKUP(D231,LISTS!$A$2:$E$10,3,FALSE),0)=0,0,IF(IFERROR(COUNTIFS($C$2:C230,C231,$H$2:H230,1,$G$2:G230,"&gt;="&amp;(G231-15/1440)),0)&gt;0,0,1)))</f>
        <v>0</v>
      </c>
      <c r="I231" s="23" t="str">
        <f>IF(H231=1,C231&amp;"|"&amp;COUNTIFS($C$2:C231,C231,$H$2:H231,1),"")</f>
        <v/>
      </c>
      <c r="J231" s="23" t="str">
        <f>IF(D231="","",IF(A231="","Missing time",IF(D231="NO_SLOTS",IF(COUNTIF(PARTNERS!$A$2:$A$88,E231)=0,"Write the company in column E","OK"),IF(C231="","Missing phone",IF(COUNTIF(DESK!$F$2:$F$601,C231)=0,"Phone not found: copy it from your list",IF(AND(E231&lt;&gt;"",COUNTIFS(DESK!$F$2:$F$601,C231,DESK!$B$2:$B$601,E231)=0),"Company is not one of theirs","OK"))))))</f>
        <v>OK</v>
      </c>
    </row>
    <row r="232" spans="1:10" x14ac:dyDescent="0.35">
      <c r="A232" s="19">
        <v>46309.642959941768</v>
      </c>
      <c r="B232" s="20" t="s">
        <v>2127</v>
      </c>
      <c r="C232" s="21" t="s">
        <v>1578</v>
      </c>
      <c r="D232" s="20" t="s">
        <v>30</v>
      </c>
      <c r="E232" s="20" t="s">
        <v>189</v>
      </c>
      <c r="F232" s="20" t="s">
        <v>2128</v>
      </c>
      <c r="G232" s="22">
        <f>IF(A232="","",IF(A232&gt;=1,A232,IF(MAX($G$2:G231)=0,INT(SETTINGS!$B$4)+A232,INT(MAX($G$2:G231))+A232+IF(A232&lt;MOD(MAX($G$2:G231),1),1,0))))</f>
        <v>46309.642959941768</v>
      </c>
      <c r="H232" s="23">
        <f>IF(D232="","",IF(IFERROR(VLOOKUP(D232,LISTS!$A$2:$E$10,3,FALSE),0)=0,0,IF(IFERROR(COUNTIFS($C$2:C231,C232,$H$2:H231,1,$G$2:G231,"&gt;="&amp;(G232-15/1440)),0)&gt;0,0,1)))</f>
        <v>0</v>
      </c>
      <c r="I232" s="23" t="str">
        <f>IF(H232=1,C232&amp;"|"&amp;COUNTIFS($C$2:C232,C232,$H$2:H232,1),"")</f>
        <v/>
      </c>
      <c r="J232" s="23" t="str">
        <f>IF(D232="","",IF(A232="","Missing time",IF(D232="NO_SLOTS",IF(COUNTIF(PARTNERS!$A$2:$A$88,E232)=0,"Write the company in column E","OK"),IF(C232="","Missing phone",IF(COUNTIF(DESK!$F$2:$F$601,C232)=0,"Phone not found: copy it from your list",IF(AND(E232&lt;&gt;"",COUNTIFS(DESK!$F$2:$F$601,C232,DESK!$B$2:$B$601,E232)=0),"Company is not one of theirs","OK"))))))</f>
        <v>OK</v>
      </c>
    </row>
    <row r="233" spans="1:10" x14ac:dyDescent="0.35">
      <c r="A233" s="19">
        <v>46309.649463476177</v>
      </c>
      <c r="B233" s="20" t="s">
        <v>68</v>
      </c>
      <c r="C233" s="21" t="s">
        <v>1465</v>
      </c>
      <c r="D233" s="20" t="s">
        <v>16</v>
      </c>
      <c r="E233" s="20"/>
      <c r="F233" s="20"/>
      <c r="G233" s="22">
        <f>IF(A233="","",IF(A233&gt;=1,A233,IF(MAX($G$2:G232)=0,INT(SETTINGS!$B$4)+A233,INT(MAX($G$2:G232))+A233+IF(A233&lt;MOD(MAX($G$2:G232),1),1,0))))</f>
        <v>46309.649463476177</v>
      </c>
      <c r="H233" s="23">
        <f>IF(D233="","",IF(IFERROR(VLOOKUP(D233,LISTS!$A$2:$E$10,3,FALSE),0)=0,0,IF(IFERROR(COUNTIFS($C$2:C232,C233,$H$2:H232,1,$G$2:G232,"&gt;="&amp;(G233-15/1440)),0)&gt;0,0,1)))</f>
        <v>1</v>
      </c>
      <c r="I233" s="23" t="str">
        <f>IF(H233=1,C233&amp;"|"&amp;COUNTIFS($C$2:C233,C233,$H$2:H233,1),"")</f>
        <v>9000005207|1</v>
      </c>
      <c r="J233" s="23" t="str">
        <f>IF(D233="","",IF(A233="","Missing time",IF(D233="NO_SLOTS",IF(COUNTIF(PARTNERS!$A$2:$A$88,E233)=0,"Write the company in column E","OK"),IF(C233="","Missing phone",IF(COUNTIF(DESK!$F$2:$F$601,C233)=0,"Phone not found: copy it from your list",IF(AND(E233&lt;&gt;"",COUNTIFS(DESK!$F$2:$F$601,C233,DESK!$B$2:$B$601,E233)=0),"Company is not one of theirs","OK"))))))</f>
        <v>OK</v>
      </c>
    </row>
    <row r="234" spans="1:10" x14ac:dyDescent="0.35">
      <c r="A234" s="19">
        <v>46309.64977957122</v>
      </c>
      <c r="B234" s="20" t="s">
        <v>48</v>
      </c>
      <c r="C234" s="21" t="s">
        <v>1347</v>
      </c>
      <c r="D234" s="20" t="s">
        <v>22</v>
      </c>
      <c r="E234" s="20"/>
      <c r="F234" s="20" t="s">
        <v>2129</v>
      </c>
      <c r="G234" s="22">
        <f>IF(A234="","",IF(A234&gt;=1,A234,IF(MAX($G$2:G233)=0,INT(SETTINGS!$B$4)+A234,INT(MAX($G$2:G233))+A234+IF(A234&lt;MOD(MAX($G$2:G233),1),1,0))))</f>
        <v>46309.64977957122</v>
      </c>
      <c r="H234" s="23">
        <f>IF(D234="","",IF(IFERROR(VLOOKUP(D234,LISTS!$A$2:$E$10,3,FALSE),0)=0,0,IF(IFERROR(COUNTIFS($C$2:C233,C234,$H$2:H233,1,$G$2:G233,"&gt;="&amp;(G234-15/1440)),0)&gt;0,0,1)))</f>
        <v>1</v>
      </c>
      <c r="I234" s="23" t="str">
        <f>IF(H234=1,C234&amp;"|"&amp;COUNTIFS($C$2:C234,C234,$H$2:H234,1),"")</f>
        <v>9000001918|1</v>
      </c>
      <c r="J234" s="23" t="str">
        <f>IF(D234="","",IF(A234="","Missing time",IF(D234="NO_SLOTS",IF(COUNTIF(PARTNERS!$A$2:$A$88,E234)=0,"Write the company in column E","OK"),IF(C234="","Missing phone",IF(COUNTIF(DESK!$F$2:$F$601,C234)=0,"Phone not found: copy it from your list",IF(AND(E234&lt;&gt;"",COUNTIFS(DESK!$F$2:$F$601,C234,DESK!$B$2:$B$601,E234)=0),"Company is not one of theirs","OK"))))))</f>
        <v>OK</v>
      </c>
    </row>
    <row r="235" spans="1:10" x14ac:dyDescent="0.35">
      <c r="A235" s="19">
        <v>46309.652133608935</v>
      </c>
      <c r="B235" s="20" t="s">
        <v>48</v>
      </c>
      <c r="C235" s="21" t="s">
        <v>1389</v>
      </c>
      <c r="D235" s="20" t="s">
        <v>16</v>
      </c>
      <c r="E235" s="20"/>
      <c r="F235" s="20"/>
      <c r="G235" s="22">
        <f>IF(A235="","",IF(A235&gt;=1,A235,IF(MAX($G$2:G234)=0,INT(SETTINGS!$B$4)+A235,INT(MAX($G$2:G234))+A235+IF(A235&lt;MOD(MAX($G$2:G234),1),1,0))))</f>
        <v>46309.652133608935</v>
      </c>
      <c r="H235" s="23">
        <f>IF(D235="","",IF(IFERROR(VLOOKUP(D235,LISTS!$A$2:$E$10,3,FALSE),0)=0,0,IF(IFERROR(COUNTIFS($C$2:C234,C235,$H$2:H234,1,$G$2:G234,"&gt;="&amp;(G235-15/1440)),0)&gt;0,0,1)))</f>
        <v>1</v>
      </c>
      <c r="I235" s="23" t="str">
        <f>IF(H235=1,C235&amp;"|"&amp;COUNTIFS($C$2:C235,C235,$H$2:H235,1),"")</f>
        <v>9000003946|1</v>
      </c>
      <c r="J235" s="23" t="str">
        <f>IF(D235="","",IF(A235="","Missing time",IF(D235="NO_SLOTS",IF(COUNTIF(PARTNERS!$A$2:$A$88,E235)=0,"Write the company in column E","OK"),IF(C235="","Missing phone",IF(COUNTIF(DESK!$F$2:$F$601,C235)=0,"Phone not found: copy it from your list",IF(AND(E235&lt;&gt;"",COUNTIFS(DESK!$F$2:$F$601,C235,DESK!$B$2:$B$601,E235)=0),"Company is not one of theirs","OK"))))))</f>
        <v>OK</v>
      </c>
    </row>
    <row r="236" spans="1:10" x14ac:dyDescent="0.35">
      <c r="A236" s="19">
        <v>46309.653569790557</v>
      </c>
      <c r="B236" s="20" t="s">
        <v>68</v>
      </c>
      <c r="C236" s="21" t="s">
        <v>1476</v>
      </c>
      <c r="D236" s="20" t="s">
        <v>20</v>
      </c>
      <c r="E236" s="20"/>
      <c r="F236" s="20"/>
      <c r="G236" s="22">
        <f>IF(A236="","",IF(A236&gt;=1,A236,IF(MAX($G$2:G235)=0,INT(SETTINGS!$B$4)+A236,INT(MAX($G$2:G235))+A236+IF(A236&lt;MOD(MAX($G$2:G235),1),1,0))))</f>
        <v>46309.653569790557</v>
      </c>
      <c r="H236" s="23">
        <f>IF(D236="","",IF(IFERROR(VLOOKUP(D236,LISTS!$A$2:$E$10,3,FALSE),0)=0,0,IF(IFERROR(COUNTIFS($C$2:C235,C236,$H$2:H235,1,$G$2:G235,"&gt;="&amp;(G236-15/1440)),0)&gt;0,0,1)))</f>
        <v>1</v>
      </c>
      <c r="I236" s="23" t="str">
        <f>IF(H236=1,C236&amp;"|"&amp;COUNTIFS($C$2:C236,C236,$H$2:H236,1),"")</f>
        <v>9000004375|1</v>
      </c>
      <c r="J236" s="23" t="str">
        <f>IF(D236="","",IF(A236="","Missing time",IF(D236="NO_SLOTS",IF(COUNTIF(PARTNERS!$A$2:$A$88,E236)=0,"Write the company in column E","OK"),IF(C236="","Missing phone",IF(COUNTIF(DESK!$F$2:$F$601,C236)=0,"Phone not found: copy it from your list",IF(AND(E236&lt;&gt;"",COUNTIFS(DESK!$F$2:$F$601,C236,DESK!$B$2:$B$601,E236)=0),"Company is not one of theirs","OK"))))))</f>
        <v>OK</v>
      </c>
    </row>
    <row r="237" spans="1:10" x14ac:dyDescent="0.35">
      <c r="A237" s="19">
        <v>46309.654447536675</v>
      </c>
      <c r="B237" s="20" t="s">
        <v>48</v>
      </c>
      <c r="C237" s="21" t="s">
        <v>1459</v>
      </c>
      <c r="D237" s="20" t="s">
        <v>22</v>
      </c>
      <c r="E237" s="20"/>
      <c r="F237" s="20" t="s">
        <v>2129</v>
      </c>
      <c r="G237" s="22">
        <f>IF(A237="","",IF(A237&gt;=1,A237,IF(MAX($G$2:G236)=0,INT(SETTINGS!$B$4)+A237,INT(MAX($G$2:G236))+A237+IF(A237&lt;MOD(MAX($G$2:G236),1),1,0))))</f>
        <v>46309.654447536675</v>
      </c>
      <c r="H237" s="23">
        <f>IF(D237="","",IF(IFERROR(VLOOKUP(D237,LISTS!$A$2:$E$10,3,FALSE),0)=0,0,IF(IFERROR(COUNTIFS($C$2:C236,C237,$H$2:H236,1,$G$2:G236,"&gt;="&amp;(G237-15/1440)),0)&gt;0,0,1)))</f>
        <v>1</v>
      </c>
      <c r="I237" s="23" t="str">
        <f>IF(H237=1,C237&amp;"|"&amp;COUNTIFS($C$2:C237,C237,$H$2:H237,1),"")</f>
        <v>9000001814|1</v>
      </c>
      <c r="J237" s="23" t="str">
        <f>IF(D237="","",IF(A237="","Missing time",IF(D237="NO_SLOTS",IF(COUNTIF(PARTNERS!$A$2:$A$88,E237)=0,"Write the company in column E","OK"),IF(C237="","Missing phone",IF(COUNTIF(DESK!$F$2:$F$601,C237)=0,"Phone not found: copy it from your list",IF(AND(E237&lt;&gt;"",COUNTIFS(DESK!$F$2:$F$601,C237,DESK!$B$2:$B$601,E237)=0),"Company is not one of theirs","OK"))))))</f>
        <v>OK</v>
      </c>
    </row>
    <row r="238" spans="1:10" x14ac:dyDescent="0.35">
      <c r="A238" s="19">
        <v>46309.656086432187</v>
      </c>
      <c r="B238" s="20" t="s">
        <v>68</v>
      </c>
      <c r="C238" s="21" t="s">
        <v>1492</v>
      </c>
      <c r="D238" s="20" t="s">
        <v>16</v>
      </c>
      <c r="E238" s="20"/>
      <c r="F238" s="20"/>
      <c r="G238" s="22">
        <f>IF(A238="","",IF(A238&gt;=1,A238,IF(MAX($G$2:G237)=0,INT(SETTINGS!$B$4)+A238,INT(MAX($G$2:G237))+A238+IF(A238&lt;MOD(MAX($G$2:G237),1),1,0))))</f>
        <v>46309.656086432187</v>
      </c>
      <c r="H238" s="23">
        <f>IF(D238="","",IF(IFERROR(VLOOKUP(D238,LISTS!$A$2:$E$10,3,FALSE),0)=0,0,IF(IFERROR(COUNTIFS($C$2:C237,C238,$H$2:H237,1,$G$2:G237,"&gt;="&amp;(G238-15/1440)),0)&gt;0,0,1)))</f>
        <v>1</v>
      </c>
      <c r="I238" s="23" t="str">
        <f>IF(H238=1,C238&amp;"|"&amp;COUNTIFS($C$2:C238,C238,$H$2:H238,1),"")</f>
        <v>9000002919|1</v>
      </c>
      <c r="J238" s="23" t="str">
        <f>IF(D238="","",IF(A238="","Missing time",IF(D238="NO_SLOTS",IF(COUNTIF(PARTNERS!$A$2:$A$88,E238)=0,"Write the company in column E","OK"),IF(C238="","Missing phone",IF(COUNTIF(DESK!$F$2:$F$601,C238)=0,"Phone not found: copy it from your list",IF(AND(E238&lt;&gt;"",COUNTIFS(DESK!$F$2:$F$601,C238,DESK!$B$2:$B$601,E238)=0),"Company is not one of theirs","OK"))))))</f>
        <v>OK</v>
      </c>
    </row>
    <row r="239" spans="1:10" x14ac:dyDescent="0.35">
      <c r="A239" s="19">
        <v>46309.656827807004</v>
      </c>
      <c r="B239" s="20" t="s">
        <v>48</v>
      </c>
      <c r="C239" s="21" t="s">
        <v>1501</v>
      </c>
      <c r="D239" s="20" t="s">
        <v>26</v>
      </c>
      <c r="E239" s="20"/>
      <c r="F239" s="20" t="s">
        <v>2131</v>
      </c>
      <c r="G239" s="22">
        <f>IF(A239="","",IF(A239&gt;=1,A239,IF(MAX($G$2:G238)=0,INT(SETTINGS!$B$4)+A239,INT(MAX($G$2:G238))+A239+IF(A239&lt;MOD(MAX($G$2:G238),1),1,0))))</f>
        <v>46309.656827807004</v>
      </c>
      <c r="H239" s="23">
        <f>IF(D239="","",IF(IFERROR(VLOOKUP(D239,LISTS!$A$2:$E$10,3,FALSE),0)=0,0,IF(IFERROR(COUNTIFS($C$2:C238,C239,$H$2:H238,1,$G$2:G238,"&gt;="&amp;(G239-15/1440)),0)&gt;0,0,1)))</f>
        <v>1</v>
      </c>
      <c r="I239" s="23" t="str">
        <f>IF(H239=1,C239&amp;"|"&amp;COUNTIFS($C$2:C239,C239,$H$2:H239,1),"")</f>
        <v>9000004544|1</v>
      </c>
      <c r="J239" s="23" t="str">
        <f>IF(D239="","",IF(A239="","Missing time",IF(D239="NO_SLOTS",IF(COUNTIF(PARTNERS!$A$2:$A$88,E239)=0,"Write the company in column E","OK"),IF(C239="","Missing phone",IF(COUNTIF(DESK!$F$2:$F$601,C239)=0,"Phone not found: copy it from your list",IF(AND(E239&lt;&gt;"",COUNTIFS(DESK!$F$2:$F$601,C239,DESK!$B$2:$B$601,E239)=0),"Company is not one of theirs","OK"))))))</f>
        <v>OK</v>
      </c>
    </row>
    <row r="240" spans="1:10" x14ac:dyDescent="0.35">
      <c r="A240" s="19">
        <v>46309.658605200668</v>
      </c>
      <c r="B240" s="20" t="s">
        <v>68</v>
      </c>
      <c r="C240" s="21" t="s">
        <v>1505</v>
      </c>
      <c r="D240" s="20" t="s">
        <v>22</v>
      </c>
      <c r="E240" s="20"/>
      <c r="F240" s="20" t="s">
        <v>2129</v>
      </c>
      <c r="G240" s="22">
        <f>IF(A240="","",IF(A240&gt;=1,A240,IF(MAX($G$2:G239)=0,INT(SETTINGS!$B$4)+A240,INT(MAX($G$2:G239))+A240+IF(A240&lt;MOD(MAX($G$2:G239),1),1,0))))</f>
        <v>46309.658605200668</v>
      </c>
      <c r="H240" s="23">
        <f>IF(D240="","",IF(IFERROR(VLOOKUP(D240,LISTS!$A$2:$E$10,3,FALSE),0)=0,0,IF(IFERROR(COUNTIFS($C$2:C239,C240,$H$2:H239,1,$G$2:G239,"&gt;="&amp;(G240-15/1440)),0)&gt;0,0,1)))</f>
        <v>1</v>
      </c>
      <c r="I240" s="23" t="str">
        <f>IF(H240=1,C240&amp;"|"&amp;COUNTIFS($C$2:C240,C240,$H$2:H240,1),"")</f>
        <v>9000001723|1</v>
      </c>
      <c r="J240" s="23" t="str">
        <f>IF(D240="","",IF(A240="","Missing time",IF(D240="NO_SLOTS",IF(COUNTIF(PARTNERS!$A$2:$A$88,E240)=0,"Write the company in column E","OK"),IF(C240="","Missing phone",IF(COUNTIF(DESK!$F$2:$F$601,C240)=0,"Phone not found: copy it from your list",IF(AND(E240&lt;&gt;"",COUNTIFS(DESK!$F$2:$F$601,C240,DESK!$B$2:$B$601,E240)=0),"Company is not one of theirs","OK"))))))</f>
        <v>OK</v>
      </c>
    </row>
    <row r="241" spans="1:10" x14ac:dyDescent="0.35">
      <c r="A241" s="19">
        <v>46309.659282475463</v>
      </c>
      <c r="B241" s="20" t="s">
        <v>48</v>
      </c>
      <c r="C241" s="21" t="s">
        <v>1661</v>
      </c>
      <c r="D241" s="20" t="s">
        <v>16</v>
      </c>
      <c r="E241" s="20"/>
      <c r="F241" s="20"/>
      <c r="G241" s="22">
        <f>IF(A241="","",IF(A241&gt;=1,A241,IF(MAX($G$2:G240)=0,INT(SETTINGS!$B$4)+A241,INT(MAX($G$2:G240))+A241+IF(A241&lt;MOD(MAX($G$2:G240),1),1,0))))</f>
        <v>46309.659282475463</v>
      </c>
      <c r="H241" s="23">
        <f>IF(D241="","",IF(IFERROR(VLOOKUP(D241,LISTS!$A$2:$E$10,3,FALSE),0)=0,0,IF(IFERROR(COUNTIFS($C$2:C240,C241,$H$2:H240,1,$G$2:G240,"&gt;="&amp;(G241-15/1440)),0)&gt;0,0,1)))</f>
        <v>1</v>
      </c>
      <c r="I241" s="23" t="str">
        <f>IF(H241=1,C241&amp;"|"&amp;COUNTIFS($C$2:C241,C241,$H$2:H241,1),"")</f>
        <v>9000000540|1</v>
      </c>
      <c r="J241" s="23" t="str">
        <f>IF(D241="","",IF(A241="","Missing time",IF(D241="NO_SLOTS",IF(COUNTIF(PARTNERS!$A$2:$A$88,E241)=0,"Write the company in column E","OK"),IF(C241="","Missing phone",IF(COUNTIF(DESK!$F$2:$F$601,C241)=0,"Phone not found: copy it from your list",IF(AND(E241&lt;&gt;"",COUNTIFS(DESK!$F$2:$F$601,C241,DESK!$B$2:$B$601,E241)=0),"Company is not one of theirs","OK"))))))</f>
        <v>OK</v>
      </c>
    </row>
    <row r="242" spans="1:10" x14ac:dyDescent="0.35">
      <c r="A242" s="19">
        <v>46309.661816446795</v>
      </c>
      <c r="B242" s="20" t="s">
        <v>68</v>
      </c>
      <c r="C242" s="21" t="s">
        <v>1514</v>
      </c>
      <c r="D242" s="20" t="s">
        <v>16</v>
      </c>
      <c r="E242" s="20"/>
      <c r="F242" s="20"/>
      <c r="G242" s="22">
        <f>IF(A242="","",IF(A242&gt;=1,A242,IF(MAX($G$2:G241)=0,INT(SETTINGS!$B$4)+A242,INT(MAX($G$2:G241))+A242+IF(A242&lt;MOD(MAX($G$2:G241),1),1,0))))</f>
        <v>46309.661816446795</v>
      </c>
      <c r="H242" s="23">
        <f>IF(D242="","",IF(IFERROR(VLOOKUP(D242,LISTS!$A$2:$E$10,3,FALSE),0)=0,0,IF(IFERROR(COUNTIFS($C$2:C241,C242,$H$2:H241,1,$G$2:G241,"&gt;="&amp;(G242-15/1440)),0)&gt;0,0,1)))</f>
        <v>1</v>
      </c>
      <c r="I242" s="23" t="str">
        <f>IF(H242=1,C242&amp;"|"&amp;COUNTIFS($C$2:C242,C242,$H$2:H242,1),"")</f>
        <v>9000000735|1</v>
      </c>
      <c r="J242" s="23" t="str">
        <f>IF(D242="","",IF(A242="","Missing time",IF(D242="NO_SLOTS",IF(COUNTIF(PARTNERS!$A$2:$A$88,E242)=0,"Write the company in column E","OK"),IF(C242="","Missing phone",IF(COUNTIF(DESK!$F$2:$F$601,C242)=0,"Phone not found: copy it from your list",IF(AND(E242&lt;&gt;"",COUNTIFS(DESK!$F$2:$F$601,C242,DESK!$B$2:$B$601,E242)=0),"Company is not one of theirs","OK"))))))</f>
        <v>OK</v>
      </c>
    </row>
    <row r="243" spans="1:10" x14ac:dyDescent="0.35">
      <c r="A243" s="19">
        <v>46309.662556455616</v>
      </c>
      <c r="B243" s="20" t="s">
        <v>48</v>
      </c>
      <c r="C243" s="21" t="s">
        <v>1745</v>
      </c>
      <c r="D243" s="20" t="s">
        <v>16</v>
      </c>
      <c r="E243" s="20"/>
      <c r="F243" s="20"/>
      <c r="G243" s="22">
        <f>IF(A243="","",IF(A243&gt;=1,A243,IF(MAX($G$2:G242)=0,INT(SETTINGS!$B$4)+A243,INT(MAX($G$2:G242))+A243+IF(A243&lt;MOD(MAX($G$2:G242),1),1,0))))</f>
        <v>46309.662556455616</v>
      </c>
      <c r="H243" s="23">
        <f>IF(D243="","",IF(IFERROR(VLOOKUP(D243,LISTS!$A$2:$E$10,3,FALSE),0)=0,0,IF(IFERROR(COUNTIFS($C$2:C242,C243,$H$2:H242,1,$G$2:G242,"&gt;="&amp;(G243-15/1440)),0)&gt;0,0,1)))</f>
        <v>1</v>
      </c>
      <c r="I243" s="23" t="str">
        <f>IF(H243=1,C243&amp;"|"&amp;COUNTIFS($C$2:C243,C243,$H$2:H243,1),"")</f>
        <v>9000002880|1</v>
      </c>
      <c r="J243" s="23" t="str">
        <f>IF(D243="","",IF(A243="","Missing time",IF(D243="NO_SLOTS",IF(COUNTIF(PARTNERS!$A$2:$A$88,E243)=0,"Write the company in column E","OK"),IF(C243="","Missing phone",IF(COUNTIF(DESK!$F$2:$F$601,C243)=0,"Phone not found: copy it from your list",IF(AND(E243&lt;&gt;"",COUNTIFS(DESK!$F$2:$F$601,C243,DESK!$B$2:$B$601,E243)=0),"Company is not one of theirs","OK"))))))</f>
        <v>OK</v>
      </c>
    </row>
    <row r="244" spans="1:10" x14ac:dyDescent="0.35">
      <c r="A244" s="19">
        <v>46309.664941756309</v>
      </c>
      <c r="B244" s="20" t="s">
        <v>68</v>
      </c>
      <c r="C244" s="21" t="s">
        <v>1562</v>
      </c>
      <c r="D244" s="20" t="s">
        <v>18</v>
      </c>
      <c r="E244" s="20"/>
      <c r="F244" s="20" t="s">
        <v>2130</v>
      </c>
      <c r="G244" s="22">
        <f>IF(A244="","",IF(A244&gt;=1,A244,IF(MAX($G$2:G243)=0,INT(SETTINGS!$B$4)+A244,INT(MAX($G$2:G243))+A244+IF(A244&lt;MOD(MAX($G$2:G243),1),1,0))))</f>
        <v>46309.664941756309</v>
      </c>
      <c r="H244" s="23">
        <f>IF(D244="","",IF(IFERROR(VLOOKUP(D244,LISTS!$A$2:$E$10,3,FALSE),0)=0,0,IF(IFERROR(COUNTIFS($C$2:C243,C244,$H$2:H243,1,$G$2:G243,"&gt;="&amp;(G244-15/1440)),0)&gt;0,0,1)))</f>
        <v>1</v>
      </c>
      <c r="I244" s="23" t="str">
        <f>IF(H244=1,C244&amp;"|"&amp;COUNTIFS($C$2:C244,C244,$H$2:H244,1),"")</f>
        <v>9000005155|1</v>
      </c>
      <c r="J244" s="23" t="str">
        <f>IF(D244="","",IF(A244="","Missing time",IF(D244="NO_SLOTS",IF(COUNTIF(PARTNERS!$A$2:$A$88,E244)=0,"Write the company in column E","OK"),IF(C244="","Missing phone",IF(COUNTIF(DESK!$F$2:$F$601,C244)=0,"Phone not found: copy it from your list",IF(AND(E244&lt;&gt;"",COUNTIFS(DESK!$F$2:$F$601,C244,DESK!$B$2:$B$601,E244)=0),"Company is not one of theirs","OK"))))))</f>
        <v>OK</v>
      </c>
    </row>
    <row r="245" spans="1:10" x14ac:dyDescent="0.35">
      <c r="A245" s="19">
        <v>46309.665554472282</v>
      </c>
      <c r="B245" s="20" t="s">
        <v>48</v>
      </c>
      <c r="C245" s="21" t="s">
        <v>1779</v>
      </c>
      <c r="D245" s="20" t="s">
        <v>18</v>
      </c>
      <c r="E245" s="20"/>
      <c r="F245" s="20" t="s">
        <v>2130</v>
      </c>
      <c r="G245" s="22">
        <f>IF(A245="","",IF(A245&gt;=1,A245,IF(MAX($G$2:G244)=0,INT(SETTINGS!$B$4)+A245,INT(MAX($G$2:G244))+A245+IF(A245&lt;MOD(MAX($G$2:G244),1),1,0))))</f>
        <v>46309.665554472282</v>
      </c>
      <c r="H245" s="23">
        <f>IF(D245="","",IF(IFERROR(VLOOKUP(D245,LISTS!$A$2:$E$10,3,FALSE),0)=0,0,IF(IFERROR(COUNTIFS($C$2:C244,C245,$H$2:H244,1,$G$2:G244,"&gt;="&amp;(G245-15/1440)),0)&gt;0,0,1)))</f>
        <v>1</v>
      </c>
      <c r="I245" s="23" t="str">
        <f>IF(H245=1,C245&amp;"|"&amp;COUNTIFS($C$2:C245,C245,$H$2:H245,1),"")</f>
        <v>9000004362|1</v>
      </c>
      <c r="J245" s="23" t="str">
        <f>IF(D245="","",IF(A245="","Missing time",IF(D245="NO_SLOTS",IF(COUNTIF(PARTNERS!$A$2:$A$88,E245)=0,"Write the company in column E","OK"),IF(C245="","Missing phone",IF(COUNTIF(DESK!$F$2:$F$601,C245)=0,"Phone not found: copy it from your list",IF(AND(E245&lt;&gt;"",COUNTIFS(DESK!$F$2:$F$601,C245,DESK!$B$2:$B$601,E245)=0),"Company is not one of theirs","OK"))))))</f>
        <v>OK</v>
      </c>
    </row>
    <row r="246" spans="1:10" x14ac:dyDescent="0.35">
      <c r="A246" s="19">
        <v>46309.662992530451</v>
      </c>
      <c r="B246" s="20" t="s">
        <v>2127</v>
      </c>
      <c r="C246" s="21" t="s">
        <v>1459</v>
      </c>
      <c r="D246" s="20" t="s">
        <v>30</v>
      </c>
      <c r="E246" s="20" t="s">
        <v>189</v>
      </c>
      <c r="F246" s="20" t="s">
        <v>2128</v>
      </c>
      <c r="G246" s="22">
        <f>IF(A246="","",IF(A246&gt;=1,A246,IF(MAX($G$2:G245)=0,INT(SETTINGS!$B$4)+A246,INT(MAX($G$2:G245))+A246+IF(A246&lt;MOD(MAX($G$2:G245),1),1,0))))</f>
        <v>46309.662992530451</v>
      </c>
      <c r="H246" s="23">
        <f>IF(D246="","",IF(IFERROR(VLOOKUP(D246,LISTS!$A$2:$E$10,3,FALSE),0)=0,0,IF(IFERROR(COUNTIFS($C$2:C245,C246,$H$2:H245,1,$G$2:G245,"&gt;="&amp;(G246-15/1440)),0)&gt;0,0,1)))</f>
        <v>0</v>
      </c>
      <c r="I246" s="23" t="str">
        <f>IF(H246=1,C246&amp;"|"&amp;COUNTIFS($C$2:C246,C246,$H$2:H246,1),"")</f>
        <v/>
      </c>
      <c r="J246" s="23" t="str">
        <f>IF(D246="","",IF(A246="","Missing time",IF(D246="NO_SLOTS",IF(COUNTIF(PARTNERS!$A$2:$A$88,E246)=0,"Write the company in column E","OK"),IF(C246="","Missing phone",IF(COUNTIF(DESK!$F$2:$F$601,C246)=0,"Phone not found: copy it from your list",IF(AND(E246&lt;&gt;"",COUNTIFS(DESK!$F$2:$F$601,C246,DESK!$B$2:$B$601,E246)=0),"Company is not one of theirs","OK"))))))</f>
        <v>OK</v>
      </c>
    </row>
    <row r="247" spans="1:10" x14ac:dyDescent="0.35">
      <c r="A247" s="19">
        <v>46309.66984491294</v>
      </c>
      <c r="B247" s="20" t="s">
        <v>68</v>
      </c>
      <c r="C247" s="21" t="s">
        <v>1572</v>
      </c>
      <c r="D247" s="20" t="s">
        <v>16</v>
      </c>
      <c r="E247" s="20"/>
      <c r="F247" s="20"/>
      <c r="G247" s="22">
        <f>IF(A247="","",IF(A247&gt;=1,A247,IF(MAX($G$2:G246)=0,INT(SETTINGS!$B$4)+A247,INT(MAX($G$2:G246))+A247+IF(A247&lt;MOD(MAX($G$2:G246),1),1,0))))</f>
        <v>46309.66984491294</v>
      </c>
      <c r="H247" s="23">
        <f>IF(D247="","",IF(IFERROR(VLOOKUP(D247,LISTS!$A$2:$E$10,3,FALSE),0)=0,0,IF(IFERROR(COUNTIFS($C$2:C246,C247,$H$2:H246,1,$G$2:G246,"&gt;="&amp;(G247-15/1440)),0)&gt;0,0,1)))</f>
        <v>1</v>
      </c>
      <c r="I247" s="23" t="str">
        <f>IF(H247=1,C247&amp;"|"&amp;COUNTIFS($C$2:C247,C247,$H$2:H247,1),"")</f>
        <v>9000001437|1</v>
      </c>
      <c r="J247" s="23" t="str">
        <f>IF(D247="","",IF(A247="","Missing time",IF(D247="NO_SLOTS",IF(COUNTIF(PARTNERS!$A$2:$A$88,E247)=0,"Write the company in column E","OK"),IF(C247="","Missing phone",IF(COUNTIF(DESK!$F$2:$F$601,C247)=0,"Phone not found: copy it from your list",IF(AND(E247&lt;&gt;"",COUNTIFS(DESK!$F$2:$F$601,C247,DESK!$B$2:$B$601,E247)=0),"Company is not one of theirs","OK"))))))</f>
        <v>OK</v>
      </c>
    </row>
    <row r="248" spans="1:10" x14ac:dyDescent="0.35">
      <c r="A248" s="19">
        <v>46309.67092024631</v>
      </c>
      <c r="B248" s="20" t="s">
        <v>48</v>
      </c>
      <c r="C248" s="21" t="s">
        <v>1310</v>
      </c>
      <c r="D248" s="20" t="s">
        <v>16</v>
      </c>
      <c r="E248" s="20"/>
      <c r="F248" s="20"/>
      <c r="G248" s="22">
        <f>IF(A248="","",IF(A248&gt;=1,A248,IF(MAX($G$2:G247)=0,INT(SETTINGS!$B$4)+A248,INT(MAX($G$2:G247))+A248+IF(A248&lt;MOD(MAX($G$2:G247),1),1,0))))</f>
        <v>46309.67092024631</v>
      </c>
      <c r="H248" s="23">
        <f>IF(D248="","",IF(IFERROR(VLOOKUP(D248,LISTS!$A$2:$E$10,3,FALSE),0)=0,0,IF(IFERROR(COUNTIFS($C$2:C247,C248,$H$2:H247,1,$G$2:G247,"&gt;="&amp;(G248-15/1440)),0)&gt;0,0,1)))</f>
        <v>1</v>
      </c>
      <c r="I248" s="23" t="str">
        <f>IF(H248=1,C248&amp;"|"&amp;COUNTIFS($C$2:C248,C248,$H$2:H248,1),"")</f>
        <v>9000002958|3</v>
      </c>
      <c r="J248" s="23" t="str">
        <f>IF(D248="","",IF(A248="","Missing time",IF(D248="NO_SLOTS",IF(COUNTIF(PARTNERS!$A$2:$A$88,E248)=0,"Write the company in column E","OK"),IF(C248="","Missing phone",IF(COUNTIF(DESK!$F$2:$F$601,C248)=0,"Phone not found: copy it from your list",IF(AND(E248&lt;&gt;"",COUNTIFS(DESK!$F$2:$F$601,C248,DESK!$B$2:$B$601,E248)=0),"Company is not one of theirs","OK"))))))</f>
        <v>OK</v>
      </c>
    </row>
    <row r="249" spans="1:10" x14ac:dyDescent="0.35">
      <c r="A249" s="19">
        <v>46309.673712173433</v>
      </c>
      <c r="B249" s="20" t="s">
        <v>68</v>
      </c>
      <c r="C249" s="21" t="s">
        <v>1604</v>
      </c>
      <c r="D249" s="20" t="s">
        <v>20</v>
      </c>
      <c r="E249" s="20"/>
      <c r="F249" s="20"/>
      <c r="G249" s="22">
        <f>IF(A249="","",IF(A249&gt;=1,A249,IF(MAX($G$2:G248)=0,INT(SETTINGS!$B$4)+A249,INT(MAX($G$2:G248))+A249+IF(A249&lt;MOD(MAX($G$2:G248),1),1,0))))</f>
        <v>46309.673712173433</v>
      </c>
      <c r="H249" s="23">
        <f>IF(D249="","",IF(IFERROR(VLOOKUP(D249,LISTS!$A$2:$E$10,3,FALSE),0)=0,0,IF(IFERROR(COUNTIFS($C$2:C248,C249,$H$2:H248,1,$G$2:G248,"&gt;="&amp;(G249-15/1440)),0)&gt;0,0,1)))</f>
        <v>1</v>
      </c>
      <c r="I249" s="23" t="str">
        <f>IF(H249=1,C249&amp;"|"&amp;COUNTIFS($C$2:C249,C249,$H$2:H249,1),"")</f>
        <v>9000004843|1</v>
      </c>
      <c r="J249" s="23" t="str">
        <f>IF(D249="","",IF(A249="","Missing time",IF(D249="NO_SLOTS",IF(COUNTIF(PARTNERS!$A$2:$A$88,E249)=0,"Write the company in column E","OK"),IF(C249="","Missing phone",IF(COUNTIF(DESK!$F$2:$F$601,C249)=0,"Phone not found: copy it from your list",IF(AND(E249&lt;&gt;"",COUNTIFS(DESK!$F$2:$F$601,C249,DESK!$B$2:$B$601,E249)=0),"Company is not one of theirs","OK"))))))</f>
        <v>OK</v>
      </c>
    </row>
    <row r="250" spans="1:10" x14ac:dyDescent="0.35">
      <c r="A250" s="19">
        <v>46309.673746330664</v>
      </c>
      <c r="B250" s="20" t="s">
        <v>48</v>
      </c>
      <c r="C250" s="21" t="s">
        <v>1788</v>
      </c>
      <c r="D250" s="20" t="s">
        <v>20</v>
      </c>
      <c r="E250" s="20"/>
      <c r="F250" s="20"/>
      <c r="G250" s="22">
        <f>IF(A250="","",IF(A250&gt;=1,A250,IF(MAX($G$2:G249)=0,INT(SETTINGS!$B$4)+A250,INT(MAX($G$2:G249))+A250+IF(A250&lt;MOD(MAX($G$2:G249),1),1,0))))</f>
        <v>46309.673746330664</v>
      </c>
      <c r="H250" s="23">
        <f>IF(D250="","",IF(IFERROR(VLOOKUP(D250,LISTS!$A$2:$E$10,3,FALSE),0)=0,0,IF(IFERROR(COUNTIFS($C$2:C249,C250,$H$2:H249,1,$G$2:G249,"&gt;="&amp;(G250-15/1440)),0)&gt;0,0,1)))</f>
        <v>1</v>
      </c>
      <c r="I250" s="23" t="str">
        <f>IF(H250=1,C250&amp;"|"&amp;COUNTIFS($C$2:C250,C250,$H$2:H250,1),"")</f>
        <v>9000005272|1</v>
      </c>
      <c r="J250" s="23" t="str">
        <f>IF(D250="","",IF(A250="","Missing time",IF(D250="NO_SLOTS",IF(COUNTIF(PARTNERS!$A$2:$A$88,E250)=0,"Write the company in column E","OK"),IF(C250="","Missing phone",IF(COUNTIF(DESK!$F$2:$F$601,C250)=0,"Phone not found: copy it from your list",IF(AND(E250&lt;&gt;"",COUNTIFS(DESK!$F$2:$F$601,C250,DESK!$B$2:$B$601,E250)=0),"Company is not one of theirs","OK"))))))</f>
        <v>OK</v>
      </c>
    </row>
    <row r="251" spans="1:10" x14ac:dyDescent="0.35">
      <c r="A251" s="19">
        <v>46309.676372968061</v>
      </c>
      <c r="B251" s="20" t="s">
        <v>48</v>
      </c>
      <c r="C251" s="21" t="s">
        <v>1834</v>
      </c>
      <c r="D251" s="20" t="s">
        <v>22</v>
      </c>
      <c r="E251" s="20"/>
      <c r="F251" s="20" t="s">
        <v>2129</v>
      </c>
      <c r="G251" s="22">
        <f>IF(A251="","",IF(A251&gt;=1,A251,IF(MAX($G$2:G250)=0,INT(SETTINGS!$B$4)+A251,INT(MAX($G$2:G250))+A251+IF(A251&lt;MOD(MAX($G$2:G250),1),1,0))))</f>
        <v>46309.676372968061</v>
      </c>
      <c r="H251" s="23">
        <f>IF(D251="","",IF(IFERROR(VLOOKUP(D251,LISTS!$A$2:$E$10,3,FALSE),0)=0,0,IF(IFERROR(COUNTIFS($C$2:C250,C251,$H$2:H250,1,$G$2:G250,"&gt;="&amp;(G251-15/1440)),0)&gt;0,0,1)))</f>
        <v>1</v>
      </c>
      <c r="I251" s="23" t="str">
        <f>IF(H251=1,C251&amp;"|"&amp;COUNTIFS($C$2:C251,C251,$H$2:H251,1),"")</f>
        <v>9000001190|1</v>
      </c>
      <c r="J251" s="23" t="str">
        <f>IF(D251="","",IF(A251="","Missing time",IF(D251="NO_SLOTS",IF(COUNTIF(PARTNERS!$A$2:$A$88,E251)=0,"Write the company in column E","OK"),IF(C251="","Missing phone",IF(COUNTIF(DESK!$F$2:$F$601,C251)=0,"Phone not found: copy it from your list",IF(AND(E251&lt;&gt;"",COUNTIFS(DESK!$F$2:$F$601,C251,DESK!$B$2:$B$601,E251)=0),"Company is not one of theirs","OK"))))))</f>
        <v>OK</v>
      </c>
    </row>
    <row r="252" spans="1:10" x14ac:dyDescent="0.35">
      <c r="A252" s="19">
        <v>46309.676418654424</v>
      </c>
      <c r="B252" s="20" t="s">
        <v>68</v>
      </c>
      <c r="C252" s="21" t="s">
        <v>1656</v>
      </c>
      <c r="D252" s="20" t="s">
        <v>20</v>
      </c>
      <c r="E252" s="20"/>
      <c r="F252" s="20"/>
      <c r="G252" s="22">
        <f>IF(A252="","",IF(A252&gt;=1,A252,IF(MAX($G$2:G251)=0,INT(SETTINGS!$B$4)+A252,INT(MAX($G$2:G251))+A252+IF(A252&lt;MOD(MAX($G$2:G251),1),1,0))))</f>
        <v>46309.676418654424</v>
      </c>
      <c r="H252" s="23">
        <f>IF(D252="","",IF(IFERROR(VLOOKUP(D252,LISTS!$A$2:$E$10,3,FALSE),0)=0,0,IF(IFERROR(COUNTIFS($C$2:C251,C252,$H$2:H251,1,$G$2:G251,"&gt;="&amp;(G252-15/1440)),0)&gt;0,0,1)))</f>
        <v>1</v>
      </c>
      <c r="I252" s="23" t="str">
        <f>IF(H252=1,C252&amp;"|"&amp;COUNTIFS($C$2:C252,C252,$H$2:H252,1),"")</f>
        <v>9000002529|1</v>
      </c>
      <c r="J252" s="23" t="str">
        <f>IF(D252="","",IF(A252="","Missing time",IF(D252="NO_SLOTS",IF(COUNTIF(PARTNERS!$A$2:$A$88,E252)=0,"Write the company in column E","OK"),IF(C252="","Missing phone",IF(COUNTIF(DESK!$F$2:$F$601,C252)=0,"Phone not found: copy it from your list",IF(AND(E252&lt;&gt;"",COUNTIFS(DESK!$F$2:$F$601,C252,DESK!$B$2:$B$601,E252)=0),"Company is not one of theirs","OK"))))))</f>
        <v>OK</v>
      </c>
    </row>
    <row r="253" spans="1:10" x14ac:dyDescent="0.35">
      <c r="A253" s="19">
        <v>46309.678872726065</v>
      </c>
      <c r="B253" s="20" t="s">
        <v>48</v>
      </c>
      <c r="C253" s="21" t="s">
        <v>1878</v>
      </c>
      <c r="D253" s="20" t="s">
        <v>18</v>
      </c>
      <c r="E253" s="20"/>
      <c r="F253" s="20" t="s">
        <v>2130</v>
      </c>
      <c r="G253" s="22">
        <f>IF(A253="","",IF(A253&gt;=1,A253,IF(MAX($G$2:G252)=0,INT(SETTINGS!$B$4)+A253,INT(MAX($G$2:G252))+A253+IF(A253&lt;MOD(MAX($G$2:G252),1),1,0))))</f>
        <v>46309.678872726065</v>
      </c>
      <c r="H253" s="23">
        <f>IF(D253="","",IF(IFERROR(VLOOKUP(D253,LISTS!$A$2:$E$10,3,FALSE),0)=0,0,IF(IFERROR(COUNTIFS($C$2:C252,C253,$H$2:H252,1,$G$2:G252,"&gt;="&amp;(G253-15/1440)),0)&gt;0,0,1)))</f>
        <v>1</v>
      </c>
      <c r="I253" s="23" t="str">
        <f>IF(H253=1,C253&amp;"|"&amp;COUNTIFS($C$2:C253,C253,$H$2:H253,1),"")</f>
        <v>9000004518|1</v>
      </c>
      <c r="J253" s="23" t="str">
        <f>IF(D253="","",IF(A253="","Missing time",IF(D253="NO_SLOTS",IF(COUNTIF(PARTNERS!$A$2:$A$88,E253)=0,"Write the company in column E","OK"),IF(C253="","Missing phone",IF(COUNTIF(DESK!$F$2:$F$601,C253)=0,"Phone not found: copy it from your list",IF(AND(E253&lt;&gt;"",COUNTIFS(DESK!$F$2:$F$601,C253,DESK!$B$2:$B$601,E253)=0),"Company is not one of theirs","OK"))))))</f>
        <v>OK</v>
      </c>
    </row>
    <row r="254" spans="1:10" x14ac:dyDescent="0.35">
      <c r="A254" s="19">
        <v>46309.679126640556</v>
      </c>
      <c r="B254" s="20" t="s">
        <v>68</v>
      </c>
      <c r="C254" s="21" t="s">
        <v>1711</v>
      </c>
      <c r="D254" s="20" t="s">
        <v>20</v>
      </c>
      <c r="E254" s="20"/>
      <c r="F254" s="20"/>
      <c r="G254" s="22">
        <f>IF(A254="","",IF(A254&gt;=1,A254,IF(MAX($G$2:G253)=0,INT(SETTINGS!$B$4)+A254,INT(MAX($G$2:G253))+A254+IF(A254&lt;MOD(MAX($G$2:G253),1),1,0))))</f>
        <v>46309.679126640556</v>
      </c>
      <c r="H254" s="23">
        <f>IF(D254="","",IF(IFERROR(VLOOKUP(D254,LISTS!$A$2:$E$10,3,FALSE),0)=0,0,IF(IFERROR(COUNTIFS($C$2:C253,C254,$H$2:H253,1,$G$2:G253,"&gt;="&amp;(G254-15/1440)),0)&gt;0,0,1)))</f>
        <v>1</v>
      </c>
      <c r="I254" s="23" t="str">
        <f>IF(H254=1,C254&amp;"|"&amp;COUNTIFS($C$2:C254,C254,$H$2:H254,1),"")</f>
        <v>9000001931|1</v>
      </c>
      <c r="J254" s="23" t="str">
        <f>IF(D254="","",IF(A254="","Missing time",IF(D254="NO_SLOTS",IF(COUNTIF(PARTNERS!$A$2:$A$88,E254)=0,"Write the company in column E","OK"),IF(C254="","Missing phone",IF(COUNTIF(DESK!$F$2:$F$601,C254)=0,"Phone not found: copy it from your list",IF(AND(E254&lt;&gt;"",COUNTIFS(DESK!$F$2:$F$601,C254,DESK!$B$2:$B$601,E254)=0),"Company is not one of theirs","OK"))))))</f>
        <v>OK</v>
      </c>
    </row>
    <row r="255" spans="1:10" x14ac:dyDescent="0.35">
      <c r="A255" s="19">
        <v>46309.682436715673</v>
      </c>
      <c r="B255" s="20" t="s">
        <v>48</v>
      </c>
      <c r="C255" s="21" t="s">
        <v>1881</v>
      </c>
      <c r="D255" s="20" t="s">
        <v>20</v>
      </c>
      <c r="E255" s="20"/>
      <c r="F255" s="20"/>
      <c r="G255" s="22">
        <f>IF(A255="","",IF(A255&gt;=1,A255,IF(MAX($G$2:G254)=0,INT(SETTINGS!$B$4)+A255,INT(MAX($G$2:G254))+A255+IF(A255&lt;MOD(MAX($G$2:G254),1),1,0))))</f>
        <v>46309.682436715673</v>
      </c>
      <c r="H255" s="23">
        <f>IF(D255="","",IF(IFERROR(VLOOKUP(D255,LISTS!$A$2:$E$10,3,FALSE),0)=0,0,IF(IFERROR(COUNTIFS($C$2:C254,C255,$H$2:H254,1,$G$2:G254,"&gt;="&amp;(G255-15/1440)),0)&gt;0,0,1)))</f>
        <v>1</v>
      </c>
      <c r="I255" s="23" t="str">
        <f>IF(H255=1,C255&amp;"|"&amp;COUNTIFS($C$2:C255,C255,$H$2:H255,1),"")</f>
        <v>9000004622|1</v>
      </c>
      <c r="J255" s="23" t="str">
        <f>IF(D255="","",IF(A255="","Missing time",IF(D255="NO_SLOTS",IF(COUNTIF(PARTNERS!$A$2:$A$88,E255)=0,"Write the company in column E","OK"),IF(C255="","Missing phone",IF(COUNTIF(DESK!$F$2:$F$601,C255)=0,"Phone not found: copy it from your list",IF(AND(E255&lt;&gt;"",COUNTIFS(DESK!$F$2:$F$601,C255,DESK!$B$2:$B$601,E255)=0),"Company is not one of theirs","OK"))))))</f>
        <v>OK</v>
      </c>
    </row>
    <row r="256" spans="1:10" x14ac:dyDescent="0.35">
      <c r="A256" s="19">
        <v>46309.682732364978</v>
      </c>
      <c r="B256" s="20" t="s">
        <v>68</v>
      </c>
      <c r="C256" s="21" t="s">
        <v>1721</v>
      </c>
      <c r="D256" s="20" t="s">
        <v>18</v>
      </c>
      <c r="E256" s="20"/>
      <c r="F256" s="20" t="s">
        <v>2130</v>
      </c>
      <c r="G256" s="22">
        <f>IF(A256="","",IF(A256&gt;=1,A256,IF(MAX($G$2:G255)=0,INT(SETTINGS!$B$4)+A256,INT(MAX($G$2:G255))+A256+IF(A256&lt;MOD(MAX($G$2:G255),1),1,0))))</f>
        <v>46309.682732364978</v>
      </c>
      <c r="H256" s="23">
        <f>IF(D256="","",IF(IFERROR(VLOOKUP(D256,LISTS!$A$2:$E$10,3,FALSE),0)=0,0,IF(IFERROR(COUNTIFS($C$2:C255,C256,$H$2:H255,1,$G$2:G255,"&gt;="&amp;(G256-15/1440)),0)&gt;0,0,1)))</f>
        <v>1</v>
      </c>
      <c r="I256" s="23" t="str">
        <f>IF(H256=1,C256&amp;"|"&amp;COUNTIFS($C$2:C256,C256,$H$2:H256,1),"")</f>
        <v>9000003413|1</v>
      </c>
      <c r="J256" s="23" t="str">
        <f>IF(D256="","",IF(A256="","Missing time",IF(D256="NO_SLOTS",IF(COUNTIF(PARTNERS!$A$2:$A$88,E256)=0,"Write the company in column E","OK"),IF(C256="","Missing phone",IF(COUNTIF(DESK!$F$2:$F$601,C256)=0,"Phone not found: copy it from your list",IF(AND(E256&lt;&gt;"",COUNTIFS(DESK!$F$2:$F$601,C256,DESK!$B$2:$B$601,E256)=0),"Company is not one of theirs","OK"))))))</f>
        <v>OK</v>
      </c>
    </row>
    <row r="257" spans="1:10" x14ac:dyDescent="0.35">
      <c r="A257" s="19">
        <v>46309.685345448335</v>
      </c>
      <c r="B257" s="20" t="s">
        <v>68</v>
      </c>
      <c r="C257" s="21" t="s">
        <v>1772</v>
      </c>
      <c r="D257" s="20" t="s">
        <v>20</v>
      </c>
      <c r="E257" s="20"/>
      <c r="F257" s="20"/>
      <c r="G257" s="22">
        <f>IF(A257="","",IF(A257&gt;=1,A257,IF(MAX($G$2:G256)=0,INT(SETTINGS!$B$4)+A257,INT(MAX($G$2:G256))+A257+IF(A257&lt;MOD(MAX($G$2:G256),1),1,0))))</f>
        <v>46309.685345448335</v>
      </c>
      <c r="H257" s="23">
        <f>IF(D257="","",IF(IFERROR(VLOOKUP(D257,LISTS!$A$2:$E$10,3,FALSE),0)=0,0,IF(IFERROR(COUNTIFS($C$2:C256,C257,$H$2:H256,1,$G$2:G256,"&gt;="&amp;(G257-15/1440)),0)&gt;0,0,1)))</f>
        <v>1</v>
      </c>
      <c r="I257" s="23" t="str">
        <f>IF(H257=1,C257&amp;"|"&amp;COUNTIFS($C$2:C257,C257,$H$2:H257,1),"")</f>
        <v>9000000787|1</v>
      </c>
      <c r="J257" s="23" t="str">
        <f>IF(D257="","",IF(A257="","Missing time",IF(D257="NO_SLOTS",IF(COUNTIF(PARTNERS!$A$2:$A$88,E257)=0,"Write the company in column E","OK"),IF(C257="","Missing phone",IF(COUNTIF(DESK!$F$2:$F$601,C257)=0,"Phone not found: copy it from your list",IF(AND(E257&lt;&gt;"",COUNTIFS(DESK!$F$2:$F$601,C257,DESK!$B$2:$B$601,E257)=0),"Company is not one of theirs","OK"))))))</f>
        <v>OK</v>
      </c>
    </row>
    <row r="258" spans="1:10" x14ac:dyDescent="0.35">
      <c r="A258" s="19">
        <v>46309.685746974421</v>
      </c>
      <c r="B258" s="20" t="s">
        <v>48</v>
      </c>
      <c r="C258" s="21" t="s">
        <v>1674</v>
      </c>
      <c r="D258" s="20" t="s">
        <v>18</v>
      </c>
      <c r="E258" s="20"/>
      <c r="F258" s="20" t="s">
        <v>2130</v>
      </c>
      <c r="G258" s="22">
        <f>IF(A258="","",IF(A258&gt;=1,A258,IF(MAX($G$2:G257)=0,INT(SETTINGS!$B$4)+A258,INT(MAX($G$2:G257))+A258+IF(A258&lt;MOD(MAX($G$2:G257),1),1,0))))</f>
        <v>46309.685746974421</v>
      </c>
      <c r="H258" s="23">
        <f>IF(D258="","",IF(IFERROR(VLOOKUP(D258,LISTS!$A$2:$E$10,3,FALSE),0)=0,0,IF(IFERROR(COUNTIFS($C$2:C257,C258,$H$2:H257,1,$G$2:G257,"&gt;="&amp;(G258-15/1440)),0)&gt;0,0,1)))</f>
        <v>1</v>
      </c>
      <c r="I258" s="23" t="str">
        <f>IF(H258=1,C258&amp;"|"&amp;COUNTIFS($C$2:C258,C258,$H$2:H258,1),"")</f>
        <v>9000001242|1</v>
      </c>
      <c r="J258" s="23" t="str">
        <f>IF(D258="","",IF(A258="","Missing time",IF(D258="NO_SLOTS",IF(COUNTIF(PARTNERS!$A$2:$A$88,E258)=0,"Write the company in column E","OK"),IF(C258="","Missing phone",IF(COUNTIF(DESK!$F$2:$F$601,C258)=0,"Phone not found: copy it from your list",IF(AND(E258&lt;&gt;"",COUNTIFS(DESK!$F$2:$F$601,C258,DESK!$B$2:$B$601,E258)=0),"Company is not one of theirs","OK"))))))</f>
        <v>OK</v>
      </c>
    </row>
    <row r="259" spans="1:10" x14ac:dyDescent="0.35">
      <c r="A259" s="19">
        <v>46309.666870311295</v>
      </c>
      <c r="B259" s="20" t="s">
        <v>2127</v>
      </c>
      <c r="C259" s="21" t="s">
        <v>1501</v>
      </c>
      <c r="D259" s="20" t="s">
        <v>30</v>
      </c>
      <c r="E259" s="20" t="s">
        <v>234</v>
      </c>
      <c r="F259" s="20" t="s">
        <v>2128</v>
      </c>
      <c r="G259" s="22">
        <f>IF(A259="","",IF(A259&gt;=1,A259,IF(MAX($G$2:G258)=0,INT(SETTINGS!$B$4)+A259,INT(MAX($G$2:G258))+A259+IF(A259&lt;MOD(MAX($G$2:G258),1),1,0))))</f>
        <v>46309.666870311295</v>
      </c>
      <c r="H259" s="23">
        <f>IF(D259="","",IF(IFERROR(VLOOKUP(D259,LISTS!$A$2:$E$10,3,FALSE),0)=0,0,IF(IFERROR(COUNTIFS($C$2:C258,C259,$H$2:H258,1,$G$2:G258,"&gt;="&amp;(G259-15/1440)),0)&gt;0,0,1)))</f>
        <v>0</v>
      </c>
      <c r="I259" s="23" t="str">
        <f>IF(H259=1,C259&amp;"|"&amp;COUNTIFS($C$2:C259,C259,$H$2:H259,1),"")</f>
        <v/>
      </c>
      <c r="J259" s="23" t="str">
        <f>IF(D259="","",IF(A259="","Missing time",IF(D259="NO_SLOTS",IF(COUNTIF(PARTNERS!$A$2:$A$88,E259)=0,"Write the company in column E","OK"),IF(C259="","Missing phone",IF(COUNTIF(DESK!$F$2:$F$601,C259)=0,"Phone not found: copy it from your list",IF(AND(E259&lt;&gt;"",COUNTIFS(DESK!$F$2:$F$601,C259,DESK!$B$2:$B$601,E259)=0),"Company is not one of theirs","OK"))))))</f>
        <v>OK</v>
      </c>
    </row>
    <row r="260" spans="1:10" x14ac:dyDescent="0.35">
      <c r="A260" s="19">
        <v>46309.684042279769</v>
      </c>
      <c r="B260" s="20" t="s">
        <v>2127</v>
      </c>
      <c r="C260" s="21" t="s">
        <v>1341</v>
      </c>
      <c r="D260" s="20" t="s">
        <v>30</v>
      </c>
      <c r="E260" s="20" t="s">
        <v>213</v>
      </c>
      <c r="F260" s="20" t="s">
        <v>2132</v>
      </c>
      <c r="G260" s="22">
        <f>IF(A260="","",IF(A260&gt;=1,A260,IF(MAX($G$2:G259)=0,INT(SETTINGS!$B$4)+A260,INT(MAX($G$2:G259))+A260+IF(A260&lt;MOD(MAX($G$2:G259),1),1,0))))</f>
        <v>46309.684042279769</v>
      </c>
      <c r="H260" s="23">
        <f>IF(D260="","",IF(IFERROR(VLOOKUP(D260,LISTS!$A$2:$E$10,3,FALSE),0)=0,0,IF(IFERROR(COUNTIFS($C$2:C259,C260,$H$2:H259,1,$G$2:G259,"&gt;="&amp;(G260-15/1440)),0)&gt;0,0,1)))</f>
        <v>0</v>
      </c>
      <c r="I260" s="23" t="str">
        <f>IF(H260=1,C260&amp;"|"&amp;COUNTIFS($C$2:C260,C260,$H$2:H260,1),"")</f>
        <v/>
      </c>
      <c r="J260" s="23" t="str">
        <f>IF(D260="","",IF(A260="","Missing time",IF(D260="NO_SLOTS",IF(COUNTIF(PARTNERS!$A$2:$A$88,E260)=0,"Write the company in column E","OK"),IF(C260="","Missing phone",IF(COUNTIF(DESK!$F$2:$F$601,C260)=0,"Phone not found: copy it from your list",IF(AND(E260&lt;&gt;"",COUNTIFS(DESK!$F$2:$F$601,C260,DESK!$B$2:$B$601,E260)=0),"Company is not one of theirs","OK"))))))</f>
        <v>OK</v>
      </c>
    </row>
    <row r="261" spans="1:10" x14ac:dyDescent="0.35">
      <c r="A261" s="19">
        <v>46309.690077535954</v>
      </c>
      <c r="B261" s="20" t="s">
        <v>48</v>
      </c>
      <c r="C261" s="21" t="s">
        <v>1905</v>
      </c>
      <c r="D261" s="20" t="s">
        <v>18</v>
      </c>
      <c r="E261" s="20"/>
      <c r="F261" s="20" t="s">
        <v>2130</v>
      </c>
      <c r="G261" s="22">
        <f>IF(A261="","",IF(A261&gt;=1,A261,IF(MAX($G$2:G260)=0,INT(SETTINGS!$B$4)+A261,INT(MAX($G$2:G260))+A261+IF(A261&lt;MOD(MAX($G$2:G260),1),1,0))))</f>
        <v>46309.690077535954</v>
      </c>
      <c r="H261" s="23">
        <f>IF(D261="","",IF(IFERROR(VLOOKUP(D261,LISTS!$A$2:$E$10,3,FALSE),0)=0,0,IF(IFERROR(COUNTIFS($C$2:C260,C261,$H$2:H260,1,$G$2:G260,"&gt;="&amp;(G261-15/1440)),0)&gt;0,0,1)))</f>
        <v>1</v>
      </c>
      <c r="I261" s="23" t="str">
        <f>IF(H261=1,C261&amp;"|"&amp;COUNTIFS($C$2:C261,C261,$H$2:H261,1),"")</f>
        <v>9000000514|1</v>
      </c>
      <c r="J261" s="23" t="str">
        <f>IF(D261="","",IF(A261="","Missing time",IF(D261="NO_SLOTS",IF(COUNTIF(PARTNERS!$A$2:$A$88,E261)=0,"Write the company in column E","OK"),IF(C261="","Missing phone",IF(COUNTIF(DESK!$F$2:$F$601,C261)=0,"Phone not found: copy it from your list",IF(AND(E261&lt;&gt;"",COUNTIFS(DESK!$F$2:$F$601,C261,DESK!$B$2:$B$601,E261)=0),"Company is not one of theirs","OK"))))))</f>
        <v>OK</v>
      </c>
    </row>
    <row r="262" spans="1:10" x14ac:dyDescent="0.35">
      <c r="A262" s="19">
        <v>46309.690953984915</v>
      </c>
      <c r="B262" s="20" t="s">
        <v>68</v>
      </c>
      <c r="C262" s="21" t="s">
        <v>544</v>
      </c>
      <c r="D262" s="20" t="s">
        <v>16</v>
      </c>
      <c r="E262" s="20"/>
      <c r="F262" s="20"/>
      <c r="G262" s="22">
        <f>IF(A262="","",IF(A262&gt;=1,A262,IF(MAX($G$2:G261)=0,INT(SETTINGS!$B$4)+A262,INT(MAX($G$2:G261))+A262+IF(A262&lt;MOD(MAX($G$2:G261),1),1,0))))</f>
        <v>46309.690953984915</v>
      </c>
      <c r="H262" s="23">
        <f>IF(D262="","",IF(IFERROR(VLOOKUP(D262,LISTS!$A$2:$E$10,3,FALSE),0)=0,0,IF(IFERROR(COUNTIFS($C$2:C261,C262,$H$2:H261,1,$G$2:G261,"&gt;="&amp;(G262-15/1440)),0)&gt;0,0,1)))</f>
        <v>1</v>
      </c>
      <c r="I262" s="23" t="str">
        <f>IF(H262=1,C262&amp;"|"&amp;COUNTIFS($C$2:C262,C262,$H$2:H262,1),"")</f>
        <v>9000004271|3</v>
      </c>
      <c r="J262" s="23" t="str">
        <f>IF(D262="","",IF(A262="","Missing time",IF(D262="NO_SLOTS",IF(COUNTIF(PARTNERS!$A$2:$A$88,E262)=0,"Write the company in column E","OK"),IF(C262="","Missing phone",IF(COUNTIF(DESK!$F$2:$F$601,C262)=0,"Phone not found: copy it from your list",IF(AND(E262&lt;&gt;"",COUNTIFS(DESK!$F$2:$F$601,C262,DESK!$B$2:$B$601,E262)=0),"Company is not one of theirs","OK"))))))</f>
        <v>OK</v>
      </c>
    </row>
    <row r="263" spans="1:10" x14ac:dyDescent="0.35">
      <c r="A263" s="19">
        <v>46309.693534881582</v>
      </c>
      <c r="B263" s="20" t="s">
        <v>48</v>
      </c>
      <c r="C263" s="21" t="s">
        <v>540</v>
      </c>
      <c r="D263" s="20" t="s">
        <v>16</v>
      </c>
      <c r="E263" s="20"/>
      <c r="F263" s="20"/>
      <c r="G263" s="22">
        <f>IF(A263="","",IF(A263&gt;=1,A263,IF(MAX($G$2:G262)=0,INT(SETTINGS!$B$4)+A263,INT(MAX($G$2:G262))+A263+IF(A263&lt;MOD(MAX($G$2:G262),1),1,0))))</f>
        <v>46309.693534881582</v>
      </c>
      <c r="H263" s="23">
        <f>IF(D263="","",IF(IFERROR(VLOOKUP(D263,LISTS!$A$2:$E$10,3,FALSE),0)=0,0,IF(IFERROR(COUNTIFS($C$2:C262,C263,$H$2:H262,1,$G$2:G262,"&gt;="&amp;(G263-15/1440)),0)&gt;0,0,1)))</f>
        <v>1</v>
      </c>
      <c r="I263" s="23" t="str">
        <f>IF(H263=1,C263&amp;"|"&amp;COUNTIFS($C$2:C263,C263,$H$2:H263,1),"")</f>
        <v>9000000696|2</v>
      </c>
      <c r="J263" s="23" t="str">
        <f>IF(D263="","",IF(A263="","Missing time",IF(D263="NO_SLOTS",IF(COUNTIF(PARTNERS!$A$2:$A$88,E263)=0,"Write the company in column E","OK"),IF(C263="","Missing phone",IF(COUNTIF(DESK!$F$2:$F$601,C263)=0,"Phone not found: copy it from your list",IF(AND(E263&lt;&gt;"",COUNTIFS(DESK!$F$2:$F$601,C263,DESK!$B$2:$B$601,E263)=0),"Company is not one of theirs","OK"))))))</f>
        <v>OK</v>
      </c>
    </row>
    <row r="264" spans="1:10" x14ac:dyDescent="0.35">
      <c r="A264" s="19">
        <v>46309.694633723011</v>
      </c>
      <c r="B264" s="20" t="s">
        <v>68</v>
      </c>
      <c r="C264" s="21" t="s">
        <v>1875</v>
      </c>
      <c r="D264" s="20" t="s">
        <v>16</v>
      </c>
      <c r="E264" s="20"/>
      <c r="F264" s="20"/>
      <c r="G264" s="22">
        <f>IF(A264="","",IF(A264&gt;=1,A264,IF(MAX($G$2:G263)=0,INT(SETTINGS!$B$4)+A264,INT(MAX($G$2:G263))+A264+IF(A264&lt;MOD(MAX($G$2:G263),1),1,0))))</f>
        <v>46309.694633723011</v>
      </c>
      <c r="H264" s="23">
        <f>IF(D264="","",IF(IFERROR(VLOOKUP(D264,LISTS!$A$2:$E$10,3,FALSE),0)=0,0,IF(IFERROR(COUNTIFS($C$2:C263,C264,$H$2:H263,1,$G$2:G263,"&gt;="&amp;(G264-15/1440)),0)&gt;0,0,1)))</f>
        <v>1</v>
      </c>
      <c r="I264" s="23" t="str">
        <f>IF(H264=1,C264&amp;"|"&amp;COUNTIFS($C$2:C264,C264,$H$2:H264,1),"")</f>
        <v>9000000397|1</v>
      </c>
      <c r="J264" s="23" t="str">
        <f>IF(D264="","",IF(A264="","Missing time",IF(D264="NO_SLOTS",IF(COUNTIF(PARTNERS!$A$2:$A$88,E264)=0,"Write the company in column E","OK"),IF(C264="","Missing phone",IF(COUNTIF(DESK!$F$2:$F$601,C264)=0,"Phone not found: copy it from your list",IF(AND(E264&lt;&gt;"",COUNTIFS(DESK!$F$2:$F$601,C264,DESK!$B$2:$B$601,E264)=0),"Company is not one of theirs","OK"))))))</f>
        <v>OK</v>
      </c>
    </row>
    <row r="265" spans="1:10" x14ac:dyDescent="0.35">
      <c r="A265" s="19">
        <v>46309.696175218465</v>
      </c>
      <c r="B265" s="20" t="s">
        <v>48</v>
      </c>
      <c r="C265" s="21" t="s">
        <v>558</v>
      </c>
      <c r="D265" s="20" t="s">
        <v>20</v>
      </c>
      <c r="E265" s="20"/>
      <c r="F265" s="20"/>
      <c r="G265" s="22">
        <f>IF(A265="","",IF(A265&gt;=1,A265,IF(MAX($G$2:G264)=0,INT(SETTINGS!$B$4)+A265,INT(MAX($G$2:G264))+A265+IF(A265&lt;MOD(MAX($G$2:G264),1),1,0))))</f>
        <v>46309.696175218465</v>
      </c>
      <c r="H265" s="23">
        <f>IF(D265="","",IF(IFERROR(VLOOKUP(D265,LISTS!$A$2:$E$10,3,FALSE),0)=0,0,IF(IFERROR(COUNTIFS($C$2:C264,C265,$H$2:H264,1,$G$2:G264,"&gt;="&amp;(G265-15/1440)),0)&gt;0,0,1)))</f>
        <v>1</v>
      </c>
      <c r="I265" s="23" t="str">
        <f>IF(H265=1,C265&amp;"|"&amp;COUNTIFS($C$2:C265,C265,$H$2:H265,1),"")</f>
        <v>9000000566|2</v>
      </c>
      <c r="J265" s="23" t="str">
        <f>IF(D265="","",IF(A265="","Missing time",IF(D265="NO_SLOTS",IF(COUNTIF(PARTNERS!$A$2:$A$88,E265)=0,"Write the company in column E","OK"),IF(C265="","Missing phone",IF(COUNTIF(DESK!$F$2:$F$601,C265)=0,"Phone not found: copy it from your list",IF(AND(E265&lt;&gt;"",COUNTIFS(DESK!$F$2:$F$601,C265,DESK!$B$2:$B$601,E265)=0),"Company is not one of theirs","OK"))))))</f>
        <v>OK</v>
      </c>
    </row>
    <row r="266" spans="1:10" x14ac:dyDescent="0.35">
      <c r="A266" s="19">
        <v>46309.697956969067</v>
      </c>
      <c r="B266" s="20" t="s">
        <v>68</v>
      </c>
      <c r="C266" s="21" t="s">
        <v>1973</v>
      </c>
      <c r="D266" s="20" t="s">
        <v>20</v>
      </c>
      <c r="E266" s="20"/>
      <c r="F266" s="20"/>
      <c r="G266" s="22">
        <f>IF(A266="","",IF(A266&gt;=1,A266,IF(MAX($G$2:G265)=0,INT(SETTINGS!$B$4)+A266,INT(MAX($G$2:G265))+A266+IF(A266&lt;MOD(MAX($G$2:G265),1),1,0))))</f>
        <v>46309.697956969067</v>
      </c>
      <c r="H266" s="23">
        <f>IF(D266="","",IF(IFERROR(VLOOKUP(D266,LISTS!$A$2:$E$10,3,FALSE),0)=0,0,IF(IFERROR(COUNTIFS($C$2:C265,C266,$H$2:H265,1,$G$2:G265,"&gt;="&amp;(G266-15/1440)),0)&gt;0,0,1)))</f>
        <v>1</v>
      </c>
      <c r="I266" s="23" t="str">
        <f>IF(H266=1,C266&amp;"|"&amp;COUNTIFS($C$2:C266,C266,$H$2:H266,1),"")</f>
        <v>9000001775|1</v>
      </c>
      <c r="J266" s="23" t="str">
        <f>IF(D266="","",IF(A266="","Missing time",IF(D266="NO_SLOTS",IF(COUNTIF(PARTNERS!$A$2:$A$88,E266)=0,"Write the company in column E","OK"),IF(C266="","Missing phone",IF(COUNTIF(DESK!$F$2:$F$601,C266)=0,"Phone not found: copy it from your list",IF(AND(E266&lt;&gt;"",COUNTIFS(DESK!$F$2:$F$601,C266,DESK!$B$2:$B$601,E266)=0),"Company is not one of theirs","OK"))))))</f>
        <v>OK</v>
      </c>
    </row>
    <row r="267" spans="1:10" x14ac:dyDescent="0.35">
      <c r="A267" s="19">
        <v>46309.699267655589</v>
      </c>
      <c r="B267" s="20" t="s">
        <v>48</v>
      </c>
      <c r="C267" s="21" t="s">
        <v>618</v>
      </c>
      <c r="D267" s="20" t="s">
        <v>18</v>
      </c>
      <c r="E267" s="20"/>
      <c r="F267" s="20" t="s">
        <v>2130</v>
      </c>
      <c r="G267" s="22">
        <f>IF(A267="","",IF(A267&gt;=1,A267,IF(MAX($G$2:G266)=0,INT(SETTINGS!$B$4)+A267,INT(MAX($G$2:G266))+A267+IF(A267&lt;MOD(MAX($G$2:G266),1),1,0))))</f>
        <v>46309.699267655589</v>
      </c>
      <c r="H267" s="23">
        <f>IF(D267="","",IF(IFERROR(VLOOKUP(D267,LISTS!$A$2:$E$10,3,FALSE),0)=0,0,IF(IFERROR(COUNTIFS($C$2:C266,C267,$H$2:H266,1,$G$2:G266,"&gt;="&amp;(G267-15/1440)),0)&gt;0,0,1)))</f>
        <v>1</v>
      </c>
      <c r="I267" s="23" t="str">
        <f>IF(H267=1,C267&amp;"|"&amp;COUNTIFS($C$2:C267,C267,$H$2:H267,1),"")</f>
        <v>9000005376|2</v>
      </c>
      <c r="J267" s="23" t="str">
        <f>IF(D267="","",IF(A267="","Missing time",IF(D267="NO_SLOTS",IF(COUNTIF(PARTNERS!$A$2:$A$88,E267)=0,"Write the company in column E","OK"),IF(C267="","Missing phone",IF(COUNTIF(DESK!$F$2:$F$601,C267)=0,"Phone not found: copy it from your list",IF(AND(E267&lt;&gt;"",COUNTIFS(DESK!$F$2:$F$601,C267,DESK!$B$2:$B$601,E267)=0),"Company is not one of theirs","OK"))))))</f>
        <v>OK</v>
      </c>
    </row>
    <row r="268" spans="1:10" x14ac:dyDescent="0.35">
      <c r="A268" s="19">
        <v>46309.700267143584</v>
      </c>
      <c r="B268" s="20" t="s">
        <v>68</v>
      </c>
      <c r="C268" s="21" t="s">
        <v>2003</v>
      </c>
      <c r="D268" s="20" t="s">
        <v>16</v>
      </c>
      <c r="E268" s="20"/>
      <c r="F268" s="20"/>
      <c r="G268" s="22">
        <f>IF(A268="","",IF(A268&gt;=1,A268,IF(MAX($G$2:G267)=0,INT(SETTINGS!$B$4)+A268,INT(MAX($G$2:G267))+A268+IF(A268&lt;MOD(MAX($G$2:G267),1),1,0))))</f>
        <v>46309.700267143584</v>
      </c>
      <c r="H268" s="23">
        <f>IF(D268="","",IF(IFERROR(VLOOKUP(D268,LISTS!$A$2:$E$10,3,FALSE),0)=0,0,IF(IFERROR(COUNTIFS($C$2:C267,C268,$H$2:H267,1,$G$2:G267,"&gt;="&amp;(G268-15/1440)),0)&gt;0,0,1)))</f>
        <v>1</v>
      </c>
      <c r="I268" s="23" t="str">
        <f>IF(H268=1,C268&amp;"|"&amp;COUNTIFS($C$2:C268,C268,$H$2:H268,1),"")</f>
        <v>9000000371|1</v>
      </c>
      <c r="J268" s="23" t="str">
        <f>IF(D268="","",IF(A268="","Missing time",IF(D268="NO_SLOTS",IF(COUNTIF(PARTNERS!$A$2:$A$88,E268)=0,"Write the company in column E","OK"),IF(C268="","Missing phone",IF(COUNTIF(DESK!$F$2:$F$601,C268)=0,"Phone not found: copy it from your list",IF(AND(E268&lt;&gt;"",COUNTIFS(DESK!$F$2:$F$601,C268,DESK!$B$2:$B$601,E268)=0),"Company is not one of theirs","OK"))))))</f>
        <v>OK</v>
      </c>
    </row>
    <row r="269" spans="1:10" x14ac:dyDescent="0.35">
      <c r="A269" s="19">
        <v>46309.701501819014</v>
      </c>
      <c r="B269" s="20" t="s">
        <v>48</v>
      </c>
      <c r="C269" s="21" t="s">
        <v>930</v>
      </c>
      <c r="D269" s="20" t="s">
        <v>22</v>
      </c>
      <c r="E269" s="20"/>
      <c r="F269" s="20" t="s">
        <v>2129</v>
      </c>
      <c r="G269" s="22">
        <f>IF(A269="","",IF(A269&gt;=1,A269,IF(MAX($G$2:G268)=0,INT(SETTINGS!$B$4)+A269,INT(MAX($G$2:G268))+A269+IF(A269&lt;MOD(MAX($G$2:G268),1),1,0))))</f>
        <v>46309.701501819014</v>
      </c>
      <c r="H269" s="23">
        <f>IF(D269="","",IF(IFERROR(VLOOKUP(D269,LISTS!$A$2:$E$10,3,FALSE),0)=0,0,IF(IFERROR(COUNTIFS($C$2:C268,C269,$H$2:H268,1,$G$2:G268,"&gt;="&amp;(G269-15/1440)),0)&gt;0,0,1)))</f>
        <v>1</v>
      </c>
      <c r="I269" s="23" t="str">
        <f>IF(H269=1,C269&amp;"|"&amp;COUNTIFS($C$2:C269,C269,$H$2:H269,1),"")</f>
        <v>9000000644|2</v>
      </c>
      <c r="J269" s="23" t="str">
        <f>IF(D269="","",IF(A269="","Missing time",IF(D269="NO_SLOTS",IF(COUNTIF(PARTNERS!$A$2:$A$88,E269)=0,"Write the company in column E","OK"),IF(C269="","Missing phone",IF(COUNTIF(DESK!$F$2:$F$601,C269)=0,"Phone not found: copy it from your list",IF(AND(E269&lt;&gt;"",COUNTIFS(DESK!$F$2:$F$601,C269,DESK!$B$2:$B$601,E269)=0),"Company is not one of theirs","OK"))))))</f>
        <v>OK</v>
      </c>
    </row>
    <row r="270" spans="1:10" x14ac:dyDescent="0.35">
      <c r="A270" s="19">
        <v>46309.702599829361</v>
      </c>
      <c r="B270" s="20" t="s">
        <v>68</v>
      </c>
      <c r="C270" s="21" t="s">
        <v>638</v>
      </c>
      <c r="D270" s="20" t="s">
        <v>22</v>
      </c>
      <c r="E270" s="20"/>
      <c r="F270" s="20" t="s">
        <v>2129</v>
      </c>
      <c r="G270" s="22">
        <f>IF(A270="","",IF(A270&gt;=1,A270,IF(MAX($G$2:G269)=0,INT(SETTINGS!$B$4)+A270,INT(MAX($G$2:G269))+A270+IF(A270&lt;MOD(MAX($G$2:G269),1),1,0))))</f>
        <v>46309.702599829361</v>
      </c>
      <c r="H270" s="23">
        <f>IF(D270="","",IF(IFERROR(VLOOKUP(D270,LISTS!$A$2:$E$10,3,FALSE),0)=0,0,IF(IFERROR(COUNTIFS($C$2:C269,C270,$H$2:H269,1,$G$2:G269,"&gt;="&amp;(G270-15/1440)),0)&gt;0,0,1)))</f>
        <v>1</v>
      </c>
      <c r="I270" s="23" t="str">
        <f>IF(H270=1,C270&amp;"|"&amp;COUNTIFS($C$2:C270,C270,$H$2:H270,1),"")</f>
        <v>9000005519|2</v>
      </c>
      <c r="J270" s="23" t="str">
        <f>IF(D270="","",IF(A270="","Missing time",IF(D270="NO_SLOTS",IF(COUNTIF(PARTNERS!$A$2:$A$88,E270)=0,"Write the company in column E","OK"),IF(C270="","Missing phone",IF(COUNTIF(DESK!$F$2:$F$601,C270)=0,"Phone not found: copy it from your list",IF(AND(E270&lt;&gt;"",COUNTIFS(DESK!$F$2:$F$601,C270,DESK!$B$2:$B$601,E270)=0),"Company is not one of theirs","OK"))))))</f>
        <v>OK</v>
      </c>
    </row>
    <row r="271" spans="1:10" x14ac:dyDescent="0.35">
      <c r="A271" s="19">
        <v>46309.704229253439</v>
      </c>
      <c r="B271" s="20" t="s">
        <v>48</v>
      </c>
      <c r="C271" s="21" t="s">
        <v>1000</v>
      </c>
      <c r="D271" s="20" t="s">
        <v>18</v>
      </c>
      <c r="E271" s="20"/>
      <c r="F271" s="20" t="s">
        <v>2130</v>
      </c>
      <c r="G271" s="22">
        <f>IF(A271="","",IF(A271&gt;=1,A271,IF(MAX($G$2:G270)=0,INT(SETTINGS!$B$4)+A271,INT(MAX($G$2:G270))+A271+IF(A271&lt;MOD(MAX($G$2:G270),1),1,0))))</f>
        <v>46309.704229253439</v>
      </c>
      <c r="H271" s="23">
        <f>IF(D271="","",IF(IFERROR(VLOOKUP(D271,LISTS!$A$2:$E$10,3,FALSE),0)=0,0,IF(IFERROR(COUNTIFS($C$2:C270,C271,$H$2:H270,1,$G$2:G270,"&gt;="&amp;(G271-15/1440)),0)&gt;0,0,1)))</f>
        <v>1</v>
      </c>
      <c r="I271" s="23" t="str">
        <f>IF(H271=1,C271&amp;"|"&amp;COUNTIFS($C$2:C271,C271,$H$2:H271,1),"")</f>
        <v>9000005298|2</v>
      </c>
      <c r="J271" s="23" t="str">
        <f>IF(D271="","",IF(A271="","Missing time",IF(D271="NO_SLOTS",IF(COUNTIF(PARTNERS!$A$2:$A$88,E271)=0,"Write the company in column E","OK"),IF(C271="","Missing phone",IF(COUNTIF(DESK!$F$2:$F$601,C271)=0,"Phone not found: copy it from your list",IF(AND(E271&lt;&gt;"",COUNTIFS(DESK!$F$2:$F$601,C271,DESK!$B$2:$B$601,E271)=0),"Company is not one of theirs","OK"))))))</f>
        <v>OK</v>
      </c>
    </row>
    <row r="272" spans="1:10" x14ac:dyDescent="0.35">
      <c r="A272" s="19">
        <v>46309.705114861645</v>
      </c>
      <c r="B272" s="20" t="s">
        <v>68</v>
      </c>
      <c r="C272" s="21" t="s">
        <v>734</v>
      </c>
      <c r="D272" s="20" t="s">
        <v>16</v>
      </c>
      <c r="E272" s="20"/>
      <c r="F272" s="20"/>
      <c r="G272" s="22">
        <f>IF(A272="","",IF(A272&gt;=1,A272,IF(MAX($G$2:G271)=0,INT(SETTINGS!$B$4)+A272,INT(MAX($G$2:G271))+A272+IF(A272&lt;MOD(MAX($G$2:G271),1),1,0))))</f>
        <v>46309.705114861645</v>
      </c>
      <c r="H272" s="23">
        <f>IF(D272="","",IF(IFERROR(VLOOKUP(D272,LISTS!$A$2:$E$10,3,FALSE),0)=0,0,IF(IFERROR(COUNTIFS($C$2:C271,C272,$H$2:H271,1,$G$2:G271,"&gt;="&amp;(G272-15/1440)),0)&gt;0,0,1)))</f>
        <v>1</v>
      </c>
      <c r="I272" s="23" t="str">
        <f>IF(H272=1,C272&amp;"|"&amp;COUNTIFS($C$2:C272,C272,$H$2:H272,1),"")</f>
        <v>9000002321|2</v>
      </c>
      <c r="J272" s="23" t="str">
        <f>IF(D272="","",IF(A272="","Missing time",IF(D272="NO_SLOTS",IF(COUNTIF(PARTNERS!$A$2:$A$88,E272)=0,"Write the company in column E","OK"),IF(C272="","Missing phone",IF(COUNTIF(DESK!$F$2:$F$601,C272)=0,"Phone not found: copy it from your list",IF(AND(E272&lt;&gt;"",COUNTIFS(DESK!$F$2:$F$601,C272,DESK!$B$2:$B$601,E272)=0),"Company is not one of theirs","OK"))))))</f>
        <v>OK</v>
      </c>
    </row>
    <row r="273" spans="1:10" x14ac:dyDescent="0.35">
      <c r="A273" s="19">
        <v>46309.707632671772</v>
      </c>
      <c r="B273" s="20" t="s">
        <v>48</v>
      </c>
      <c r="C273" s="21" t="s">
        <v>1049</v>
      </c>
      <c r="D273" s="20" t="s">
        <v>16</v>
      </c>
      <c r="E273" s="20"/>
      <c r="F273" s="20"/>
      <c r="G273" s="22">
        <f>IF(A273="","",IF(A273&gt;=1,A273,IF(MAX($G$2:G272)=0,INT(SETTINGS!$B$4)+A273,INT(MAX($G$2:G272))+A273+IF(A273&lt;MOD(MAX($G$2:G272),1),1,0))))</f>
        <v>46309.707632671772</v>
      </c>
      <c r="H273" s="23">
        <f>IF(D273="","",IF(IFERROR(VLOOKUP(D273,LISTS!$A$2:$E$10,3,FALSE),0)=0,0,IF(IFERROR(COUNTIFS($C$2:C272,C273,$H$2:H272,1,$G$2:G272,"&gt;="&amp;(G273-15/1440)),0)&gt;0,0,1)))</f>
        <v>1</v>
      </c>
      <c r="I273" s="23" t="str">
        <f>IF(H273=1,C273&amp;"|"&amp;COUNTIFS($C$2:C273,C273,$H$2:H273,1),"")</f>
        <v>9000002672|2</v>
      </c>
      <c r="J273" s="23" t="str">
        <f>IF(D273="","",IF(A273="","Missing time",IF(D273="NO_SLOTS",IF(COUNTIF(PARTNERS!$A$2:$A$88,E273)=0,"Write the company in column E","OK"),IF(C273="","Missing phone",IF(COUNTIF(DESK!$F$2:$F$601,C273)=0,"Phone not found: copy it from your list",IF(AND(E273&lt;&gt;"",COUNTIFS(DESK!$F$2:$F$601,C273,DESK!$B$2:$B$601,E273)=0),"Company is not one of theirs","OK"))))))</f>
        <v>OK</v>
      </c>
    </row>
    <row r="274" spans="1:10" x14ac:dyDescent="0.35">
      <c r="A274" s="19">
        <v>46309.690511270797</v>
      </c>
      <c r="B274" s="20" t="s">
        <v>2127</v>
      </c>
      <c r="C274" s="21" t="s">
        <v>1834</v>
      </c>
      <c r="D274" s="20" t="s">
        <v>30</v>
      </c>
      <c r="E274" s="20" t="s">
        <v>189</v>
      </c>
      <c r="F274" s="20" t="s">
        <v>2132</v>
      </c>
      <c r="G274" s="22">
        <f>IF(A274="","",IF(A274&gt;=1,A274,IF(MAX($G$2:G273)=0,INT(SETTINGS!$B$4)+A274,INT(MAX($G$2:G273))+A274+IF(A274&lt;MOD(MAX($G$2:G273),1),1,0))))</f>
        <v>46309.690511270797</v>
      </c>
      <c r="H274" s="23">
        <f>IF(D274="","",IF(IFERROR(VLOOKUP(D274,LISTS!$A$2:$E$10,3,FALSE),0)=0,0,IF(IFERROR(COUNTIFS($C$2:C273,C274,$H$2:H273,1,$G$2:G273,"&gt;="&amp;(G274-15/1440)),0)&gt;0,0,1)))</f>
        <v>0</v>
      </c>
      <c r="I274" s="23" t="str">
        <f>IF(H274=1,C274&amp;"|"&amp;COUNTIFS($C$2:C274,C274,$H$2:H274,1),"")</f>
        <v/>
      </c>
      <c r="J274" s="23" t="str">
        <f>IF(D274="","",IF(A274="","Missing time",IF(D274="NO_SLOTS",IF(COUNTIF(PARTNERS!$A$2:$A$88,E274)=0,"Write the company in column E","OK"),IF(C274="","Missing phone",IF(COUNTIF(DESK!$F$2:$F$601,C274)=0,"Phone not found: copy it from your list",IF(AND(E274&lt;&gt;"",COUNTIFS(DESK!$F$2:$F$601,C274,DESK!$B$2:$B$601,E274)=0),"Company is not one of theirs","OK"))))))</f>
        <v>OK</v>
      </c>
    </row>
    <row r="275" spans="1:10" x14ac:dyDescent="0.35">
      <c r="A275" s="19">
        <v>46309.695780528637</v>
      </c>
      <c r="B275" s="20" t="s">
        <v>2127</v>
      </c>
      <c r="C275" s="21" t="s">
        <v>1351</v>
      </c>
      <c r="D275" s="20" t="s">
        <v>30</v>
      </c>
      <c r="E275" s="20" t="s">
        <v>375</v>
      </c>
      <c r="F275" s="20" t="s">
        <v>2128</v>
      </c>
      <c r="G275" s="22">
        <f>IF(A275="","",IF(A275&gt;=1,A275,IF(MAX($G$2:G274)=0,INT(SETTINGS!$B$4)+A275,INT(MAX($G$2:G274))+A275+IF(A275&lt;MOD(MAX($G$2:G274),1),1,0))))</f>
        <v>46309.695780528637</v>
      </c>
      <c r="H275" s="23">
        <f>IF(D275="","",IF(IFERROR(VLOOKUP(D275,LISTS!$A$2:$E$10,3,FALSE),0)=0,0,IF(IFERROR(COUNTIFS($C$2:C274,C275,$H$2:H274,1,$G$2:G274,"&gt;="&amp;(G275-15/1440)),0)&gt;0,0,1)))</f>
        <v>0</v>
      </c>
      <c r="I275" s="23" t="str">
        <f>IF(H275=1,C275&amp;"|"&amp;COUNTIFS($C$2:C275,C275,$H$2:H275,1),"")</f>
        <v/>
      </c>
      <c r="J275" s="23" t="str">
        <f>IF(D275="","",IF(A275="","Missing time",IF(D275="NO_SLOTS",IF(COUNTIF(PARTNERS!$A$2:$A$88,E275)=0,"Write the company in column E","OK"),IF(C275="","Missing phone",IF(COUNTIF(DESK!$F$2:$F$601,C275)=0,"Phone not found: copy it from your list",IF(AND(E275&lt;&gt;"",COUNTIFS(DESK!$F$2:$F$601,C275,DESK!$B$2:$B$601,E275)=0),"Company is not one of theirs","OK"))))))</f>
        <v>OK</v>
      </c>
    </row>
    <row r="276" spans="1:10" x14ac:dyDescent="0.35">
      <c r="A276" s="19">
        <v>46309.696853406123</v>
      </c>
      <c r="B276" s="20" t="s">
        <v>2127</v>
      </c>
      <c r="C276" s="21" t="s">
        <v>1678</v>
      </c>
      <c r="D276" s="20" t="s">
        <v>30</v>
      </c>
      <c r="E276" s="20" t="s">
        <v>351</v>
      </c>
      <c r="F276" s="20" t="s">
        <v>2128</v>
      </c>
      <c r="G276" s="22">
        <f>IF(A276="","",IF(A276&gt;=1,A276,IF(MAX($G$2:G275)=0,INT(SETTINGS!$B$4)+A276,INT(MAX($G$2:G275))+A276+IF(A276&lt;MOD(MAX($G$2:G275),1),1,0))))</f>
        <v>46309.696853406123</v>
      </c>
      <c r="H276" s="23">
        <f>IF(D276="","",IF(IFERROR(VLOOKUP(D276,LISTS!$A$2:$E$10,3,FALSE),0)=0,0,IF(IFERROR(COUNTIFS($C$2:C275,C276,$H$2:H275,1,$G$2:G275,"&gt;="&amp;(G276-15/1440)),0)&gt;0,0,1)))</f>
        <v>0</v>
      </c>
      <c r="I276" s="23" t="str">
        <f>IF(H276=1,C276&amp;"|"&amp;COUNTIFS($C$2:C276,C276,$H$2:H276,1),"")</f>
        <v/>
      </c>
      <c r="J276" s="23" t="str">
        <f>IF(D276="","",IF(A276="","Missing time",IF(D276="NO_SLOTS",IF(COUNTIF(PARTNERS!$A$2:$A$88,E276)=0,"Write the company in column E","OK"),IF(C276="","Missing phone",IF(COUNTIF(DESK!$F$2:$F$601,C276)=0,"Phone not found: copy it from your list",IF(AND(E276&lt;&gt;"",COUNTIFS(DESK!$F$2:$F$601,C276,DESK!$B$2:$B$601,E276)=0),"Company is not one of theirs","OK"))))))</f>
        <v>OK</v>
      </c>
    </row>
    <row r="277" spans="1:10" x14ac:dyDescent="0.35">
      <c r="A277" s="19">
        <v>46309.697587938805</v>
      </c>
      <c r="B277" s="20" t="s">
        <v>2127</v>
      </c>
      <c r="C277" s="21" t="s">
        <v>1721</v>
      </c>
      <c r="D277" s="20" t="s">
        <v>30</v>
      </c>
      <c r="E277" s="20" t="s">
        <v>435</v>
      </c>
      <c r="F277" s="20" t="s">
        <v>2128</v>
      </c>
      <c r="G277" s="22">
        <f>IF(A277="","",IF(A277&gt;=1,A277,IF(MAX($G$2:G276)=0,INT(SETTINGS!$B$4)+A277,INT(MAX($G$2:G276))+A277+IF(A277&lt;MOD(MAX($G$2:G276),1),1,0))))</f>
        <v>46309.697587938805</v>
      </c>
      <c r="H277" s="23">
        <f>IF(D277="","",IF(IFERROR(VLOOKUP(D277,LISTS!$A$2:$E$10,3,FALSE),0)=0,0,IF(IFERROR(COUNTIFS($C$2:C276,C277,$H$2:H276,1,$G$2:G276,"&gt;="&amp;(G277-15/1440)),0)&gt;0,0,1)))</f>
        <v>0</v>
      </c>
      <c r="I277" s="23" t="str">
        <f>IF(H277=1,C277&amp;"|"&amp;COUNTIFS($C$2:C277,C277,$H$2:H277,1),"")</f>
        <v/>
      </c>
      <c r="J277" s="23" t="str">
        <f>IF(D277="","",IF(A277="","Missing time",IF(D277="NO_SLOTS",IF(COUNTIF(PARTNERS!$A$2:$A$88,E277)=0,"Write the company in column E","OK"),IF(C277="","Missing phone",IF(COUNTIF(DESK!$F$2:$F$601,C277)=0,"Phone not found: copy it from your list",IF(AND(E277&lt;&gt;"",COUNTIFS(DESK!$F$2:$F$601,C277,DESK!$B$2:$B$601,E277)=0),"Company is not one of theirs","OK"))))))</f>
        <v>OK</v>
      </c>
    </row>
    <row r="278" spans="1:10" x14ac:dyDescent="0.35">
      <c r="A278" s="19">
        <v>46309.701605251539</v>
      </c>
      <c r="B278" s="20" t="s">
        <v>2127</v>
      </c>
      <c r="C278" s="21" t="s">
        <v>1064</v>
      </c>
      <c r="D278" s="20" t="s">
        <v>30</v>
      </c>
      <c r="E278" s="20" t="s">
        <v>189</v>
      </c>
      <c r="F278" s="20" t="s">
        <v>2132</v>
      </c>
      <c r="G278" s="22">
        <f>IF(A278="","",IF(A278&gt;=1,A278,IF(MAX($G$2:G277)=0,INT(SETTINGS!$B$4)+A278,INT(MAX($G$2:G277))+A278+IF(A278&lt;MOD(MAX($G$2:G277),1),1,0))))</f>
        <v>46309.701605251539</v>
      </c>
      <c r="H278" s="23">
        <f>IF(D278="","",IF(IFERROR(VLOOKUP(D278,LISTS!$A$2:$E$10,3,FALSE),0)=0,0,IF(IFERROR(COUNTIFS($C$2:C277,C278,$H$2:H277,1,$G$2:G277,"&gt;="&amp;(G278-15/1440)),0)&gt;0,0,1)))</f>
        <v>0</v>
      </c>
      <c r="I278" s="23" t="str">
        <f>IF(H278=1,C278&amp;"|"&amp;COUNTIFS($C$2:C278,C278,$H$2:H278,1),"")</f>
        <v/>
      </c>
      <c r="J278" s="23" t="str">
        <f>IF(D278="","",IF(A278="","Missing time",IF(D278="NO_SLOTS",IF(COUNTIF(PARTNERS!$A$2:$A$88,E278)=0,"Write the company in column E","OK"),IF(C278="","Missing phone",IF(COUNTIF(DESK!$F$2:$F$601,C278)=0,"Phone not found: copy it from your list",IF(AND(E278&lt;&gt;"",COUNTIFS(DESK!$F$2:$F$601,C278,DESK!$B$2:$B$601,E278)=0),"Company is not one of theirs","OK"))))))</f>
        <v>OK</v>
      </c>
    </row>
    <row r="279" spans="1:10" x14ac:dyDescent="0.35">
      <c r="A279" s="19">
        <v>46309.712238135915</v>
      </c>
      <c r="B279" s="20" t="s">
        <v>68</v>
      </c>
      <c r="C279" s="21" t="s">
        <v>1539</v>
      </c>
      <c r="D279" s="20" t="s">
        <v>16</v>
      </c>
      <c r="E279" s="20"/>
      <c r="F279" s="20"/>
      <c r="G279" s="22">
        <f>IF(A279="","",IF(A279&gt;=1,A279,IF(MAX($G$2:G278)=0,INT(SETTINGS!$B$4)+A279,INT(MAX($G$2:G278))+A279+IF(A279&lt;MOD(MAX($G$2:G278),1),1,0))))</f>
        <v>46309.712238135915</v>
      </c>
      <c r="H279" s="23">
        <f>IF(D279="","",IF(IFERROR(VLOOKUP(D279,LISTS!$A$2:$E$10,3,FALSE),0)=0,0,IF(IFERROR(COUNTIFS($C$2:C278,C279,$H$2:H278,1,$G$2:G278,"&gt;="&amp;(G279-15/1440)),0)&gt;0,0,1)))</f>
        <v>1</v>
      </c>
      <c r="I279" s="23" t="str">
        <f>IF(H279=1,C279&amp;"|"&amp;COUNTIFS($C$2:C279,C279,$H$2:H279,1),"")</f>
        <v>9000002711|3</v>
      </c>
      <c r="J279" s="23" t="str">
        <f>IF(D279="","",IF(A279="","Missing time",IF(D279="NO_SLOTS",IF(COUNTIF(PARTNERS!$A$2:$A$88,E279)=0,"Write the company in column E","OK"),IF(C279="","Missing phone",IF(COUNTIF(DESK!$F$2:$F$601,C279)=0,"Phone not found: copy it from your list",IF(AND(E279&lt;&gt;"",COUNTIFS(DESK!$F$2:$F$601,C279,DESK!$B$2:$B$601,E279)=0),"Company is not one of theirs","OK"))))))</f>
        <v>OK</v>
      </c>
    </row>
    <row r="280" spans="1:10" x14ac:dyDescent="0.35">
      <c r="A280" s="19">
        <v>46309.713070908059</v>
      </c>
      <c r="B280" s="20" t="s">
        <v>48</v>
      </c>
      <c r="C280" s="21" t="s">
        <v>1355</v>
      </c>
      <c r="D280" s="20" t="s">
        <v>16</v>
      </c>
      <c r="E280" s="20"/>
      <c r="F280" s="20"/>
      <c r="G280" s="22">
        <f>IF(A280="","",IF(A280&gt;=1,A280,IF(MAX($G$2:G279)=0,INT(SETTINGS!$B$4)+A280,INT(MAX($G$2:G279))+A280+IF(A280&lt;MOD(MAX($G$2:G279),1),1,0))))</f>
        <v>46309.713070908059</v>
      </c>
      <c r="H280" s="23">
        <f>IF(D280="","",IF(IFERROR(VLOOKUP(D280,LISTS!$A$2:$E$10,3,FALSE),0)=0,0,IF(IFERROR(COUNTIFS($C$2:C279,C280,$H$2:H279,1,$G$2:G279,"&gt;="&amp;(G280-15/1440)),0)&gt;0,0,1)))</f>
        <v>1</v>
      </c>
      <c r="I280" s="23" t="str">
        <f>IF(H280=1,C280&amp;"|"&amp;COUNTIFS($C$2:C280,C280,$H$2:H280,1),"")</f>
        <v>9000004076|3</v>
      </c>
      <c r="J280" s="23" t="str">
        <f>IF(D280="","",IF(A280="","Missing time",IF(D280="NO_SLOTS",IF(COUNTIF(PARTNERS!$A$2:$A$88,E280)=0,"Write the company in column E","OK"),IF(C280="","Missing phone",IF(COUNTIF(DESK!$F$2:$F$601,C280)=0,"Phone not found: copy it from your list",IF(AND(E280&lt;&gt;"",COUNTIFS(DESK!$F$2:$F$601,C280,DESK!$B$2:$B$601,E280)=0),"Company is not one of theirs","OK"))))))</f>
        <v>OK</v>
      </c>
    </row>
    <row r="281" spans="1:10" x14ac:dyDescent="0.35">
      <c r="A281" s="19">
        <v>46309.71586280824</v>
      </c>
      <c r="B281" s="20" t="s">
        <v>68</v>
      </c>
      <c r="C281" s="21" t="s">
        <v>1690</v>
      </c>
      <c r="D281" s="20" t="s">
        <v>22</v>
      </c>
      <c r="E281" s="20"/>
      <c r="F281" s="20" t="s">
        <v>2129</v>
      </c>
      <c r="G281" s="22">
        <f>IF(A281="","",IF(A281&gt;=1,A281,IF(MAX($G$2:G280)=0,INT(SETTINGS!$B$4)+A281,INT(MAX($G$2:G280))+A281+IF(A281&lt;MOD(MAX($G$2:G280),1),1,0))))</f>
        <v>46309.71586280824</v>
      </c>
      <c r="H281" s="23">
        <f>IF(D281="","",IF(IFERROR(VLOOKUP(D281,LISTS!$A$2:$E$10,3,FALSE),0)=0,0,IF(IFERROR(COUNTIFS($C$2:C280,C281,$H$2:H280,1,$G$2:G280,"&gt;="&amp;(G281-15/1440)),0)&gt;0,0,1)))</f>
        <v>1</v>
      </c>
      <c r="I281" s="23" t="str">
        <f>IF(H281=1,C281&amp;"|"&amp;COUNTIFS($C$2:C281,C281,$H$2:H281,1),"")</f>
        <v>9000004089|3</v>
      </c>
      <c r="J281" s="23" t="str">
        <f>IF(D281="","",IF(A281="","Missing time",IF(D281="NO_SLOTS",IF(COUNTIF(PARTNERS!$A$2:$A$88,E281)=0,"Write the company in column E","OK"),IF(C281="","Missing phone",IF(COUNTIF(DESK!$F$2:$F$601,C281)=0,"Phone not found: copy it from your list",IF(AND(E281&lt;&gt;"",COUNTIFS(DESK!$F$2:$F$601,C281,DESK!$B$2:$B$601,E281)=0),"Company is not one of theirs","OK"))))))</f>
        <v>OK</v>
      </c>
    </row>
    <row r="282" spans="1:10" x14ac:dyDescent="0.35">
      <c r="A282" s="19">
        <v>46309.717381614013</v>
      </c>
      <c r="B282" s="20" t="s">
        <v>48</v>
      </c>
      <c r="C282" s="21" t="s">
        <v>1364</v>
      </c>
      <c r="D282" s="20" t="s">
        <v>16</v>
      </c>
      <c r="E282" s="20"/>
      <c r="F282" s="20"/>
      <c r="G282" s="22">
        <f>IF(A282="","",IF(A282&gt;=1,A282,IF(MAX($G$2:G281)=0,INT(SETTINGS!$B$4)+A282,INT(MAX($G$2:G281))+A282+IF(A282&lt;MOD(MAX($G$2:G281),1),1,0))))</f>
        <v>46309.717381614013</v>
      </c>
      <c r="H282" s="23">
        <f>IF(D282="","",IF(IFERROR(VLOOKUP(D282,LISTS!$A$2:$E$10,3,FALSE),0)=0,0,IF(IFERROR(COUNTIFS($C$2:C281,C282,$H$2:H281,1,$G$2:G281,"&gt;="&amp;(G282-15/1440)),0)&gt;0,0,1)))</f>
        <v>1</v>
      </c>
      <c r="I282" s="23" t="str">
        <f>IF(H282=1,C282&amp;"|"&amp;COUNTIFS($C$2:C282,C282,$H$2:H282,1),"")</f>
        <v>9000004310|3</v>
      </c>
      <c r="J282" s="23" t="str">
        <f>IF(D282="","",IF(A282="","Missing time",IF(D282="NO_SLOTS",IF(COUNTIF(PARTNERS!$A$2:$A$88,E282)=0,"Write the company in column E","OK"),IF(C282="","Missing phone",IF(COUNTIF(DESK!$F$2:$F$601,C282)=0,"Phone not found: copy it from your list",IF(AND(E282&lt;&gt;"",COUNTIFS(DESK!$F$2:$F$601,C282,DESK!$B$2:$B$601,E282)=0),"Company is not one of theirs","OK"))))))</f>
        <v>OK</v>
      </c>
    </row>
    <row r="283" spans="1:10" x14ac:dyDescent="0.35">
      <c r="A283" s="19">
        <v>46309.719384324351</v>
      </c>
      <c r="B283" s="20" t="s">
        <v>68</v>
      </c>
      <c r="C283" s="21" t="s">
        <v>916</v>
      </c>
      <c r="D283" s="20" t="s">
        <v>20</v>
      </c>
      <c r="E283" s="20"/>
      <c r="F283" s="20"/>
      <c r="G283" s="22">
        <f>IF(A283="","",IF(A283&gt;=1,A283,IF(MAX($G$2:G282)=0,INT(SETTINGS!$B$4)+A283,INT(MAX($G$2:G282))+A283+IF(A283&lt;MOD(MAX($G$2:G282),1),1,0))))</f>
        <v>46309.719384324351</v>
      </c>
      <c r="H283" s="23">
        <f>IF(D283="","",IF(IFERROR(VLOOKUP(D283,LISTS!$A$2:$E$10,3,FALSE),0)=0,0,IF(IFERROR(COUNTIFS($C$2:C282,C283,$H$2:H282,1,$G$2:G282,"&gt;="&amp;(G283-15/1440)),0)&gt;0,0,1)))</f>
        <v>1</v>
      </c>
      <c r="I283" s="23" t="str">
        <f>IF(H283=1,C283&amp;"|"&amp;COUNTIFS($C$2:C283,C283,$H$2:H283,1),"")</f>
        <v>9000001879|2</v>
      </c>
      <c r="J283" s="23" t="str">
        <f>IF(D283="","",IF(A283="","Missing time",IF(D283="NO_SLOTS",IF(COUNTIF(PARTNERS!$A$2:$A$88,E283)=0,"Write the company in column E","OK"),IF(C283="","Missing phone",IF(COUNTIF(DESK!$F$2:$F$601,C283)=0,"Phone not found: copy it from your list",IF(AND(E283&lt;&gt;"",COUNTIFS(DESK!$F$2:$F$601,C283,DESK!$B$2:$B$601,E283)=0),"Company is not one of theirs","OK"))))))</f>
        <v>OK</v>
      </c>
    </row>
    <row r="284" spans="1:10" x14ac:dyDescent="0.35">
      <c r="A284" s="19">
        <v>46309.721806097397</v>
      </c>
      <c r="B284" s="20" t="s">
        <v>48</v>
      </c>
      <c r="C284" s="21" t="s">
        <v>1617</v>
      </c>
      <c r="D284" s="20" t="s">
        <v>16</v>
      </c>
      <c r="E284" s="20"/>
      <c r="F284" s="20"/>
      <c r="G284" s="22">
        <f>IF(A284="","",IF(A284&gt;=1,A284,IF(MAX($G$2:G283)=0,INT(SETTINGS!$B$4)+A284,INT(MAX($G$2:G283))+A284+IF(A284&lt;MOD(MAX($G$2:G283),1),1,0))))</f>
        <v>46309.721806097397</v>
      </c>
      <c r="H284" s="23">
        <f>IF(D284="","",IF(IFERROR(VLOOKUP(D284,LISTS!$A$2:$E$10,3,FALSE),0)=0,0,IF(IFERROR(COUNTIFS($C$2:C283,C284,$H$2:H283,1,$G$2:G283,"&gt;="&amp;(G284-15/1440)),0)&gt;0,0,1)))</f>
        <v>1</v>
      </c>
      <c r="I284" s="23" t="str">
        <f>IF(H284=1,C284&amp;"|"&amp;COUNTIFS($C$2:C284,C284,$H$2:H284,1),"")</f>
        <v>9000005038|3</v>
      </c>
      <c r="J284" s="23" t="str">
        <f>IF(D284="","",IF(A284="","Missing time",IF(D284="NO_SLOTS",IF(COUNTIF(PARTNERS!$A$2:$A$88,E284)=0,"Write the company in column E","OK"),IF(C284="","Missing phone",IF(COUNTIF(DESK!$F$2:$F$601,C284)=0,"Phone not found: copy it from your list",IF(AND(E284&lt;&gt;"",COUNTIFS(DESK!$F$2:$F$601,C284,DESK!$B$2:$B$601,E284)=0),"Company is not one of theirs","OK"))))))</f>
        <v>OK</v>
      </c>
    </row>
    <row r="285" spans="1:10" x14ac:dyDescent="0.35">
      <c r="A285" s="19">
        <v>46309.722246815138</v>
      </c>
      <c r="B285" s="20" t="s">
        <v>68</v>
      </c>
      <c r="C285" s="21" t="s">
        <v>924</v>
      </c>
      <c r="D285" s="20" t="s">
        <v>20</v>
      </c>
      <c r="E285" s="20"/>
      <c r="F285" s="20"/>
      <c r="G285" s="22">
        <f>IF(A285="","",IF(A285&gt;=1,A285,IF(MAX($G$2:G284)=0,INT(SETTINGS!$B$4)+A285,INT(MAX($G$2:G284))+A285+IF(A285&lt;MOD(MAX($G$2:G284),1),1,0))))</f>
        <v>46309.722246815138</v>
      </c>
      <c r="H285" s="23">
        <f>IF(D285="","",IF(IFERROR(VLOOKUP(D285,LISTS!$A$2:$E$10,3,FALSE),0)=0,0,IF(IFERROR(COUNTIFS($C$2:C284,C285,$H$2:H284,1,$G$2:G284,"&gt;="&amp;(G285-15/1440)),0)&gt;0,0,1)))</f>
        <v>1</v>
      </c>
      <c r="I285" s="23" t="str">
        <f>IF(H285=1,C285&amp;"|"&amp;COUNTIFS($C$2:C285,C285,$H$2:H285,1),"")</f>
        <v>9000002035|2</v>
      </c>
      <c r="J285" s="23" t="str">
        <f>IF(D285="","",IF(A285="","Missing time",IF(D285="NO_SLOTS",IF(COUNTIF(PARTNERS!$A$2:$A$88,E285)=0,"Write the company in column E","OK"),IF(C285="","Missing phone",IF(COUNTIF(DESK!$F$2:$F$601,C285)=0,"Phone not found: copy it from your list",IF(AND(E285&lt;&gt;"",COUNTIFS(DESK!$F$2:$F$601,C285,DESK!$B$2:$B$601,E285)=0),"Company is not one of theirs","OK"))))))</f>
        <v>OK</v>
      </c>
    </row>
    <row r="286" spans="1:10" x14ac:dyDescent="0.35">
      <c r="A286" s="19">
        <v>46309.724624709124</v>
      </c>
      <c r="B286" s="20" t="s">
        <v>68</v>
      </c>
      <c r="C286" s="21" t="s">
        <v>939</v>
      </c>
      <c r="D286" s="20" t="s">
        <v>18</v>
      </c>
      <c r="E286" s="20"/>
      <c r="F286" s="20" t="s">
        <v>2130</v>
      </c>
      <c r="G286" s="22">
        <f>IF(A286="","",IF(A286&gt;=1,A286,IF(MAX($G$2:G285)=0,INT(SETTINGS!$B$4)+A286,INT(MAX($G$2:G285))+A286+IF(A286&lt;MOD(MAX($G$2:G285),1),1,0))))</f>
        <v>46309.724624709124</v>
      </c>
      <c r="H286" s="23">
        <f>IF(D286="","",IF(IFERROR(VLOOKUP(D286,LISTS!$A$2:$E$10,3,FALSE),0)=0,0,IF(IFERROR(COUNTIFS($C$2:C285,C286,$H$2:H285,1,$G$2:G285,"&gt;="&amp;(G286-15/1440)),0)&gt;0,0,1)))</f>
        <v>1</v>
      </c>
      <c r="I286" s="23" t="str">
        <f>IF(H286=1,C286&amp;"|"&amp;COUNTIFS($C$2:C286,C286,$H$2:H286,1),"")</f>
        <v>9000001489|2</v>
      </c>
      <c r="J286" s="23" t="str">
        <f>IF(D286="","",IF(A286="","Missing time",IF(D286="NO_SLOTS",IF(COUNTIF(PARTNERS!$A$2:$A$88,E286)=0,"Write the company in column E","OK"),IF(C286="","Missing phone",IF(COUNTIF(DESK!$F$2:$F$601,C286)=0,"Phone not found: copy it from your list",IF(AND(E286&lt;&gt;"",COUNTIFS(DESK!$F$2:$F$601,C286,DESK!$B$2:$B$601,E286)=0),"Company is not one of theirs","OK"))))))</f>
        <v>OK</v>
      </c>
    </row>
    <row r="287" spans="1:10" x14ac:dyDescent="0.35">
      <c r="A287" s="19">
        <v>46309.724860993148</v>
      </c>
      <c r="B287" s="20" t="s">
        <v>48</v>
      </c>
      <c r="C287" s="21" t="s">
        <v>831</v>
      </c>
      <c r="D287" s="20" t="s">
        <v>16</v>
      </c>
      <c r="E287" s="20"/>
      <c r="F287" s="20"/>
      <c r="G287" s="22">
        <f>IF(A287="","",IF(A287&gt;=1,A287,IF(MAX($G$2:G286)=0,INT(SETTINGS!$B$4)+A287,INT(MAX($G$2:G286))+A287+IF(A287&lt;MOD(MAX($G$2:G286),1),1,0))))</f>
        <v>46309.724860993148</v>
      </c>
      <c r="H287" s="23">
        <f>IF(D287="","",IF(IFERROR(VLOOKUP(D287,LISTS!$A$2:$E$10,3,FALSE),0)=0,0,IF(IFERROR(COUNTIFS($C$2:C286,C287,$H$2:H286,1,$G$2:G286,"&gt;="&amp;(G287-15/1440)),0)&gt;0,0,1)))</f>
        <v>1</v>
      </c>
      <c r="I287" s="23" t="str">
        <f>IF(H287=1,C287&amp;"|"&amp;COUNTIFS($C$2:C287,C287,$H$2:H287,1),"")</f>
        <v>9000002308|2</v>
      </c>
      <c r="J287" s="23" t="str">
        <f>IF(D287="","",IF(A287="","Missing time",IF(D287="NO_SLOTS",IF(COUNTIF(PARTNERS!$A$2:$A$88,E287)=0,"Write the company in column E","OK"),IF(C287="","Missing phone",IF(COUNTIF(DESK!$F$2:$F$601,C287)=0,"Phone not found: copy it from your list",IF(AND(E287&lt;&gt;"",COUNTIFS(DESK!$F$2:$F$601,C287,DESK!$B$2:$B$601,E287)=0),"Company is not one of theirs","OK"))))))</f>
        <v>OK</v>
      </c>
    </row>
    <row r="288" spans="1:10" x14ac:dyDescent="0.35">
      <c r="A288" s="19">
        <v>46309.727435413603</v>
      </c>
      <c r="B288" s="20" t="s">
        <v>48</v>
      </c>
      <c r="C288" s="21" t="s">
        <v>1270</v>
      </c>
      <c r="D288" s="20" t="s">
        <v>20</v>
      </c>
      <c r="E288" s="20"/>
      <c r="F288" s="20"/>
      <c r="G288" s="22">
        <f>IF(A288="","",IF(A288&gt;=1,A288,IF(MAX($G$2:G287)=0,INT(SETTINGS!$B$4)+A288,INT(MAX($G$2:G287))+A288+IF(A288&lt;MOD(MAX($G$2:G287),1),1,0))))</f>
        <v>46309.727435413603</v>
      </c>
      <c r="H288" s="23">
        <f>IF(D288="","",IF(IFERROR(VLOOKUP(D288,LISTS!$A$2:$E$10,3,FALSE),0)=0,0,IF(IFERROR(COUNTIFS($C$2:C287,C288,$H$2:H287,1,$G$2:G287,"&gt;="&amp;(G288-15/1440)),0)&gt;0,0,1)))</f>
        <v>1</v>
      </c>
      <c r="I288" s="23" t="str">
        <f>IF(H288=1,C288&amp;"|"&amp;COUNTIFS($C$2:C288,C288,$H$2:H288,1),"")</f>
        <v>9000000176|2</v>
      </c>
      <c r="J288" s="23" t="str">
        <f>IF(D288="","",IF(A288="","Missing time",IF(D288="NO_SLOTS",IF(COUNTIF(PARTNERS!$A$2:$A$88,E288)=0,"Write the company in column E","OK"),IF(C288="","Missing phone",IF(COUNTIF(DESK!$F$2:$F$601,C288)=0,"Phone not found: copy it from your list",IF(AND(E288&lt;&gt;"",COUNTIFS(DESK!$F$2:$F$601,C288,DESK!$B$2:$B$601,E288)=0),"Company is not one of theirs","OK"))))))</f>
        <v>OK</v>
      </c>
    </row>
    <row r="289" spans="1:10" x14ac:dyDescent="0.35">
      <c r="A289" s="19">
        <v>46309.728123114131</v>
      </c>
      <c r="B289" s="20" t="s">
        <v>68</v>
      </c>
      <c r="C289" s="21" t="s">
        <v>997</v>
      </c>
      <c r="D289" s="20" t="s">
        <v>18</v>
      </c>
      <c r="E289" s="20"/>
      <c r="F289" s="20" t="s">
        <v>2130</v>
      </c>
      <c r="G289" s="22">
        <f>IF(A289="","",IF(A289&gt;=1,A289,IF(MAX($G$2:G288)=0,INT(SETTINGS!$B$4)+A289,INT(MAX($G$2:G288))+A289+IF(A289&lt;MOD(MAX($G$2:G288),1),1,0))))</f>
        <v>46309.728123114131</v>
      </c>
      <c r="H289" s="23">
        <f>IF(D289="","",IF(IFERROR(VLOOKUP(D289,LISTS!$A$2:$E$10,3,FALSE),0)=0,0,IF(IFERROR(COUNTIFS($C$2:C288,C289,$H$2:H288,1,$G$2:G288,"&gt;="&amp;(G289-15/1440)),0)&gt;0,0,1)))</f>
        <v>1</v>
      </c>
      <c r="I289" s="23" t="str">
        <f>IF(H289=1,C289&amp;"|"&amp;COUNTIFS($C$2:C289,C289,$H$2:H289,1),"")</f>
        <v>9000004661|2</v>
      </c>
      <c r="J289" s="23" t="str">
        <f>IF(D289="","",IF(A289="","Missing time",IF(D289="NO_SLOTS",IF(COUNTIF(PARTNERS!$A$2:$A$88,E289)=0,"Write the company in column E","OK"),IF(C289="","Missing phone",IF(COUNTIF(DESK!$F$2:$F$601,C289)=0,"Phone not found: copy it from your list",IF(AND(E289&lt;&gt;"",COUNTIFS(DESK!$F$2:$F$601,C289,DESK!$B$2:$B$601,E289)=0),"Company is not one of theirs","OK"))))))</f>
        <v>OK</v>
      </c>
    </row>
    <row r="290" spans="1:10" x14ac:dyDescent="0.35">
      <c r="A290" s="19">
        <v>46309.729016298457</v>
      </c>
      <c r="B290" s="20" t="s">
        <v>2127</v>
      </c>
      <c r="C290" s="21" t="s">
        <v>930</v>
      </c>
      <c r="D290" s="20" t="s">
        <v>30</v>
      </c>
      <c r="E290" s="20" t="s">
        <v>189</v>
      </c>
      <c r="F290" s="20" t="s">
        <v>2132</v>
      </c>
      <c r="G290" s="22">
        <f>IF(A290="","",IF(A290&gt;=1,A290,IF(MAX($G$2:G289)=0,INT(SETTINGS!$B$4)+A290,INT(MAX($G$2:G289))+A290+IF(A290&lt;MOD(MAX($G$2:G289),1),1,0))))</f>
        <v>46309.729016298457</v>
      </c>
      <c r="H290" s="23">
        <f>IF(D290="","",IF(IFERROR(VLOOKUP(D290,LISTS!$A$2:$E$10,3,FALSE),0)=0,0,IF(IFERROR(COUNTIFS($C$2:C289,C290,$H$2:H289,1,$G$2:G289,"&gt;="&amp;(G290-15/1440)),0)&gt;0,0,1)))</f>
        <v>0</v>
      </c>
      <c r="I290" s="23" t="str">
        <f>IF(H290=1,C290&amp;"|"&amp;COUNTIFS($C$2:C290,C290,$H$2:H290,1),"")</f>
        <v/>
      </c>
      <c r="J290" s="23" t="str">
        <f>IF(D290="","",IF(A290="","Missing time",IF(D290="NO_SLOTS",IF(COUNTIF(PARTNERS!$A$2:$A$88,E290)=0,"Write the company in column E","OK"),IF(C290="","Missing phone",IF(COUNTIF(DESK!$F$2:$F$601,C290)=0,"Phone not found: copy it from your list",IF(AND(E290&lt;&gt;"",COUNTIFS(DESK!$F$2:$F$601,C290,DESK!$B$2:$B$601,E290)=0),"Company is not one of theirs","OK"))))))</f>
        <v>OK</v>
      </c>
    </row>
    <row r="291" spans="1:10" x14ac:dyDescent="0.35">
      <c r="A291" s="19">
        <v>46309.731465387733</v>
      </c>
      <c r="B291" s="20" t="s">
        <v>68</v>
      </c>
      <c r="C291" s="21" t="s">
        <v>1052</v>
      </c>
      <c r="D291" s="20" t="s">
        <v>16</v>
      </c>
      <c r="E291" s="20"/>
      <c r="F291" s="20"/>
      <c r="G291" s="22">
        <f>IF(A291="","",IF(A291&gt;=1,A291,IF(MAX($G$2:G290)=0,INT(SETTINGS!$B$4)+A291,INT(MAX($G$2:G290))+A291+IF(A291&lt;MOD(MAX($G$2:G290),1),1,0))))</f>
        <v>46309.731465387733</v>
      </c>
      <c r="H291" s="23">
        <f>IF(D291="","",IF(IFERROR(VLOOKUP(D291,LISTS!$A$2:$E$10,3,FALSE),0)=0,0,IF(IFERROR(COUNTIFS($C$2:C290,C291,$H$2:H290,1,$G$2:G290,"&gt;="&amp;(G291-15/1440)),0)&gt;0,0,1)))</f>
        <v>1</v>
      </c>
      <c r="I291" s="23" t="str">
        <f>IF(H291=1,C291&amp;"|"&amp;COUNTIFS($C$2:C291,C291,$H$2:H291,1),"")</f>
        <v>9000001359|2</v>
      </c>
      <c r="J291" s="23" t="str">
        <f>IF(D291="","",IF(A291="","Missing time",IF(D291="NO_SLOTS",IF(COUNTIF(PARTNERS!$A$2:$A$88,E291)=0,"Write the company in column E","OK"),IF(C291="","Missing phone",IF(COUNTIF(DESK!$F$2:$F$601,C291)=0,"Phone not found: copy it from your list",IF(AND(E291&lt;&gt;"",COUNTIFS(DESK!$F$2:$F$601,C291,DESK!$B$2:$B$601,E291)=0),"Company is not one of theirs","OK"))))))</f>
        <v>OK</v>
      </c>
    </row>
    <row r="292" spans="1:10" x14ac:dyDescent="0.35">
      <c r="A292" s="19">
        <v>46309.733211218263</v>
      </c>
      <c r="B292" s="20" t="s">
        <v>48</v>
      </c>
      <c r="C292" s="21" t="s">
        <v>1868</v>
      </c>
      <c r="D292" s="20" t="s">
        <v>18</v>
      </c>
      <c r="E292" s="20"/>
      <c r="F292" s="20" t="s">
        <v>2130</v>
      </c>
      <c r="G292" s="22">
        <f>IF(A292="","",IF(A292&gt;=1,A292,IF(MAX($G$2:G291)=0,INT(SETTINGS!$B$4)+A292,INT(MAX($G$2:G291))+A292+IF(A292&lt;MOD(MAX($G$2:G291),1),1,0))))</f>
        <v>46309.733211218263</v>
      </c>
      <c r="H292" s="23">
        <f>IF(D292="","",IF(IFERROR(VLOOKUP(D292,LISTS!$A$2:$E$10,3,FALSE),0)=0,0,IF(IFERROR(COUNTIFS($C$2:C291,C292,$H$2:H291,1,$G$2:G291,"&gt;="&amp;(G292-15/1440)),0)&gt;0,0,1)))</f>
        <v>1</v>
      </c>
      <c r="I292" s="23" t="str">
        <f>IF(H292=1,C292&amp;"|"&amp;COUNTIFS($C$2:C292,C292,$H$2:H292,1),"")</f>
        <v>9000002724|3</v>
      </c>
      <c r="J292" s="23" t="str">
        <f>IF(D292="","",IF(A292="","Missing time",IF(D292="NO_SLOTS",IF(COUNTIF(PARTNERS!$A$2:$A$88,E292)=0,"Write the company in column E","OK"),IF(C292="","Missing phone",IF(COUNTIF(DESK!$F$2:$F$601,C292)=0,"Phone not found: copy it from your list",IF(AND(E292&lt;&gt;"",COUNTIFS(DESK!$F$2:$F$601,C292,DESK!$B$2:$B$601,E292)=0),"Company is not one of theirs","OK"))))))</f>
        <v>OK</v>
      </c>
    </row>
    <row r="293" spans="1:10" x14ac:dyDescent="0.35">
      <c r="A293" s="19">
        <v>46309.73362907819</v>
      </c>
      <c r="B293" s="20" t="s">
        <v>68</v>
      </c>
      <c r="C293" s="21" t="s">
        <v>1090</v>
      </c>
      <c r="D293" s="20" t="s">
        <v>18</v>
      </c>
      <c r="E293" s="20"/>
      <c r="F293" s="20" t="s">
        <v>2130</v>
      </c>
      <c r="G293" s="22">
        <f>IF(A293="","",IF(A293&gt;=1,A293,IF(MAX($G$2:G292)=0,INT(SETTINGS!$B$4)+A293,INT(MAX($G$2:G292))+A293+IF(A293&lt;MOD(MAX($G$2:G292),1),1,0))))</f>
        <v>46309.73362907819</v>
      </c>
      <c r="H293" s="23">
        <f>IF(D293="","",IF(IFERROR(VLOOKUP(D293,LISTS!$A$2:$E$10,3,FALSE),0)=0,0,IF(IFERROR(COUNTIFS($C$2:C292,C293,$H$2:H292,1,$G$2:G292,"&gt;="&amp;(G293-15/1440)),0)&gt;0,0,1)))</f>
        <v>1</v>
      </c>
      <c r="I293" s="23" t="str">
        <f>IF(H293=1,C293&amp;"|"&amp;COUNTIFS($C$2:C293,C293,$H$2:H293,1),"")</f>
        <v>9000005181|2</v>
      </c>
      <c r="J293" s="23" t="str">
        <f>IF(D293="","",IF(A293="","Missing time",IF(D293="NO_SLOTS",IF(COUNTIF(PARTNERS!$A$2:$A$88,E293)=0,"Write the company in column E","OK"),IF(C293="","Missing phone",IF(COUNTIF(DESK!$F$2:$F$601,C293)=0,"Phone not found: copy it from your list",IF(AND(E293&lt;&gt;"",COUNTIFS(DESK!$F$2:$F$601,C293,DESK!$B$2:$B$601,E293)=0),"Company is not one of theirs","OK"))))))</f>
        <v>OK</v>
      </c>
    </row>
    <row r="294" spans="1:10" x14ac:dyDescent="0.35">
      <c r="A294" s="19">
        <v>46309.735671540417</v>
      </c>
      <c r="B294" s="20" t="s">
        <v>48</v>
      </c>
      <c r="C294" s="21" t="s">
        <v>1199</v>
      </c>
      <c r="D294" s="20" t="s">
        <v>22</v>
      </c>
      <c r="E294" s="20"/>
      <c r="F294" s="20" t="s">
        <v>2129</v>
      </c>
      <c r="G294" s="22">
        <f>IF(A294="","",IF(A294&gt;=1,A294,IF(MAX($G$2:G293)=0,INT(SETTINGS!$B$4)+A294,INT(MAX($G$2:G293))+A294+IF(A294&lt;MOD(MAX($G$2:G293),1),1,0))))</f>
        <v>46309.735671540417</v>
      </c>
      <c r="H294" s="23">
        <f>IF(D294="","",IF(IFERROR(VLOOKUP(D294,LISTS!$A$2:$E$10,3,FALSE),0)=0,0,IF(IFERROR(COUNTIFS($C$2:C293,C294,$H$2:H293,1,$G$2:G293,"&gt;="&amp;(G294-15/1440)),0)&gt;0,0,1)))</f>
        <v>1</v>
      </c>
      <c r="I294" s="23" t="str">
        <f>IF(H294=1,C294&amp;"|"&amp;COUNTIFS($C$2:C294,C294,$H$2:H294,1),"")</f>
        <v>9000005532|2</v>
      </c>
      <c r="J294" s="23" t="str">
        <f>IF(D294="","",IF(A294="","Missing time",IF(D294="NO_SLOTS",IF(COUNTIF(PARTNERS!$A$2:$A$88,E294)=0,"Write the company in column E","OK"),IF(C294="","Missing phone",IF(COUNTIF(DESK!$F$2:$F$601,C294)=0,"Phone not found: copy it from your list",IF(AND(E294&lt;&gt;"",COUNTIFS(DESK!$F$2:$F$601,C294,DESK!$B$2:$B$601,E294)=0),"Company is not one of theirs","OK"))))))</f>
        <v>OK</v>
      </c>
    </row>
    <row r="295" spans="1:10" x14ac:dyDescent="0.35">
      <c r="A295" s="19">
        <v>46309.737605139213</v>
      </c>
      <c r="B295" s="20" t="s">
        <v>68</v>
      </c>
      <c r="C295" s="21" t="s">
        <v>1148</v>
      </c>
      <c r="D295" s="20" t="s">
        <v>20</v>
      </c>
      <c r="E295" s="20"/>
      <c r="F295" s="20"/>
      <c r="G295" s="22">
        <f>IF(A295="","",IF(A295&gt;=1,A295,IF(MAX($G$2:G294)=0,INT(SETTINGS!$B$4)+A295,INT(MAX($G$2:G294))+A295+IF(A295&lt;MOD(MAX($G$2:G294),1),1,0))))</f>
        <v>46309.737605139213</v>
      </c>
      <c r="H295" s="23">
        <f>IF(D295="","",IF(IFERROR(VLOOKUP(D295,LISTS!$A$2:$E$10,3,FALSE),0)=0,0,IF(IFERROR(COUNTIFS($C$2:C294,C295,$H$2:H294,1,$G$2:G294,"&gt;="&amp;(G295-15/1440)),0)&gt;0,0,1)))</f>
        <v>1</v>
      </c>
      <c r="I295" s="23" t="str">
        <f>IF(H295=1,C295&amp;"|"&amp;COUNTIFS($C$2:C295,C295,$H$2:H295,1),"")</f>
        <v>9000002893|2</v>
      </c>
      <c r="J295" s="23" t="str">
        <f>IF(D295="","",IF(A295="","Missing time",IF(D295="NO_SLOTS",IF(COUNTIF(PARTNERS!$A$2:$A$88,E295)=0,"Write the company in column E","OK"),IF(C295="","Missing phone",IF(COUNTIF(DESK!$F$2:$F$601,C295)=0,"Phone not found: copy it from your list",IF(AND(E295&lt;&gt;"",COUNTIFS(DESK!$F$2:$F$601,C295,DESK!$B$2:$B$601,E295)=0),"Company is not one of theirs","OK"))))))</f>
        <v>OK</v>
      </c>
    </row>
    <row r="296" spans="1:10" x14ac:dyDescent="0.35">
      <c r="A296" s="19">
        <v>46309.739476690047</v>
      </c>
      <c r="B296" s="20" t="s">
        <v>48</v>
      </c>
      <c r="C296" s="21" t="s">
        <v>1429</v>
      </c>
      <c r="D296" s="20" t="s">
        <v>20</v>
      </c>
      <c r="E296" s="20"/>
      <c r="F296" s="20"/>
      <c r="G296" s="22">
        <f>IF(A296="","",IF(A296&gt;=1,A296,IF(MAX($G$2:G295)=0,INT(SETTINGS!$B$4)+A296,INT(MAX($G$2:G295))+A296+IF(A296&lt;MOD(MAX($G$2:G295),1),1,0))))</f>
        <v>46309.739476690047</v>
      </c>
      <c r="H296" s="23">
        <f>IF(D296="","",IF(IFERROR(VLOOKUP(D296,LISTS!$A$2:$E$10,3,FALSE),0)=0,0,IF(IFERROR(COUNTIFS($C$2:C295,C296,$H$2:H295,1,$G$2:G295,"&gt;="&amp;(G296-15/1440)),0)&gt;0,0,1)))</f>
        <v>1</v>
      </c>
      <c r="I296" s="23" t="str">
        <f>IF(H296=1,C296&amp;"|"&amp;COUNTIFS($C$2:C296,C296,$H$2:H296,1),"")</f>
        <v>9000000852|2</v>
      </c>
      <c r="J296" s="23" t="str">
        <f>IF(D296="","",IF(A296="","Missing time",IF(D296="NO_SLOTS",IF(COUNTIF(PARTNERS!$A$2:$A$88,E296)=0,"Write the company in column E","OK"),IF(C296="","Missing phone",IF(COUNTIF(DESK!$F$2:$F$601,C296)=0,"Phone not found: copy it from your list",IF(AND(E296&lt;&gt;"",COUNTIFS(DESK!$F$2:$F$601,C296,DESK!$B$2:$B$601,E296)=0),"Company is not one of theirs","OK"))))))</f>
        <v>OK</v>
      </c>
    </row>
    <row r="297" spans="1:10" x14ac:dyDescent="0.35">
      <c r="A297" s="19">
        <v>46309.741703402688</v>
      </c>
      <c r="B297" s="20" t="s">
        <v>68</v>
      </c>
      <c r="C297" s="21" t="s">
        <v>1240</v>
      </c>
      <c r="D297" s="20" t="s">
        <v>22</v>
      </c>
      <c r="E297" s="20"/>
      <c r="F297" s="20" t="s">
        <v>2129</v>
      </c>
      <c r="G297" s="22">
        <f>IF(A297="","",IF(A297&gt;=1,A297,IF(MAX($G$2:G296)=0,INT(SETTINGS!$B$4)+A297,INT(MAX($G$2:G296))+A297+IF(A297&lt;MOD(MAX($G$2:G296),1),1,0))))</f>
        <v>46309.741703402688</v>
      </c>
      <c r="H297" s="23">
        <f>IF(D297="","",IF(IFERROR(VLOOKUP(D297,LISTS!$A$2:$E$10,3,FALSE),0)=0,0,IF(IFERROR(COUNTIFS($C$2:C296,C297,$H$2:H296,1,$G$2:G296,"&gt;="&amp;(G297-15/1440)),0)&gt;0,0,1)))</f>
        <v>1</v>
      </c>
      <c r="I297" s="23" t="str">
        <f>IF(H297=1,C297&amp;"|"&amp;COUNTIFS($C$2:C297,C297,$H$2:H297,1),"")</f>
        <v>9000004505|2</v>
      </c>
      <c r="J297" s="23" t="str">
        <f>IF(D297="","",IF(A297="","Missing time",IF(D297="NO_SLOTS",IF(COUNTIF(PARTNERS!$A$2:$A$88,E297)=0,"Write the company in column E","OK"),IF(C297="","Missing phone",IF(COUNTIF(DESK!$F$2:$F$601,C297)=0,"Phone not found: copy it from your list",IF(AND(E297&lt;&gt;"",COUNTIFS(DESK!$F$2:$F$601,C297,DESK!$B$2:$B$601,E297)=0),"Company is not one of theirs","OK"))))))</f>
        <v>OK</v>
      </c>
    </row>
    <row r="298" spans="1:10" x14ac:dyDescent="0.35">
      <c r="A298" s="19">
        <v>46309.742320502068</v>
      </c>
      <c r="B298" s="20" t="s">
        <v>48</v>
      </c>
      <c r="C298" s="21" t="s">
        <v>1229</v>
      </c>
      <c r="D298" s="20" t="s">
        <v>20</v>
      </c>
      <c r="E298" s="20"/>
      <c r="F298" s="20"/>
      <c r="G298" s="22">
        <f>IF(A298="","",IF(A298&gt;=1,A298,IF(MAX($G$2:G297)=0,INT(SETTINGS!$B$4)+A298,INT(MAX($G$2:G297))+A298+IF(A298&lt;MOD(MAX($G$2:G297),1),1,0))))</f>
        <v>46309.742320502068</v>
      </c>
      <c r="H298" s="23">
        <f>IF(D298="","",IF(IFERROR(VLOOKUP(D298,LISTS!$A$2:$E$10,3,FALSE),0)=0,0,IF(IFERROR(COUNTIFS($C$2:C297,C298,$H$2:H297,1,$G$2:G297,"&gt;="&amp;(G298-15/1440)),0)&gt;0,0,1)))</f>
        <v>1</v>
      </c>
      <c r="I298" s="23" t="str">
        <f>IF(H298=1,C298&amp;"|"&amp;COUNTIFS($C$2:C298,C298,$H$2:H298,1),"")</f>
        <v>9000003348|2</v>
      </c>
      <c r="J298" s="23" t="str">
        <f>IF(D298="","",IF(A298="","Missing time",IF(D298="NO_SLOTS",IF(COUNTIF(PARTNERS!$A$2:$A$88,E298)=0,"Write the company in column E","OK"),IF(C298="","Missing phone",IF(COUNTIF(DESK!$F$2:$F$601,C298)=0,"Phone not found: copy it from your list",IF(AND(E298&lt;&gt;"",COUNTIFS(DESK!$F$2:$F$601,C298,DESK!$B$2:$B$601,E298)=0),"Company is not one of theirs","OK"))))))</f>
        <v>OK</v>
      </c>
    </row>
    <row r="299" spans="1:10" x14ac:dyDescent="0.35">
      <c r="A299" s="19">
        <v>46309.744661941804</v>
      </c>
      <c r="B299" s="20" t="s">
        <v>48</v>
      </c>
      <c r="C299" s="21" t="s">
        <v>1488</v>
      </c>
      <c r="D299" s="20" t="s">
        <v>16</v>
      </c>
      <c r="E299" s="20"/>
      <c r="F299" s="20"/>
      <c r="G299" s="22">
        <f>IF(A299="","",IF(A299&gt;=1,A299,IF(MAX($G$2:G298)=0,INT(SETTINGS!$B$4)+A299,INT(MAX($G$2:G298))+A299+IF(A299&lt;MOD(MAX($G$2:G298),1),1,0))))</f>
        <v>46309.744661941804</v>
      </c>
      <c r="H299" s="23">
        <f>IF(D299="","",IF(IFERROR(VLOOKUP(D299,LISTS!$A$2:$E$10,3,FALSE),0)=0,0,IF(IFERROR(COUNTIFS($C$2:C298,C299,$H$2:H298,1,$G$2:G298,"&gt;="&amp;(G299-15/1440)),0)&gt;0,0,1)))</f>
        <v>1</v>
      </c>
      <c r="I299" s="23" t="str">
        <f>IF(H299=1,C299&amp;"|"&amp;COUNTIFS($C$2:C299,C299,$H$2:H299,1),"")</f>
        <v>9000004232|1</v>
      </c>
      <c r="J299" s="23" t="str">
        <f>IF(D299="","",IF(A299="","Missing time",IF(D299="NO_SLOTS",IF(COUNTIF(PARTNERS!$A$2:$A$88,E299)=0,"Write the company in column E","OK"),IF(C299="","Missing phone",IF(COUNTIF(DESK!$F$2:$F$601,C299)=0,"Phone not found: copy it from your list",IF(AND(E299&lt;&gt;"",COUNTIFS(DESK!$F$2:$F$601,C299,DESK!$B$2:$B$601,E299)=0),"Company is not one of theirs","OK"))))))</f>
        <v>OK</v>
      </c>
    </row>
    <row r="300" spans="1:10" x14ac:dyDescent="0.35">
      <c r="A300" s="19">
        <v>46309.744995274275</v>
      </c>
      <c r="B300" s="20" t="s">
        <v>68</v>
      </c>
      <c r="C300" s="21" t="s">
        <v>1289</v>
      </c>
      <c r="D300" s="20" t="s">
        <v>20</v>
      </c>
      <c r="E300" s="20"/>
      <c r="F300" s="20"/>
      <c r="G300" s="22">
        <f>IF(A300="","",IF(A300&gt;=1,A300,IF(MAX($G$2:G299)=0,INT(SETTINGS!$B$4)+A300,INT(MAX($G$2:G299))+A300+IF(A300&lt;MOD(MAX($G$2:G299),1),1,0))))</f>
        <v>46309.744995274275</v>
      </c>
      <c r="H300" s="23">
        <f>IF(D300="","",IF(IFERROR(VLOOKUP(D300,LISTS!$A$2:$E$10,3,FALSE),0)=0,0,IF(IFERROR(COUNTIFS($C$2:C299,C300,$H$2:H299,1,$G$2:G299,"&gt;="&amp;(G300-15/1440)),0)&gt;0,0,1)))</f>
        <v>1</v>
      </c>
      <c r="I300" s="23" t="str">
        <f>IF(H300=1,C300&amp;"|"&amp;COUNTIFS($C$2:C300,C300,$H$2:H300,1),"")</f>
        <v>9000002165|2</v>
      </c>
      <c r="J300" s="23" t="str">
        <f>IF(D300="","",IF(A300="","Missing time",IF(D300="NO_SLOTS",IF(COUNTIF(PARTNERS!$A$2:$A$88,E300)=0,"Write the company in column E","OK"),IF(C300="","Missing phone",IF(COUNTIF(DESK!$F$2:$F$601,C300)=0,"Phone not found: copy it from your list",IF(AND(E300&lt;&gt;"",COUNTIFS(DESK!$F$2:$F$601,C300,DESK!$B$2:$B$601,E300)=0),"Company is not one of theirs","OK"))))))</f>
        <v>OK</v>
      </c>
    </row>
    <row r="301" spans="1:10" x14ac:dyDescent="0.35">
      <c r="A301" s="19">
        <v>46309.748476335895</v>
      </c>
      <c r="B301" s="20" t="s">
        <v>48</v>
      </c>
      <c r="C301" s="21" t="s">
        <v>1532</v>
      </c>
      <c r="D301" s="20" t="s">
        <v>20</v>
      </c>
      <c r="E301" s="20"/>
      <c r="F301" s="20"/>
      <c r="G301" s="22">
        <f>IF(A301="","",IF(A301&gt;=1,A301,IF(MAX($G$2:G300)=0,INT(SETTINGS!$B$4)+A301,INT(MAX($G$2:G300))+A301+IF(A301&lt;MOD(MAX($G$2:G300),1),1,0))))</f>
        <v>46309.748476335895</v>
      </c>
      <c r="H301" s="23">
        <f>IF(D301="","",IF(IFERROR(VLOOKUP(D301,LISTS!$A$2:$E$10,3,FALSE),0)=0,0,IF(IFERROR(COUNTIFS($C$2:C300,C301,$H$2:H300,1,$G$2:G300,"&gt;="&amp;(G301-15/1440)),0)&gt;0,0,1)))</f>
        <v>1</v>
      </c>
      <c r="I301" s="23" t="str">
        <f>IF(H301=1,C301&amp;"|"&amp;COUNTIFS($C$2:C301,C301,$H$2:H301,1),"")</f>
        <v>9000003816|1</v>
      </c>
      <c r="J301" s="23" t="str">
        <f>IF(D301="","",IF(A301="","Missing time",IF(D301="NO_SLOTS",IF(COUNTIF(PARTNERS!$A$2:$A$88,E301)=0,"Write the company in column E","OK"),IF(C301="","Missing phone",IF(COUNTIF(DESK!$F$2:$F$601,C301)=0,"Phone not found: copy it from your list",IF(AND(E301&lt;&gt;"",COUNTIFS(DESK!$F$2:$F$601,C301,DESK!$B$2:$B$601,E301)=0),"Company is not one of theirs","OK"))))))</f>
        <v>OK</v>
      </c>
    </row>
    <row r="302" spans="1:10" x14ac:dyDescent="0.35">
      <c r="A302" s="19">
        <v>46309.749045899422</v>
      </c>
      <c r="B302" s="20" t="s">
        <v>68</v>
      </c>
      <c r="C302" s="21" t="s">
        <v>1295</v>
      </c>
      <c r="D302" s="20" t="s">
        <v>18</v>
      </c>
      <c r="E302" s="20"/>
      <c r="F302" s="20" t="s">
        <v>2130</v>
      </c>
      <c r="G302" s="22">
        <f>IF(A302="","",IF(A302&gt;=1,A302,IF(MAX($G$2:G301)=0,INT(SETTINGS!$B$4)+A302,INT(MAX($G$2:G301))+A302+IF(A302&lt;MOD(MAX($G$2:G301),1),1,0))))</f>
        <v>46309.749045899422</v>
      </c>
      <c r="H302" s="23">
        <f>IF(D302="","",IF(IFERROR(VLOOKUP(D302,LISTS!$A$2:$E$10,3,FALSE),0)=0,0,IF(IFERROR(COUNTIFS($C$2:C301,C302,$H$2:H301,1,$G$2:G301,"&gt;="&amp;(G302-15/1440)),0)&gt;0,0,1)))</f>
        <v>1</v>
      </c>
      <c r="I302" s="23" t="str">
        <f>IF(H302=1,C302&amp;"|"&amp;COUNTIFS($C$2:C302,C302,$H$2:H302,1),"")</f>
        <v>9000001021|2</v>
      </c>
      <c r="J302" s="23" t="str">
        <f>IF(D302="","",IF(A302="","Missing time",IF(D302="NO_SLOTS",IF(COUNTIF(PARTNERS!$A$2:$A$88,E302)=0,"Write the company in column E","OK"),IF(C302="","Missing phone",IF(COUNTIF(DESK!$F$2:$F$601,C302)=0,"Phone not found: copy it from your list",IF(AND(E302&lt;&gt;"",COUNTIFS(DESK!$F$2:$F$601,C302,DESK!$B$2:$B$601,E302)=0),"Company is not one of theirs","OK"))))))</f>
        <v>OK</v>
      </c>
    </row>
    <row r="303" spans="1:10" x14ac:dyDescent="0.35">
      <c r="A303" s="19">
        <v>46309.733894051045</v>
      </c>
      <c r="B303" s="20" t="s">
        <v>2127</v>
      </c>
      <c r="C303" s="21" t="s">
        <v>1406</v>
      </c>
      <c r="D303" s="20" t="s">
        <v>30</v>
      </c>
      <c r="E303" s="20" t="s">
        <v>213</v>
      </c>
      <c r="F303" s="20" t="s">
        <v>2132</v>
      </c>
      <c r="G303" s="22">
        <f>IF(A303="","",IF(A303&gt;=1,A303,IF(MAX($G$2:G302)=0,INT(SETTINGS!$B$4)+A303,INT(MAX($G$2:G302))+A303+IF(A303&lt;MOD(MAX($G$2:G302),1),1,0))))</f>
        <v>46309.733894051045</v>
      </c>
      <c r="H303" s="23">
        <f>IF(D303="","",IF(IFERROR(VLOOKUP(D303,LISTS!$A$2:$E$10,3,FALSE),0)=0,0,IF(IFERROR(COUNTIFS($C$2:C302,C303,$H$2:H302,1,$G$2:G302,"&gt;="&amp;(G303-15/1440)),0)&gt;0,0,1)))</f>
        <v>0</v>
      </c>
      <c r="I303" s="23" t="str">
        <f>IF(H303=1,C303&amp;"|"&amp;COUNTIFS($C$2:C303,C303,$H$2:H303,1),"")</f>
        <v/>
      </c>
      <c r="J303" s="23" t="str">
        <f>IF(D303="","",IF(A303="","Missing time",IF(D303="NO_SLOTS",IF(COUNTIF(PARTNERS!$A$2:$A$88,E303)=0,"Write the company in column E","OK"),IF(C303="","Missing phone",IF(COUNTIF(DESK!$F$2:$F$601,C303)=0,"Phone not found: copy it from your list",IF(AND(E303&lt;&gt;"",COUNTIFS(DESK!$F$2:$F$601,C303,DESK!$B$2:$B$601,E303)=0),"Company is not one of theirs","OK"))))))</f>
        <v>OK</v>
      </c>
    </row>
    <row r="304" spans="1:10" x14ac:dyDescent="0.35">
      <c r="A304" s="19">
        <v>46309.74980062095</v>
      </c>
      <c r="B304" s="20" t="s">
        <v>2127</v>
      </c>
      <c r="C304" s="21" t="s">
        <v>1505</v>
      </c>
      <c r="D304" s="20" t="s">
        <v>30</v>
      </c>
      <c r="E304" s="20" t="s">
        <v>189</v>
      </c>
      <c r="F304" s="20" t="s">
        <v>2132</v>
      </c>
      <c r="G304" s="22">
        <f>IF(A304="","",IF(A304&gt;=1,A304,IF(MAX($G$2:G303)=0,INT(SETTINGS!$B$4)+A304,INT(MAX($G$2:G303))+A304+IF(A304&lt;MOD(MAX($G$2:G303),1),1,0))))</f>
        <v>46309.74980062095</v>
      </c>
      <c r="H304" s="23">
        <f>IF(D304="","",IF(IFERROR(VLOOKUP(D304,LISTS!$A$2:$E$10,3,FALSE),0)=0,0,IF(IFERROR(COUNTIFS($C$2:C303,C304,$H$2:H303,1,$G$2:G303,"&gt;="&amp;(G304-15/1440)),0)&gt;0,0,1)))</f>
        <v>0</v>
      </c>
      <c r="I304" s="23" t="str">
        <f>IF(H304=1,C304&amp;"|"&amp;COUNTIFS($C$2:C304,C304,$H$2:H304,1),"")</f>
        <v/>
      </c>
      <c r="J304" s="23" t="str">
        <f>IF(D304="","",IF(A304="","Missing time",IF(D304="NO_SLOTS",IF(COUNTIF(PARTNERS!$A$2:$A$88,E304)=0,"Write the company in column E","OK"),IF(C304="","Missing phone",IF(COUNTIF(DESK!$F$2:$F$601,C304)=0,"Phone not found: copy it from your list",IF(AND(E304&lt;&gt;"",COUNTIFS(DESK!$F$2:$F$601,C304,DESK!$B$2:$B$601,E304)=0),"Company is not one of theirs","OK"))))))</f>
        <v>OK</v>
      </c>
    </row>
    <row r="305" spans="1:10" x14ac:dyDescent="0.35">
      <c r="A305" s="19">
        <v>46309.752302675508</v>
      </c>
      <c r="B305" s="20" t="s">
        <v>68</v>
      </c>
      <c r="C305" s="21" t="s">
        <v>1389</v>
      </c>
      <c r="D305" s="20" t="s">
        <v>16</v>
      </c>
      <c r="E305" s="20"/>
      <c r="F305" s="20"/>
      <c r="G305" s="22">
        <f>IF(A305="","",IF(A305&gt;=1,A305,IF(MAX($G$2:G304)=0,INT(SETTINGS!$B$4)+A305,INT(MAX($G$2:G304))+A305+IF(A305&lt;MOD(MAX($G$2:G304),1),1,0))))</f>
        <v>46309.752302675508</v>
      </c>
      <c r="H305" s="23">
        <f>IF(D305="","",IF(IFERROR(VLOOKUP(D305,LISTS!$A$2:$E$10,3,FALSE),0)=0,0,IF(IFERROR(COUNTIFS($C$2:C304,C305,$H$2:H304,1,$G$2:G304,"&gt;="&amp;(G305-15/1440)),0)&gt;0,0,1)))</f>
        <v>1</v>
      </c>
      <c r="I305" s="23" t="str">
        <f>IF(H305=1,C305&amp;"|"&amp;COUNTIFS($C$2:C305,C305,$H$2:H305,1),"")</f>
        <v>9000003946|2</v>
      </c>
      <c r="J305" s="23" t="str">
        <f>IF(D305="","",IF(A305="","Missing time",IF(D305="NO_SLOTS",IF(COUNTIF(PARTNERS!$A$2:$A$88,E305)=0,"Write the company in column E","OK"),IF(C305="","Missing phone",IF(COUNTIF(DESK!$F$2:$F$601,C305)=0,"Phone not found: copy it from your list",IF(AND(E305&lt;&gt;"",COUNTIFS(DESK!$F$2:$F$601,C305,DESK!$B$2:$B$601,E305)=0),"Company is not one of theirs","OK"))))))</f>
        <v>OK</v>
      </c>
    </row>
    <row r="306" spans="1:10" x14ac:dyDescent="0.35">
      <c r="A306" s="19">
        <v>46309.755193931203</v>
      </c>
      <c r="B306" s="20" t="s">
        <v>68</v>
      </c>
      <c r="C306" s="21" t="s">
        <v>1465</v>
      </c>
      <c r="D306" s="20" t="s">
        <v>20</v>
      </c>
      <c r="E306" s="20"/>
      <c r="F306" s="20"/>
      <c r="G306" s="22">
        <f>IF(A306="","",IF(A306&gt;=1,A306,IF(MAX($G$2:G305)=0,INT(SETTINGS!$B$4)+A306,INT(MAX($G$2:G305))+A306+IF(A306&lt;MOD(MAX($G$2:G305),1),1,0))))</f>
        <v>46309.755193931203</v>
      </c>
      <c r="H306" s="23">
        <f>IF(D306="","",IF(IFERROR(VLOOKUP(D306,LISTS!$A$2:$E$10,3,FALSE),0)=0,0,IF(IFERROR(COUNTIFS($C$2:C305,C306,$H$2:H305,1,$G$2:G305,"&gt;="&amp;(G306-15/1440)),0)&gt;0,0,1)))</f>
        <v>1</v>
      </c>
      <c r="I306" s="23" t="str">
        <f>IF(H306=1,C306&amp;"|"&amp;COUNTIFS($C$2:C306,C306,$H$2:H306,1),"")</f>
        <v>9000005207|2</v>
      </c>
      <c r="J306" s="23" t="str">
        <f>IF(D306="","",IF(A306="","Missing time",IF(D306="NO_SLOTS",IF(COUNTIF(PARTNERS!$A$2:$A$88,E306)=0,"Write the company in column E","OK"),IF(C306="","Missing phone",IF(COUNTIF(DESK!$F$2:$F$601,C306)=0,"Phone not found: copy it from your list",IF(AND(E306&lt;&gt;"",COUNTIFS(DESK!$F$2:$F$601,C306,DESK!$B$2:$B$601,E306)=0),"Company is not one of theirs","OK"))))))</f>
        <v>OK</v>
      </c>
    </row>
    <row r="307" spans="1:10" x14ac:dyDescent="0.35">
      <c r="A307" s="19">
        <v>46309.75845511751</v>
      </c>
      <c r="B307" s="20" t="s">
        <v>68</v>
      </c>
      <c r="C307" s="21" t="s">
        <v>1492</v>
      </c>
      <c r="D307" s="20" t="s">
        <v>20</v>
      </c>
      <c r="E307" s="20"/>
      <c r="F307" s="20"/>
      <c r="G307" s="22">
        <f>IF(A307="","",IF(A307&gt;=1,A307,IF(MAX($G$2:G306)=0,INT(SETTINGS!$B$4)+A307,INT(MAX($G$2:G306))+A307+IF(A307&lt;MOD(MAX($G$2:G306),1),1,0))))</f>
        <v>46309.75845511751</v>
      </c>
      <c r="H307" s="23">
        <f>IF(D307="","",IF(IFERROR(VLOOKUP(D307,LISTS!$A$2:$E$10,3,FALSE),0)=0,0,IF(IFERROR(COUNTIFS($C$2:C306,C307,$H$2:H306,1,$G$2:G306,"&gt;="&amp;(G307-15/1440)),0)&gt;0,0,1)))</f>
        <v>1</v>
      </c>
      <c r="I307" s="23" t="str">
        <f>IF(H307=1,C307&amp;"|"&amp;COUNTIFS($C$2:C307,C307,$H$2:H307,1),"")</f>
        <v>9000002919|2</v>
      </c>
      <c r="J307" s="23" t="str">
        <f>IF(D307="","",IF(A307="","Missing time",IF(D307="NO_SLOTS",IF(COUNTIF(PARTNERS!$A$2:$A$88,E307)=0,"Write the company in column E","OK"),IF(C307="","Missing phone",IF(COUNTIF(DESK!$F$2:$F$601,C307)=0,"Phone not found: copy it from your list",IF(AND(E307&lt;&gt;"",COUNTIFS(DESK!$F$2:$F$601,C307,DESK!$B$2:$B$601,E307)=0),"Company is not one of theirs","OK"))))))</f>
        <v>OK</v>
      </c>
    </row>
    <row r="308" spans="1:10" x14ac:dyDescent="0.35">
      <c r="A308" s="19">
        <v>46309.762253263521</v>
      </c>
      <c r="B308" s="20" t="s">
        <v>68</v>
      </c>
      <c r="C308" s="21" t="s">
        <v>1514</v>
      </c>
      <c r="D308" s="20" t="s">
        <v>22</v>
      </c>
      <c r="E308" s="20"/>
      <c r="F308" s="20" t="s">
        <v>2129</v>
      </c>
      <c r="G308" s="22">
        <f>IF(A308="","",IF(A308&gt;=1,A308,IF(MAX($G$2:G307)=0,INT(SETTINGS!$B$4)+A308,INT(MAX($G$2:G307))+A308+IF(A308&lt;MOD(MAX($G$2:G307),1),1,0))))</f>
        <v>46309.762253263521</v>
      </c>
      <c r="H308" s="23">
        <f>IF(D308="","",IF(IFERROR(VLOOKUP(D308,LISTS!$A$2:$E$10,3,FALSE),0)=0,0,IF(IFERROR(COUNTIFS($C$2:C307,C308,$H$2:H307,1,$G$2:G307,"&gt;="&amp;(G308-15/1440)),0)&gt;0,0,1)))</f>
        <v>1</v>
      </c>
      <c r="I308" s="23" t="str">
        <f>IF(H308=1,C308&amp;"|"&amp;COUNTIFS($C$2:C308,C308,$H$2:H308,1),"")</f>
        <v>9000000735|2</v>
      </c>
      <c r="J308" s="23" t="str">
        <f>IF(D308="","",IF(A308="","Missing time",IF(D308="NO_SLOTS",IF(COUNTIF(PARTNERS!$A$2:$A$88,E308)=0,"Write the company in column E","OK"),IF(C308="","Missing phone",IF(COUNTIF(DESK!$F$2:$F$601,C308)=0,"Phone not found: copy it from your list",IF(AND(E308&lt;&gt;"",COUNTIFS(DESK!$F$2:$F$601,C308,DESK!$B$2:$B$601,E308)=0),"Company is not one of theirs","OK"))))))</f>
        <v>OK</v>
      </c>
    </row>
    <row r="309" spans="1:10" x14ac:dyDescent="0.35">
      <c r="A309" s="19">
        <v>46309.765078065051</v>
      </c>
      <c r="B309" s="20" t="s">
        <v>68</v>
      </c>
      <c r="C309" s="21" t="s">
        <v>1562</v>
      </c>
      <c r="D309" s="20" t="s">
        <v>16</v>
      </c>
      <c r="E309" s="20"/>
      <c r="F309" s="20"/>
      <c r="G309" s="22">
        <f>IF(A309="","",IF(A309&gt;=1,A309,IF(MAX($G$2:G308)=0,INT(SETTINGS!$B$4)+A309,INT(MAX($G$2:G308))+A309+IF(A309&lt;MOD(MAX($G$2:G308),1),1,0))))</f>
        <v>46309.765078065051</v>
      </c>
      <c r="H309" s="23">
        <f>IF(D309="","",IF(IFERROR(VLOOKUP(D309,LISTS!$A$2:$E$10,3,FALSE),0)=0,0,IF(IFERROR(COUNTIFS($C$2:C308,C309,$H$2:H308,1,$G$2:G308,"&gt;="&amp;(G309-15/1440)),0)&gt;0,0,1)))</f>
        <v>1</v>
      </c>
      <c r="I309" s="23" t="str">
        <f>IF(H309=1,C309&amp;"|"&amp;COUNTIFS($C$2:C309,C309,$H$2:H309,1),"")</f>
        <v>9000005155|2</v>
      </c>
      <c r="J309" s="23" t="str">
        <f>IF(D309="","",IF(A309="","Missing time",IF(D309="NO_SLOTS",IF(COUNTIF(PARTNERS!$A$2:$A$88,E309)=0,"Write the company in column E","OK"),IF(C309="","Missing phone",IF(COUNTIF(DESK!$F$2:$F$601,C309)=0,"Phone not found: copy it from your list",IF(AND(E309&lt;&gt;"",COUNTIFS(DESK!$F$2:$F$601,C309,DESK!$B$2:$B$601,E309)=0),"Company is not one of theirs","OK"))))))</f>
        <v>OK</v>
      </c>
    </row>
    <row r="310" spans="1:10" x14ac:dyDescent="0.35">
      <c r="A310" s="19">
        <v>46309.768311396896</v>
      </c>
      <c r="B310" s="20" t="s">
        <v>68</v>
      </c>
      <c r="C310" s="21" t="s">
        <v>1661</v>
      </c>
      <c r="D310" s="20" t="s">
        <v>16</v>
      </c>
      <c r="E310" s="20"/>
      <c r="F310" s="20"/>
      <c r="G310" s="22">
        <f>IF(A310="","",IF(A310&gt;=1,A310,IF(MAX($G$2:G309)=0,INT(SETTINGS!$B$4)+A310,INT(MAX($G$2:G309))+A310+IF(A310&lt;MOD(MAX($G$2:G309),1),1,0))))</f>
        <v>46309.768311396896</v>
      </c>
      <c r="H310" s="23">
        <f>IF(D310="","",IF(IFERROR(VLOOKUP(D310,LISTS!$A$2:$E$10,3,FALSE),0)=0,0,IF(IFERROR(COUNTIFS($C$2:C309,C310,$H$2:H309,1,$G$2:G309,"&gt;="&amp;(G310-15/1440)),0)&gt;0,0,1)))</f>
        <v>1</v>
      </c>
      <c r="I310" s="23" t="str">
        <f>IF(H310=1,C310&amp;"|"&amp;COUNTIFS($C$2:C310,C310,$H$2:H310,1),"")</f>
        <v>9000000540|2</v>
      </c>
      <c r="J310" s="23" t="str">
        <f>IF(D310="","",IF(A310="","Missing time",IF(D310="NO_SLOTS",IF(COUNTIF(PARTNERS!$A$2:$A$88,E310)=0,"Write the company in column E","OK"),IF(C310="","Missing phone",IF(COUNTIF(DESK!$F$2:$F$601,C310)=0,"Phone not found: copy it from your list",IF(AND(E310&lt;&gt;"",COUNTIFS(DESK!$F$2:$F$601,C310,DESK!$B$2:$B$601,E310)=0),"Company is not one of theirs","OK"))))))</f>
        <v>OK</v>
      </c>
    </row>
    <row r="311" spans="1:10" x14ac:dyDescent="0.35">
      <c r="A311" s="19">
        <v>46309.759794758669</v>
      </c>
      <c r="B311" s="20" t="s">
        <v>2127</v>
      </c>
      <c r="C311" s="21" t="s">
        <v>1347</v>
      </c>
      <c r="D311" s="20" t="s">
        <v>30</v>
      </c>
      <c r="E311" s="20" t="s">
        <v>189</v>
      </c>
      <c r="F311" s="20" t="s">
        <v>2132</v>
      </c>
      <c r="G311" s="22">
        <f>IF(A311="","",IF(A311&gt;=1,A311,IF(MAX($G$2:G310)=0,INT(SETTINGS!$B$4)+A311,INT(MAX($G$2:G310))+A311+IF(A311&lt;MOD(MAX($G$2:G310),1),1,0))))</f>
        <v>46309.759794758669</v>
      </c>
      <c r="H311" s="23">
        <f>IF(D311="","",IF(IFERROR(VLOOKUP(D311,LISTS!$A$2:$E$10,3,FALSE),0)=0,0,IF(IFERROR(COUNTIFS($C$2:C310,C311,$H$2:H310,1,$G$2:G310,"&gt;="&amp;(G311-15/1440)),0)&gt;0,0,1)))</f>
        <v>0</v>
      </c>
      <c r="I311" s="23" t="str">
        <f>IF(H311=1,C311&amp;"|"&amp;COUNTIFS($C$2:C311,C311,$H$2:H311,1),"")</f>
        <v/>
      </c>
      <c r="J311" s="23" t="str">
        <f>IF(D311="","",IF(A311="","Missing time",IF(D311="NO_SLOTS",IF(COUNTIF(PARTNERS!$A$2:$A$88,E311)=0,"Write the company in column E","OK"),IF(C311="","Missing phone",IF(COUNTIF(DESK!$F$2:$F$601,C311)=0,"Phone not found: copy it from your list",IF(AND(E311&lt;&gt;"",COUNTIFS(DESK!$F$2:$F$601,C311,DESK!$B$2:$B$601,E311)=0),"Company is not one of theirs","OK"))))))</f>
        <v>OK</v>
      </c>
    </row>
    <row r="312" spans="1:10" x14ac:dyDescent="0.35">
      <c r="A312" s="19">
        <v>46309.773682408319</v>
      </c>
      <c r="B312" s="20" t="s">
        <v>68</v>
      </c>
      <c r="C312" s="21" t="s">
        <v>1572</v>
      </c>
      <c r="D312" s="20" t="s">
        <v>18</v>
      </c>
      <c r="E312" s="20"/>
      <c r="F312" s="20" t="s">
        <v>2130</v>
      </c>
      <c r="G312" s="22">
        <f>IF(A312="","",IF(A312&gt;=1,A312,IF(MAX($G$2:G311)=0,INT(SETTINGS!$B$4)+A312,INT(MAX($G$2:G311))+A312+IF(A312&lt;MOD(MAX($G$2:G311),1),1,0))))</f>
        <v>46309.773682408319</v>
      </c>
      <c r="H312" s="23">
        <f>IF(D312="","",IF(IFERROR(VLOOKUP(D312,LISTS!$A$2:$E$10,3,FALSE),0)=0,0,IF(IFERROR(COUNTIFS($C$2:C311,C312,$H$2:H311,1,$G$2:G311,"&gt;="&amp;(G312-15/1440)),0)&gt;0,0,1)))</f>
        <v>1</v>
      </c>
      <c r="I312" s="23" t="str">
        <f>IF(H312=1,C312&amp;"|"&amp;COUNTIFS($C$2:C312,C312,$H$2:H312,1),"")</f>
        <v>9000001437|2</v>
      </c>
      <c r="J312" s="23" t="str">
        <f>IF(D312="","",IF(A312="","Missing time",IF(D312="NO_SLOTS",IF(COUNTIF(PARTNERS!$A$2:$A$88,E312)=0,"Write the company in column E","OK"),IF(C312="","Missing phone",IF(COUNTIF(DESK!$F$2:$F$601,C312)=0,"Phone not found: copy it from your list",IF(AND(E312&lt;&gt;"",COUNTIFS(DESK!$F$2:$F$601,C312,DESK!$B$2:$B$601,E312)=0),"Company is not one of theirs","OK"))))))</f>
        <v>OK</v>
      </c>
    </row>
    <row r="313" spans="1:10" x14ac:dyDescent="0.35">
      <c r="A313" s="19">
        <v>46309.777150135131</v>
      </c>
      <c r="B313" s="20" t="s">
        <v>68</v>
      </c>
      <c r="C313" s="21" t="s">
        <v>1745</v>
      </c>
      <c r="D313" s="20" t="s">
        <v>20</v>
      </c>
      <c r="E313" s="20"/>
      <c r="F313" s="20"/>
      <c r="G313" s="22">
        <f>IF(A313="","",IF(A313&gt;=1,A313,IF(MAX($G$2:G312)=0,INT(SETTINGS!$B$4)+A313,INT(MAX($G$2:G312))+A313+IF(A313&lt;MOD(MAX($G$2:G312),1),1,0))))</f>
        <v>46309.777150135131</v>
      </c>
      <c r="H313" s="23">
        <f>IF(D313="","",IF(IFERROR(VLOOKUP(D313,LISTS!$A$2:$E$10,3,FALSE),0)=0,0,IF(IFERROR(COUNTIFS($C$2:C312,C313,$H$2:H312,1,$G$2:G312,"&gt;="&amp;(G313-15/1440)),0)&gt;0,0,1)))</f>
        <v>1</v>
      </c>
      <c r="I313" s="23" t="str">
        <f>IF(H313=1,C313&amp;"|"&amp;COUNTIFS($C$2:C313,C313,$H$2:H313,1),"")</f>
        <v>9000002880|2</v>
      </c>
      <c r="J313" s="23" t="str">
        <f>IF(D313="","",IF(A313="","Missing time",IF(D313="NO_SLOTS",IF(COUNTIF(PARTNERS!$A$2:$A$88,E313)=0,"Write the company in column E","OK"),IF(C313="","Missing phone",IF(COUNTIF(DESK!$F$2:$F$601,C313)=0,"Phone not found: copy it from your list",IF(AND(E313&lt;&gt;"",COUNTIFS(DESK!$F$2:$F$601,C313,DESK!$B$2:$B$601,E313)=0),"Company is not one of theirs","OK"))))))</f>
        <v>OK</v>
      </c>
    </row>
    <row r="314" spans="1:10" x14ac:dyDescent="0.35">
      <c r="A314" s="19">
        <v>46309.779565129305</v>
      </c>
      <c r="B314" s="20" t="s">
        <v>68</v>
      </c>
      <c r="C314" s="21" t="s">
        <v>1779</v>
      </c>
      <c r="D314" s="20" t="s">
        <v>18</v>
      </c>
      <c r="E314" s="20"/>
      <c r="F314" s="20" t="s">
        <v>2130</v>
      </c>
      <c r="G314" s="22">
        <f>IF(A314="","",IF(A314&gt;=1,A314,IF(MAX($G$2:G313)=0,INT(SETTINGS!$B$4)+A314,INT(MAX($G$2:G313))+A314+IF(A314&lt;MOD(MAX($G$2:G313),1),1,0))))</f>
        <v>46309.779565129305</v>
      </c>
      <c r="H314" s="23">
        <f>IF(D314="","",IF(IFERROR(VLOOKUP(D314,LISTS!$A$2:$E$10,3,FALSE),0)=0,0,IF(IFERROR(COUNTIFS($C$2:C313,C314,$H$2:H313,1,$G$2:G313,"&gt;="&amp;(G314-15/1440)),0)&gt;0,0,1)))</f>
        <v>1</v>
      </c>
      <c r="I314" s="23" t="str">
        <f>IF(H314=1,C314&amp;"|"&amp;COUNTIFS($C$2:C314,C314,$H$2:H314,1),"")</f>
        <v>9000004362|2</v>
      </c>
      <c r="J314" s="23" t="str">
        <f>IF(D314="","",IF(A314="","Missing time",IF(D314="NO_SLOTS",IF(COUNTIF(PARTNERS!$A$2:$A$88,E314)=0,"Write the company in column E","OK"),IF(C314="","Missing phone",IF(COUNTIF(DESK!$F$2:$F$601,C314)=0,"Phone not found: copy it from your list",IF(AND(E314&lt;&gt;"",COUNTIFS(DESK!$F$2:$F$601,C314,DESK!$B$2:$B$601,E314)=0),"Company is not one of theirs","OK"))))))</f>
        <v>OK</v>
      </c>
    </row>
    <row r="315" spans="1:10" x14ac:dyDescent="0.35">
      <c r="A315" s="19">
        <v>46309.783626248558</v>
      </c>
      <c r="B315" s="20" t="s">
        <v>68</v>
      </c>
      <c r="C315" s="21" t="s">
        <v>1878</v>
      </c>
      <c r="D315" s="20" t="s">
        <v>22</v>
      </c>
      <c r="E315" s="20"/>
      <c r="F315" s="20" t="s">
        <v>2129</v>
      </c>
      <c r="G315" s="22">
        <f>IF(A315="","",IF(A315&gt;=1,A315,IF(MAX($G$2:G314)=0,INT(SETTINGS!$B$4)+A315,INT(MAX($G$2:G314))+A315+IF(A315&lt;MOD(MAX($G$2:G314),1),1,0))))</f>
        <v>46309.783626248558</v>
      </c>
      <c r="H315" s="23">
        <f>IF(D315="","",IF(IFERROR(VLOOKUP(D315,LISTS!$A$2:$E$10,3,FALSE),0)=0,0,IF(IFERROR(COUNTIFS($C$2:C314,C315,$H$2:H314,1,$G$2:G314,"&gt;="&amp;(G315-15/1440)),0)&gt;0,0,1)))</f>
        <v>1</v>
      </c>
      <c r="I315" s="23" t="str">
        <f>IF(H315=1,C315&amp;"|"&amp;COUNTIFS($C$2:C315,C315,$H$2:H315,1),"")</f>
        <v>9000004518|2</v>
      </c>
      <c r="J315" s="23" t="str">
        <f>IF(D315="","",IF(A315="","Missing time",IF(D315="NO_SLOTS",IF(COUNTIF(PARTNERS!$A$2:$A$88,E315)=0,"Write the company in column E","OK"),IF(C315="","Missing phone",IF(COUNTIF(DESK!$F$2:$F$601,C315)=0,"Phone not found: copy it from your list",IF(AND(E315&lt;&gt;"",COUNTIFS(DESK!$F$2:$F$601,C315,DESK!$B$2:$B$601,E315)=0),"Company is not one of theirs","OK"))))))</f>
        <v>OK</v>
      </c>
    </row>
    <row r="316" spans="1:10" x14ac:dyDescent="0.35">
      <c r="A316" s="19">
        <v>46309.786297001257</v>
      </c>
      <c r="B316" s="20" t="s">
        <v>68</v>
      </c>
      <c r="C316" s="21" t="s">
        <v>1674</v>
      </c>
      <c r="D316" s="20" t="s">
        <v>16</v>
      </c>
      <c r="E316" s="20"/>
      <c r="F316" s="20"/>
      <c r="G316" s="22">
        <f>IF(A316="","",IF(A316&gt;=1,A316,IF(MAX($G$2:G315)=0,INT(SETTINGS!$B$4)+A316,INT(MAX($G$2:G315))+A316+IF(A316&lt;MOD(MAX($G$2:G315),1),1,0))))</f>
        <v>46309.786297001257</v>
      </c>
      <c r="H316" s="23">
        <f>IF(D316="","",IF(IFERROR(VLOOKUP(D316,LISTS!$A$2:$E$10,3,FALSE),0)=0,0,IF(IFERROR(COUNTIFS($C$2:C315,C316,$H$2:H315,1,$G$2:G315,"&gt;="&amp;(G316-15/1440)),0)&gt;0,0,1)))</f>
        <v>1</v>
      </c>
      <c r="I316" s="23" t="str">
        <f>IF(H316=1,C316&amp;"|"&amp;COUNTIFS($C$2:C316,C316,$H$2:H316,1),"")</f>
        <v>9000001242|2</v>
      </c>
      <c r="J316" s="23" t="str">
        <f>IF(D316="","",IF(A316="","Missing time",IF(D316="NO_SLOTS",IF(COUNTIF(PARTNERS!$A$2:$A$88,E316)=0,"Write the company in column E","OK"),IF(C316="","Missing phone",IF(COUNTIF(DESK!$F$2:$F$601,C316)=0,"Phone not found: copy it from your list",IF(AND(E316&lt;&gt;"",COUNTIFS(DESK!$F$2:$F$601,C316,DESK!$B$2:$B$601,E316)=0),"Company is not one of theirs","OK"))))))</f>
        <v>OK</v>
      </c>
    </row>
    <row r="317" spans="1:10" x14ac:dyDescent="0.35">
      <c r="A317" s="19">
        <v>46309.789891050081</v>
      </c>
      <c r="B317" s="20" t="s">
        <v>68</v>
      </c>
      <c r="C317" s="21" t="s">
        <v>632</v>
      </c>
      <c r="D317" s="20" t="s">
        <v>16</v>
      </c>
      <c r="E317" s="20"/>
      <c r="F317" s="20"/>
      <c r="G317" s="22">
        <f>IF(A317="","",IF(A317&gt;=1,A317,IF(MAX($G$2:G316)=0,INT(SETTINGS!$B$4)+A317,INT(MAX($G$2:G316))+A317+IF(A317&lt;MOD(MAX($G$2:G316),1),1,0))))</f>
        <v>46309.789891050081</v>
      </c>
      <c r="H317" s="23">
        <f>IF(D317="","",IF(IFERROR(VLOOKUP(D317,LISTS!$A$2:$E$10,3,FALSE),0)=0,0,IF(IFERROR(COUNTIFS($C$2:C316,C317,$H$2:H316,1,$G$2:G316,"&gt;="&amp;(G317-15/1440)),0)&gt;0,0,1)))</f>
        <v>1</v>
      </c>
      <c r="I317" s="23" t="str">
        <f>IF(H317=1,C317&amp;"|"&amp;COUNTIFS($C$2:C317,C317,$H$2:H317,1),"")</f>
        <v>9000000579|1</v>
      </c>
      <c r="J317" s="23" t="str">
        <f>IF(D317="","",IF(A317="","Missing time",IF(D317="NO_SLOTS",IF(COUNTIF(PARTNERS!$A$2:$A$88,E317)=0,"Write the company in column E","OK"),IF(C317="","Missing phone",IF(COUNTIF(DESK!$F$2:$F$601,C317)=0,"Phone not found: copy it from your list",IF(AND(E317&lt;&gt;"",COUNTIFS(DESK!$F$2:$F$601,C317,DESK!$B$2:$B$601,E317)=0),"Company is not one of theirs","OK"))))))</f>
        <v>OK</v>
      </c>
    </row>
    <row r="318" spans="1:10" x14ac:dyDescent="0.35">
      <c r="A318" s="19">
        <v>46309.777281005743</v>
      </c>
      <c r="B318" s="20" t="s">
        <v>2127</v>
      </c>
      <c r="C318" s="21" t="s">
        <v>1251</v>
      </c>
      <c r="D318" s="20" t="s">
        <v>30</v>
      </c>
      <c r="E318" s="20" t="s">
        <v>194</v>
      </c>
      <c r="F318" s="20" t="s">
        <v>2128</v>
      </c>
      <c r="G318" s="22">
        <f>IF(A318="","",IF(A318&gt;=1,A318,IF(MAX($G$2:G317)=0,INT(SETTINGS!$B$4)+A318,INT(MAX($G$2:G317))+A318+IF(A318&lt;MOD(MAX($G$2:G317),1),1,0))))</f>
        <v>46309.777281005743</v>
      </c>
      <c r="H318" s="23">
        <f>IF(D318="","",IF(IFERROR(VLOOKUP(D318,LISTS!$A$2:$E$10,3,FALSE),0)=0,0,IF(IFERROR(COUNTIFS($C$2:C317,C318,$H$2:H317,1,$G$2:G317,"&gt;="&amp;(G318-15/1440)),0)&gt;0,0,1)))</f>
        <v>0</v>
      </c>
      <c r="I318" s="23" t="str">
        <f>IF(H318=1,C318&amp;"|"&amp;COUNTIFS($C$2:C318,C318,$H$2:H318,1),"")</f>
        <v/>
      </c>
      <c r="J318" s="23" t="str">
        <f>IF(D318="","",IF(A318="","Missing time",IF(D318="NO_SLOTS",IF(COUNTIF(PARTNERS!$A$2:$A$88,E318)=0,"Write the company in column E","OK"),IF(C318="","Missing phone",IF(COUNTIF(DESK!$F$2:$F$601,C318)=0,"Phone not found: copy it from your list",IF(AND(E318&lt;&gt;"",COUNTIFS(DESK!$F$2:$F$601,C318,DESK!$B$2:$B$601,E318)=0),"Company is not one of theirs","OK"))))))</f>
        <v>OK</v>
      </c>
    </row>
    <row r="319" spans="1:10" x14ac:dyDescent="0.35">
      <c r="A319" s="19">
        <v>46309.789401061491</v>
      </c>
      <c r="B319" s="20" t="s">
        <v>2127</v>
      </c>
      <c r="C319" s="21" t="s">
        <v>1240</v>
      </c>
      <c r="D319" s="20" t="s">
        <v>30</v>
      </c>
      <c r="E319" s="20" t="s">
        <v>201</v>
      </c>
      <c r="F319" s="20" t="s">
        <v>2132</v>
      </c>
      <c r="G319" s="22">
        <f>IF(A319="","",IF(A319&gt;=1,A319,IF(MAX($G$2:G318)=0,INT(SETTINGS!$B$4)+A319,INT(MAX($G$2:G318))+A319+IF(A319&lt;MOD(MAX($G$2:G318),1),1,0))))</f>
        <v>46309.789401061491</v>
      </c>
      <c r="H319" s="23">
        <f>IF(D319="","",IF(IFERROR(VLOOKUP(D319,LISTS!$A$2:$E$10,3,FALSE),0)=0,0,IF(IFERROR(COUNTIFS($C$2:C318,C319,$H$2:H318,1,$G$2:G318,"&gt;="&amp;(G319-15/1440)),0)&gt;0,0,1)))</f>
        <v>0</v>
      </c>
      <c r="I319" s="23" t="str">
        <f>IF(H319=1,C319&amp;"|"&amp;COUNTIFS($C$2:C319,C319,$H$2:H319,1),"")</f>
        <v/>
      </c>
      <c r="J319" s="23" t="str">
        <f>IF(D319="","",IF(A319="","Missing time",IF(D319="NO_SLOTS",IF(COUNTIF(PARTNERS!$A$2:$A$88,E319)=0,"Write the company in column E","OK"),IF(C319="","Missing phone",IF(COUNTIF(DESK!$F$2:$F$601,C319)=0,"Phone not found: copy it from your list",IF(AND(E319&lt;&gt;"",COUNTIFS(DESK!$F$2:$F$601,C319,DESK!$B$2:$B$601,E319)=0),"Company is not one of theirs","OK"))))))</f>
        <v>OK</v>
      </c>
    </row>
    <row r="320" spans="1:10" x14ac:dyDescent="0.35">
      <c r="A320" s="19">
        <v>46309.794440407684</v>
      </c>
      <c r="B320" s="20" t="s">
        <v>68</v>
      </c>
      <c r="C320" s="21" t="s">
        <v>1875</v>
      </c>
      <c r="D320" s="20" t="s">
        <v>18</v>
      </c>
      <c r="E320" s="20"/>
      <c r="F320" s="20" t="s">
        <v>2130</v>
      </c>
      <c r="G320" s="22">
        <f>IF(A320="","",IF(A320&gt;=1,A320,IF(MAX($G$2:G319)=0,INT(SETTINGS!$B$4)+A320,INT(MAX($G$2:G319))+A320+IF(A320&lt;MOD(MAX($G$2:G319),1),1,0))))</f>
        <v>46309.794440407684</v>
      </c>
      <c r="H320" s="23">
        <f>IF(D320="","",IF(IFERROR(VLOOKUP(D320,LISTS!$A$2:$E$10,3,FALSE),0)=0,0,IF(IFERROR(COUNTIFS($C$2:C319,C320,$H$2:H319,1,$G$2:G319,"&gt;="&amp;(G320-15/1440)),0)&gt;0,0,1)))</f>
        <v>1</v>
      </c>
      <c r="I320" s="23" t="str">
        <f>IF(H320=1,C320&amp;"|"&amp;COUNTIFS($C$2:C320,C320,$H$2:H320,1),"")</f>
        <v>9000000397|2</v>
      </c>
      <c r="J320" s="23" t="str">
        <f>IF(D320="","",IF(A320="","Missing time",IF(D320="NO_SLOTS",IF(COUNTIF(PARTNERS!$A$2:$A$88,E320)=0,"Write the company in column E","OK"),IF(C320="","Missing phone",IF(COUNTIF(DESK!$F$2:$F$601,C320)=0,"Phone not found: copy it from your list",IF(AND(E320&lt;&gt;"",COUNTIFS(DESK!$F$2:$F$601,C320,DESK!$B$2:$B$601,E320)=0),"Company is not one of theirs","OK"))))))</f>
        <v>OK</v>
      </c>
    </row>
    <row r="321" spans="1:10" x14ac:dyDescent="0.35">
      <c r="A321" s="19">
        <v>46309.798215287963</v>
      </c>
      <c r="B321" s="20" t="s">
        <v>68</v>
      </c>
      <c r="C321" s="21" t="s">
        <v>1905</v>
      </c>
      <c r="D321" s="20" t="s">
        <v>22</v>
      </c>
      <c r="E321" s="20"/>
      <c r="F321" s="20" t="s">
        <v>2129</v>
      </c>
      <c r="G321" s="22">
        <f>IF(A321="","",IF(A321&gt;=1,A321,IF(MAX($G$2:G320)=0,INT(SETTINGS!$B$4)+A321,INT(MAX($G$2:G320))+A321+IF(A321&lt;MOD(MAX($G$2:G320),1),1,0))))</f>
        <v>46309.798215287963</v>
      </c>
      <c r="H321" s="23">
        <f>IF(D321="","",IF(IFERROR(VLOOKUP(D321,LISTS!$A$2:$E$10,3,FALSE),0)=0,0,IF(IFERROR(COUNTIFS($C$2:C320,C321,$H$2:H320,1,$G$2:G320,"&gt;="&amp;(G321-15/1440)),0)&gt;0,0,1)))</f>
        <v>1</v>
      </c>
      <c r="I321" s="23" t="str">
        <f>IF(H321=1,C321&amp;"|"&amp;COUNTIFS($C$2:C321,C321,$H$2:H321,1),"")</f>
        <v>9000000514|2</v>
      </c>
      <c r="J321" s="23" t="str">
        <f>IF(D321="","",IF(A321="","Missing time",IF(D321="NO_SLOTS",IF(COUNTIF(PARTNERS!$A$2:$A$88,E321)=0,"Write the company in column E","OK"),IF(C321="","Missing phone",IF(COUNTIF(DESK!$F$2:$F$601,C321)=0,"Phone not found: copy it from your list",IF(AND(E321&lt;&gt;"",COUNTIFS(DESK!$F$2:$F$601,C321,DESK!$B$2:$B$601,E321)=0),"Company is not one of theirs","OK"))))))</f>
        <v>OK</v>
      </c>
    </row>
    <row r="322" spans="1:10" x14ac:dyDescent="0.35">
      <c r="A322" s="19">
        <v>46309.802167603331</v>
      </c>
      <c r="B322" s="20" t="s">
        <v>68</v>
      </c>
      <c r="C322" s="21" t="s">
        <v>2003</v>
      </c>
      <c r="D322" s="20" t="s">
        <v>18</v>
      </c>
      <c r="E322" s="20"/>
      <c r="F322" s="20" t="s">
        <v>2130</v>
      </c>
      <c r="G322" s="22">
        <f>IF(A322="","",IF(A322&gt;=1,A322,IF(MAX($G$2:G321)=0,INT(SETTINGS!$B$4)+A322,INT(MAX($G$2:G321))+A322+IF(A322&lt;MOD(MAX($G$2:G321),1),1,0))))</f>
        <v>46309.802167603331</v>
      </c>
      <c r="H322" s="23">
        <f>IF(D322="","",IF(IFERROR(VLOOKUP(D322,LISTS!$A$2:$E$10,3,FALSE),0)=0,0,IF(IFERROR(COUNTIFS($C$2:C321,C322,$H$2:H321,1,$G$2:G321,"&gt;="&amp;(G322-15/1440)),0)&gt;0,0,1)))</f>
        <v>1</v>
      </c>
      <c r="I322" s="23" t="str">
        <f>IF(H322=1,C322&amp;"|"&amp;COUNTIFS($C$2:C322,C322,$H$2:H322,1),"")</f>
        <v>9000000371|2</v>
      </c>
      <c r="J322" s="23" t="str">
        <f>IF(D322="","",IF(A322="","Missing time",IF(D322="NO_SLOTS",IF(COUNTIF(PARTNERS!$A$2:$A$88,E322)=0,"Write the company in column E","OK"),IF(C322="","Missing phone",IF(COUNTIF(DESK!$F$2:$F$601,C322)=0,"Phone not found: copy it from your list",IF(AND(E322&lt;&gt;"",COUNTIFS(DESK!$F$2:$F$601,C322,DESK!$B$2:$B$601,E322)=0),"Company is not one of theirs","OK"))))))</f>
        <v>OK</v>
      </c>
    </row>
    <row r="323" spans="1:10" x14ac:dyDescent="0.35">
      <c r="A323" s="19">
        <v>46309.806551640198</v>
      </c>
      <c r="B323" s="20" t="s">
        <v>68</v>
      </c>
      <c r="C323" s="21" t="s">
        <v>500</v>
      </c>
      <c r="D323" s="20" t="s">
        <v>16</v>
      </c>
      <c r="E323" s="20"/>
      <c r="F323" s="20"/>
      <c r="G323" s="22">
        <f>IF(A323="","",IF(A323&gt;=1,A323,IF(MAX($G$2:G322)=0,INT(SETTINGS!$B$4)+A323,INT(MAX($G$2:G322))+A323+IF(A323&lt;MOD(MAX($G$2:G322),1),1,0))))</f>
        <v>46309.806551640198</v>
      </c>
      <c r="H323" s="23">
        <f>IF(D323="","",IF(IFERROR(VLOOKUP(D323,LISTS!$A$2:$E$10,3,FALSE),0)=0,0,IF(IFERROR(COUNTIFS($C$2:C322,C323,$H$2:H322,1,$G$2:G322,"&gt;="&amp;(G323-15/1440)),0)&gt;0,0,1)))</f>
        <v>1</v>
      </c>
      <c r="I323" s="23" t="str">
        <f>IF(H323=1,C323&amp;"|"&amp;COUNTIFS($C$2:C323,C323,$H$2:H323,1),"")</f>
        <v>9000002828|1</v>
      </c>
      <c r="J323" s="23" t="str">
        <f>IF(D323="","",IF(A323="","Missing time",IF(D323="NO_SLOTS",IF(COUNTIF(PARTNERS!$A$2:$A$88,E323)=0,"Write the company in column E","OK"),IF(C323="","Missing phone",IF(COUNTIF(DESK!$F$2:$F$601,C323)=0,"Phone not found: copy it from your list",IF(AND(E323&lt;&gt;"",COUNTIFS(DESK!$F$2:$F$601,C323,DESK!$B$2:$B$601,E323)=0),"Company is not one of theirs","OK"))))))</f>
        <v>OK</v>
      </c>
    </row>
    <row r="324" spans="1:10" x14ac:dyDescent="0.35">
      <c r="A324" s="19">
        <v>46309.811310640842</v>
      </c>
      <c r="B324" s="20" t="s">
        <v>68</v>
      </c>
      <c r="C324" s="21" t="s">
        <v>599</v>
      </c>
      <c r="D324" s="20" t="s">
        <v>20</v>
      </c>
      <c r="E324" s="20"/>
      <c r="F324" s="20"/>
      <c r="G324" s="22">
        <f>IF(A324="","",IF(A324&gt;=1,A324,IF(MAX($G$2:G323)=0,INT(SETTINGS!$B$4)+A324,INT(MAX($G$2:G323))+A324+IF(A324&lt;MOD(MAX($G$2:G323),1),1,0))))</f>
        <v>46309.811310640842</v>
      </c>
      <c r="H324" s="23">
        <f>IF(D324="","",IF(IFERROR(VLOOKUP(D324,LISTS!$A$2:$E$10,3,FALSE),0)=0,0,IF(IFERROR(COUNTIFS($C$2:C323,C324,$H$2:H323,1,$G$2:G323,"&gt;="&amp;(G324-15/1440)),0)&gt;0,0,1)))</f>
        <v>1</v>
      </c>
      <c r="I324" s="23" t="str">
        <f>IF(H324=1,C324&amp;"|"&amp;COUNTIFS($C$2:C324,C324,$H$2:H324,1),"")</f>
        <v>9000001203|1</v>
      </c>
      <c r="J324" s="23" t="str">
        <f>IF(D324="","",IF(A324="","Missing time",IF(D324="NO_SLOTS",IF(COUNTIF(PARTNERS!$A$2:$A$88,E324)=0,"Write the company in column E","OK"),IF(C324="","Missing phone",IF(COUNTIF(DESK!$F$2:$F$601,C324)=0,"Phone not found: copy it from your list",IF(AND(E324&lt;&gt;"",COUNTIFS(DESK!$F$2:$F$601,C324,DESK!$B$2:$B$601,E324)=0),"Company is not one of theirs","OK"))))))</f>
        <v>OK</v>
      </c>
    </row>
    <row r="325" spans="1:10" x14ac:dyDescent="0.35">
      <c r="A325" s="19">
        <v>46309.810508844115</v>
      </c>
      <c r="B325" s="20" t="s">
        <v>2127</v>
      </c>
      <c r="C325" s="21" t="s">
        <v>1878</v>
      </c>
      <c r="D325" s="20" t="s">
        <v>30</v>
      </c>
      <c r="E325" s="20" t="s">
        <v>189</v>
      </c>
      <c r="F325" s="20" t="s">
        <v>2132</v>
      </c>
      <c r="G325" s="22">
        <f>IF(A325="","",IF(A325&gt;=1,A325,IF(MAX($G$2:G324)=0,INT(SETTINGS!$B$4)+A325,INT(MAX($G$2:G324))+A325+IF(A325&lt;MOD(MAX($G$2:G324),1),1,0))))</f>
        <v>46309.810508844115</v>
      </c>
      <c r="H325" s="23">
        <f>IF(D325="","",IF(IFERROR(VLOOKUP(D325,LISTS!$A$2:$E$10,3,FALSE),0)=0,0,IF(IFERROR(COUNTIFS($C$2:C324,C325,$H$2:H324,1,$G$2:G324,"&gt;="&amp;(G325-15/1440)),0)&gt;0,0,1)))</f>
        <v>0</v>
      </c>
      <c r="I325" s="23" t="str">
        <f>IF(H325=1,C325&amp;"|"&amp;COUNTIFS($C$2:C325,C325,$H$2:H325,1),"")</f>
        <v/>
      </c>
      <c r="J325" s="23" t="str">
        <f>IF(D325="","",IF(A325="","Missing time",IF(D325="NO_SLOTS",IF(COUNTIF(PARTNERS!$A$2:$A$88,E325)=0,"Write the company in column E","OK"),IF(C325="","Missing phone",IF(COUNTIF(DESK!$F$2:$F$601,C325)=0,"Phone not found: copy it from your list",IF(AND(E325&lt;&gt;"",COUNTIFS(DESK!$F$2:$F$601,C325,DESK!$B$2:$B$601,E325)=0),"Company is not one of theirs","OK"))))))</f>
        <v>OK</v>
      </c>
    </row>
    <row r="326" spans="1:10" x14ac:dyDescent="0.35">
      <c r="A326" s="19">
        <v>46309.817069146658</v>
      </c>
      <c r="B326" s="20" t="s">
        <v>68</v>
      </c>
      <c r="C326" s="21" t="s">
        <v>671</v>
      </c>
      <c r="D326" s="20" t="s">
        <v>16</v>
      </c>
      <c r="E326" s="20"/>
      <c r="F326" s="20"/>
      <c r="G326" s="22">
        <f>IF(A326="","",IF(A326&gt;=1,A326,IF(MAX($G$2:G325)=0,INT(SETTINGS!$B$4)+A326,INT(MAX($G$2:G325))+A326+IF(A326&lt;MOD(MAX($G$2:G325),1),1,0))))</f>
        <v>46309.817069146658</v>
      </c>
      <c r="H326" s="23">
        <f>IF(D326="","",IF(IFERROR(VLOOKUP(D326,LISTS!$A$2:$E$10,3,FALSE),0)=0,0,IF(IFERROR(COUNTIFS($C$2:C325,C326,$H$2:H325,1,$G$2:G325,"&gt;="&amp;(G326-15/1440)),0)&gt;0,0,1)))</f>
        <v>1</v>
      </c>
      <c r="I326" s="23" t="str">
        <f>IF(H326=1,C326&amp;"|"&amp;COUNTIFS($C$2:C326,C326,$H$2:H326,1),"")</f>
        <v>9000003023|1</v>
      </c>
      <c r="J326" s="23" t="str">
        <f>IF(D326="","",IF(A326="","Missing time",IF(D326="NO_SLOTS",IF(COUNTIF(PARTNERS!$A$2:$A$88,E326)=0,"Write the company in column E","OK"),IF(C326="","Missing phone",IF(COUNTIF(DESK!$F$2:$F$601,C326)=0,"Phone not found: copy it from your list",IF(AND(E326&lt;&gt;"",COUNTIFS(DESK!$F$2:$F$601,C326,DESK!$B$2:$B$601,E326)=0),"Company is not one of theirs","OK"))))))</f>
        <v>OK</v>
      </c>
    </row>
    <row r="327" spans="1:10" x14ac:dyDescent="0.35">
      <c r="A327" s="19">
        <v>46309.822105910273</v>
      </c>
      <c r="B327" s="20" t="s">
        <v>68</v>
      </c>
      <c r="C327" s="21" t="s">
        <v>888</v>
      </c>
      <c r="D327" s="20" t="s">
        <v>16</v>
      </c>
      <c r="E327" s="20"/>
      <c r="F327" s="20"/>
      <c r="G327" s="22">
        <f>IF(A327="","",IF(A327&gt;=1,A327,IF(MAX($G$2:G326)=0,INT(SETTINGS!$B$4)+A327,INT(MAX($G$2:G326))+A327+IF(A327&lt;MOD(MAX($G$2:G326),1),1,0))))</f>
        <v>46309.822105910273</v>
      </c>
      <c r="H327" s="23">
        <f>IF(D327="","",IF(IFERROR(VLOOKUP(D327,LISTS!$A$2:$E$10,3,FALSE),0)=0,0,IF(IFERROR(COUNTIFS($C$2:C326,C327,$H$2:H326,1,$G$2:G326,"&gt;="&amp;(G327-15/1440)),0)&gt;0,0,1)))</f>
        <v>1</v>
      </c>
      <c r="I327" s="23" t="str">
        <f>IF(H327=1,C327&amp;"|"&amp;COUNTIFS($C$2:C327,C327,$H$2:H327,1),"")</f>
        <v>9000002373|1</v>
      </c>
      <c r="J327" s="23" t="str">
        <f>IF(D327="","",IF(A327="","Missing time",IF(D327="NO_SLOTS",IF(COUNTIF(PARTNERS!$A$2:$A$88,E327)=0,"Write the company in column E","OK"),IF(C327="","Missing phone",IF(COUNTIF(DESK!$F$2:$F$601,C327)=0,"Phone not found: copy it from your list",IF(AND(E327&lt;&gt;"",COUNTIFS(DESK!$F$2:$F$601,C327,DESK!$B$2:$B$601,E327)=0),"Company is not one of theirs","OK"))))))</f>
        <v>OK</v>
      </c>
    </row>
    <row r="328" spans="1:10" x14ac:dyDescent="0.35">
      <c r="A328" s="19">
        <v>46309.826559237546</v>
      </c>
      <c r="B328" s="20" t="s">
        <v>68</v>
      </c>
      <c r="C328" s="21" t="s">
        <v>892</v>
      </c>
      <c r="D328" s="20" t="s">
        <v>22</v>
      </c>
      <c r="E328" s="20"/>
      <c r="F328" s="20" t="s">
        <v>2129</v>
      </c>
      <c r="G328" s="22">
        <f>IF(A328="","",IF(A328&gt;=1,A328,IF(MAX($G$2:G327)=0,INT(SETTINGS!$B$4)+A328,INT(MAX($G$2:G327))+A328+IF(A328&lt;MOD(MAX($G$2:G327),1),1,0))))</f>
        <v>46309.826559237546</v>
      </c>
      <c r="H328" s="23">
        <f>IF(D328="","",IF(IFERROR(VLOOKUP(D328,LISTS!$A$2:$E$10,3,FALSE),0)=0,0,IF(IFERROR(COUNTIFS($C$2:C327,C328,$H$2:H327,1,$G$2:G327,"&gt;="&amp;(G328-15/1440)),0)&gt;0,0,1)))</f>
        <v>1</v>
      </c>
      <c r="I328" s="23" t="str">
        <f>IF(H328=1,C328&amp;"|"&amp;COUNTIFS($C$2:C328,C328,$H$2:H328,1),"")</f>
        <v>9000001957|1</v>
      </c>
      <c r="J328" s="23" t="str">
        <f>IF(D328="","",IF(A328="","Missing time",IF(D328="NO_SLOTS",IF(COUNTIF(PARTNERS!$A$2:$A$88,E328)=0,"Write the company in column E","OK"),IF(C328="","Missing phone",IF(COUNTIF(DESK!$F$2:$F$601,C328)=0,"Phone not found: copy it from your list",IF(AND(E328&lt;&gt;"",COUNTIFS(DESK!$F$2:$F$601,C328,DESK!$B$2:$B$601,E328)=0),"Company is not one of theirs","OK"))))))</f>
        <v>OK</v>
      </c>
    </row>
    <row r="329" spans="1:10" x14ac:dyDescent="0.35">
      <c r="A329" s="19">
        <v>46309.829854660056</v>
      </c>
      <c r="B329" s="20" t="s">
        <v>68</v>
      </c>
      <c r="C329" s="21" t="s">
        <v>1186</v>
      </c>
      <c r="D329" s="20" t="s">
        <v>16</v>
      </c>
      <c r="E329" s="20"/>
      <c r="F329" s="20"/>
      <c r="G329" s="22">
        <f>IF(A329="","",IF(A329&gt;=1,A329,IF(MAX($G$2:G328)=0,INT(SETTINGS!$B$4)+A329,INT(MAX($G$2:G328))+A329+IF(A329&lt;MOD(MAX($G$2:G328),1),1,0))))</f>
        <v>46309.829854660056</v>
      </c>
      <c r="H329" s="23">
        <f>IF(D329="","",IF(IFERROR(VLOOKUP(D329,LISTS!$A$2:$E$10,3,FALSE),0)=0,0,IF(IFERROR(COUNTIFS($C$2:C328,C329,$H$2:H328,1,$G$2:G328,"&gt;="&amp;(G329-15/1440)),0)&gt;0,0,1)))</f>
        <v>1</v>
      </c>
      <c r="I329" s="23" t="str">
        <f>IF(H329=1,C329&amp;"|"&amp;COUNTIFS($C$2:C329,C329,$H$2:H329,1),"")</f>
        <v>9000000150|1</v>
      </c>
      <c r="J329" s="23" t="str">
        <f>IF(D329="","",IF(A329="","Missing time",IF(D329="NO_SLOTS",IF(COUNTIF(PARTNERS!$A$2:$A$88,E329)=0,"Write the company in column E","OK"),IF(C329="","Missing phone",IF(COUNTIF(DESK!$F$2:$F$601,C329)=0,"Phone not found: copy it from your list",IF(AND(E329&lt;&gt;"",COUNTIFS(DESK!$F$2:$F$601,C329,DESK!$B$2:$B$601,E329)=0),"Company is not one of theirs","OK"))))))</f>
        <v>OK</v>
      </c>
    </row>
    <row r="330" spans="1:10" x14ac:dyDescent="0.35">
      <c r="A330" s="19">
        <v>46309.813843442498</v>
      </c>
      <c r="B330" s="20" t="s">
        <v>2127</v>
      </c>
      <c r="C330" s="21" t="s">
        <v>853</v>
      </c>
      <c r="D330" s="20" t="s">
        <v>30</v>
      </c>
      <c r="E330" s="20" t="s">
        <v>189</v>
      </c>
      <c r="F330" s="20" t="s">
        <v>2128</v>
      </c>
      <c r="G330" s="22">
        <f>IF(A330="","",IF(A330&gt;=1,A330,IF(MAX($G$2:G329)=0,INT(SETTINGS!$B$4)+A330,INT(MAX($G$2:G329))+A330+IF(A330&lt;MOD(MAX($G$2:G329),1),1,0))))</f>
        <v>46309.813843442498</v>
      </c>
      <c r="H330" s="23">
        <f>IF(D330="","",IF(IFERROR(VLOOKUP(D330,LISTS!$A$2:$E$10,3,FALSE),0)=0,0,IF(IFERROR(COUNTIFS($C$2:C329,C330,$H$2:H329,1,$G$2:G329,"&gt;="&amp;(G330-15/1440)),0)&gt;0,0,1)))</f>
        <v>0</v>
      </c>
      <c r="I330" s="23" t="str">
        <f>IF(H330=1,C330&amp;"|"&amp;COUNTIFS($C$2:C330,C330,$H$2:H330,1),"")</f>
        <v/>
      </c>
      <c r="J330" s="23" t="str">
        <f>IF(D330="","",IF(A330="","Missing time",IF(D330="NO_SLOTS",IF(COUNTIF(PARTNERS!$A$2:$A$88,E330)=0,"Write the company in column E","OK"),IF(C330="","Missing phone",IF(COUNTIF(DESK!$F$2:$F$601,C330)=0,"Phone not found: copy it from your list",IF(AND(E330&lt;&gt;"",COUNTIFS(DESK!$F$2:$F$601,C330,DESK!$B$2:$B$601,E330)=0),"Company is not one of theirs","OK"))))))</f>
        <v>OK</v>
      </c>
    </row>
    <row r="331" spans="1:10" x14ac:dyDescent="0.35">
      <c r="A331" s="19">
        <v>46309.819130638134</v>
      </c>
      <c r="B331" s="20" t="s">
        <v>2127</v>
      </c>
      <c r="C331" s="21" t="s">
        <v>1514</v>
      </c>
      <c r="D331" s="20" t="s">
        <v>30</v>
      </c>
      <c r="E331" s="20" t="s">
        <v>189</v>
      </c>
      <c r="F331" s="20" t="s">
        <v>2132</v>
      </c>
      <c r="G331" s="22">
        <f>IF(A331="","",IF(A331&gt;=1,A331,IF(MAX($G$2:G330)=0,INT(SETTINGS!$B$4)+A331,INT(MAX($G$2:G330))+A331+IF(A331&lt;MOD(MAX($G$2:G330),1),1,0))))</f>
        <v>46309.819130638134</v>
      </c>
      <c r="H331" s="23">
        <f>IF(D331="","",IF(IFERROR(VLOOKUP(D331,LISTS!$A$2:$E$10,3,FALSE),0)=0,0,IF(IFERROR(COUNTIFS($C$2:C330,C331,$H$2:H330,1,$G$2:G330,"&gt;="&amp;(G331-15/1440)),0)&gt;0,0,1)))</f>
        <v>0</v>
      </c>
      <c r="I331" s="23" t="str">
        <f>IF(H331=1,C331&amp;"|"&amp;COUNTIFS($C$2:C331,C331,$H$2:H331,1),"")</f>
        <v/>
      </c>
      <c r="J331" s="23" t="str">
        <f>IF(D331="","",IF(A331="","Missing time",IF(D331="NO_SLOTS",IF(COUNTIF(PARTNERS!$A$2:$A$88,E331)=0,"Write the company in column E","OK"),IF(C331="","Missing phone",IF(COUNTIF(DESK!$F$2:$F$601,C331)=0,"Phone not found: copy it from your list",IF(AND(E331&lt;&gt;"",COUNTIFS(DESK!$F$2:$F$601,C331,DESK!$B$2:$B$601,E331)=0),"Company is not one of theirs","OK"))))))</f>
        <v>OK</v>
      </c>
    </row>
    <row r="332" spans="1:10" x14ac:dyDescent="0.35">
      <c r="A332" s="19">
        <v>46309.824289818578</v>
      </c>
      <c r="B332" s="20" t="s">
        <v>2127</v>
      </c>
      <c r="C332" s="21" t="s">
        <v>1562</v>
      </c>
      <c r="D332" s="20" t="s">
        <v>30</v>
      </c>
      <c r="E332" s="20" t="s">
        <v>258</v>
      </c>
      <c r="F332" s="20" t="s">
        <v>2128</v>
      </c>
      <c r="G332" s="22">
        <f>IF(A332="","",IF(A332&gt;=1,A332,IF(MAX($G$2:G331)=0,INT(SETTINGS!$B$4)+A332,INT(MAX($G$2:G331))+A332+IF(A332&lt;MOD(MAX($G$2:G331),1),1,0))))</f>
        <v>46309.824289818578</v>
      </c>
      <c r="H332" s="23">
        <f>IF(D332="","",IF(IFERROR(VLOOKUP(D332,LISTS!$A$2:$E$10,3,FALSE),0)=0,0,IF(IFERROR(COUNTIFS($C$2:C331,C332,$H$2:H331,1,$G$2:G331,"&gt;="&amp;(G332-15/1440)),0)&gt;0,0,1)))</f>
        <v>0</v>
      </c>
      <c r="I332" s="23" t="str">
        <f>IF(H332=1,C332&amp;"|"&amp;COUNTIFS($C$2:C332,C332,$H$2:H332,1),"")</f>
        <v/>
      </c>
      <c r="J332" s="23" t="str">
        <f>IF(D332="","",IF(A332="","Missing time",IF(D332="NO_SLOTS",IF(COUNTIF(PARTNERS!$A$2:$A$88,E332)=0,"Write the company in column E","OK"),IF(C332="","Missing phone",IF(COUNTIF(DESK!$F$2:$F$601,C332)=0,"Phone not found: copy it from your list",IF(AND(E332&lt;&gt;"",COUNTIFS(DESK!$F$2:$F$601,C332,DESK!$B$2:$B$601,E332)=0),"Company is not one of theirs","OK"))))))</f>
        <v>OK</v>
      </c>
    </row>
    <row r="333" spans="1:10" x14ac:dyDescent="0.35">
      <c r="A333" s="19"/>
      <c r="B333" s="20"/>
      <c r="C333" s="21"/>
      <c r="D333" s="20"/>
      <c r="E333" s="20"/>
      <c r="F333" s="20"/>
      <c r="G333" s="22" t="str">
        <f>IF(A333="","",IF(A333&gt;=1,A333,IF(MAX($G$2:G332)=0,INT(SETTINGS!$B$4)+A333,INT(MAX($G$2:G332))+A333+IF(A333&lt;MOD(MAX($G$2:G332),1),1,0))))</f>
        <v/>
      </c>
      <c r="H333" s="23" t="str">
        <f>IF(D333="","",IF(IFERROR(VLOOKUP(D333,LISTS!$A$2:$E$10,3,FALSE),0)=0,0,IF(IFERROR(COUNTIFS($C$2:C332,C333,$H$2:H332,1,$G$2:G332,"&gt;="&amp;(G333-15/1440)),0)&gt;0,0,1)))</f>
        <v/>
      </c>
      <c r="I333" s="23" t="str">
        <f>IF(H333=1,C333&amp;"|"&amp;COUNTIFS($C$2:C333,C333,$H$2:H333,1),"")</f>
        <v/>
      </c>
      <c r="J333" s="23" t="str">
        <f>IF(D333="","",IF(A333="","Missing time",IF(D333="NO_SLOTS",IF(COUNTIF(PARTNERS!$A$2:$A$88,E333)=0,"Write the company in column E","OK"),IF(C333="","Missing phone",IF(COUNTIF(DESK!$F$2:$F$601,C333)=0,"Phone not found: copy it from your list",IF(AND(E333&lt;&gt;"",COUNTIFS(DESK!$F$2:$F$601,C333,DESK!$B$2:$B$601,E333)=0),"Company is not one of theirs","OK"))))))</f>
        <v/>
      </c>
    </row>
    <row r="334" spans="1:10" x14ac:dyDescent="0.35">
      <c r="A334" s="19"/>
      <c r="B334" s="20"/>
      <c r="C334" s="21"/>
      <c r="D334" s="20"/>
      <c r="E334" s="20"/>
      <c r="F334" s="20"/>
      <c r="G334" s="22" t="str">
        <f>IF(A334="","",IF(A334&gt;=1,A334,IF(MAX($G$2:G333)=0,INT(SETTINGS!$B$4)+A334,INT(MAX($G$2:G333))+A334+IF(A334&lt;MOD(MAX($G$2:G333),1),1,0))))</f>
        <v/>
      </c>
      <c r="H334" s="23" t="str">
        <f>IF(D334="","",IF(IFERROR(VLOOKUP(D334,LISTS!$A$2:$E$10,3,FALSE),0)=0,0,IF(IFERROR(COUNTIFS($C$2:C333,C334,$H$2:H333,1,$G$2:G333,"&gt;="&amp;(G334-15/1440)),0)&gt;0,0,1)))</f>
        <v/>
      </c>
      <c r="I334" s="23" t="str">
        <f>IF(H334=1,C334&amp;"|"&amp;COUNTIFS($C$2:C334,C334,$H$2:H334,1),"")</f>
        <v/>
      </c>
      <c r="J334" s="23" t="str">
        <f>IF(D334="","",IF(A334="","Missing time",IF(D334="NO_SLOTS",IF(COUNTIF(PARTNERS!$A$2:$A$88,E334)=0,"Write the company in column E","OK"),IF(C334="","Missing phone",IF(COUNTIF(DESK!$F$2:$F$601,C334)=0,"Phone not found: copy it from your list",IF(AND(E334&lt;&gt;"",COUNTIFS(DESK!$F$2:$F$601,C334,DESK!$B$2:$B$601,E334)=0),"Company is not one of theirs","OK"))))))</f>
        <v/>
      </c>
    </row>
    <row r="335" spans="1:10" x14ac:dyDescent="0.35">
      <c r="A335" s="19"/>
      <c r="B335" s="20"/>
      <c r="C335" s="21"/>
      <c r="D335" s="20"/>
      <c r="E335" s="20"/>
      <c r="F335" s="20"/>
      <c r="G335" s="22" t="str">
        <f>IF(A335="","",IF(A335&gt;=1,A335,IF(MAX($G$2:G334)=0,INT(SETTINGS!$B$4)+A335,INT(MAX($G$2:G334))+A335+IF(A335&lt;MOD(MAX($G$2:G334),1),1,0))))</f>
        <v/>
      </c>
      <c r="H335" s="23" t="str">
        <f>IF(D335="","",IF(IFERROR(VLOOKUP(D335,LISTS!$A$2:$E$10,3,FALSE),0)=0,0,IF(IFERROR(COUNTIFS($C$2:C334,C335,$H$2:H334,1,$G$2:G334,"&gt;="&amp;(G335-15/1440)),0)&gt;0,0,1)))</f>
        <v/>
      </c>
      <c r="I335" s="23" t="str">
        <f>IF(H335=1,C335&amp;"|"&amp;COUNTIFS($C$2:C335,C335,$H$2:H335,1),"")</f>
        <v/>
      </c>
      <c r="J335" s="23" t="str">
        <f>IF(D335="","",IF(A335="","Missing time",IF(D335="NO_SLOTS",IF(COUNTIF(PARTNERS!$A$2:$A$88,E335)=0,"Write the company in column E","OK"),IF(C335="","Missing phone",IF(COUNTIF(DESK!$F$2:$F$601,C335)=0,"Phone not found: copy it from your list",IF(AND(E335&lt;&gt;"",COUNTIFS(DESK!$F$2:$F$601,C335,DESK!$B$2:$B$601,E335)=0),"Company is not one of theirs","OK"))))))</f>
        <v/>
      </c>
    </row>
    <row r="336" spans="1:10" x14ac:dyDescent="0.35">
      <c r="A336" s="19"/>
      <c r="B336" s="20"/>
      <c r="C336" s="21"/>
      <c r="D336" s="20"/>
      <c r="E336" s="20"/>
      <c r="F336" s="20"/>
      <c r="G336" s="22" t="str">
        <f>IF(A336="","",IF(A336&gt;=1,A336,IF(MAX($G$2:G335)=0,INT(SETTINGS!$B$4)+A336,INT(MAX($G$2:G335))+A336+IF(A336&lt;MOD(MAX($G$2:G335),1),1,0))))</f>
        <v/>
      </c>
      <c r="H336" s="23" t="str">
        <f>IF(D336="","",IF(IFERROR(VLOOKUP(D336,LISTS!$A$2:$E$10,3,FALSE),0)=0,0,IF(IFERROR(COUNTIFS($C$2:C335,C336,$H$2:H335,1,$G$2:G335,"&gt;="&amp;(G336-15/1440)),0)&gt;0,0,1)))</f>
        <v/>
      </c>
      <c r="I336" s="23" t="str">
        <f>IF(H336=1,C336&amp;"|"&amp;COUNTIFS($C$2:C336,C336,$H$2:H336,1),"")</f>
        <v/>
      </c>
      <c r="J336" s="23" t="str">
        <f>IF(D336="","",IF(A336="","Missing time",IF(D336="NO_SLOTS",IF(COUNTIF(PARTNERS!$A$2:$A$88,E336)=0,"Write the company in column E","OK"),IF(C336="","Missing phone",IF(COUNTIF(DESK!$F$2:$F$601,C336)=0,"Phone not found: copy it from your list",IF(AND(E336&lt;&gt;"",COUNTIFS(DESK!$F$2:$F$601,C336,DESK!$B$2:$B$601,E336)=0),"Company is not one of theirs","OK"))))))</f>
        <v/>
      </c>
    </row>
    <row r="337" spans="1:10" x14ac:dyDescent="0.35">
      <c r="A337" s="19"/>
      <c r="B337" s="20"/>
      <c r="C337" s="21"/>
      <c r="D337" s="20"/>
      <c r="E337" s="20"/>
      <c r="F337" s="20"/>
      <c r="G337" s="22" t="str">
        <f>IF(A337="","",IF(A337&gt;=1,A337,IF(MAX($G$2:G336)=0,INT(SETTINGS!$B$4)+A337,INT(MAX($G$2:G336))+A337+IF(A337&lt;MOD(MAX($G$2:G336),1),1,0))))</f>
        <v/>
      </c>
      <c r="H337" s="23" t="str">
        <f>IF(D337="","",IF(IFERROR(VLOOKUP(D337,LISTS!$A$2:$E$10,3,FALSE),0)=0,0,IF(IFERROR(COUNTIFS($C$2:C336,C337,$H$2:H336,1,$G$2:G336,"&gt;="&amp;(G337-15/1440)),0)&gt;0,0,1)))</f>
        <v/>
      </c>
      <c r="I337" s="23" t="str">
        <f>IF(H337=1,C337&amp;"|"&amp;COUNTIFS($C$2:C337,C337,$H$2:H337,1),"")</f>
        <v/>
      </c>
      <c r="J337" s="23" t="str">
        <f>IF(D337="","",IF(A337="","Missing time",IF(D337="NO_SLOTS",IF(COUNTIF(PARTNERS!$A$2:$A$88,E337)=0,"Write the company in column E","OK"),IF(C337="","Missing phone",IF(COUNTIF(DESK!$F$2:$F$601,C337)=0,"Phone not found: copy it from your list",IF(AND(E337&lt;&gt;"",COUNTIFS(DESK!$F$2:$F$601,C337,DESK!$B$2:$B$601,E337)=0),"Company is not one of theirs","OK"))))))</f>
        <v/>
      </c>
    </row>
    <row r="338" spans="1:10" x14ac:dyDescent="0.35">
      <c r="A338" s="19"/>
      <c r="B338" s="20"/>
      <c r="C338" s="21"/>
      <c r="D338" s="20"/>
      <c r="E338" s="20"/>
      <c r="F338" s="20"/>
      <c r="G338" s="22" t="str">
        <f>IF(A338="","",IF(A338&gt;=1,A338,IF(MAX($G$2:G337)=0,INT(SETTINGS!$B$4)+A338,INT(MAX($G$2:G337))+A338+IF(A338&lt;MOD(MAX($G$2:G337),1),1,0))))</f>
        <v/>
      </c>
      <c r="H338" s="23" t="str">
        <f>IF(D338="","",IF(IFERROR(VLOOKUP(D338,LISTS!$A$2:$E$10,3,FALSE),0)=0,0,IF(IFERROR(COUNTIFS($C$2:C337,C338,$H$2:H337,1,$G$2:G337,"&gt;="&amp;(G338-15/1440)),0)&gt;0,0,1)))</f>
        <v/>
      </c>
      <c r="I338" s="23" t="str">
        <f>IF(H338=1,C338&amp;"|"&amp;COUNTIFS($C$2:C338,C338,$H$2:H338,1),"")</f>
        <v/>
      </c>
      <c r="J338" s="23" t="str">
        <f>IF(D338="","",IF(A338="","Missing time",IF(D338="NO_SLOTS",IF(COUNTIF(PARTNERS!$A$2:$A$88,E338)=0,"Write the company in column E","OK"),IF(C338="","Missing phone",IF(COUNTIF(DESK!$F$2:$F$601,C338)=0,"Phone not found: copy it from your list",IF(AND(E338&lt;&gt;"",COUNTIFS(DESK!$F$2:$F$601,C338,DESK!$B$2:$B$601,E338)=0),"Company is not one of theirs","OK"))))))</f>
        <v/>
      </c>
    </row>
    <row r="339" spans="1:10" x14ac:dyDescent="0.35">
      <c r="A339" s="19"/>
      <c r="B339" s="20"/>
      <c r="C339" s="21"/>
      <c r="D339" s="20"/>
      <c r="E339" s="20"/>
      <c r="F339" s="20"/>
      <c r="G339" s="22" t="str">
        <f>IF(A339="","",IF(A339&gt;=1,A339,IF(MAX($G$2:G338)=0,INT(SETTINGS!$B$4)+A339,INT(MAX($G$2:G338))+A339+IF(A339&lt;MOD(MAX($G$2:G338),1),1,0))))</f>
        <v/>
      </c>
      <c r="H339" s="23" t="str">
        <f>IF(D339="","",IF(IFERROR(VLOOKUP(D339,LISTS!$A$2:$E$10,3,FALSE),0)=0,0,IF(IFERROR(COUNTIFS($C$2:C338,C339,$H$2:H338,1,$G$2:G338,"&gt;="&amp;(G339-15/1440)),0)&gt;0,0,1)))</f>
        <v/>
      </c>
      <c r="I339" s="23" t="str">
        <f>IF(H339=1,C339&amp;"|"&amp;COUNTIFS($C$2:C339,C339,$H$2:H339,1),"")</f>
        <v/>
      </c>
      <c r="J339" s="23" t="str">
        <f>IF(D339="","",IF(A339="","Missing time",IF(D339="NO_SLOTS",IF(COUNTIF(PARTNERS!$A$2:$A$88,E339)=0,"Write the company in column E","OK"),IF(C339="","Missing phone",IF(COUNTIF(DESK!$F$2:$F$601,C339)=0,"Phone not found: copy it from your list",IF(AND(E339&lt;&gt;"",COUNTIFS(DESK!$F$2:$F$601,C339,DESK!$B$2:$B$601,E339)=0),"Company is not one of theirs","OK"))))))</f>
        <v/>
      </c>
    </row>
    <row r="340" spans="1:10" x14ac:dyDescent="0.35">
      <c r="A340" s="19"/>
      <c r="B340" s="20"/>
      <c r="C340" s="21"/>
      <c r="D340" s="20"/>
      <c r="E340" s="20"/>
      <c r="F340" s="20"/>
      <c r="G340" s="22" t="str">
        <f>IF(A340="","",IF(A340&gt;=1,A340,IF(MAX($G$2:G339)=0,INT(SETTINGS!$B$4)+A340,INT(MAX($G$2:G339))+A340+IF(A340&lt;MOD(MAX($G$2:G339),1),1,0))))</f>
        <v/>
      </c>
      <c r="H340" s="23" t="str">
        <f>IF(D340="","",IF(IFERROR(VLOOKUP(D340,LISTS!$A$2:$E$10,3,FALSE),0)=0,0,IF(IFERROR(COUNTIFS($C$2:C339,C340,$H$2:H339,1,$G$2:G339,"&gt;="&amp;(G340-15/1440)),0)&gt;0,0,1)))</f>
        <v/>
      </c>
      <c r="I340" s="23" t="str">
        <f>IF(H340=1,C340&amp;"|"&amp;COUNTIFS($C$2:C340,C340,$H$2:H340,1),"")</f>
        <v/>
      </c>
      <c r="J340" s="23" t="str">
        <f>IF(D340="","",IF(A340="","Missing time",IF(D340="NO_SLOTS",IF(COUNTIF(PARTNERS!$A$2:$A$88,E340)=0,"Write the company in column E","OK"),IF(C340="","Missing phone",IF(COUNTIF(DESK!$F$2:$F$601,C340)=0,"Phone not found: copy it from your list",IF(AND(E340&lt;&gt;"",COUNTIFS(DESK!$F$2:$F$601,C340,DESK!$B$2:$B$601,E340)=0),"Company is not one of theirs","OK"))))))</f>
        <v/>
      </c>
    </row>
    <row r="341" spans="1:10" x14ac:dyDescent="0.35">
      <c r="A341" s="19"/>
      <c r="B341" s="20"/>
      <c r="C341" s="21"/>
      <c r="D341" s="20"/>
      <c r="E341" s="20"/>
      <c r="F341" s="20"/>
      <c r="G341" s="22" t="str">
        <f>IF(A341="","",IF(A341&gt;=1,A341,IF(MAX($G$2:G340)=0,INT(SETTINGS!$B$4)+A341,INT(MAX($G$2:G340))+A341+IF(A341&lt;MOD(MAX($G$2:G340),1),1,0))))</f>
        <v/>
      </c>
      <c r="H341" s="23" t="str">
        <f>IF(D341="","",IF(IFERROR(VLOOKUP(D341,LISTS!$A$2:$E$10,3,FALSE),0)=0,0,IF(IFERROR(COUNTIFS($C$2:C340,C341,$H$2:H340,1,$G$2:G340,"&gt;="&amp;(G341-15/1440)),0)&gt;0,0,1)))</f>
        <v/>
      </c>
      <c r="I341" s="23" t="str">
        <f>IF(H341=1,C341&amp;"|"&amp;COUNTIFS($C$2:C341,C341,$H$2:H341,1),"")</f>
        <v/>
      </c>
      <c r="J341" s="23" t="str">
        <f>IF(D341="","",IF(A341="","Missing time",IF(D341="NO_SLOTS",IF(COUNTIF(PARTNERS!$A$2:$A$88,E341)=0,"Write the company in column E","OK"),IF(C341="","Missing phone",IF(COUNTIF(DESK!$F$2:$F$601,C341)=0,"Phone not found: copy it from your list",IF(AND(E341&lt;&gt;"",COUNTIFS(DESK!$F$2:$F$601,C341,DESK!$B$2:$B$601,E341)=0),"Company is not one of theirs","OK"))))))</f>
        <v/>
      </c>
    </row>
    <row r="342" spans="1:10" x14ac:dyDescent="0.35">
      <c r="A342" s="19"/>
      <c r="B342" s="20"/>
      <c r="C342" s="21"/>
      <c r="D342" s="20"/>
      <c r="E342" s="20"/>
      <c r="F342" s="20"/>
      <c r="G342" s="22" t="str">
        <f>IF(A342="","",IF(A342&gt;=1,A342,IF(MAX($G$2:G341)=0,INT(SETTINGS!$B$4)+A342,INT(MAX($G$2:G341))+A342+IF(A342&lt;MOD(MAX($G$2:G341),1),1,0))))</f>
        <v/>
      </c>
      <c r="H342" s="23" t="str">
        <f>IF(D342="","",IF(IFERROR(VLOOKUP(D342,LISTS!$A$2:$E$10,3,FALSE),0)=0,0,IF(IFERROR(COUNTIFS($C$2:C341,C342,$H$2:H341,1,$G$2:G341,"&gt;="&amp;(G342-15/1440)),0)&gt;0,0,1)))</f>
        <v/>
      </c>
      <c r="I342" s="23" t="str">
        <f>IF(H342=1,C342&amp;"|"&amp;COUNTIFS($C$2:C342,C342,$H$2:H342,1),"")</f>
        <v/>
      </c>
      <c r="J342" s="23" t="str">
        <f>IF(D342="","",IF(A342="","Missing time",IF(D342="NO_SLOTS",IF(COUNTIF(PARTNERS!$A$2:$A$88,E342)=0,"Write the company in column E","OK"),IF(C342="","Missing phone",IF(COUNTIF(DESK!$F$2:$F$601,C342)=0,"Phone not found: copy it from your list",IF(AND(E342&lt;&gt;"",COUNTIFS(DESK!$F$2:$F$601,C342,DESK!$B$2:$B$601,E342)=0),"Company is not one of theirs","OK"))))))</f>
        <v/>
      </c>
    </row>
    <row r="343" spans="1:10" x14ac:dyDescent="0.35">
      <c r="A343" s="19"/>
      <c r="B343" s="20"/>
      <c r="C343" s="21"/>
      <c r="D343" s="20"/>
      <c r="E343" s="20"/>
      <c r="F343" s="20"/>
      <c r="G343" s="22" t="str">
        <f>IF(A343="","",IF(A343&gt;=1,A343,IF(MAX($G$2:G342)=0,INT(SETTINGS!$B$4)+A343,INT(MAX($G$2:G342))+A343+IF(A343&lt;MOD(MAX($G$2:G342),1),1,0))))</f>
        <v/>
      </c>
      <c r="H343" s="23" t="str">
        <f>IF(D343="","",IF(IFERROR(VLOOKUP(D343,LISTS!$A$2:$E$10,3,FALSE),0)=0,0,IF(IFERROR(COUNTIFS($C$2:C342,C343,$H$2:H342,1,$G$2:G342,"&gt;="&amp;(G343-15/1440)),0)&gt;0,0,1)))</f>
        <v/>
      </c>
      <c r="I343" s="23" t="str">
        <f>IF(H343=1,C343&amp;"|"&amp;COUNTIFS($C$2:C343,C343,$H$2:H343,1),"")</f>
        <v/>
      </c>
      <c r="J343" s="23" t="str">
        <f>IF(D343="","",IF(A343="","Missing time",IF(D343="NO_SLOTS",IF(COUNTIF(PARTNERS!$A$2:$A$88,E343)=0,"Write the company in column E","OK"),IF(C343="","Missing phone",IF(COUNTIF(DESK!$F$2:$F$601,C343)=0,"Phone not found: copy it from your list",IF(AND(E343&lt;&gt;"",COUNTIFS(DESK!$F$2:$F$601,C343,DESK!$B$2:$B$601,E343)=0),"Company is not one of theirs","OK"))))))</f>
        <v/>
      </c>
    </row>
    <row r="344" spans="1:10" x14ac:dyDescent="0.35">
      <c r="A344" s="19"/>
      <c r="B344" s="20"/>
      <c r="C344" s="21"/>
      <c r="D344" s="20"/>
      <c r="E344" s="20"/>
      <c r="F344" s="20"/>
      <c r="G344" s="22" t="str">
        <f>IF(A344="","",IF(A344&gt;=1,A344,IF(MAX($G$2:G343)=0,INT(SETTINGS!$B$4)+A344,INT(MAX($G$2:G343))+A344+IF(A344&lt;MOD(MAX($G$2:G343),1),1,0))))</f>
        <v/>
      </c>
      <c r="H344" s="23" t="str">
        <f>IF(D344="","",IF(IFERROR(VLOOKUP(D344,LISTS!$A$2:$E$10,3,FALSE),0)=0,0,IF(IFERROR(COUNTIFS($C$2:C343,C344,$H$2:H343,1,$G$2:G343,"&gt;="&amp;(G344-15/1440)),0)&gt;0,0,1)))</f>
        <v/>
      </c>
      <c r="I344" s="23" t="str">
        <f>IF(H344=1,C344&amp;"|"&amp;COUNTIFS($C$2:C344,C344,$H$2:H344,1),"")</f>
        <v/>
      </c>
      <c r="J344" s="23" t="str">
        <f>IF(D344="","",IF(A344="","Missing time",IF(D344="NO_SLOTS",IF(COUNTIF(PARTNERS!$A$2:$A$88,E344)=0,"Write the company in column E","OK"),IF(C344="","Missing phone",IF(COUNTIF(DESK!$F$2:$F$601,C344)=0,"Phone not found: copy it from your list",IF(AND(E344&lt;&gt;"",COUNTIFS(DESK!$F$2:$F$601,C344,DESK!$B$2:$B$601,E344)=0),"Company is not one of theirs","OK"))))))</f>
        <v/>
      </c>
    </row>
    <row r="345" spans="1:10" x14ac:dyDescent="0.35">
      <c r="A345" s="19"/>
      <c r="B345" s="20"/>
      <c r="C345" s="21"/>
      <c r="D345" s="20"/>
      <c r="E345" s="20"/>
      <c r="F345" s="20"/>
      <c r="G345" s="22" t="str">
        <f>IF(A345="","",IF(A345&gt;=1,A345,IF(MAX($G$2:G344)=0,INT(SETTINGS!$B$4)+A345,INT(MAX($G$2:G344))+A345+IF(A345&lt;MOD(MAX($G$2:G344),1),1,0))))</f>
        <v/>
      </c>
      <c r="H345" s="23" t="str">
        <f>IF(D345="","",IF(IFERROR(VLOOKUP(D345,LISTS!$A$2:$E$10,3,FALSE),0)=0,0,IF(IFERROR(COUNTIFS($C$2:C344,C345,$H$2:H344,1,$G$2:G344,"&gt;="&amp;(G345-15/1440)),0)&gt;0,0,1)))</f>
        <v/>
      </c>
      <c r="I345" s="23" t="str">
        <f>IF(H345=1,C345&amp;"|"&amp;COUNTIFS($C$2:C345,C345,$H$2:H345,1),"")</f>
        <v/>
      </c>
      <c r="J345" s="23" t="str">
        <f>IF(D345="","",IF(A345="","Missing time",IF(D345="NO_SLOTS",IF(COUNTIF(PARTNERS!$A$2:$A$88,E345)=0,"Write the company in column E","OK"),IF(C345="","Missing phone",IF(COUNTIF(DESK!$F$2:$F$601,C345)=0,"Phone not found: copy it from your list",IF(AND(E345&lt;&gt;"",COUNTIFS(DESK!$F$2:$F$601,C345,DESK!$B$2:$B$601,E345)=0),"Company is not one of theirs","OK"))))))</f>
        <v/>
      </c>
    </row>
    <row r="346" spans="1:10" x14ac:dyDescent="0.35">
      <c r="A346" s="19"/>
      <c r="B346" s="20"/>
      <c r="C346" s="21"/>
      <c r="D346" s="20"/>
      <c r="E346" s="20"/>
      <c r="F346" s="20"/>
      <c r="G346" s="22" t="str">
        <f>IF(A346="","",IF(A346&gt;=1,A346,IF(MAX($G$2:G345)=0,INT(SETTINGS!$B$4)+A346,INT(MAX($G$2:G345))+A346+IF(A346&lt;MOD(MAX($G$2:G345),1),1,0))))</f>
        <v/>
      </c>
      <c r="H346" s="23" t="str">
        <f>IF(D346="","",IF(IFERROR(VLOOKUP(D346,LISTS!$A$2:$E$10,3,FALSE),0)=0,0,IF(IFERROR(COUNTIFS($C$2:C345,C346,$H$2:H345,1,$G$2:G345,"&gt;="&amp;(G346-15/1440)),0)&gt;0,0,1)))</f>
        <v/>
      </c>
      <c r="I346" s="23" t="str">
        <f>IF(H346=1,C346&amp;"|"&amp;COUNTIFS($C$2:C346,C346,$H$2:H346,1),"")</f>
        <v/>
      </c>
      <c r="J346" s="23" t="str">
        <f>IF(D346="","",IF(A346="","Missing time",IF(D346="NO_SLOTS",IF(COUNTIF(PARTNERS!$A$2:$A$88,E346)=0,"Write the company in column E","OK"),IF(C346="","Missing phone",IF(COUNTIF(DESK!$F$2:$F$601,C346)=0,"Phone not found: copy it from your list",IF(AND(E346&lt;&gt;"",COUNTIFS(DESK!$F$2:$F$601,C346,DESK!$B$2:$B$601,E346)=0),"Company is not one of theirs","OK"))))))</f>
        <v/>
      </c>
    </row>
    <row r="347" spans="1:10" x14ac:dyDescent="0.35">
      <c r="A347" s="19"/>
      <c r="B347" s="20"/>
      <c r="C347" s="21"/>
      <c r="D347" s="20"/>
      <c r="E347" s="20"/>
      <c r="F347" s="20"/>
      <c r="G347" s="22" t="str">
        <f>IF(A347="","",IF(A347&gt;=1,A347,IF(MAX($G$2:G346)=0,INT(SETTINGS!$B$4)+A347,INT(MAX($G$2:G346))+A347+IF(A347&lt;MOD(MAX($G$2:G346),1),1,0))))</f>
        <v/>
      </c>
      <c r="H347" s="23" t="str">
        <f>IF(D347="","",IF(IFERROR(VLOOKUP(D347,LISTS!$A$2:$E$10,3,FALSE),0)=0,0,IF(IFERROR(COUNTIFS($C$2:C346,C347,$H$2:H346,1,$G$2:G346,"&gt;="&amp;(G347-15/1440)),0)&gt;0,0,1)))</f>
        <v/>
      </c>
      <c r="I347" s="23" t="str">
        <f>IF(H347=1,C347&amp;"|"&amp;COUNTIFS($C$2:C347,C347,$H$2:H347,1),"")</f>
        <v/>
      </c>
      <c r="J347" s="23" t="str">
        <f>IF(D347="","",IF(A347="","Missing time",IF(D347="NO_SLOTS",IF(COUNTIF(PARTNERS!$A$2:$A$88,E347)=0,"Write the company in column E","OK"),IF(C347="","Missing phone",IF(COUNTIF(DESK!$F$2:$F$601,C347)=0,"Phone not found: copy it from your list",IF(AND(E347&lt;&gt;"",COUNTIFS(DESK!$F$2:$F$601,C347,DESK!$B$2:$B$601,E347)=0),"Company is not one of theirs","OK"))))))</f>
        <v/>
      </c>
    </row>
    <row r="348" spans="1:10" x14ac:dyDescent="0.35">
      <c r="A348" s="19"/>
      <c r="B348" s="20"/>
      <c r="C348" s="21"/>
      <c r="D348" s="20"/>
      <c r="E348" s="20"/>
      <c r="F348" s="20"/>
      <c r="G348" s="22" t="str">
        <f>IF(A348="","",IF(A348&gt;=1,A348,IF(MAX($G$2:G347)=0,INT(SETTINGS!$B$4)+A348,INT(MAX($G$2:G347))+A348+IF(A348&lt;MOD(MAX($G$2:G347),1),1,0))))</f>
        <v/>
      </c>
      <c r="H348" s="23" t="str">
        <f>IF(D348="","",IF(IFERROR(VLOOKUP(D348,LISTS!$A$2:$E$10,3,FALSE),0)=0,0,IF(IFERROR(COUNTIFS($C$2:C347,C348,$H$2:H347,1,$G$2:G347,"&gt;="&amp;(G348-15/1440)),0)&gt;0,0,1)))</f>
        <v/>
      </c>
      <c r="I348" s="23" t="str">
        <f>IF(H348=1,C348&amp;"|"&amp;COUNTIFS($C$2:C348,C348,$H$2:H348,1),"")</f>
        <v/>
      </c>
      <c r="J348" s="23" t="str">
        <f>IF(D348="","",IF(A348="","Missing time",IF(D348="NO_SLOTS",IF(COUNTIF(PARTNERS!$A$2:$A$88,E348)=0,"Write the company in column E","OK"),IF(C348="","Missing phone",IF(COUNTIF(DESK!$F$2:$F$601,C348)=0,"Phone not found: copy it from your list",IF(AND(E348&lt;&gt;"",COUNTIFS(DESK!$F$2:$F$601,C348,DESK!$B$2:$B$601,E348)=0),"Company is not one of theirs","OK"))))))</f>
        <v/>
      </c>
    </row>
    <row r="349" spans="1:10" x14ac:dyDescent="0.35">
      <c r="A349" s="19"/>
      <c r="B349" s="20"/>
      <c r="C349" s="21"/>
      <c r="D349" s="20"/>
      <c r="E349" s="20"/>
      <c r="F349" s="20"/>
      <c r="G349" s="22" t="str">
        <f>IF(A349="","",IF(A349&gt;=1,A349,IF(MAX($G$2:G348)=0,INT(SETTINGS!$B$4)+A349,INT(MAX($G$2:G348))+A349+IF(A349&lt;MOD(MAX($G$2:G348),1),1,0))))</f>
        <v/>
      </c>
      <c r="H349" s="23" t="str">
        <f>IF(D349="","",IF(IFERROR(VLOOKUP(D349,LISTS!$A$2:$E$10,3,FALSE),0)=0,0,IF(IFERROR(COUNTIFS($C$2:C348,C349,$H$2:H348,1,$G$2:G348,"&gt;="&amp;(G349-15/1440)),0)&gt;0,0,1)))</f>
        <v/>
      </c>
      <c r="I349" s="23" t="str">
        <f>IF(H349=1,C349&amp;"|"&amp;COUNTIFS($C$2:C349,C349,$H$2:H349,1),"")</f>
        <v/>
      </c>
      <c r="J349" s="23" t="str">
        <f>IF(D349="","",IF(A349="","Missing time",IF(D349="NO_SLOTS",IF(COUNTIF(PARTNERS!$A$2:$A$88,E349)=0,"Write the company in column E","OK"),IF(C349="","Missing phone",IF(COUNTIF(DESK!$F$2:$F$601,C349)=0,"Phone not found: copy it from your list",IF(AND(E349&lt;&gt;"",COUNTIFS(DESK!$F$2:$F$601,C349,DESK!$B$2:$B$601,E349)=0),"Company is not one of theirs","OK"))))))</f>
        <v/>
      </c>
    </row>
    <row r="350" spans="1:10" x14ac:dyDescent="0.35">
      <c r="A350" s="19"/>
      <c r="B350" s="20"/>
      <c r="C350" s="21"/>
      <c r="D350" s="20"/>
      <c r="E350" s="20"/>
      <c r="F350" s="20"/>
      <c r="G350" s="22" t="str">
        <f>IF(A350="","",IF(A350&gt;=1,A350,IF(MAX($G$2:G349)=0,INT(SETTINGS!$B$4)+A350,INT(MAX($G$2:G349))+A350+IF(A350&lt;MOD(MAX($G$2:G349),1),1,0))))</f>
        <v/>
      </c>
      <c r="H350" s="23" t="str">
        <f>IF(D350="","",IF(IFERROR(VLOOKUP(D350,LISTS!$A$2:$E$10,3,FALSE),0)=0,0,IF(IFERROR(COUNTIFS($C$2:C349,C350,$H$2:H349,1,$G$2:G349,"&gt;="&amp;(G350-15/1440)),0)&gt;0,0,1)))</f>
        <v/>
      </c>
      <c r="I350" s="23" t="str">
        <f>IF(H350=1,C350&amp;"|"&amp;COUNTIFS($C$2:C350,C350,$H$2:H350,1),"")</f>
        <v/>
      </c>
      <c r="J350" s="23" t="str">
        <f>IF(D350="","",IF(A350="","Missing time",IF(D350="NO_SLOTS",IF(COUNTIF(PARTNERS!$A$2:$A$88,E350)=0,"Write the company in column E","OK"),IF(C350="","Missing phone",IF(COUNTIF(DESK!$F$2:$F$601,C350)=0,"Phone not found: copy it from your list",IF(AND(E350&lt;&gt;"",COUNTIFS(DESK!$F$2:$F$601,C350,DESK!$B$2:$B$601,E350)=0),"Company is not one of theirs","OK"))))))</f>
        <v/>
      </c>
    </row>
    <row r="351" spans="1:10" x14ac:dyDescent="0.35">
      <c r="A351" s="19"/>
      <c r="B351" s="20"/>
      <c r="C351" s="21"/>
      <c r="D351" s="20"/>
      <c r="E351" s="20"/>
      <c r="F351" s="20"/>
      <c r="G351" s="22" t="str">
        <f>IF(A351="","",IF(A351&gt;=1,A351,IF(MAX($G$2:G350)=0,INT(SETTINGS!$B$4)+A351,INT(MAX($G$2:G350))+A351+IF(A351&lt;MOD(MAX($G$2:G350),1),1,0))))</f>
        <v/>
      </c>
      <c r="H351" s="23" t="str">
        <f>IF(D351="","",IF(IFERROR(VLOOKUP(D351,LISTS!$A$2:$E$10,3,FALSE),0)=0,0,IF(IFERROR(COUNTIFS($C$2:C350,C351,$H$2:H350,1,$G$2:G350,"&gt;="&amp;(G351-15/1440)),0)&gt;0,0,1)))</f>
        <v/>
      </c>
      <c r="I351" s="23" t="str">
        <f>IF(H351=1,C351&amp;"|"&amp;COUNTIFS($C$2:C351,C351,$H$2:H351,1),"")</f>
        <v/>
      </c>
      <c r="J351" s="23" t="str">
        <f>IF(D351="","",IF(A351="","Missing time",IF(D351="NO_SLOTS",IF(COUNTIF(PARTNERS!$A$2:$A$88,E351)=0,"Write the company in column E","OK"),IF(C351="","Missing phone",IF(COUNTIF(DESK!$F$2:$F$601,C351)=0,"Phone not found: copy it from your list",IF(AND(E351&lt;&gt;"",COUNTIFS(DESK!$F$2:$F$601,C351,DESK!$B$2:$B$601,E351)=0),"Company is not one of theirs","OK"))))))</f>
        <v/>
      </c>
    </row>
    <row r="352" spans="1:10" x14ac:dyDescent="0.35">
      <c r="A352" s="19"/>
      <c r="B352" s="20"/>
      <c r="C352" s="21"/>
      <c r="D352" s="20"/>
      <c r="E352" s="20"/>
      <c r="F352" s="20"/>
      <c r="G352" s="22" t="str">
        <f>IF(A352="","",IF(A352&gt;=1,A352,IF(MAX($G$2:G351)=0,INT(SETTINGS!$B$4)+A352,INT(MAX($G$2:G351))+A352+IF(A352&lt;MOD(MAX($G$2:G351),1),1,0))))</f>
        <v/>
      </c>
      <c r="H352" s="23" t="str">
        <f>IF(D352="","",IF(IFERROR(VLOOKUP(D352,LISTS!$A$2:$E$10,3,FALSE),0)=0,0,IF(IFERROR(COUNTIFS($C$2:C351,C352,$H$2:H351,1,$G$2:G351,"&gt;="&amp;(G352-15/1440)),0)&gt;0,0,1)))</f>
        <v/>
      </c>
      <c r="I352" s="23" t="str">
        <f>IF(H352=1,C352&amp;"|"&amp;COUNTIFS($C$2:C352,C352,$H$2:H352,1),"")</f>
        <v/>
      </c>
      <c r="J352" s="23" t="str">
        <f>IF(D352="","",IF(A352="","Missing time",IF(D352="NO_SLOTS",IF(COUNTIF(PARTNERS!$A$2:$A$88,E352)=0,"Write the company in column E","OK"),IF(C352="","Missing phone",IF(COUNTIF(DESK!$F$2:$F$601,C352)=0,"Phone not found: copy it from your list",IF(AND(E352&lt;&gt;"",COUNTIFS(DESK!$F$2:$F$601,C352,DESK!$B$2:$B$601,E352)=0),"Company is not one of theirs","OK"))))))</f>
        <v/>
      </c>
    </row>
    <row r="353" spans="1:10" x14ac:dyDescent="0.35">
      <c r="A353" s="19"/>
      <c r="B353" s="20"/>
      <c r="C353" s="21"/>
      <c r="D353" s="20"/>
      <c r="E353" s="20"/>
      <c r="F353" s="20"/>
      <c r="G353" s="22" t="str">
        <f>IF(A353="","",IF(A353&gt;=1,A353,IF(MAX($G$2:G352)=0,INT(SETTINGS!$B$4)+A353,INT(MAX($G$2:G352))+A353+IF(A353&lt;MOD(MAX($G$2:G352),1),1,0))))</f>
        <v/>
      </c>
      <c r="H353" s="23" t="str">
        <f>IF(D353="","",IF(IFERROR(VLOOKUP(D353,LISTS!$A$2:$E$10,3,FALSE),0)=0,0,IF(IFERROR(COUNTIFS($C$2:C352,C353,$H$2:H352,1,$G$2:G352,"&gt;="&amp;(G353-15/1440)),0)&gt;0,0,1)))</f>
        <v/>
      </c>
      <c r="I353" s="23" t="str">
        <f>IF(H353=1,C353&amp;"|"&amp;COUNTIFS($C$2:C353,C353,$H$2:H353,1),"")</f>
        <v/>
      </c>
      <c r="J353" s="23" t="str">
        <f>IF(D353="","",IF(A353="","Missing time",IF(D353="NO_SLOTS",IF(COUNTIF(PARTNERS!$A$2:$A$88,E353)=0,"Write the company in column E","OK"),IF(C353="","Missing phone",IF(COUNTIF(DESK!$F$2:$F$601,C353)=0,"Phone not found: copy it from your list",IF(AND(E353&lt;&gt;"",COUNTIFS(DESK!$F$2:$F$601,C353,DESK!$B$2:$B$601,E353)=0),"Company is not one of theirs","OK"))))))</f>
        <v/>
      </c>
    </row>
    <row r="354" spans="1:10" x14ac:dyDescent="0.35">
      <c r="A354" s="19"/>
      <c r="B354" s="20"/>
      <c r="C354" s="21"/>
      <c r="D354" s="20"/>
      <c r="E354" s="20"/>
      <c r="F354" s="20"/>
      <c r="G354" s="22" t="str">
        <f>IF(A354="","",IF(A354&gt;=1,A354,IF(MAX($G$2:G353)=0,INT(SETTINGS!$B$4)+A354,INT(MAX($G$2:G353))+A354+IF(A354&lt;MOD(MAX($G$2:G353),1),1,0))))</f>
        <v/>
      </c>
      <c r="H354" s="23" t="str">
        <f>IF(D354="","",IF(IFERROR(VLOOKUP(D354,LISTS!$A$2:$E$10,3,FALSE),0)=0,0,IF(IFERROR(COUNTIFS($C$2:C353,C354,$H$2:H353,1,$G$2:G353,"&gt;="&amp;(G354-15/1440)),0)&gt;0,0,1)))</f>
        <v/>
      </c>
      <c r="I354" s="23" t="str">
        <f>IF(H354=1,C354&amp;"|"&amp;COUNTIFS($C$2:C354,C354,$H$2:H354,1),"")</f>
        <v/>
      </c>
      <c r="J354" s="23" t="str">
        <f>IF(D354="","",IF(A354="","Missing time",IF(D354="NO_SLOTS",IF(COUNTIF(PARTNERS!$A$2:$A$88,E354)=0,"Write the company in column E","OK"),IF(C354="","Missing phone",IF(COUNTIF(DESK!$F$2:$F$601,C354)=0,"Phone not found: copy it from your list",IF(AND(E354&lt;&gt;"",COUNTIFS(DESK!$F$2:$F$601,C354,DESK!$B$2:$B$601,E354)=0),"Company is not one of theirs","OK"))))))</f>
        <v/>
      </c>
    </row>
    <row r="355" spans="1:10" x14ac:dyDescent="0.35">
      <c r="A355" s="19"/>
      <c r="B355" s="20"/>
      <c r="C355" s="21"/>
      <c r="D355" s="20"/>
      <c r="E355" s="20"/>
      <c r="F355" s="20"/>
      <c r="G355" s="22" t="str">
        <f>IF(A355="","",IF(A355&gt;=1,A355,IF(MAX($G$2:G354)=0,INT(SETTINGS!$B$4)+A355,INT(MAX($G$2:G354))+A355+IF(A355&lt;MOD(MAX($G$2:G354),1),1,0))))</f>
        <v/>
      </c>
      <c r="H355" s="23" t="str">
        <f>IF(D355="","",IF(IFERROR(VLOOKUP(D355,LISTS!$A$2:$E$10,3,FALSE),0)=0,0,IF(IFERROR(COUNTIFS($C$2:C354,C355,$H$2:H354,1,$G$2:G354,"&gt;="&amp;(G355-15/1440)),0)&gt;0,0,1)))</f>
        <v/>
      </c>
      <c r="I355" s="23" t="str">
        <f>IF(H355=1,C355&amp;"|"&amp;COUNTIFS($C$2:C355,C355,$H$2:H355,1),"")</f>
        <v/>
      </c>
      <c r="J355" s="23" t="str">
        <f>IF(D355="","",IF(A355="","Missing time",IF(D355="NO_SLOTS",IF(COUNTIF(PARTNERS!$A$2:$A$88,E355)=0,"Write the company in column E","OK"),IF(C355="","Missing phone",IF(COUNTIF(DESK!$F$2:$F$601,C355)=0,"Phone not found: copy it from your list",IF(AND(E355&lt;&gt;"",COUNTIFS(DESK!$F$2:$F$601,C355,DESK!$B$2:$B$601,E355)=0),"Company is not one of theirs","OK"))))))</f>
        <v/>
      </c>
    </row>
    <row r="356" spans="1:10" x14ac:dyDescent="0.35">
      <c r="A356" s="19"/>
      <c r="B356" s="20"/>
      <c r="C356" s="21"/>
      <c r="D356" s="20"/>
      <c r="E356" s="20"/>
      <c r="F356" s="20"/>
      <c r="G356" s="22" t="str">
        <f>IF(A356="","",IF(A356&gt;=1,A356,IF(MAX($G$2:G355)=0,INT(SETTINGS!$B$4)+A356,INT(MAX($G$2:G355))+A356+IF(A356&lt;MOD(MAX($G$2:G355),1),1,0))))</f>
        <v/>
      </c>
      <c r="H356" s="23" t="str">
        <f>IF(D356="","",IF(IFERROR(VLOOKUP(D356,LISTS!$A$2:$E$10,3,FALSE),0)=0,0,IF(IFERROR(COUNTIFS($C$2:C355,C356,$H$2:H355,1,$G$2:G355,"&gt;="&amp;(G356-15/1440)),0)&gt;0,0,1)))</f>
        <v/>
      </c>
      <c r="I356" s="23" t="str">
        <f>IF(H356=1,C356&amp;"|"&amp;COUNTIFS($C$2:C356,C356,$H$2:H356,1),"")</f>
        <v/>
      </c>
      <c r="J356" s="23" t="str">
        <f>IF(D356="","",IF(A356="","Missing time",IF(D356="NO_SLOTS",IF(COUNTIF(PARTNERS!$A$2:$A$88,E356)=0,"Write the company in column E","OK"),IF(C356="","Missing phone",IF(COUNTIF(DESK!$F$2:$F$601,C356)=0,"Phone not found: copy it from your list",IF(AND(E356&lt;&gt;"",COUNTIFS(DESK!$F$2:$F$601,C356,DESK!$B$2:$B$601,E356)=0),"Company is not one of theirs","OK"))))))</f>
        <v/>
      </c>
    </row>
    <row r="357" spans="1:10" x14ac:dyDescent="0.35">
      <c r="A357" s="19"/>
      <c r="B357" s="20"/>
      <c r="C357" s="21"/>
      <c r="D357" s="20"/>
      <c r="E357" s="20"/>
      <c r="F357" s="20"/>
      <c r="G357" s="22" t="str">
        <f>IF(A357="","",IF(A357&gt;=1,A357,IF(MAX($G$2:G356)=0,INT(SETTINGS!$B$4)+A357,INT(MAX($G$2:G356))+A357+IF(A357&lt;MOD(MAX($G$2:G356),1),1,0))))</f>
        <v/>
      </c>
      <c r="H357" s="23" t="str">
        <f>IF(D357="","",IF(IFERROR(VLOOKUP(D357,LISTS!$A$2:$E$10,3,FALSE),0)=0,0,IF(IFERROR(COUNTIFS($C$2:C356,C357,$H$2:H356,1,$G$2:G356,"&gt;="&amp;(G357-15/1440)),0)&gt;0,0,1)))</f>
        <v/>
      </c>
      <c r="I357" s="23" t="str">
        <f>IF(H357=1,C357&amp;"|"&amp;COUNTIFS($C$2:C357,C357,$H$2:H357,1),"")</f>
        <v/>
      </c>
      <c r="J357" s="23" t="str">
        <f>IF(D357="","",IF(A357="","Missing time",IF(D357="NO_SLOTS",IF(COUNTIF(PARTNERS!$A$2:$A$88,E357)=0,"Write the company in column E","OK"),IF(C357="","Missing phone",IF(COUNTIF(DESK!$F$2:$F$601,C357)=0,"Phone not found: copy it from your list",IF(AND(E357&lt;&gt;"",COUNTIFS(DESK!$F$2:$F$601,C357,DESK!$B$2:$B$601,E357)=0),"Company is not one of theirs","OK"))))))</f>
        <v/>
      </c>
    </row>
    <row r="358" spans="1:10" x14ac:dyDescent="0.35">
      <c r="A358" s="19"/>
      <c r="B358" s="20"/>
      <c r="C358" s="21"/>
      <c r="D358" s="20"/>
      <c r="E358" s="20"/>
      <c r="F358" s="20"/>
      <c r="G358" s="22" t="str">
        <f>IF(A358="","",IF(A358&gt;=1,A358,IF(MAX($G$2:G357)=0,INT(SETTINGS!$B$4)+A358,INT(MAX($G$2:G357))+A358+IF(A358&lt;MOD(MAX($G$2:G357),1),1,0))))</f>
        <v/>
      </c>
      <c r="H358" s="23" t="str">
        <f>IF(D358="","",IF(IFERROR(VLOOKUP(D358,LISTS!$A$2:$E$10,3,FALSE),0)=0,0,IF(IFERROR(COUNTIFS($C$2:C357,C358,$H$2:H357,1,$G$2:G357,"&gt;="&amp;(G358-15/1440)),0)&gt;0,0,1)))</f>
        <v/>
      </c>
      <c r="I358" s="23" t="str">
        <f>IF(H358=1,C358&amp;"|"&amp;COUNTIFS($C$2:C358,C358,$H$2:H358,1),"")</f>
        <v/>
      </c>
      <c r="J358" s="23" t="str">
        <f>IF(D358="","",IF(A358="","Missing time",IF(D358="NO_SLOTS",IF(COUNTIF(PARTNERS!$A$2:$A$88,E358)=0,"Write the company in column E","OK"),IF(C358="","Missing phone",IF(COUNTIF(DESK!$F$2:$F$601,C358)=0,"Phone not found: copy it from your list",IF(AND(E358&lt;&gt;"",COUNTIFS(DESK!$F$2:$F$601,C358,DESK!$B$2:$B$601,E358)=0),"Company is not one of theirs","OK"))))))</f>
        <v/>
      </c>
    </row>
    <row r="359" spans="1:10" x14ac:dyDescent="0.35">
      <c r="A359" s="19"/>
      <c r="B359" s="20"/>
      <c r="C359" s="21"/>
      <c r="D359" s="20"/>
      <c r="E359" s="20"/>
      <c r="F359" s="20"/>
      <c r="G359" s="22" t="str">
        <f>IF(A359="","",IF(A359&gt;=1,A359,IF(MAX($G$2:G358)=0,INT(SETTINGS!$B$4)+A359,INT(MAX($G$2:G358))+A359+IF(A359&lt;MOD(MAX($G$2:G358),1),1,0))))</f>
        <v/>
      </c>
      <c r="H359" s="23" t="str">
        <f>IF(D359="","",IF(IFERROR(VLOOKUP(D359,LISTS!$A$2:$E$10,3,FALSE),0)=0,0,IF(IFERROR(COUNTIFS($C$2:C358,C359,$H$2:H358,1,$G$2:G358,"&gt;="&amp;(G359-15/1440)),0)&gt;0,0,1)))</f>
        <v/>
      </c>
      <c r="I359" s="23" t="str">
        <f>IF(H359=1,C359&amp;"|"&amp;COUNTIFS($C$2:C359,C359,$H$2:H359,1),"")</f>
        <v/>
      </c>
      <c r="J359" s="23" t="str">
        <f>IF(D359="","",IF(A359="","Missing time",IF(D359="NO_SLOTS",IF(COUNTIF(PARTNERS!$A$2:$A$88,E359)=0,"Write the company in column E","OK"),IF(C359="","Missing phone",IF(COUNTIF(DESK!$F$2:$F$601,C359)=0,"Phone not found: copy it from your list",IF(AND(E359&lt;&gt;"",COUNTIFS(DESK!$F$2:$F$601,C359,DESK!$B$2:$B$601,E359)=0),"Company is not one of theirs","OK"))))))</f>
        <v/>
      </c>
    </row>
    <row r="360" spans="1:10" x14ac:dyDescent="0.35">
      <c r="A360" s="19"/>
      <c r="B360" s="20"/>
      <c r="C360" s="21"/>
      <c r="D360" s="20"/>
      <c r="E360" s="20"/>
      <c r="F360" s="20"/>
      <c r="G360" s="22" t="str">
        <f>IF(A360="","",IF(A360&gt;=1,A360,IF(MAX($G$2:G359)=0,INT(SETTINGS!$B$4)+A360,INT(MAX($G$2:G359))+A360+IF(A360&lt;MOD(MAX($G$2:G359),1),1,0))))</f>
        <v/>
      </c>
      <c r="H360" s="23" t="str">
        <f>IF(D360="","",IF(IFERROR(VLOOKUP(D360,LISTS!$A$2:$E$10,3,FALSE),0)=0,0,IF(IFERROR(COUNTIFS($C$2:C359,C360,$H$2:H359,1,$G$2:G359,"&gt;="&amp;(G360-15/1440)),0)&gt;0,0,1)))</f>
        <v/>
      </c>
      <c r="I360" s="23" t="str">
        <f>IF(H360=1,C360&amp;"|"&amp;COUNTIFS($C$2:C360,C360,$H$2:H360,1),"")</f>
        <v/>
      </c>
      <c r="J360" s="23" t="str">
        <f>IF(D360="","",IF(A360="","Missing time",IF(D360="NO_SLOTS",IF(COUNTIF(PARTNERS!$A$2:$A$88,E360)=0,"Write the company in column E","OK"),IF(C360="","Missing phone",IF(COUNTIF(DESK!$F$2:$F$601,C360)=0,"Phone not found: copy it from your list",IF(AND(E360&lt;&gt;"",COUNTIFS(DESK!$F$2:$F$601,C360,DESK!$B$2:$B$601,E360)=0),"Company is not one of theirs","OK"))))))</f>
        <v/>
      </c>
    </row>
    <row r="361" spans="1:10" x14ac:dyDescent="0.35">
      <c r="A361" s="19"/>
      <c r="B361" s="20"/>
      <c r="C361" s="21"/>
      <c r="D361" s="20"/>
      <c r="E361" s="20"/>
      <c r="F361" s="20"/>
      <c r="G361" s="22" t="str">
        <f>IF(A361="","",IF(A361&gt;=1,A361,IF(MAX($G$2:G360)=0,INT(SETTINGS!$B$4)+A361,INT(MAX($G$2:G360))+A361+IF(A361&lt;MOD(MAX($G$2:G360),1),1,0))))</f>
        <v/>
      </c>
      <c r="H361" s="23" t="str">
        <f>IF(D361="","",IF(IFERROR(VLOOKUP(D361,LISTS!$A$2:$E$10,3,FALSE),0)=0,0,IF(IFERROR(COUNTIFS($C$2:C360,C361,$H$2:H360,1,$G$2:G360,"&gt;="&amp;(G361-15/1440)),0)&gt;0,0,1)))</f>
        <v/>
      </c>
      <c r="I361" s="23" t="str">
        <f>IF(H361=1,C361&amp;"|"&amp;COUNTIFS($C$2:C361,C361,$H$2:H361,1),"")</f>
        <v/>
      </c>
      <c r="J361" s="23" t="str">
        <f>IF(D361="","",IF(A361="","Missing time",IF(D361="NO_SLOTS",IF(COUNTIF(PARTNERS!$A$2:$A$88,E361)=0,"Write the company in column E","OK"),IF(C361="","Missing phone",IF(COUNTIF(DESK!$F$2:$F$601,C361)=0,"Phone not found: copy it from your list",IF(AND(E361&lt;&gt;"",COUNTIFS(DESK!$F$2:$F$601,C361,DESK!$B$2:$B$601,E361)=0),"Company is not one of theirs","OK"))))))</f>
        <v/>
      </c>
    </row>
    <row r="362" spans="1:10"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time",IF(D362="NO_SLOTS",IF(COUNTIF(PARTNERS!$A$2:$A$88,E362)=0,"Write the company in column E","OK"),IF(C362="","Missing phone",IF(COUNTIF(DESK!$F$2:$F$601,C362)=0,"Phone not found: copy it from your list",IF(AND(E362&lt;&gt;"",COUNTIFS(DESK!$F$2:$F$601,C362,DESK!$B$2:$B$601,E362)=0),"Company is not one of theirs","OK"))))))</f>
        <v/>
      </c>
    </row>
    <row r="363" spans="1:10"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time",IF(D363="NO_SLOTS",IF(COUNTIF(PARTNERS!$A$2:$A$88,E363)=0,"Write the company in column E","OK"),IF(C363="","Missing phone",IF(COUNTIF(DESK!$F$2:$F$601,C363)=0,"Phone not found: copy it from your list",IF(AND(E363&lt;&gt;"",COUNTIFS(DESK!$F$2:$F$601,C363,DESK!$B$2:$B$601,E363)=0),"Company is not one of theirs","OK"))))))</f>
        <v/>
      </c>
    </row>
    <row r="364" spans="1:10"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time",IF(D364="NO_SLOTS",IF(COUNTIF(PARTNERS!$A$2:$A$88,E364)=0,"Write the company in column E","OK"),IF(C364="","Missing phone",IF(COUNTIF(DESK!$F$2:$F$601,C364)=0,"Phone not found: copy it from your list",IF(AND(E364&lt;&gt;"",COUNTIFS(DESK!$F$2:$F$601,C364,DESK!$B$2:$B$601,E364)=0),"Company is not one of theirs","OK"))))))</f>
        <v/>
      </c>
    </row>
    <row r="365" spans="1:10"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time",IF(D365="NO_SLOTS",IF(COUNTIF(PARTNERS!$A$2:$A$88,E365)=0,"Write the company in column E","OK"),IF(C365="","Missing phone",IF(COUNTIF(DESK!$F$2:$F$601,C365)=0,"Phone not found: copy it from your list",IF(AND(E365&lt;&gt;"",COUNTIFS(DESK!$F$2:$F$601,C365,DESK!$B$2:$B$601,E365)=0),"Company is not one of theirs","OK"))))))</f>
        <v/>
      </c>
    </row>
    <row r="366" spans="1:10"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time",IF(D366="NO_SLOTS",IF(COUNTIF(PARTNERS!$A$2:$A$88,E366)=0,"Write the company in column E","OK"),IF(C366="","Missing phone",IF(COUNTIF(DESK!$F$2:$F$601,C366)=0,"Phone not found: copy it from your list",IF(AND(E366&lt;&gt;"",COUNTIFS(DESK!$F$2:$F$601,C366,DESK!$B$2:$B$601,E366)=0),"Company is not one of theirs","OK"))))))</f>
        <v/>
      </c>
    </row>
    <row r="367" spans="1:10"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time",IF(D367="NO_SLOTS",IF(COUNTIF(PARTNERS!$A$2:$A$88,E367)=0,"Write the company in column E","OK"),IF(C367="","Missing phone",IF(COUNTIF(DESK!$F$2:$F$601,C367)=0,"Phone not found: copy it from your list",IF(AND(E367&lt;&gt;"",COUNTIFS(DESK!$F$2:$F$601,C367,DESK!$B$2:$B$601,E367)=0),"Company is not one of theirs","OK"))))))</f>
        <v/>
      </c>
    </row>
    <row r="368" spans="1:10"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time",IF(D368="NO_SLOTS",IF(COUNTIF(PARTNERS!$A$2:$A$88,E368)=0,"Write the company in column E","OK"),IF(C368="","Missing phone",IF(COUNTIF(DESK!$F$2:$F$601,C368)=0,"Phone not found: copy it from your list",IF(AND(E368&lt;&gt;"",COUNTIFS(DESK!$F$2:$F$601,C368,DESK!$B$2:$B$601,E368)=0),"Company is not one of theirs","OK"))))))</f>
        <v/>
      </c>
    </row>
    <row r="369" spans="1:10"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time",IF(D369="NO_SLOTS",IF(COUNTIF(PARTNERS!$A$2:$A$88,E369)=0,"Write the company in column E","OK"),IF(C369="","Missing phone",IF(COUNTIF(DESK!$F$2:$F$601,C369)=0,"Phone not found: copy it from your list",IF(AND(E369&lt;&gt;"",COUNTIFS(DESK!$F$2:$F$601,C369,DESK!$B$2:$B$601,E369)=0),"Company is not one of theirs","OK"))))))</f>
        <v/>
      </c>
    </row>
    <row r="370" spans="1:10"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time",IF(D370="NO_SLOTS",IF(COUNTIF(PARTNERS!$A$2:$A$88,E370)=0,"Write the company in column E","OK"),IF(C370="","Missing phone",IF(COUNTIF(DESK!$F$2:$F$601,C370)=0,"Phone not found: copy it from your list",IF(AND(E370&lt;&gt;"",COUNTIFS(DESK!$F$2:$F$601,C370,DESK!$B$2:$B$601,E370)=0),"Company is not one of theirs","OK"))))))</f>
        <v/>
      </c>
    </row>
    <row r="371" spans="1:10"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time",IF(D371="NO_SLOTS",IF(COUNTIF(PARTNERS!$A$2:$A$88,E371)=0,"Write the company in column E","OK"),IF(C371="","Missing phone",IF(COUNTIF(DESK!$F$2:$F$601,C371)=0,"Phone not found: copy it from your list",IF(AND(E371&lt;&gt;"",COUNTIFS(DESK!$F$2:$F$601,C371,DESK!$B$2:$B$601,E371)=0),"Company is not one of theirs","OK"))))))</f>
        <v/>
      </c>
    </row>
    <row r="372" spans="1:10"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time",IF(D372="NO_SLOTS",IF(COUNTIF(PARTNERS!$A$2:$A$88,E372)=0,"Write the company in column E","OK"),IF(C372="","Missing phone",IF(COUNTIF(DESK!$F$2:$F$601,C372)=0,"Phone not found: copy it from your list",IF(AND(E372&lt;&gt;"",COUNTIFS(DESK!$F$2:$F$601,C372,DESK!$B$2:$B$601,E372)=0),"Company is not one of theirs","OK"))))))</f>
        <v/>
      </c>
    </row>
    <row r="373" spans="1:10"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time",IF(D373="NO_SLOTS",IF(COUNTIF(PARTNERS!$A$2:$A$88,E373)=0,"Write the company in column E","OK"),IF(C373="","Missing phone",IF(COUNTIF(DESK!$F$2:$F$601,C373)=0,"Phone not found: copy it from your list",IF(AND(E373&lt;&gt;"",COUNTIFS(DESK!$F$2:$F$601,C373,DESK!$B$2:$B$601,E373)=0),"Company is not one of theirs","OK"))))))</f>
        <v/>
      </c>
    </row>
    <row r="374" spans="1:10"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time",IF(D374="NO_SLOTS",IF(COUNTIF(PARTNERS!$A$2:$A$88,E374)=0,"Write the company in column E","OK"),IF(C374="","Missing phone",IF(COUNTIF(DESK!$F$2:$F$601,C374)=0,"Phone not found: copy it from your list",IF(AND(E374&lt;&gt;"",COUNTIFS(DESK!$F$2:$F$601,C374,DESK!$B$2:$B$601,E374)=0),"Company is not one of theirs","OK"))))))</f>
        <v/>
      </c>
    </row>
    <row r="375" spans="1:10"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time",IF(D375="NO_SLOTS",IF(COUNTIF(PARTNERS!$A$2:$A$88,E375)=0,"Write the company in column E","OK"),IF(C375="","Missing phone",IF(COUNTIF(DESK!$F$2:$F$601,C375)=0,"Phone not found: copy it from your list",IF(AND(E375&lt;&gt;"",COUNTIFS(DESK!$F$2:$F$601,C375,DESK!$B$2:$B$601,E375)=0),"Company is not one of theirs","OK"))))))</f>
        <v/>
      </c>
    </row>
    <row r="376" spans="1:10"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time",IF(D376="NO_SLOTS",IF(COUNTIF(PARTNERS!$A$2:$A$88,E376)=0,"Write the company in column E","OK"),IF(C376="","Missing phone",IF(COUNTIF(DESK!$F$2:$F$601,C376)=0,"Phone not found: copy it from your list",IF(AND(E376&lt;&gt;"",COUNTIFS(DESK!$F$2:$F$601,C376,DESK!$B$2:$B$601,E376)=0),"Company is not one of theirs","OK"))))))</f>
        <v/>
      </c>
    </row>
    <row r="377" spans="1:10"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time",IF(D377="NO_SLOTS",IF(COUNTIF(PARTNERS!$A$2:$A$88,E377)=0,"Write the company in column E","OK"),IF(C377="","Missing phone",IF(COUNTIF(DESK!$F$2:$F$601,C377)=0,"Phone not found: copy it from your list",IF(AND(E377&lt;&gt;"",COUNTIFS(DESK!$F$2:$F$601,C377,DESK!$B$2:$B$601,E377)=0),"Company is not one of theirs","OK"))))))</f>
        <v/>
      </c>
    </row>
    <row r="378" spans="1:10"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time",IF(D378="NO_SLOTS",IF(COUNTIF(PARTNERS!$A$2:$A$88,E378)=0,"Write the company in column E","OK"),IF(C378="","Missing phone",IF(COUNTIF(DESK!$F$2:$F$601,C378)=0,"Phone not found: copy it from your list",IF(AND(E378&lt;&gt;"",COUNTIFS(DESK!$F$2:$F$601,C378,DESK!$B$2:$B$601,E378)=0),"Company is not one of theirs","OK"))))))</f>
        <v/>
      </c>
    </row>
    <row r="379" spans="1:10"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time",IF(D379="NO_SLOTS",IF(COUNTIF(PARTNERS!$A$2:$A$88,E379)=0,"Write the company in column E","OK"),IF(C379="","Missing phone",IF(COUNTIF(DESK!$F$2:$F$601,C379)=0,"Phone not found: copy it from your list",IF(AND(E379&lt;&gt;"",COUNTIFS(DESK!$F$2:$F$601,C379,DESK!$B$2:$B$601,E379)=0),"Company is not one of theirs","OK"))))))</f>
        <v/>
      </c>
    </row>
    <row r="380" spans="1:10"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time",IF(D380="NO_SLOTS",IF(COUNTIF(PARTNERS!$A$2:$A$88,E380)=0,"Write the company in column E","OK"),IF(C380="","Missing phone",IF(COUNTIF(DESK!$F$2:$F$601,C380)=0,"Phone not found: copy it from your list",IF(AND(E380&lt;&gt;"",COUNTIFS(DESK!$F$2:$F$601,C380,DESK!$B$2:$B$601,E380)=0),"Company is not one of theirs","OK"))))))</f>
        <v/>
      </c>
    </row>
    <row r="381" spans="1:10"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time",IF(D381="NO_SLOTS",IF(COUNTIF(PARTNERS!$A$2:$A$88,E381)=0,"Write the company in column E","OK"),IF(C381="","Missing phone",IF(COUNTIF(DESK!$F$2:$F$601,C381)=0,"Phone not found: copy it from your list",IF(AND(E381&lt;&gt;"",COUNTIFS(DESK!$F$2:$F$601,C381,DESK!$B$2:$B$601,E381)=0),"Company is not one of theirs","OK"))))))</f>
        <v/>
      </c>
    </row>
    <row r="382" spans="1:10"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time",IF(D382="NO_SLOTS",IF(COUNTIF(PARTNERS!$A$2:$A$88,E382)=0,"Write the company in column E","OK"),IF(C382="","Missing phone",IF(COUNTIF(DESK!$F$2:$F$601,C382)=0,"Phone not found: copy it from your list",IF(AND(E382&lt;&gt;"",COUNTIFS(DESK!$F$2:$F$601,C382,DESK!$B$2:$B$601,E382)=0),"Company is not one of theirs","OK"))))))</f>
        <v/>
      </c>
    </row>
    <row r="383" spans="1:10"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time",IF(D383="NO_SLOTS",IF(COUNTIF(PARTNERS!$A$2:$A$88,E383)=0,"Write the company in column E","OK"),IF(C383="","Missing phone",IF(COUNTIF(DESK!$F$2:$F$601,C383)=0,"Phone not found: copy it from your list",IF(AND(E383&lt;&gt;"",COUNTIFS(DESK!$F$2:$F$601,C383,DESK!$B$2:$B$601,E383)=0),"Company is not one of theirs","OK"))))))</f>
        <v/>
      </c>
    </row>
    <row r="384" spans="1:10"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time",IF(D384="NO_SLOTS",IF(COUNTIF(PARTNERS!$A$2:$A$88,E384)=0,"Write the company in column E","OK"),IF(C384="","Missing phone",IF(COUNTIF(DESK!$F$2:$F$601,C384)=0,"Phone not found: copy it from your list",IF(AND(E384&lt;&gt;"",COUNTIFS(DESK!$F$2:$F$601,C384,DESK!$B$2:$B$601,E384)=0),"Company is not one of theirs","OK"))))))</f>
        <v/>
      </c>
    </row>
    <row r="385" spans="1:10"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time",IF(D385="NO_SLOTS",IF(COUNTIF(PARTNERS!$A$2:$A$88,E385)=0,"Write the company in column E","OK"),IF(C385="","Missing phone",IF(COUNTIF(DESK!$F$2:$F$601,C385)=0,"Phone not found: copy it from your list",IF(AND(E385&lt;&gt;"",COUNTIFS(DESK!$F$2:$F$601,C385,DESK!$B$2:$B$601,E385)=0),"Company is not one of theirs","OK"))))))</f>
        <v/>
      </c>
    </row>
    <row r="386" spans="1:10"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time",IF(D386="NO_SLOTS",IF(COUNTIF(PARTNERS!$A$2:$A$88,E386)=0,"Write the company in column E","OK"),IF(C386="","Missing phone",IF(COUNTIF(DESK!$F$2:$F$601,C386)=0,"Phone not found: copy it from your list",IF(AND(E386&lt;&gt;"",COUNTIFS(DESK!$F$2:$F$601,C386,DESK!$B$2:$B$601,E386)=0),"Company is not one of theirs","OK"))))))</f>
        <v/>
      </c>
    </row>
    <row r="387" spans="1:10"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time",IF(D387="NO_SLOTS",IF(COUNTIF(PARTNERS!$A$2:$A$88,E387)=0,"Write the company in column E","OK"),IF(C387="","Missing phone",IF(COUNTIF(DESK!$F$2:$F$601,C387)=0,"Phone not found: copy it from your list",IF(AND(E387&lt;&gt;"",COUNTIFS(DESK!$F$2:$F$601,C387,DESK!$B$2:$B$601,E387)=0),"Company is not one of theirs","OK"))))))</f>
        <v/>
      </c>
    </row>
    <row r="388" spans="1:10"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time",IF(D388="NO_SLOTS",IF(COUNTIF(PARTNERS!$A$2:$A$88,E388)=0,"Write the company in column E","OK"),IF(C388="","Missing phone",IF(COUNTIF(DESK!$F$2:$F$601,C388)=0,"Phone not found: copy it from your list",IF(AND(E388&lt;&gt;"",COUNTIFS(DESK!$F$2:$F$601,C388,DESK!$B$2:$B$601,E388)=0),"Company is not one of theirs","OK"))))))</f>
        <v/>
      </c>
    </row>
    <row r="389" spans="1:10"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time",IF(D389="NO_SLOTS",IF(COUNTIF(PARTNERS!$A$2:$A$88,E389)=0,"Write the company in column E","OK"),IF(C389="","Missing phone",IF(COUNTIF(DESK!$F$2:$F$601,C389)=0,"Phone not found: copy it from your list",IF(AND(E389&lt;&gt;"",COUNTIFS(DESK!$F$2:$F$601,C389,DESK!$B$2:$B$601,E389)=0),"Company is not one of theirs","OK"))))))</f>
        <v/>
      </c>
    </row>
    <row r="390" spans="1:10"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time",IF(D390="NO_SLOTS",IF(COUNTIF(PARTNERS!$A$2:$A$88,E390)=0,"Write the company in column E","OK"),IF(C390="","Missing phone",IF(COUNTIF(DESK!$F$2:$F$601,C390)=0,"Phone not found: copy it from your list",IF(AND(E390&lt;&gt;"",COUNTIFS(DESK!$F$2:$F$601,C390,DESK!$B$2:$B$601,E390)=0),"Company is not one of theirs","OK"))))))</f>
        <v/>
      </c>
    </row>
    <row r="391" spans="1:10"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time",IF(D391="NO_SLOTS",IF(COUNTIF(PARTNERS!$A$2:$A$88,E391)=0,"Write the company in column E","OK"),IF(C391="","Missing phone",IF(COUNTIF(DESK!$F$2:$F$601,C391)=0,"Phone not found: copy it from your list",IF(AND(E391&lt;&gt;"",COUNTIFS(DESK!$F$2:$F$601,C391,DESK!$B$2:$B$601,E391)=0),"Company is not one of theirs","OK"))))))</f>
        <v/>
      </c>
    </row>
    <row r="392" spans="1:10"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time",IF(D392="NO_SLOTS",IF(COUNTIF(PARTNERS!$A$2:$A$88,E392)=0,"Write the company in column E","OK"),IF(C392="","Missing phone",IF(COUNTIF(DESK!$F$2:$F$601,C392)=0,"Phone not found: copy it from your list",IF(AND(E392&lt;&gt;"",COUNTIFS(DESK!$F$2:$F$601,C392,DESK!$B$2:$B$601,E392)=0),"Company is not one of theirs","OK"))))))</f>
        <v/>
      </c>
    </row>
    <row r="393" spans="1:10"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time",IF(D393="NO_SLOTS",IF(COUNTIF(PARTNERS!$A$2:$A$88,E393)=0,"Write the company in column E","OK"),IF(C393="","Missing phone",IF(COUNTIF(DESK!$F$2:$F$601,C393)=0,"Phone not found: copy it from your list",IF(AND(E393&lt;&gt;"",COUNTIFS(DESK!$F$2:$F$601,C393,DESK!$B$2:$B$601,E393)=0),"Company is not one of theirs","OK"))))))</f>
        <v/>
      </c>
    </row>
    <row r="394" spans="1:10"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time",IF(D394="NO_SLOTS",IF(COUNTIF(PARTNERS!$A$2:$A$88,E394)=0,"Write the company in column E","OK"),IF(C394="","Missing phone",IF(COUNTIF(DESK!$F$2:$F$601,C394)=0,"Phone not found: copy it from your list",IF(AND(E394&lt;&gt;"",COUNTIFS(DESK!$F$2:$F$601,C394,DESK!$B$2:$B$601,E394)=0),"Company is not one of theirs","OK"))))))</f>
        <v/>
      </c>
    </row>
    <row r="395" spans="1:10"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time",IF(D395="NO_SLOTS",IF(COUNTIF(PARTNERS!$A$2:$A$88,E395)=0,"Write the company in column E","OK"),IF(C395="","Missing phone",IF(COUNTIF(DESK!$F$2:$F$601,C395)=0,"Phone not found: copy it from your list",IF(AND(E395&lt;&gt;"",COUNTIFS(DESK!$F$2:$F$601,C395,DESK!$B$2:$B$601,E395)=0),"Company is not one of theirs","OK"))))))</f>
        <v/>
      </c>
    </row>
    <row r="396" spans="1:10"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time",IF(D396="NO_SLOTS",IF(COUNTIF(PARTNERS!$A$2:$A$88,E396)=0,"Write the company in column E","OK"),IF(C396="","Missing phone",IF(COUNTIF(DESK!$F$2:$F$601,C396)=0,"Phone not found: copy it from your list",IF(AND(E396&lt;&gt;"",COUNTIFS(DESK!$F$2:$F$601,C396,DESK!$B$2:$B$601,E396)=0),"Company is not one of theirs","OK"))))))</f>
        <v/>
      </c>
    </row>
    <row r="397" spans="1:10"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time",IF(D397="NO_SLOTS",IF(COUNTIF(PARTNERS!$A$2:$A$88,E397)=0,"Write the company in column E","OK"),IF(C397="","Missing phone",IF(COUNTIF(DESK!$F$2:$F$601,C397)=0,"Phone not found: copy it from your list",IF(AND(E397&lt;&gt;"",COUNTIFS(DESK!$F$2:$F$601,C397,DESK!$B$2:$B$601,E397)=0),"Company is not one of theirs","OK"))))))</f>
        <v/>
      </c>
    </row>
    <row r="398" spans="1:10"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time",IF(D398="NO_SLOTS",IF(COUNTIF(PARTNERS!$A$2:$A$88,E398)=0,"Write the company in column E","OK"),IF(C398="","Missing phone",IF(COUNTIF(DESK!$F$2:$F$601,C398)=0,"Phone not found: copy it from your list",IF(AND(E398&lt;&gt;"",COUNTIFS(DESK!$F$2:$F$601,C398,DESK!$B$2:$B$601,E398)=0),"Company is not one of theirs","OK"))))))</f>
        <v/>
      </c>
    </row>
    <row r="399" spans="1:10"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time",IF(D399="NO_SLOTS",IF(COUNTIF(PARTNERS!$A$2:$A$88,E399)=0,"Write the company in column E","OK"),IF(C399="","Missing phone",IF(COUNTIF(DESK!$F$2:$F$601,C399)=0,"Phone not found: copy it from your list",IF(AND(E399&lt;&gt;"",COUNTIFS(DESK!$F$2:$F$601,C399,DESK!$B$2:$B$601,E399)=0),"Company is not one of theirs","OK"))))))</f>
        <v/>
      </c>
    </row>
    <row r="400" spans="1:10"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time",IF(D400="NO_SLOTS",IF(COUNTIF(PARTNERS!$A$2:$A$88,E400)=0,"Write the company in column E","OK"),IF(C400="","Missing phone",IF(COUNTIF(DESK!$F$2:$F$601,C400)=0,"Phone not found: copy it from your list",IF(AND(E400&lt;&gt;"",COUNTIFS(DESK!$F$2:$F$601,C400,DESK!$B$2:$B$601,E400)=0),"Company is not one of theirs","OK"))))))</f>
        <v/>
      </c>
    </row>
    <row r="401" spans="1:10"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time",IF(D401="NO_SLOTS",IF(COUNTIF(PARTNERS!$A$2:$A$88,E401)=0,"Write the company in column E","OK"),IF(C401="","Missing phone",IF(COUNTIF(DESK!$F$2:$F$601,C401)=0,"Phone not found: copy it from your list",IF(AND(E401&lt;&gt;"",COUNTIFS(DESK!$F$2:$F$601,C401,DESK!$B$2:$B$601,E401)=0),"Company is not one of theirs","OK"))))))</f>
        <v/>
      </c>
    </row>
    <row r="402" spans="1:10"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time",IF(D402="NO_SLOTS",IF(COUNTIF(PARTNERS!$A$2:$A$88,E402)=0,"Write the company in column E","OK"),IF(C402="","Missing phone",IF(COUNTIF(DESK!$F$2:$F$601,C402)=0,"Phone not found: copy it from your list",IF(AND(E402&lt;&gt;"",COUNTIFS(DESK!$F$2:$F$601,C402,DESK!$B$2:$B$601,E402)=0),"Company is not one of theirs","OK"))))))</f>
        <v/>
      </c>
    </row>
    <row r="403" spans="1:10"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time",IF(D403="NO_SLOTS",IF(COUNTIF(PARTNERS!$A$2:$A$88,E403)=0,"Write the company in column E","OK"),IF(C403="","Missing phone",IF(COUNTIF(DESK!$F$2:$F$601,C403)=0,"Phone not found: copy it from your list",IF(AND(E403&lt;&gt;"",COUNTIFS(DESK!$F$2:$F$601,C403,DESK!$B$2:$B$601,E403)=0),"Company is not one of theirs","OK"))))))</f>
        <v/>
      </c>
    </row>
    <row r="404" spans="1:10"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time",IF(D404="NO_SLOTS",IF(COUNTIF(PARTNERS!$A$2:$A$88,E404)=0,"Write the company in column E","OK"),IF(C404="","Missing phone",IF(COUNTIF(DESK!$F$2:$F$601,C404)=0,"Phone not found: copy it from your list",IF(AND(E404&lt;&gt;"",COUNTIFS(DESK!$F$2:$F$601,C404,DESK!$B$2:$B$601,E404)=0),"Company is not one of theirs","OK"))))))</f>
        <v/>
      </c>
    </row>
    <row r="405" spans="1:10"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time",IF(D405="NO_SLOTS",IF(COUNTIF(PARTNERS!$A$2:$A$88,E405)=0,"Write the company in column E","OK"),IF(C405="","Missing phone",IF(COUNTIF(DESK!$F$2:$F$601,C405)=0,"Phone not found: copy it from your list",IF(AND(E405&lt;&gt;"",COUNTIFS(DESK!$F$2:$F$601,C405,DESK!$B$2:$B$601,E405)=0),"Company is not one of theirs","OK"))))))</f>
        <v/>
      </c>
    </row>
    <row r="406" spans="1:10"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time",IF(D406="NO_SLOTS",IF(COUNTIF(PARTNERS!$A$2:$A$88,E406)=0,"Write the company in column E","OK"),IF(C406="","Missing phone",IF(COUNTIF(DESK!$F$2:$F$601,C406)=0,"Phone not found: copy it from your list",IF(AND(E406&lt;&gt;"",COUNTIFS(DESK!$F$2:$F$601,C406,DESK!$B$2:$B$601,E406)=0),"Company is not one of theirs","OK"))))))</f>
        <v/>
      </c>
    </row>
    <row r="407" spans="1:10"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time",IF(D407="NO_SLOTS",IF(COUNTIF(PARTNERS!$A$2:$A$88,E407)=0,"Write the company in column E","OK"),IF(C407="","Missing phone",IF(COUNTIF(DESK!$F$2:$F$601,C407)=0,"Phone not found: copy it from your list",IF(AND(E407&lt;&gt;"",COUNTIFS(DESK!$F$2:$F$601,C407,DESK!$B$2:$B$601,E407)=0),"Company is not one of theirs","OK"))))))</f>
        <v/>
      </c>
    </row>
    <row r="408" spans="1:10"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time",IF(D408="NO_SLOTS",IF(COUNTIF(PARTNERS!$A$2:$A$88,E408)=0,"Write the company in column E","OK"),IF(C408="","Missing phone",IF(COUNTIF(DESK!$F$2:$F$601,C408)=0,"Phone not found: copy it from your list",IF(AND(E408&lt;&gt;"",COUNTIFS(DESK!$F$2:$F$601,C408,DESK!$B$2:$B$601,E408)=0),"Company is not one of theirs","OK"))))))</f>
        <v/>
      </c>
    </row>
    <row r="409" spans="1:10"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time",IF(D409="NO_SLOTS",IF(COUNTIF(PARTNERS!$A$2:$A$88,E409)=0,"Write the company in column E","OK"),IF(C409="","Missing phone",IF(COUNTIF(DESK!$F$2:$F$601,C409)=0,"Phone not found: copy it from your list",IF(AND(E409&lt;&gt;"",COUNTIFS(DESK!$F$2:$F$601,C409,DESK!$B$2:$B$601,E409)=0),"Company is not one of theirs","OK"))))))</f>
        <v/>
      </c>
    </row>
    <row r="410" spans="1:10"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time",IF(D410="NO_SLOTS",IF(COUNTIF(PARTNERS!$A$2:$A$88,E410)=0,"Write the company in column E","OK"),IF(C410="","Missing phone",IF(COUNTIF(DESK!$F$2:$F$601,C410)=0,"Phone not found: copy it from your list",IF(AND(E410&lt;&gt;"",COUNTIFS(DESK!$F$2:$F$601,C410,DESK!$B$2:$B$601,E410)=0),"Company is not one of theirs","OK"))))))</f>
        <v/>
      </c>
    </row>
    <row r="411" spans="1:10"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time",IF(D411="NO_SLOTS",IF(COUNTIF(PARTNERS!$A$2:$A$88,E411)=0,"Write the company in column E","OK"),IF(C411="","Missing phone",IF(COUNTIF(DESK!$F$2:$F$601,C411)=0,"Phone not found: copy it from your list",IF(AND(E411&lt;&gt;"",COUNTIFS(DESK!$F$2:$F$601,C411,DESK!$B$2:$B$601,E411)=0),"Company is not one of theirs","OK"))))))</f>
        <v/>
      </c>
    </row>
    <row r="412" spans="1:10"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time",IF(D412="NO_SLOTS",IF(COUNTIF(PARTNERS!$A$2:$A$88,E412)=0,"Write the company in column E","OK"),IF(C412="","Missing phone",IF(COUNTIF(DESK!$F$2:$F$601,C412)=0,"Phone not found: copy it from your list",IF(AND(E412&lt;&gt;"",COUNTIFS(DESK!$F$2:$F$601,C412,DESK!$B$2:$B$601,E412)=0),"Company is not one of theirs","OK"))))))</f>
        <v/>
      </c>
    </row>
    <row r="413" spans="1:10"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time",IF(D413="NO_SLOTS",IF(COUNTIF(PARTNERS!$A$2:$A$88,E413)=0,"Write the company in column E","OK"),IF(C413="","Missing phone",IF(COUNTIF(DESK!$F$2:$F$601,C413)=0,"Phone not found: copy it from your list",IF(AND(E413&lt;&gt;"",COUNTIFS(DESK!$F$2:$F$601,C413,DESK!$B$2:$B$601,E413)=0),"Company is not one of theirs","OK"))))))</f>
        <v/>
      </c>
    </row>
    <row r="414" spans="1:10"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time",IF(D414="NO_SLOTS",IF(COUNTIF(PARTNERS!$A$2:$A$88,E414)=0,"Write the company in column E","OK"),IF(C414="","Missing phone",IF(COUNTIF(DESK!$F$2:$F$601,C414)=0,"Phone not found: copy it from your list",IF(AND(E414&lt;&gt;"",COUNTIFS(DESK!$F$2:$F$601,C414,DESK!$B$2:$B$601,E414)=0),"Company is not one of theirs","OK"))))))</f>
        <v/>
      </c>
    </row>
    <row r="415" spans="1:10"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time",IF(D415="NO_SLOTS",IF(COUNTIF(PARTNERS!$A$2:$A$88,E415)=0,"Write the company in column E","OK"),IF(C415="","Missing phone",IF(COUNTIF(DESK!$F$2:$F$601,C415)=0,"Phone not found: copy it from your list",IF(AND(E415&lt;&gt;"",COUNTIFS(DESK!$F$2:$F$601,C415,DESK!$B$2:$B$601,E415)=0),"Company is not one of theirs","OK"))))))</f>
        <v/>
      </c>
    </row>
    <row r="416" spans="1:10"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time",IF(D416="NO_SLOTS",IF(COUNTIF(PARTNERS!$A$2:$A$88,E416)=0,"Write the company in column E","OK"),IF(C416="","Missing phone",IF(COUNTIF(DESK!$F$2:$F$601,C416)=0,"Phone not found: copy it from your list",IF(AND(E416&lt;&gt;"",COUNTIFS(DESK!$F$2:$F$601,C416,DESK!$B$2:$B$601,E416)=0),"Company is not one of theirs","OK"))))))</f>
        <v/>
      </c>
    </row>
    <row r="417" spans="1:10"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time",IF(D417="NO_SLOTS",IF(COUNTIF(PARTNERS!$A$2:$A$88,E417)=0,"Write the company in column E","OK"),IF(C417="","Missing phone",IF(COUNTIF(DESK!$F$2:$F$601,C417)=0,"Phone not found: copy it from your list",IF(AND(E417&lt;&gt;"",COUNTIFS(DESK!$F$2:$F$601,C417,DESK!$B$2:$B$601,E417)=0),"Company is not one of theirs","OK"))))))</f>
        <v/>
      </c>
    </row>
    <row r="418" spans="1:10"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time",IF(D418="NO_SLOTS",IF(COUNTIF(PARTNERS!$A$2:$A$88,E418)=0,"Write the company in column E","OK"),IF(C418="","Missing phone",IF(COUNTIF(DESK!$F$2:$F$601,C418)=0,"Phone not found: copy it from your list",IF(AND(E418&lt;&gt;"",COUNTIFS(DESK!$F$2:$F$601,C418,DESK!$B$2:$B$601,E418)=0),"Company is not one of theirs","OK"))))))</f>
        <v/>
      </c>
    </row>
    <row r="419" spans="1:10"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time",IF(D419="NO_SLOTS",IF(COUNTIF(PARTNERS!$A$2:$A$88,E419)=0,"Write the company in column E","OK"),IF(C419="","Missing phone",IF(COUNTIF(DESK!$F$2:$F$601,C419)=0,"Phone not found: copy it from your list",IF(AND(E419&lt;&gt;"",COUNTIFS(DESK!$F$2:$F$601,C419,DESK!$B$2:$B$601,E419)=0),"Company is not one of theirs","OK"))))))</f>
        <v/>
      </c>
    </row>
    <row r="420" spans="1:10"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time",IF(D420="NO_SLOTS",IF(COUNTIF(PARTNERS!$A$2:$A$88,E420)=0,"Write the company in column E","OK"),IF(C420="","Missing phone",IF(COUNTIF(DESK!$F$2:$F$601,C420)=0,"Phone not found: copy it from your list",IF(AND(E420&lt;&gt;"",COUNTIFS(DESK!$F$2:$F$601,C420,DESK!$B$2:$B$601,E420)=0),"Company is not one of theirs","OK"))))))</f>
        <v/>
      </c>
    </row>
    <row r="421" spans="1:10"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time",IF(D421="NO_SLOTS",IF(COUNTIF(PARTNERS!$A$2:$A$88,E421)=0,"Write the company in column E","OK"),IF(C421="","Missing phone",IF(COUNTIF(DESK!$F$2:$F$601,C421)=0,"Phone not found: copy it from your list",IF(AND(E421&lt;&gt;"",COUNTIFS(DESK!$F$2:$F$601,C421,DESK!$B$2:$B$601,E421)=0),"Company is not one of theirs","OK"))))))</f>
        <v/>
      </c>
    </row>
    <row r="422" spans="1:10"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time",IF(D422="NO_SLOTS",IF(COUNTIF(PARTNERS!$A$2:$A$88,E422)=0,"Write the company in column E","OK"),IF(C422="","Missing phone",IF(COUNTIF(DESK!$F$2:$F$601,C422)=0,"Phone not found: copy it from your list",IF(AND(E422&lt;&gt;"",COUNTIFS(DESK!$F$2:$F$601,C422,DESK!$B$2:$B$601,E422)=0),"Company is not one of theirs","OK"))))))</f>
        <v/>
      </c>
    </row>
    <row r="423" spans="1:10"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time",IF(D423="NO_SLOTS",IF(COUNTIF(PARTNERS!$A$2:$A$88,E423)=0,"Write the company in column E","OK"),IF(C423="","Missing phone",IF(COUNTIF(DESK!$F$2:$F$601,C423)=0,"Phone not found: copy it from your list",IF(AND(E423&lt;&gt;"",COUNTIFS(DESK!$F$2:$F$601,C423,DESK!$B$2:$B$601,E423)=0),"Company is not one of theirs","OK"))))))</f>
        <v/>
      </c>
    </row>
    <row r="424" spans="1:10"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time",IF(D424="NO_SLOTS",IF(COUNTIF(PARTNERS!$A$2:$A$88,E424)=0,"Write the company in column E","OK"),IF(C424="","Missing phone",IF(COUNTIF(DESK!$F$2:$F$601,C424)=0,"Phone not found: copy it from your list",IF(AND(E424&lt;&gt;"",COUNTIFS(DESK!$F$2:$F$601,C424,DESK!$B$2:$B$601,E424)=0),"Company is not one of theirs","OK"))))))</f>
        <v/>
      </c>
    </row>
    <row r="425" spans="1:10"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time",IF(D425="NO_SLOTS",IF(COUNTIF(PARTNERS!$A$2:$A$88,E425)=0,"Write the company in column E","OK"),IF(C425="","Missing phone",IF(COUNTIF(DESK!$F$2:$F$601,C425)=0,"Phone not found: copy it from your list",IF(AND(E425&lt;&gt;"",COUNTIFS(DESK!$F$2:$F$601,C425,DESK!$B$2:$B$601,E425)=0),"Company is not one of theirs","OK"))))))</f>
        <v/>
      </c>
    </row>
    <row r="426" spans="1:10"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time",IF(D426="NO_SLOTS",IF(COUNTIF(PARTNERS!$A$2:$A$88,E426)=0,"Write the company in column E","OK"),IF(C426="","Missing phone",IF(COUNTIF(DESK!$F$2:$F$601,C426)=0,"Phone not found: copy it from your list",IF(AND(E426&lt;&gt;"",COUNTIFS(DESK!$F$2:$F$601,C426,DESK!$B$2:$B$601,E426)=0),"Company is not one of theirs","OK"))))))</f>
        <v/>
      </c>
    </row>
    <row r="427" spans="1:10"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time",IF(D427="NO_SLOTS",IF(COUNTIF(PARTNERS!$A$2:$A$88,E427)=0,"Write the company in column E","OK"),IF(C427="","Missing phone",IF(COUNTIF(DESK!$F$2:$F$601,C427)=0,"Phone not found: copy it from your list",IF(AND(E427&lt;&gt;"",COUNTIFS(DESK!$F$2:$F$601,C427,DESK!$B$2:$B$601,E427)=0),"Company is not one of theirs","OK"))))))</f>
        <v/>
      </c>
    </row>
    <row r="428" spans="1:10"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time",IF(D428="NO_SLOTS",IF(COUNTIF(PARTNERS!$A$2:$A$88,E428)=0,"Write the company in column E","OK"),IF(C428="","Missing phone",IF(COUNTIF(DESK!$F$2:$F$601,C428)=0,"Phone not found: copy it from your list",IF(AND(E428&lt;&gt;"",COUNTIFS(DESK!$F$2:$F$601,C428,DESK!$B$2:$B$601,E428)=0),"Company is not one of theirs","OK"))))))</f>
        <v/>
      </c>
    </row>
    <row r="429" spans="1:10"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time",IF(D429="NO_SLOTS",IF(COUNTIF(PARTNERS!$A$2:$A$88,E429)=0,"Write the company in column E","OK"),IF(C429="","Missing phone",IF(COUNTIF(DESK!$F$2:$F$601,C429)=0,"Phone not found: copy it from your list",IF(AND(E429&lt;&gt;"",COUNTIFS(DESK!$F$2:$F$601,C429,DESK!$B$2:$B$601,E429)=0),"Company is not one of theirs","OK"))))))</f>
        <v/>
      </c>
    </row>
    <row r="430" spans="1:10"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time",IF(D430="NO_SLOTS",IF(COUNTIF(PARTNERS!$A$2:$A$88,E430)=0,"Write the company in column E","OK"),IF(C430="","Missing phone",IF(COUNTIF(DESK!$F$2:$F$601,C430)=0,"Phone not found: copy it from your list",IF(AND(E430&lt;&gt;"",COUNTIFS(DESK!$F$2:$F$601,C430,DESK!$B$2:$B$601,E430)=0),"Company is not one of theirs","OK"))))))</f>
        <v/>
      </c>
    </row>
    <row r="431" spans="1:10"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time",IF(D431="NO_SLOTS",IF(COUNTIF(PARTNERS!$A$2:$A$88,E431)=0,"Write the company in column E","OK"),IF(C431="","Missing phone",IF(COUNTIF(DESK!$F$2:$F$601,C431)=0,"Phone not found: copy it from your list",IF(AND(E431&lt;&gt;"",COUNTIFS(DESK!$F$2:$F$601,C431,DESK!$B$2:$B$601,E431)=0),"Company is not one of theirs","OK"))))))</f>
        <v/>
      </c>
    </row>
    <row r="432" spans="1:10"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time",IF(D432="NO_SLOTS",IF(COUNTIF(PARTNERS!$A$2:$A$88,E432)=0,"Write the company in column E","OK"),IF(C432="","Missing phone",IF(COUNTIF(DESK!$F$2:$F$601,C432)=0,"Phone not found: copy it from your list",IF(AND(E432&lt;&gt;"",COUNTIFS(DESK!$F$2:$F$601,C432,DESK!$B$2:$B$601,E432)=0),"Company is not one of theirs","OK"))))))</f>
        <v/>
      </c>
    </row>
    <row r="433" spans="1:10"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time",IF(D433="NO_SLOTS",IF(COUNTIF(PARTNERS!$A$2:$A$88,E433)=0,"Write the company in column E","OK"),IF(C433="","Missing phone",IF(COUNTIF(DESK!$F$2:$F$601,C433)=0,"Phone not found: copy it from your list",IF(AND(E433&lt;&gt;"",COUNTIFS(DESK!$F$2:$F$601,C433,DESK!$B$2:$B$601,E433)=0),"Company is not one of theirs","OK"))))))</f>
        <v/>
      </c>
    </row>
    <row r="434" spans="1:10"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time",IF(D434="NO_SLOTS",IF(COUNTIF(PARTNERS!$A$2:$A$88,E434)=0,"Write the company in column E","OK"),IF(C434="","Missing phone",IF(COUNTIF(DESK!$F$2:$F$601,C434)=0,"Phone not found: copy it from your list",IF(AND(E434&lt;&gt;"",COUNTIFS(DESK!$F$2:$F$601,C434,DESK!$B$2:$B$601,E434)=0),"Company is not one of theirs","OK"))))))</f>
        <v/>
      </c>
    </row>
    <row r="435" spans="1:10"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time",IF(D435="NO_SLOTS",IF(COUNTIF(PARTNERS!$A$2:$A$88,E435)=0,"Write the company in column E","OK"),IF(C435="","Missing phone",IF(COUNTIF(DESK!$F$2:$F$601,C435)=0,"Phone not found: copy it from your list",IF(AND(E435&lt;&gt;"",COUNTIFS(DESK!$F$2:$F$601,C435,DESK!$B$2:$B$601,E435)=0),"Company is not one of theirs","OK"))))))</f>
        <v/>
      </c>
    </row>
    <row r="436" spans="1:10"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time",IF(D436="NO_SLOTS",IF(COUNTIF(PARTNERS!$A$2:$A$88,E436)=0,"Write the company in column E","OK"),IF(C436="","Missing phone",IF(COUNTIF(DESK!$F$2:$F$601,C436)=0,"Phone not found: copy it from your list",IF(AND(E436&lt;&gt;"",COUNTIFS(DESK!$F$2:$F$601,C436,DESK!$B$2:$B$601,E436)=0),"Company is not one of theirs","OK"))))))</f>
        <v/>
      </c>
    </row>
    <row r="437" spans="1:10"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time",IF(D437="NO_SLOTS",IF(COUNTIF(PARTNERS!$A$2:$A$88,E437)=0,"Write the company in column E","OK"),IF(C437="","Missing phone",IF(COUNTIF(DESK!$F$2:$F$601,C437)=0,"Phone not found: copy it from your list",IF(AND(E437&lt;&gt;"",COUNTIFS(DESK!$F$2:$F$601,C437,DESK!$B$2:$B$601,E437)=0),"Company is not one of theirs","OK"))))))</f>
        <v/>
      </c>
    </row>
    <row r="438" spans="1:10"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time",IF(D438="NO_SLOTS",IF(COUNTIF(PARTNERS!$A$2:$A$88,E438)=0,"Write the company in column E","OK"),IF(C438="","Missing phone",IF(COUNTIF(DESK!$F$2:$F$601,C438)=0,"Phone not found: copy it from your list",IF(AND(E438&lt;&gt;"",COUNTIFS(DESK!$F$2:$F$601,C438,DESK!$B$2:$B$601,E438)=0),"Company is not one of theirs","OK"))))))</f>
        <v/>
      </c>
    </row>
    <row r="439" spans="1:10"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time",IF(D439="NO_SLOTS",IF(COUNTIF(PARTNERS!$A$2:$A$88,E439)=0,"Write the company in column E","OK"),IF(C439="","Missing phone",IF(COUNTIF(DESK!$F$2:$F$601,C439)=0,"Phone not found: copy it from your list",IF(AND(E439&lt;&gt;"",COUNTIFS(DESK!$F$2:$F$601,C439,DESK!$B$2:$B$601,E439)=0),"Company is not one of theirs","OK"))))))</f>
        <v/>
      </c>
    </row>
    <row r="440" spans="1:10"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time",IF(D440="NO_SLOTS",IF(COUNTIF(PARTNERS!$A$2:$A$88,E440)=0,"Write the company in column E","OK"),IF(C440="","Missing phone",IF(COUNTIF(DESK!$F$2:$F$601,C440)=0,"Phone not found: copy it from your list",IF(AND(E440&lt;&gt;"",COUNTIFS(DESK!$F$2:$F$601,C440,DESK!$B$2:$B$601,E440)=0),"Company is not one of theirs","OK"))))))</f>
        <v/>
      </c>
    </row>
    <row r="441" spans="1:10"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time",IF(D441="NO_SLOTS",IF(COUNTIF(PARTNERS!$A$2:$A$88,E441)=0,"Write the company in column E","OK"),IF(C441="","Missing phone",IF(COUNTIF(DESK!$F$2:$F$601,C441)=0,"Phone not found: copy it from your list",IF(AND(E441&lt;&gt;"",COUNTIFS(DESK!$F$2:$F$601,C441,DESK!$B$2:$B$601,E441)=0),"Company is not one of theirs","OK"))))))</f>
        <v/>
      </c>
    </row>
    <row r="442" spans="1:10"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time",IF(D442="NO_SLOTS",IF(COUNTIF(PARTNERS!$A$2:$A$88,E442)=0,"Write the company in column E","OK"),IF(C442="","Missing phone",IF(COUNTIF(DESK!$F$2:$F$601,C442)=0,"Phone not found: copy it from your list",IF(AND(E442&lt;&gt;"",COUNTIFS(DESK!$F$2:$F$601,C442,DESK!$B$2:$B$601,E442)=0),"Company is not one of theirs","OK"))))))</f>
        <v/>
      </c>
    </row>
    <row r="443" spans="1:10"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time",IF(D443="NO_SLOTS",IF(COUNTIF(PARTNERS!$A$2:$A$88,E443)=0,"Write the company in column E","OK"),IF(C443="","Missing phone",IF(COUNTIF(DESK!$F$2:$F$601,C443)=0,"Phone not found: copy it from your list",IF(AND(E443&lt;&gt;"",COUNTIFS(DESK!$F$2:$F$601,C443,DESK!$B$2:$B$601,E443)=0),"Company is not one of theirs","OK"))))))</f>
        <v/>
      </c>
    </row>
    <row r="444" spans="1:10"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time",IF(D444="NO_SLOTS",IF(COUNTIF(PARTNERS!$A$2:$A$88,E444)=0,"Write the company in column E","OK"),IF(C444="","Missing phone",IF(COUNTIF(DESK!$F$2:$F$601,C444)=0,"Phone not found: copy it from your list",IF(AND(E444&lt;&gt;"",COUNTIFS(DESK!$F$2:$F$601,C444,DESK!$B$2:$B$601,E444)=0),"Company is not one of theirs","OK"))))))</f>
        <v/>
      </c>
    </row>
    <row r="445" spans="1:10"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time",IF(D445="NO_SLOTS",IF(COUNTIF(PARTNERS!$A$2:$A$88,E445)=0,"Write the company in column E","OK"),IF(C445="","Missing phone",IF(COUNTIF(DESK!$F$2:$F$601,C445)=0,"Phone not found: copy it from your list",IF(AND(E445&lt;&gt;"",COUNTIFS(DESK!$F$2:$F$601,C445,DESK!$B$2:$B$601,E445)=0),"Company is not one of theirs","OK"))))))</f>
        <v/>
      </c>
    </row>
    <row r="446" spans="1:10"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time",IF(D446="NO_SLOTS",IF(COUNTIF(PARTNERS!$A$2:$A$88,E446)=0,"Write the company in column E","OK"),IF(C446="","Missing phone",IF(COUNTIF(DESK!$F$2:$F$601,C446)=0,"Phone not found: copy it from your list",IF(AND(E446&lt;&gt;"",COUNTIFS(DESK!$F$2:$F$601,C446,DESK!$B$2:$B$601,E446)=0),"Company is not one of theirs","OK"))))))</f>
        <v/>
      </c>
    </row>
    <row r="447" spans="1:10"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time",IF(D447="NO_SLOTS",IF(COUNTIF(PARTNERS!$A$2:$A$88,E447)=0,"Write the company in column E","OK"),IF(C447="","Missing phone",IF(COUNTIF(DESK!$F$2:$F$601,C447)=0,"Phone not found: copy it from your list",IF(AND(E447&lt;&gt;"",COUNTIFS(DESK!$F$2:$F$601,C447,DESK!$B$2:$B$601,E447)=0),"Company is not one of theirs","OK"))))))</f>
        <v/>
      </c>
    </row>
    <row r="448" spans="1:10"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time",IF(D448="NO_SLOTS",IF(COUNTIF(PARTNERS!$A$2:$A$88,E448)=0,"Write the company in column E","OK"),IF(C448="","Missing phone",IF(COUNTIF(DESK!$F$2:$F$601,C448)=0,"Phone not found: copy it from your list",IF(AND(E448&lt;&gt;"",COUNTIFS(DESK!$F$2:$F$601,C448,DESK!$B$2:$B$601,E448)=0),"Company is not one of theirs","OK"))))))</f>
        <v/>
      </c>
    </row>
    <row r="449" spans="1:10"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time",IF(D449="NO_SLOTS",IF(COUNTIF(PARTNERS!$A$2:$A$88,E449)=0,"Write the company in column E","OK"),IF(C449="","Missing phone",IF(COUNTIF(DESK!$F$2:$F$601,C449)=0,"Phone not found: copy it from your list",IF(AND(E449&lt;&gt;"",COUNTIFS(DESK!$F$2:$F$601,C449,DESK!$B$2:$B$601,E449)=0),"Company is not one of theirs","OK"))))))</f>
        <v/>
      </c>
    </row>
    <row r="450" spans="1:10"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time",IF(D450="NO_SLOTS",IF(COUNTIF(PARTNERS!$A$2:$A$88,E450)=0,"Write the company in column E","OK"),IF(C450="","Missing phone",IF(COUNTIF(DESK!$F$2:$F$601,C450)=0,"Phone not found: copy it from your list",IF(AND(E450&lt;&gt;"",COUNTIFS(DESK!$F$2:$F$601,C450,DESK!$B$2:$B$601,E450)=0),"Company is not one of theirs","OK"))))))</f>
        <v/>
      </c>
    </row>
    <row r="451" spans="1:10"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time",IF(D451="NO_SLOTS",IF(COUNTIF(PARTNERS!$A$2:$A$88,E451)=0,"Write the company in column E","OK"),IF(C451="","Missing phone",IF(COUNTIF(DESK!$F$2:$F$601,C451)=0,"Phone not found: copy it from your list",IF(AND(E451&lt;&gt;"",COUNTIFS(DESK!$F$2:$F$601,C451,DESK!$B$2:$B$601,E451)=0),"Company is not one of theirs","OK"))))))</f>
        <v/>
      </c>
    </row>
    <row r="452" spans="1:10"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time",IF(D452="NO_SLOTS",IF(COUNTIF(PARTNERS!$A$2:$A$88,E452)=0,"Write the company in column E","OK"),IF(C452="","Missing phone",IF(COUNTIF(DESK!$F$2:$F$601,C452)=0,"Phone not found: copy it from your list",IF(AND(E452&lt;&gt;"",COUNTIFS(DESK!$F$2:$F$601,C452,DESK!$B$2:$B$601,E452)=0),"Company is not one of theirs","OK"))))))</f>
        <v/>
      </c>
    </row>
    <row r="453" spans="1:10"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time",IF(D453="NO_SLOTS",IF(COUNTIF(PARTNERS!$A$2:$A$88,E453)=0,"Write the company in column E","OK"),IF(C453="","Missing phone",IF(COUNTIF(DESK!$F$2:$F$601,C453)=0,"Phone not found: copy it from your list",IF(AND(E453&lt;&gt;"",COUNTIFS(DESK!$F$2:$F$601,C453,DESK!$B$2:$B$601,E453)=0),"Company is not one of theirs","OK"))))))</f>
        <v/>
      </c>
    </row>
    <row r="454" spans="1:10"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time",IF(D454="NO_SLOTS",IF(COUNTIF(PARTNERS!$A$2:$A$88,E454)=0,"Write the company in column E","OK"),IF(C454="","Missing phone",IF(COUNTIF(DESK!$F$2:$F$601,C454)=0,"Phone not found: copy it from your list",IF(AND(E454&lt;&gt;"",COUNTIFS(DESK!$F$2:$F$601,C454,DESK!$B$2:$B$601,E454)=0),"Company is not one of theirs","OK"))))))</f>
        <v/>
      </c>
    </row>
    <row r="455" spans="1:10"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time",IF(D455="NO_SLOTS",IF(COUNTIF(PARTNERS!$A$2:$A$88,E455)=0,"Write the company in column E","OK"),IF(C455="","Missing phone",IF(COUNTIF(DESK!$F$2:$F$601,C455)=0,"Phone not found: copy it from your list",IF(AND(E455&lt;&gt;"",COUNTIFS(DESK!$F$2:$F$601,C455,DESK!$B$2:$B$601,E455)=0),"Company is not one of theirs","OK"))))))</f>
        <v/>
      </c>
    </row>
    <row r="456" spans="1:10"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time",IF(D456="NO_SLOTS",IF(COUNTIF(PARTNERS!$A$2:$A$88,E456)=0,"Write the company in column E","OK"),IF(C456="","Missing phone",IF(COUNTIF(DESK!$F$2:$F$601,C456)=0,"Phone not found: copy it from your list",IF(AND(E456&lt;&gt;"",COUNTIFS(DESK!$F$2:$F$601,C456,DESK!$B$2:$B$601,E456)=0),"Company is not one of theirs","OK"))))))</f>
        <v/>
      </c>
    </row>
    <row r="457" spans="1:10"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time",IF(D457="NO_SLOTS",IF(COUNTIF(PARTNERS!$A$2:$A$88,E457)=0,"Write the company in column E","OK"),IF(C457="","Missing phone",IF(COUNTIF(DESK!$F$2:$F$601,C457)=0,"Phone not found: copy it from your list",IF(AND(E457&lt;&gt;"",COUNTIFS(DESK!$F$2:$F$601,C457,DESK!$B$2:$B$601,E457)=0),"Company is not one of theirs","OK"))))))</f>
        <v/>
      </c>
    </row>
    <row r="458" spans="1:10"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time",IF(D458="NO_SLOTS",IF(COUNTIF(PARTNERS!$A$2:$A$88,E458)=0,"Write the company in column E","OK"),IF(C458="","Missing phone",IF(COUNTIF(DESK!$F$2:$F$601,C458)=0,"Phone not found: copy it from your list",IF(AND(E458&lt;&gt;"",COUNTIFS(DESK!$F$2:$F$601,C458,DESK!$B$2:$B$601,E458)=0),"Company is not one of theirs","OK"))))))</f>
        <v/>
      </c>
    </row>
    <row r="459" spans="1:10"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time",IF(D459="NO_SLOTS",IF(COUNTIF(PARTNERS!$A$2:$A$88,E459)=0,"Write the company in column E","OK"),IF(C459="","Missing phone",IF(COUNTIF(DESK!$F$2:$F$601,C459)=0,"Phone not found: copy it from your list",IF(AND(E459&lt;&gt;"",COUNTIFS(DESK!$F$2:$F$601,C459,DESK!$B$2:$B$601,E459)=0),"Company is not one of theirs","OK"))))))</f>
        <v/>
      </c>
    </row>
    <row r="460" spans="1:10"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time",IF(D460="NO_SLOTS",IF(COUNTIF(PARTNERS!$A$2:$A$88,E460)=0,"Write the company in column E","OK"),IF(C460="","Missing phone",IF(COUNTIF(DESK!$F$2:$F$601,C460)=0,"Phone not found: copy it from your list",IF(AND(E460&lt;&gt;"",COUNTIFS(DESK!$F$2:$F$601,C460,DESK!$B$2:$B$601,E460)=0),"Company is not one of theirs","OK"))))))</f>
        <v/>
      </c>
    </row>
    <row r="461" spans="1:10"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time",IF(D461="NO_SLOTS",IF(COUNTIF(PARTNERS!$A$2:$A$88,E461)=0,"Write the company in column E","OK"),IF(C461="","Missing phone",IF(COUNTIF(DESK!$F$2:$F$601,C461)=0,"Phone not found: copy it from your list",IF(AND(E461&lt;&gt;"",COUNTIFS(DESK!$F$2:$F$601,C461,DESK!$B$2:$B$601,E461)=0),"Company is not one of theirs","OK"))))))</f>
        <v/>
      </c>
    </row>
    <row r="462" spans="1:10"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time",IF(D462="NO_SLOTS",IF(COUNTIF(PARTNERS!$A$2:$A$88,E462)=0,"Write the company in column E","OK"),IF(C462="","Missing phone",IF(COUNTIF(DESK!$F$2:$F$601,C462)=0,"Phone not found: copy it from your list",IF(AND(E462&lt;&gt;"",COUNTIFS(DESK!$F$2:$F$601,C462,DESK!$B$2:$B$601,E462)=0),"Company is not one of theirs","OK"))))))</f>
        <v/>
      </c>
    </row>
    <row r="463" spans="1:10"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time",IF(D463="NO_SLOTS",IF(COUNTIF(PARTNERS!$A$2:$A$88,E463)=0,"Write the company in column E","OK"),IF(C463="","Missing phone",IF(COUNTIF(DESK!$F$2:$F$601,C463)=0,"Phone not found: copy it from your list",IF(AND(E463&lt;&gt;"",COUNTIFS(DESK!$F$2:$F$601,C463,DESK!$B$2:$B$601,E463)=0),"Company is not one of theirs","OK"))))))</f>
        <v/>
      </c>
    </row>
    <row r="464" spans="1:10"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time",IF(D464="NO_SLOTS",IF(COUNTIF(PARTNERS!$A$2:$A$88,E464)=0,"Write the company in column E","OK"),IF(C464="","Missing phone",IF(COUNTIF(DESK!$F$2:$F$601,C464)=0,"Phone not found: copy it from your list",IF(AND(E464&lt;&gt;"",COUNTIFS(DESK!$F$2:$F$601,C464,DESK!$B$2:$B$601,E464)=0),"Company is not one of theirs","OK"))))))</f>
        <v/>
      </c>
    </row>
    <row r="465" spans="1:10"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time",IF(D465="NO_SLOTS",IF(COUNTIF(PARTNERS!$A$2:$A$88,E465)=0,"Write the company in column E","OK"),IF(C465="","Missing phone",IF(COUNTIF(DESK!$F$2:$F$601,C465)=0,"Phone not found: copy it from your list",IF(AND(E465&lt;&gt;"",COUNTIFS(DESK!$F$2:$F$601,C465,DESK!$B$2:$B$601,E465)=0),"Company is not one of theirs","OK"))))))</f>
        <v/>
      </c>
    </row>
    <row r="466" spans="1:10"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time",IF(D466="NO_SLOTS",IF(COUNTIF(PARTNERS!$A$2:$A$88,E466)=0,"Write the company in column E","OK"),IF(C466="","Missing phone",IF(COUNTIF(DESK!$F$2:$F$601,C466)=0,"Phone not found: copy it from your list",IF(AND(E466&lt;&gt;"",COUNTIFS(DESK!$F$2:$F$601,C466,DESK!$B$2:$B$601,E466)=0),"Company is not one of theirs","OK"))))))</f>
        <v/>
      </c>
    </row>
    <row r="467" spans="1:10"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time",IF(D467="NO_SLOTS",IF(COUNTIF(PARTNERS!$A$2:$A$88,E467)=0,"Write the company in column E","OK"),IF(C467="","Missing phone",IF(COUNTIF(DESK!$F$2:$F$601,C467)=0,"Phone not found: copy it from your list",IF(AND(E467&lt;&gt;"",COUNTIFS(DESK!$F$2:$F$601,C467,DESK!$B$2:$B$601,E467)=0),"Company is not one of theirs","OK"))))))</f>
        <v/>
      </c>
    </row>
    <row r="468" spans="1:10"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time",IF(D468="NO_SLOTS",IF(COUNTIF(PARTNERS!$A$2:$A$88,E468)=0,"Write the company in column E","OK"),IF(C468="","Missing phone",IF(COUNTIF(DESK!$F$2:$F$601,C468)=0,"Phone not found: copy it from your list",IF(AND(E468&lt;&gt;"",COUNTIFS(DESK!$F$2:$F$601,C468,DESK!$B$2:$B$601,E468)=0),"Company is not one of theirs","OK"))))))</f>
        <v/>
      </c>
    </row>
    <row r="469" spans="1:10"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time",IF(D469="NO_SLOTS",IF(COUNTIF(PARTNERS!$A$2:$A$88,E469)=0,"Write the company in column E","OK"),IF(C469="","Missing phone",IF(COUNTIF(DESK!$F$2:$F$601,C469)=0,"Phone not found: copy it from your list",IF(AND(E469&lt;&gt;"",COUNTIFS(DESK!$F$2:$F$601,C469,DESK!$B$2:$B$601,E469)=0),"Company is not one of theirs","OK"))))))</f>
        <v/>
      </c>
    </row>
    <row r="470" spans="1:10"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time",IF(D470="NO_SLOTS",IF(COUNTIF(PARTNERS!$A$2:$A$88,E470)=0,"Write the company in column E","OK"),IF(C470="","Missing phone",IF(COUNTIF(DESK!$F$2:$F$601,C470)=0,"Phone not found: copy it from your list",IF(AND(E470&lt;&gt;"",COUNTIFS(DESK!$F$2:$F$601,C470,DESK!$B$2:$B$601,E470)=0),"Company is not one of theirs","OK"))))))</f>
        <v/>
      </c>
    </row>
    <row r="471" spans="1:10"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time",IF(D471="NO_SLOTS",IF(COUNTIF(PARTNERS!$A$2:$A$88,E471)=0,"Write the company in column E","OK"),IF(C471="","Missing phone",IF(COUNTIF(DESK!$F$2:$F$601,C471)=0,"Phone not found: copy it from your list",IF(AND(E471&lt;&gt;"",COUNTIFS(DESK!$F$2:$F$601,C471,DESK!$B$2:$B$601,E471)=0),"Company is not one of theirs","OK"))))))</f>
        <v/>
      </c>
    </row>
    <row r="472" spans="1:10"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time",IF(D472="NO_SLOTS",IF(COUNTIF(PARTNERS!$A$2:$A$88,E472)=0,"Write the company in column E","OK"),IF(C472="","Missing phone",IF(COUNTIF(DESK!$F$2:$F$601,C472)=0,"Phone not found: copy it from your list",IF(AND(E472&lt;&gt;"",COUNTIFS(DESK!$F$2:$F$601,C472,DESK!$B$2:$B$601,E472)=0),"Company is not one of theirs","OK"))))))</f>
        <v/>
      </c>
    </row>
    <row r="473" spans="1:10"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time",IF(D473="NO_SLOTS",IF(COUNTIF(PARTNERS!$A$2:$A$88,E473)=0,"Write the company in column E","OK"),IF(C473="","Missing phone",IF(COUNTIF(DESK!$F$2:$F$601,C473)=0,"Phone not found: copy it from your list",IF(AND(E473&lt;&gt;"",COUNTIFS(DESK!$F$2:$F$601,C473,DESK!$B$2:$B$601,E473)=0),"Company is not one of theirs","OK"))))))</f>
        <v/>
      </c>
    </row>
    <row r="474" spans="1:10"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time",IF(D474="NO_SLOTS",IF(COUNTIF(PARTNERS!$A$2:$A$88,E474)=0,"Write the company in column E","OK"),IF(C474="","Missing phone",IF(COUNTIF(DESK!$F$2:$F$601,C474)=0,"Phone not found: copy it from your list",IF(AND(E474&lt;&gt;"",COUNTIFS(DESK!$F$2:$F$601,C474,DESK!$B$2:$B$601,E474)=0),"Company is not one of theirs","OK"))))))</f>
        <v/>
      </c>
    </row>
    <row r="475" spans="1:10"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time",IF(D475="NO_SLOTS",IF(COUNTIF(PARTNERS!$A$2:$A$88,E475)=0,"Write the company in column E","OK"),IF(C475="","Missing phone",IF(COUNTIF(DESK!$F$2:$F$601,C475)=0,"Phone not found: copy it from your list",IF(AND(E475&lt;&gt;"",COUNTIFS(DESK!$F$2:$F$601,C475,DESK!$B$2:$B$601,E475)=0),"Company is not one of theirs","OK"))))))</f>
        <v/>
      </c>
    </row>
    <row r="476" spans="1:10"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time",IF(D476="NO_SLOTS",IF(COUNTIF(PARTNERS!$A$2:$A$88,E476)=0,"Write the company in column E","OK"),IF(C476="","Missing phone",IF(COUNTIF(DESK!$F$2:$F$601,C476)=0,"Phone not found: copy it from your list",IF(AND(E476&lt;&gt;"",COUNTIFS(DESK!$F$2:$F$601,C476,DESK!$B$2:$B$601,E476)=0),"Company is not one of theirs","OK"))))))</f>
        <v/>
      </c>
    </row>
    <row r="477" spans="1:10"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time",IF(D477="NO_SLOTS",IF(COUNTIF(PARTNERS!$A$2:$A$88,E477)=0,"Write the company in column E","OK"),IF(C477="","Missing phone",IF(COUNTIF(DESK!$F$2:$F$601,C477)=0,"Phone not found: copy it from your list",IF(AND(E477&lt;&gt;"",COUNTIFS(DESK!$F$2:$F$601,C477,DESK!$B$2:$B$601,E477)=0),"Company is not one of theirs","OK"))))))</f>
        <v/>
      </c>
    </row>
    <row r="478" spans="1:10"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time",IF(D478="NO_SLOTS",IF(COUNTIF(PARTNERS!$A$2:$A$88,E478)=0,"Write the company in column E","OK"),IF(C478="","Missing phone",IF(COUNTIF(DESK!$F$2:$F$601,C478)=0,"Phone not found: copy it from your list",IF(AND(E478&lt;&gt;"",COUNTIFS(DESK!$F$2:$F$601,C478,DESK!$B$2:$B$601,E478)=0),"Company is not one of theirs","OK"))))))</f>
        <v/>
      </c>
    </row>
    <row r="479" spans="1:10"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time",IF(D479="NO_SLOTS",IF(COUNTIF(PARTNERS!$A$2:$A$88,E479)=0,"Write the company in column E","OK"),IF(C479="","Missing phone",IF(COUNTIF(DESK!$F$2:$F$601,C479)=0,"Phone not found: copy it from your list",IF(AND(E479&lt;&gt;"",COUNTIFS(DESK!$F$2:$F$601,C479,DESK!$B$2:$B$601,E479)=0),"Company is not one of theirs","OK"))))))</f>
        <v/>
      </c>
    </row>
    <row r="480" spans="1:10"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time",IF(D480="NO_SLOTS",IF(COUNTIF(PARTNERS!$A$2:$A$88,E480)=0,"Write the company in column E","OK"),IF(C480="","Missing phone",IF(COUNTIF(DESK!$F$2:$F$601,C480)=0,"Phone not found: copy it from your list",IF(AND(E480&lt;&gt;"",COUNTIFS(DESK!$F$2:$F$601,C480,DESK!$B$2:$B$601,E480)=0),"Company is not one of theirs","OK"))))))</f>
        <v/>
      </c>
    </row>
    <row r="481" spans="1:10"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time",IF(D481="NO_SLOTS",IF(COUNTIF(PARTNERS!$A$2:$A$88,E481)=0,"Write the company in column E","OK"),IF(C481="","Missing phone",IF(COUNTIF(DESK!$F$2:$F$601,C481)=0,"Phone not found: copy it from your list",IF(AND(E481&lt;&gt;"",COUNTIFS(DESK!$F$2:$F$601,C481,DESK!$B$2:$B$601,E481)=0),"Company is not one of theirs","OK"))))))</f>
        <v/>
      </c>
    </row>
    <row r="482" spans="1:10"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time",IF(D482="NO_SLOTS",IF(COUNTIF(PARTNERS!$A$2:$A$88,E482)=0,"Write the company in column E","OK"),IF(C482="","Missing phone",IF(COUNTIF(DESK!$F$2:$F$601,C482)=0,"Phone not found: copy it from your list",IF(AND(E482&lt;&gt;"",COUNTIFS(DESK!$F$2:$F$601,C482,DESK!$B$2:$B$601,E482)=0),"Company is not one of theirs","OK"))))))</f>
        <v/>
      </c>
    </row>
    <row r="483" spans="1:10"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time",IF(D483="NO_SLOTS",IF(COUNTIF(PARTNERS!$A$2:$A$88,E483)=0,"Write the company in column E","OK"),IF(C483="","Missing phone",IF(COUNTIF(DESK!$F$2:$F$601,C483)=0,"Phone not found: copy it from your list",IF(AND(E483&lt;&gt;"",COUNTIFS(DESK!$F$2:$F$601,C483,DESK!$B$2:$B$601,E483)=0),"Company is not one of theirs","OK"))))))</f>
        <v/>
      </c>
    </row>
    <row r="484" spans="1:10"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time",IF(D484="NO_SLOTS",IF(COUNTIF(PARTNERS!$A$2:$A$88,E484)=0,"Write the company in column E","OK"),IF(C484="","Missing phone",IF(COUNTIF(DESK!$F$2:$F$601,C484)=0,"Phone not found: copy it from your list",IF(AND(E484&lt;&gt;"",COUNTIFS(DESK!$F$2:$F$601,C484,DESK!$B$2:$B$601,E484)=0),"Company is not one of theirs","OK"))))))</f>
        <v/>
      </c>
    </row>
    <row r="485" spans="1:10"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time",IF(D485="NO_SLOTS",IF(COUNTIF(PARTNERS!$A$2:$A$88,E485)=0,"Write the company in column E","OK"),IF(C485="","Missing phone",IF(COUNTIF(DESK!$F$2:$F$601,C485)=0,"Phone not found: copy it from your list",IF(AND(E485&lt;&gt;"",COUNTIFS(DESK!$F$2:$F$601,C485,DESK!$B$2:$B$601,E485)=0),"Company is not one of theirs","OK"))))))</f>
        <v/>
      </c>
    </row>
    <row r="486" spans="1:10"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time",IF(D486="NO_SLOTS",IF(COUNTIF(PARTNERS!$A$2:$A$88,E486)=0,"Write the company in column E","OK"),IF(C486="","Missing phone",IF(COUNTIF(DESK!$F$2:$F$601,C486)=0,"Phone not found: copy it from your list",IF(AND(E486&lt;&gt;"",COUNTIFS(DESK!$F$2:$F$601,C486,DESK!$B$2:$B$601,E486)=0),"Company is not one of theirs","OK"))))))</f>
        <v/>
      </c>
    </row>
    <row r="487" spans="1:10"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time",IF(D487="NO_SLOTS",IF(COUNTIF(PARTNERS!$A$2:$A$88,E487)=0,"Write the company in column E","OK"),IF(C487="","Missing phone",IF(COUNTIF(DESK!$F$2:$F$601,C487)=0,"Phone not found: copy it from your list",IF(AND(E487&lt;&gt;"",COUNTIFS(DESK!$F$2:$F$601,C487,DESK!$B$2:$B$601,E487)=0),"Company is not one of theirs","OK"))))))</f>
        <v/>
      </c>
    </row>
    <row r="488" spans="1:10"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time",IF(D488="NO_SLOTS",IF(COUNTIF(PARTNERS!$A$2:$A$88,E488)=0,"Write the company in column E","OK"),IF(C488="","Missing phone",IF(COUNTIF(DESK!$F$2:$F$601,C488)=0,"Phone not found: copy it from your list",IF(AND(E488&lt;&gt;"",COUNTIFS(DESK!$F$2:$F$601,C488,DESK!$B$2:$B$601,E488)=0),"Company is not one of theirs","OK"))))))</f>
        <v/>
      </c>
    </row>
    <row r="489" spans="1:10"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time",IF(D489="NO_SLOTS",IF(COUNTIF(PARTNERS!$A$2:$A$88,E489)=0,"Write the company in column E","OK"),IF(C489="","Missing phone",IF(COUNTIF(DESK!$F$2:$F$601,C489)=0,"Phone not found: copy it from your list",IF(AND(E489&lt;&gt;"",COUNTIFS(DESK!$F$2:$F$601,C489,DESK!$B$2:$B$601,E489)=0),"Company is not one of theirs","OK"))))))</f>
        <v/>
      </c>
    </row>
    <row r="490" spans="1:10"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time",IF(D490="NO_SLOTS",IF(COUNTIF(PARTNERS!$A$2:$A$88,E490)=0,"Write the company in column E","OK"),IF(C490="","Missing phone",IF(COUNTIF(DESK!$F$2:$F$601,C490)=0,"Phone not found: copy it from your list",IF(AND(E490&lt;&gt;"",COUNTIFS(DESK!$F$2:$F$601,C490,DESK!$B$2:$B$601,E490)=0),"Company is not one of theirs","OK"))))))</f>
        <v/>
      </c>
    </row>
    <row r="491" spans="1:10"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time",IF(D491="NO_SLOTS",IF(COUNTIF(PARTNERS!$A$2:$A$88,E491)=0,"Write the company in column E","OK"),IF(C491="","Missing phone",IF(COUNTIF(DESK!$F$2:$F$601,C491)=0,"Phone not found: copy it from your list",IF(AND(E491&lt;&gt;"",COUNTIFS(DESK!$F$2:$F$601,C491,DESK!$B$2:$B$601,E491)=0),"Company is not one of theirs","OK"))))))</f>
        <v/>
      </c>
    </row>
    <row r="492" spans="1:10"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time",IF(D492="NO_SLOTS",IF(COUNTIF(PARTNERS!$A$2:$A$88,E492)=0,"Write the company in column E","OK"),IF(C492="","Missing phone",IF(COUNTIF(DESK!$F$2:$F$601,C492)=0,"Phone not found: copy it from your list",IF(AND(E492&lt;&gt;"",COUNTIFS(DESK!$F$2:$F$601,C492,DESK!$B$2:$B$601,E492)=0),"Company is not one of theirs","OK"))))))</f>
        <v/>
      </c>
    </row>
    <row r="493" spans="1:10"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time",IF(D493="NO_SLOTS",IF(COUNTIF(PARTNERS!$A$2:$A$88,E493)=0,"Write the company in column E","OK"),IF(C493="","Missing phone",IF(COUNTIF(DESK!$F$2:$F$601,C493)=0,"Phone not found: copy it from your list",IF(AND(E493&lt;&gt;"",COUNTIFS(DESK!$F$2:$F$601,C493,DESK!$B$2:$B$601,E493)=0),"Company is not one of theirs","OK"))))))</f>
        <v/>
      </c>
    </row>
    <row r="494" spans="1:10"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time",IF(D494="NO_SLOTS",IF(COUNTIF(PARTNERS!$A$2:$A$88,E494)=0,"Write the company in column E","OK"),IF(C494="","Missing phone",IF(COUNTIF(DESK!$F$2:$F$601,C494)=0,"Phone not found: copy it from your list",IF(AND(E494&lt;&gt;"",COUNTIFS(DESK!$F$2:$F$601,C494,DESK!$B$2:$B$601,E494)=0),"Company is not one of theirs","OK"))))))</f>
        <v/>
      </c>
    </row>
    <row r="495" spans="1:10"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time",IF(D495="NO_SLOTS",IF(COUNTIF(PARTNERS!$A$2:$A$88,E495)=0,"Write the company in column E","OK"),IF(C495="","Missing phone",IF(COUNTIF(DESK!$F$2:$F$601,C495)=0,"Phone not found: copy it from your list",IF(AND(E495&lt;&gt;"",COUNTIFS(DESK!$F$2:$F$601,C495,DESK!$B$2:$B$601,E495)=0),"Company is not one of theirs","OK"))))))</f>
        <v/>
      </c>
    </row>
    <row r="496" spans="1:10"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time",IF(D496="NO_SLOTS",IF(COUNTIF(PARTNERS!$A$2:$A$88,E496)=0,"Write the company in column E","OK"),IF(C496="","Missing phone",IF(COUNTIF(DESK!$F$2:$F$601,C496)=0,"Phone not found: copy it from your list",IF(AND(E496&lt;&gt;"",COUNTIFS(DESK!$F$2:$F$601,C496,DESK!$B$2:$B$601,E496)=0),"Company is not one of theirs","OK"))))))</f>
        <v/>
      </c>
    </row>
    <row r="497" spans="1:10"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time",IF(D497="NO_SLOTS",IF(COUNTIF(PARTNERS!$A$2:$A$88,E497)=0,"Write the company in column E","OK"),IF(C497="","Missing phone",IF(COUNTIF(DESK!$F$2:$F$601,C497)=0,"Phone not found: copy it from your list",IF(AND(E497&lt;&gt;"",COUNTIFS(DESK!$F$2:$F$601,C497,DESK!$B$2:$B$601,E497)=0),"Company is not one of theirs","OK"))))))</f>
        <v/>
      </c>
    </row>
    <row r="498" spans="1:10"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time",IF(D498="NO_SLOTS",IF(COUNTIF(PARTNERS!$A$2:$A$88,E498)=0,"Write the company in column E","OK"),IF(C498="","Missing phone",IF(COUNTIF(DESK!$F$2:$F$601,C498)=0,"Phone not found: copy it from your list",IF(AND(E498&lt;&gt;"",COUNTIFS(DESK!$F$2:$F$601,C498,DESK!$B$2:$B$601,E498)=0),"Company is not one of theirs","OK"))))))</f>
        <v/>
      </c>
    </row>
    <row r="499" spans="1:10"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time",IF(D499="NO_SLOTS",IF(COUNTIF(PARTNERS!$A$2:$A$88,E499)=0,"Write the company in column E","OK"),IF(C499="","Missing phone",IF(COUNTIF(DESK!$F$2:$F$601,C499)=0,"Phone not found: copy it from your list",IF(AND(E499&lt;&gt;"",COUNTIFS(DESK!$F$2:$F$601,C499,DESK!$B$2:$B$601,E499)=0),"Company is not one of theirs","OK"))))))</f>
        <v/>
      </c>
    </row>
    <row r="500" spans="1:10"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time",IF(D500="NO_SLOTS",IF(COUNTIF(PARTNERS!$A$2:$A$88,E500)=0,"Write the company in column E","OK"),IF(C500="","Missing phone",IF(COUNTIF(DESK!$F$2:$F$601,C500)=0,"Phone not found: copy it from your list",IF(AND(E500&lt;&gt;"",COUNTIFS(DESK!$F$2:$F$601,C500,DESK!$B$2:$B$601,E500)=0),"Company is not one of theirs","OK"))))))</f>
        <v/>
      </c>
    </row>
    <row r="501" spans="1:10"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time",IF(D501="NO_SLOTS",IF(COUNTIF(PARTNERS!$A$2:$A$88,E501)=0,"Write the company in column E","OK"),IF(C501="","Missing phone",IF(COUNTIF(DESK!$F$2:$F$601,C501)=0,"Phone not found: copy it from your list",IF(AND(E501&lt;&gt;"",COUNTIFS(DESK!$F$2:$F$601,C501,DESK!$B$2:$B$601,E501)=0),"Company is not one of theirs","OK"))))))</f>
        <v/>
      </c>
    </row>
    <row r="502" spans="1:10"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time",IF(D502="NO_SLOTS",IF(COUNTIF(PARTNERS!$A$2:$A$88,E502)=0,"Write the company in column E","OK"),IF(C502="","Missing phone",IF(COUNTIF(DESK!$F$2:$F$601,C502)=0,"Phone not found: copy it from your list",IF(AND(E502&lt;&gt;"",COUNTIFS(DESK!$F$2:$F$601,C502,DESK!$B$2:$B$601,E502)=0),"Company is not one of theirs","OK"))))))</f>
        <v/>
      </c>
    </row>
    <row r="503" spans="1:10"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time",IF(D503="NO_SLOTS",IF(COUNTIF(PARTNERS!$A$2:$A$88,E503)=0,"Write the company in column E","OK"),IF(C503="","Missing phone",IF(COUNTIF(DESK!$F$2:$F$601,C503)=0,"Phone not found: copy it from your list",IF(AND(E503&lt;&gt;"",COUNTIFS(DESK!$F$2:$F$601,C503,DESK!$B$2:$B$601,E503)=0),"Company is not one of theirs","OK"))))))</f>
        <v/>
      </c>
    </row>
    <row r="504" spans="1:10"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time",IF(D504="NO_SLOTS",IF(COUNTIF(PARTNERS!$A$2:$A$88,E504)=0,"Write the company in column E","OK"),IF(C504="","Missing phone",IF(COUNTIF(DESK!$F$2:$F$601,C504)=0,"Phone not found: copy it from your list",IF(AND(E504&lt;&gt;"",COUNTIFS(DESK!$F$2:$F$601,C504,DESK!$B$2:$B$601,E504)=0),"Company is not one of theirs","OK"))))))</f>
        <v/>
      </c>
    </row>
    <row r="505" spans="1:10"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time",IF(D505="NO_SLOTS",IF(COUNTIF(PARTNERS!$A$2:$A$88,E505)=0,"Write the company in column E","OK"),IF(C505="","Missing phone",IF(COUNTIF(DESK!$F$2:$F$601,C505)=0,"Phone not found: copy it from your list",IF(AND(E505&lt;&gt;"",COUNTIFS(DESK!$F$2:$F$601,C505,DESK!$B$2:$B$601,E505)=0),"Company is not one of theirs","OK"))))))</f>
        <v/>
      </c>
    </row>
    <row r="506" spans="1:10"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time",IF(D506="NO_SLOTS",IF(COUNTIF(PARTNERS!$A$2:$A$88,E506)=0,"Write the company in column E","OK"),IF(C506="","Missing phone",IF(COUNTIF(DESK!$F$2:$F$601,C506)=0,"Phone not found: copy it from your list",IF(AND(E506&lt;&gt;"",COUNTIFS(DESK!$F$2:$F$601,C506,DESK!$B$2:$B$601,E506)=0),"Company is not one of theirs","OK"))))))</f>
        <v/>
      </c>
    </row>
    <row r="507" spans="1:10"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time",IF(D507="NO_SLOTS",IF(COUNTIF(PARTNERS!$A$2:$A$88,E507)=0,"Write the company in column E","OK"),IF(C507="","Missing phone",IF(COUNTIF(DESK!$F$2:$F$601,C507)=0,"Phone not found: copy it from your list",IF(AND(E507&lt;&gt;"",COUNTIFS(DESK!$F$2:$F$601,C507,DESK!$B$2:$B$601,E507)=0),"Company is not one of theirs","OK"))))))</f>
        <v/>
      </c>
    </row>
    <row r="508" spans="1:10"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time",IF(D508="NO_SLOTS",IF(COUNTIF(PARTNERS!$A$2:$A$88,E508)=0,"Write the company in column E","OK"),IF(C508="","Missing phone",IF(COUNTIF(DESK!$F$2:$F$601,C508)=0,"Phone not found: copy it from your list",IF(AND(E508&lt;&gt;"",COUNTIFS(DESK!$F$2:$F$601,C508,DESK!$B$2:$B$601,E508)=0),"Company is not one of theirs","OK"))))))</f>
        <v/>
      </c>
    </row>
    <row r="509" spans="1:10"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time",IF(D509="NO_SLOTS",IF(COUNTIF(PARTNERS!$A$2:$A$88,E509)=0,"Write the company in column E","OK"),IF(C509="","Missing phone",IF(COUNTIF(DESK!$F$2:$F$601,C509)=0,"Phone not found: copy it from your list",IF(AND(E509&lt;&gt;"",COUNTIFS(DESK!$F$2:$F$601,C509,DESK!$B$2:$B$601,E509)=0),"Company is not one of theirs","OK"))))))</f>
        <v/>
      </c>
    </row>
    <row r="510" spans="1:10"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time",IF(D510="NO_SLOTS",IF(COUNTIF(PARTNERS!$A$2:$A$88,E510)=0,"Write the company in column E","OK"),IF(C510="","Missing phone",IF(COUNTIF(DESK!$F$2:$F$601,C510)=0,"Phone not found: copy it from your list",IF(AND(E510&lt;&gt;"",COUNTIFS(DESK!$F$2:$F$601,C510,DESK!$B$2:$B$601,E510)=0),"Company is not one of theirs","OK"))))))</f>
        <v/>
      </c>
    </row>
    <row r="511" spans="1:10"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time",IF(D511="NO_SLOTS",IF(COUNTIF(PARTNERS!$A$2:$A$88,E511)=0,"Write the company in column E","OK"),IF(C511="","Missing phone",IF(COUNTIF(DESK!$F$2:$F$601,C511)=0,"Phone not found: copy it from your list",IF(AND(E511&lt;&gt;"",COUNTIFS(DESK!$F$2:$F$601,C511,DESK!$B$2:$B$601,E511)=0),"Company is not one of theirs","OK"))))))</f>
        <v/>
      </c>
    </row>
    <row r="512" spans="1:10"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time",IF(D512="NO_SLOTS",IF(COUNTIF(PARTNERS!$A$2:$A$88,E512)=0,"Write the company in column E","OK"),IF(C512="","Missing phone",IF(COUNTIF(DESK!$F$2:$F$601,C512)=0,"Phone not found: copy it from your list",IF(AND(E512&lt;&gt;"",COUNTIFS(DESK!$F$2:$F$601,C512,DESK!$B$2:$B$601,E512)=0),"Company is not one of theirs","OK"))))))</f>
        <v/>
      </c>
    </row>
    <row r="513" spans="1:10"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time",IF(D513="NO_SLOTS",IF(COUNTIF(PARTNERS!$A$2:$A$88,E513)=0,"Write the company in column E","OK"),IF(C513="","Missing phone",IF(COUNTIF(DESK!$F$2:$F$601,C513)=0,"Phone not found: copy it from your list",IF(AND(E513&lt;&gt;"",COUNTIFS(DESK!$F$2:$F$601,C513,DESK!$B$2:$B$601,E513)=0),"Company is not one of theirs","OK"))))))</f>
        <v/>
      </c>
    </row>
    <row r="514" spans="1:10"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time",IF(D514="NO_SLOTS",IF(COUNTIF(PARTNERS!$A$2:$A$88,E514)=0,"Write the company in column E","OK"),IF(C514="","Missing phone",IF(COUNTIF(DESK!$F$2:$F$601,C514)=0,"Phone not found: copy it from your list",IF(AND(E514&lt;&gt;"",COUNTIFS(DESK!$F$2:$F$601,C514,DESK!$B$2:$B$601,E514)=0),"Company is not one of theirs","OK"))))))</f>
        <v/>
      </c>
    </row>
    <row r="515" spans="1:10"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time",IF(D515="NO_SLOTS",IF(COUNTIF(PARTNERS!$A$2:$A$88,E515)=0,"Write the company in column E","OK"),IF(C515="","Missing phone",IF(COUNTIF(DESK!$F$2:$F$601,C515)=0,"Phone not found: copy it from your list",IF(AND(E515&lt;&gt;"",COUNTIFS(DESK!$F$2:$F$601,C515,DESK!$B$2:$B$601,E515)=0),"Company is not one of theirs","OK"))))))</f>
        <v/>
      </c>
    </row>
    <row r="516" spans="1:10"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time",IF(D516="NO_SLOTS",IF(COUNTIF(PARTNERS!$A$2:$A$88,E516)=0,"Write the company in column E","OK"),IF(C516="","Missing phone",IF(COUNTIF(DESK!$F$2:$F$601,C516)=0,"Phone not found: copy it from your list",IF(AND(E516&lt;&gt;"",COUNTIFS(DESK!$F$2:$F$601,C516,DESK!$B$2:$B$601,E516)=0),"Company is not one of theirs","OK"))))))</f>
        <v/>
      </c>
    </row>
    <row r="517" spans="1:10"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time",IF(D517="NO_SLOTS",IF(COUNTIF(PARTNERS!$A$2:$A$88,E517)=0,"Write the company in column E","OK"),IF(C517="","Missing phone",IF(COUNTIF(DESK!$F$2:$F$601,C517)=0,"Phone not found: copy it from your list",IF(AND(E517&lt;&gt;"",COUNTIFS(DESK!$F$2:$F$601,C517,DESK!$B$2:$B$601,E517)=0),"Company is not one of theirs","OK"))))))</f>
        <v/>
      </c>
    </row>
    <row r="518" spans="1:10"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time",IF(D518="NO_SLOTS",IF(COUNTIF(PARTNERS!$A$2:$A$88,E518)=0,"Write the company in column E","OK"),IF(C518="","Missing phone",IF(COUNTIF(DESK!$F$2:$F$601,C518)=0,"Phone not found: copy it from your list",IF(AND(E518&lt;&gt;"",COUNTIFS(DESK!$F$2:$F$601,C518,DESK!$B$2:$B$601,E518)=0),"Company is not one of theirs","OK"))))))</f>
        <v/>
      </c>
    </row>
    <row r="519" spans="1:10"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time",IF(D519="NO_SLOTS",IF(COUNTIF(PARTNERS!$A$2:$A$88,E519)=0,"Write the company in column E","OK"),IF(C519="","Missing phone",IF(COUNTIF(DESK!$F$2:$F$601,C519)=0,"Phone not found: copy it from your list",IF(AND(E519&lt;&gt;"",COUNTIFS(DESK!$F$2:$F$601,C519,DESK!$B$2:$B$601,E519)=0),"Company is not one of theirs","OK"))))))</f>
        <v/>
      </c>
    </row>
    <row r="520" spans="1:10"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time",IF(D520="NO_SLOTS",IF(COUNTIF(PARTNERS!$A$2:$A$88,E520)=0,"Write the company in column E","OK"),IF(C520="","Missing phone",IF(COUNTIF(DESK!$F$2:$F$601,C520)=0,"Phone not found: copy it from your list",IF(AND(E520&lt;&gt;"",COUNTIFS(DESK!$F$2:$F$601,C520,DESK!$B$2:$B$601,E520)=0),"Company is not one of theirs","OK"))))))</f>
        <v/>
      </c>
    </row>
    <row r="521" spans="1:10"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time",IF(D521="NO_SLOTS",IF(COUNTIF(PARTNERS!$A$2:$A$88,E521)=0,"Write the company in column E","OK"),IF(C521="","Missing phone",IF(COUNTIF(DESK!$F$2:$F$601,C521)=0,"Phone not found: copy it from your list",IF(AND(E521&lt;&gt;"",COUNTIFS(DESK!$F$2:$F$601,C521,DESK!$B$2:$B$601,E521)=0),"Company is not one of theirs","OK"))))))</f>
        <v/>
      </c>
    </row>
    <row r="522" spans="1:10"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time",IF(D522="NO_SLOTS",IF(COUNTIF(PARTNERS!$A$2:$A$88,E522)=0,"Write the company in column E","OK"),IF(C522="","Missing phone",IF(COUNTIF(DESK!$F$2:$F$601,C522)=0,"Phone not found: copy it from your list",IF(AND(E522&lt;&gt;"",COUNTIFS(DESK!$F$2:$F$601,C522,DESK!$B$2:$B$601,E522)=0),"Company is not one of theirs","OK"))))))</f>
        <v/>
      </c>
    </row>
    <row r="523" spans="1:10"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time",IF(D523="NO_SLOTS",IF(COUNTIF(PARTNERS!$A$2:$A$88,E523)=0,"Write the company in column E","OK"),IF(C523="","Missing phone",IF(COUNTIF(DESK!$F$2:$F$601,C523)=0,"Phone not found: copy it from your list",IF(AND(E523&lt;&gt;"",COUNTIFS(DESK!$F$2:$F$601,C523,DESK!$B$2:$B$601,E523)=0),"Company is not one of theirs","OK"))))))</f>
        <v/>
      </c>
    </row>
    <row r="524" spans="1:10"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time",IF(D524="NO_SLOTS",IF(COUNTIF(PARTNERS!$A$2:$A$88,E524)=0,"Write the company in column E","OK"),IF(C524="","Missing phone",IF(COUNTIF(DESK!$F$2:$F$601,C524)=0,"Phone not found: copy it from your list",IF(AND(E524&lt;&gt;"",COUNTIFS(DESK!$F$2:$F$601,C524,DESK!$B$2:$B$601,E524)=0),"Company is not one of theirs","OK"))))))</f>
        <v/>
      </c>
    </row>
    <row r="525" spans="1:10"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time",IF(D525="NO_SLOTS",IF(COUNTIF(PARTNERS!$A$2:$A$88,E525)=0,"Write the company in column E","OK"),IF(C525="","Missing phone",IF(COUNTIF(DESK!$F$2:$F$601,C525)=0,"Phone not found: copy it from your list",IF(AND(E525&lt;&gt;"",COUNTIFS(DESK!$F$2:$F$601,C525,DESK!$B$2:$B$601,E525)=0),"Company is not one of theirs","OK"))))))</f>
        <v/>
      </c>
    </row>
    <row r="526" spans="1:10"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time",IF(D526="NO_SLOTS",IF(COUNTIF(PARTNERS!$A$2:$A$88,E526)=0,"Write the company in column E","OK"),IF(C526="","Missing phone",IF(COUNTIF(DESK!$F$2:$F$601,C526)=0,"Phone not found: copy it from your list",IF(AND(E526&lt;&gt;"",COUNTIFS(DESK!$F$2:$F$601,C526,DESK!$B$2:$B$601,E526)=0),"Company is not one of theirs","OK"))))))</f>
        <v/>
      </c>
    </row>
    <row r="527" spans="1:10"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time",IF(D527="NO_SLOTS",IF(COUNTIF(PARTNERS!$A$2:$A$88,E527)=0,"Write the company in column E","OK"),IF(C527="","Missing phone",IF(COUNTIF(DESK!$F$2:$F$601,C527)=0,"Phone not found: copy it from your list",IF(AND(E527&lt;&gt;"",COUNTIFS(DESK!$F$2:$F$601,C527,DESK!$B$2:$B$601,E527)=0),"Company is not one of theirs","OK"))))))</f>
        <v/>
      </c>
    </row>
    <row r="528" spans="1:10"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time",IF(D528="NO_SLOTS",IF(COUNTIF(PARTNERS!$A$2:$A$88,E528)=0,"Write the company in column E","OK"),IF(C528="","Missing phone",IF(COUNTIF(DESK!$F$2:$F$601,C528)=0,"Phone not found: copy it from your list",IF(AND(E528&lt;&gt;"",COUNTIFS(DESK!$F$2:$F$601,C528,DESK!$B$2:$B$601,E528)=0),"Company is not one of theirs","OK"))))))</f>
        <v/>
      </c>
    </row>
    <row r="529" spans="1:10"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time",IF(D529="NO_SLOTS",IF(COUNTIF(PARTNERS!$A$2:$A$88,E529)=0,"Write the company in column E","OK"),IF(C529="","Missing phone",IF(COUNTIF(DESK!$F$2:$F$601,C529)=0,"Phone not found: copy it from your list",IF(AND(E529&lt;&gt;"",COUNTIFS(DESK!$F$2:$F$601,C529,DESK!$B$2:$B$601,E529)=0),"Company is not one of theirs","OK"))))))</f>
        <v/>
      </c>
    </row>
    <row r="530" spans="1:10"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time",IF(D530="NO_SLOTS",IF(COUNTIF(PARTNERS!$A$2:$A$88,E530)=0,"Write the company in column E","OK"),IF(C530="","Missing phone",IF(COUNTIF(DESK!$F$2:$F$601,C530)=0,"Phone not found: copy it from your list",IF(AND(E530&lt;&gt;"",COUNTIFS(DESK!$F$2:$F$601,C530,DESK!$B$2:$B$601,E530)=0),"Company is not one of theirs","OK"))))))</f>
        <v/>
      </c>
    </row>
    <row r="531" spans="1:10"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time",IF(D531="NO_SLOTS",IF(COUNTIF(PARTNERS!$A$2:$A$88,E531)=0,"Write the company in column E","OK"),IF(C531="","Missing phone",IF(COUNTIF(DESK!$F$2:$F$601,C531)=0,"Phone not found: copy it from your list",IF(AND(E531&lt;&gt;"",COUNTIFS(DESK!$F$2:$F$601,C531,DESK!$B$2:$B$601,E531)=0),"Company is not one of theirs","OK"))))))</f>
        <v/>
      </c>
    </row>
    <row r="532" spans="1:10"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time",IF(D532="NO_SLOTS",IF(COUNTIF(PARTNERS!$A$2:$A$88,E532)=0,"Write the company in column E","OK"),IF(C532="","Missing phone",IF(COUNTIF(DESK!$F$2:$F$601,C532)=0,"Phone not found: copy it from your list",IF(AND(E532&lt;&gt;"",COUNTIFS(DESK!$F$2:$F$601,C532,DESK!$B$2:$B$601,E532)=0),"Company is not one of theirs","OK"))))))</f>
        <v/>
      </c>
    </row>
    <row r="533" spans="1:10"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time",IF(D533="NO_SLOTS",IF(COUNTIF(PARTNERS!$A$2:$A$88,E533)=0,"Write the company in column E","OK"),IF(C533="","Missing phone",IF(COUNTIF(DESK!$F$2:$F$601,C533)=0,"Phone not found: copy it from your list",IF(AND(E533&lt;&gt;"",COUNTIFS(DESK!$F$2:$F$601,C533,DESK!$B$2:$B$601,E533)=0),"Company is not one of theirs","OK"))))))</f>
        <v/>
      </c>
    </row>
    <row r="534" spans="1:10"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time",IF(D534="NO_SLOTS",IF(COUNTIF(PARTNERS!$A$2:$A$88,E534)=0,"Write the company in column E","OK"),IF(C534="","Missing phone",IF(COUNTIF(DESK!$F$2:$F$601,C534)=0,"Phone not found: copy it from your list",IF(AND(E534&lt;&gt;"",COUNTIFS(DESK!$F$2:$F$601,C534,DESK!$B$2:$B$601,E534)=0),"Company is not one of theirs","OK"))))))</f>
        <v/>
      </c>
    </row>
    <row r="535" spans="1:10"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time",IF(D535="NO_SLOTS",IF(COUNTIF(PARTNERS!$A$2:$A$88,E535)=0,"Write the company in column E","OK"),IF(C535="","Missing phone",IF(COUNTIF(DESK!$F$2:$F$601,C535)=0,"Phone not found: copy it from your list",IF(AND(E535&lt;&gt;"",COUNTIFS(DESK!$F$2:$F$601,C535,DESK!$B$2:$B$601,E535)=0),"Company is not one of theirs","OK"))))))</f>
        <v/>
      </c>
    </row>
    <row r="536" spans="1:10"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time",IF(D536="NO_SLOTS",IF(COUNTIF(PARTNERS!$A$2:$A$88,E536)=0,"Write the company in column E","OK"),IF(C536="","Missing phone",IF(COUNTIF(DESK!$F$2:$F$601,C536)=0,"Phone not found: copy it from your list",IF(AND(E536&lt;&gt;"",COUNTIFS(DESK!$F$2:$F$601,C536,DESK!$B$2:$B$601,E536)=0),"Company is not one of theirs","OK"))))))</f>
        <v/>
      </c>
    </row>
    <row r="537" spans="1:10"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time",IF(D537="NO_SLOTS",IF(COUNTIF(PARTNERS!$A$2:$A$88,E537)=0,"Write the company in column E","OK"),IF(C537="","Missing phone",IF(COUNTIF(DESK!$F$2:$F$601,C537)=0,"Phone not found: copy it from your list",IF(AND(E537&lt;&gt;"",COUNTIFS(DESK!$F$2:$F$601,C537,DESK!$B$2:$B$601,E537)=0),"Company is not one of theirs","OK"))))))</f>
        <v/>
      </c>
    </row>
    <row r="538" spans="1:10"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time",IF(D538="NO_SLOTS",IF(COUNTIF(PARTNERS!$A$2:$A$88,E538)=0,"Write the company in column E","OK"),IF(C538="","Missing phone",IF(COUNTIF(DESK!$F$2:$F$601,C538)=0,"Phone not found: copy it from your list",IF(AND(E538&lt;&gt;"",COUNTIFS(DESK!$F$2:$F$601,C538,DESK!$B$2:$B$601,E538)=0),"Company is not one of theirs","OK"))))))</f>
        <v/>
      </c>
    </row>
    <row r="539" spans="1:10"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time",IF(D539="NO_SLOTS",IF(COUNTIF(PARTNERS!$A$2:$A$88,E539)=0,"Write the company in column E","OK"),IF(C539="","Missing phone",IF(COUNTIF(DESK!$F$2:$F$601,C539)=0,"Phone not found: copy it from your list",IF(AND(E539&lt;&gt;"",COUNTIFS(DESK!$F$2:$F$601,C539,DESK!$B$2:$B$601,E539)=0),"Company is not one of theirs","OK"))))))</f>
        <v/>
      </c>
    </row>
    <row r="540" spans="1:10"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time",IF(D540="NO_SLOTS",IF(COUNTIF(PARTNERS!$A$2:$A$88,E540)=0,"Write the company in column E","OK"),IF(C540="","Missing phone",IF(COUNTIF(DESK!$F$2:$F$601,C540)=0,"Phone not found: copy it from your list",IF(AND(E540&lt;&gt;"",COUNTIFS(DESK!$F$2:$F$601,C540,DESK!$B$2:$B$601,E540)=0),"Company is not one of theirs","OK"))))))</f>
        <v/>
      </c>
    </row>
    <row r="541" spans="1:10"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time",IF(D541="NO_SLOTS",IF(COUNTIF(PARTNERS!$A$2:$A$88,E541)=0,"Write the company in column E","OK"),IF(C541="","Missing phone",IF(COUNTIF(DESK!$F$2:$F$601,C541)=0,"Phone not found: copy it from your list",IF(AND(E541&lt;&gt;"",COUNTIFS(DESK!$F$2:$F$601,C541,DESK!$B$2:$B$601,E541)=0),"Company is not one of theirs","OK"))))))</f>
        <v/>
      </c>
    </row>
    <row r="542" spans="1:10"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time",IF(D542="NO_SLOTS",IF(COUNTIF(PARTNERS!$A$2:$A$88,E542)=0,"Write the company in column E","OK"),IF(C542="","Missing phone",IF(COUNTIF(DESK!$F$2:$F$601,C542)=0,"Phone not found: copy it from your list",IF(AND(E542&lt;&gt;"",COUNTIFS(DESK!$F$2:$F$601,C542,DESK!$B$2:$B$601,E542)=0),"Company is not one of theirs","OK"))))))</f>
        <v/>
      </c>
    </row>
    <row r="543" spans="1:10"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time",IF(D543="NO_SLOTS",IF(COUNTIF(PARTNERS!$A$2:$A$88,E543)=0,"Write the company in column E","OK"),IF(C543="","Missing phone",IF(COUNTIF(DESK!$F$2:$F$601,C543)=0,"Phone not found: copy it from your list",IF(AND(E543&lt;&gt;"",COUNTIFS(DESK!$F$2:$F$601,C543,DESK!$B$2:$B$601,E543)=0),"Company is not one of theirs","OK"))))))</f>
        <v/>
      </c>
    </row>
    <row r="544" spans="1:10"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time",IF(D544="NO_SLOTS",IF(COUNTIF(PARTNERS!$A$2:$A$88,E544)=0,"Write the company in column E","OK"),IF(C544="","Missing phone",IF(COUNTIF(DESK!$F$2:$F$601,C544)=0,"Phone not found: copy it from your list",IF(AND(E544&lt;&gt;"",COUNTIFS(DESK!$F$2:$F$601,C544,DESK!$B$2:$B$601,E544)=0),"Company is not one of theirs","OK"))))))</f>
        <v/>
      </c>
    </row>
    <row r="545" spans="1:10"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time",IF(D545="NO_SLOTS",IF(COUNTIF(PARTNERS!$A$2:$A$88,E545)=0,"Write the company in column E","OK"),IF(C545="","Missing phone",IF(COUNTIF(DESK!$F$2:$F$601,C545)=0,"Phone not found: copy it from your list",IF(AND(E545&lt;&gt;"",COUNTIFS(DESK!$F$2:$F$601,C545,DESK!$B$2:$B$601,E545)=0),"Company is not one of theirs","OK"))))))</f>
        <v/>
      </c>
    </row>
    <row r="546" spans="1:10"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time",IF(D546="NO_SLOTS",IF(COUNTIF(PARTNERS!$A$2:$A$88,E546)=0,"Write the company in column E","OK"),IF(C546="","Missing phone",IF(COUNTIF(DESK!$F$2:$F$601,C546)=0,"Phone not found: copy it from your list",IF(AND(E546&lt;&gt;"",COUNTIFS(DESK!$F$2:$F$601,C546,DESK!$B$2:$B$601,E546)=0),"Company is not one of theirs","OK"))))))</f>
        <v/>
      </c>
    </row>
    <row r="547" spans="1:10"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time",IF(D547="NO_SLOTS",IF(COUNTIF(PARTNERS!$A$2:$A$88,E547)=0,"Write the company in column E","OK"),IF(C547="","Missing phone",IF(COUNTIF(DESK!$F$2:$F$601,C547)=0,"Phone not found: copy it from your list",IF(AND(E547&lt;&gt;"",COUNTIFS(DESK!$F$2:$F$601,C547,DESK!$B$2:$B$601,E547)=0),"Company is not one of theirs","OK"))))))</f>
        <v/>
      </c>
    </row>
    <row r="548" spans="1:10"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time",IF(D548="NO_SLOTS",IF(COUNTIF(PARTNERS!$A$2:$A$88,E548)=0,"Write the company in column E","OK"),IF(C548="","Missing phone",IF(COUNTIF(DESK!$F$2:$F$601,C548)=0,"Phone not found: copy it from your list",IF(AND(E548&lt;&gt;"",COUNTIFS(DESK!$F$2:$F$601,C548,DESK!$B$2:$B$601,E548)=0),"Company is not one of theirs","OK"))))))</f>
        <v/>
      </c>
    </row>
    <row r="549" spans="1:10"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time",IF(D549="NO_SLOTS",IF(COUNTIF(PARTNERS!$A$2:$A$88,E549)=0,"Write the company in column E","OK"),IF(C549="","Missing phone",IF(COUNTIF(DESK!$F$2:$F$601,C549)=0,"Phone not found: copy it from your list",IF(AND(E549&lt;&gt;"",COUNTIFS(DESK!$F$2:$F$601,C549,DESK!$B$2:$B$601,E549)=0),"Company is not one of theirs","OK"))))))</f>
        <v/>
      </c>
    </row>
    <row r="550" spans="1:10"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time",IF(D550="NO_SLOTS",IF(COUNTIF(PARTNERS!$A$2:$A$88,E550)=0,"Write the company in column E","OK"),IF(C550="","Missing phone",IF(COUNTIF(DESK!$F$2:$F$601,C550)=0,"Phone not found: copy it from your list",IF(AND(E550&lt;&gt;"",COUNTIFS(DESK!$F$2:$F$601,C550,DESK!$B$2:$B$601,E550)=0),"Company is not one of theirs","OK"))))))</f>
        <v/>
      </c>
    </row>
    <row r="551" spans="1:10"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time",IF(D551="NO_SLOTS",IF(COUNTIF(PARTNERS!$A$2:$A$88,E551)=0,"Write the company in column E","OK"),IF(C551="","Missing phone",IF(COUNTIF(DESK!$F$2:$F$601,C551)=0,"Phone not found: copy it from your list",IF(AND(E551&lt;&gt;"",COUNTIFS(DESK!$F$2:$F$601,C551,DESK!$B$2:$B$601,E551)=0),"Company is not one of theirs","OK"))))))</f>
        <v/>
      </c>
    </row>
    <row r="552" spans="1:10"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time",IF(D552="NO_SLOTS",IF(COUNTIF(PARTNERS!$A$2:$A$88,E552)=0,"Write the company in column E","OK"),IF(C552="","Missing phone",IF(COUNTIF(DESK!$F$2:$F$601,C552)=0,"Phone not found: copy it from your list",IF(AND(E552&lt;&gt;"",COUNTIFS(DESK!$F$2:$F$601,C552,DESK!$B$2:$B$601,E552)=0),"Company is not one of theirs","OK"))))))</f>
        <v/>
      </c>
    </row>
    <row r="553" spans="1:10"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time",IF(D553="NO_SLOTS",IF(COUNTIF(PARTNERS!$A$2:$A$88,E553)=0,"Write the company in column E","OK"),IF(C553="","Missing phone",IF(COUNTIF(DESK!$F$2:$F$601,C553)=0,"Phone not found: copy it from your list",IF(AND(E553&lt;&gt;"",COUNTIFS(DESK!$F$2:$F$601,C553,DESK!$B$2:$B$601,E553)=0),"Company is not one of theirs","OK"))))))</f>
        <v/>
      </c>
    </row>
    <row r="554" spans="1:10"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time",IF(D554="NO_SLOTS",IF(COUNTIF(PARTNERS!$A$2:$A$88,E554)=0,"Write the company in column E","OK"),IF(C554="","Missing phone",IF(COUNTIF(DESK!$F$2:$F$601,C554)=0,"Phone not found: copy it from your list",IF(AND(E554&lt;&gt;"",COUNTIFS(DESK!$F$2:$F$601,C554,DESK!$B$2:$B$601,E554)=0),"Company is not one of theirs","OK"))))))</f>
        <v/>
      </c>
    </row>
    <row r="555" spans="1:10"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time",IF(D555="NO_SLOTS",IF(COUNTIF(PARTNERS!$A$2:$A$88,E555)=0,"Write the company in column E","OK"),IF(C555="","Missing phone",IF(COUNTIF(DESK!$F$2:$F$601,C555)=0,"Phone not found: copy it from your list",IF(AND(E555&lt;&gt;"",COUNTIFS(DESK!$F$2:$F$601,C555,DESK!$B$2:$B$601,E555)=0),"Company is not one of theirs","OK"))))))</f>
        <v/>
      </c>
    </row>
    <row r="556" spans="1:10"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time",IF(D556="NO_SLOTS",IF(COUNTIF(PARTNERS!$A$2:$A$88,E556)=0,"Write the company in column E","OK"),IF(C556="","Missing phone",IF(COUNTIF(DESK!$F$2:$F$601,C556)=0,"Phone not found: copy it from your list",IF(AND(E556&lt;&gt;"",COUNTIFS(DESK!$F$2:$F$601,C556,DESK!$B$2:$B$601,E556)=0),"Company is not one of theirs","OK"))))))</f>
        <v/>
      </c>
    </row>
    <row r="557" spans="1:10"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time",IF(D557="NO_SLOTS",IF(COUNTIF(PARTNERS!$A$2:$A$88,E557)=0,"Write the company in column E","OK"),IF(C557="","Missing phone",IF(COUNTIF(DESK!$F$2:$F$601,C557)=0,"Phone not found: copy it from your list",IF(AND(E557&lt;&gt;"",COUNTIFS(DESK!$F$2:$F$601,C557,DESK!$B$2:$B$601,E557)=0),"Company is not one of theirs","OK"))))))</f>
        <v/>
      </c>
    </row>
    <row r="558" spans="1:10"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time",IF(D558="NO_SLOTS",IF(COUNTIF(PARTNERS!$A$2:$A$88,E558)=0,"Write the company in column E","OK"),IF(C558="","Missing phone",IF(COUNTIF(DESK!$F$2:$F$601,C558)=0,"Phone not found: copy it from your list",IF(AND(E558&lt;&gt;"",COUNTIFS(DESK!$F$2:$F$601,C558,DESK!$B$2:$B$601,E558)=0),"Company is not one of theirs","OK"))))))</f>
        <v/>
      </c>
    </row>
    <row r="559" spans="1:10"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time",IF(D559="NO_SLOTS",IF(COUNTIF(PARTNERS!$A$2:$A$88,E559)=0,"Write the company in column E","OK"),IF(C559="","Missing phone",IF(COUNTIF(DESK!$F$2:$F$601,C559)=0,"Phone not found: copy it from your list",IF(AND(E559&lt;&gt;"",COUNTIFS(DESK!$F$2:$F$601,C559,DESK!$B$2:$B$601,E559)=0),"Company is not one of theirs","OK"))))))</f>
        <v/>
      </c>
    </row>
    <row r="560" spans="1:10"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time",IF(D560="NO_SLOTS",IF(COUNTIF(PARTNERS!$A$2:$A$88,E560)=0,"Write the company in column E","OK"),IF(C560="","Missing phone",IF(COUNTIF(DESK!$F$2:$F$601,C560)=0,"Phone not found: copy it from your list",IF(AND(E560&lt;&gt;"",COUNTIFS(DESK!$F$2:$F$601,C560,DESK!$B$2:$B$601,E560)=0),"Company is not one of theirs","OK"))))))</f>
        <v/>
      </c>
    </row>
    <row r="561" spans="1:10"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time",IF(D561="NO_SLOTS",IF(COUNTIF(PARTNERS!$A$2:$A$88,E561)=0,"Write the company in column E","OK"),IF(C561="","Missing phone",IF(COUNTIF(DESK!$F$2:$F$601,C561)=0,"Phone not found: copy it from your list",IF(AND(E561&lt;&gt;"",COUNTIFS(DESK!$F$2:$F$601,C561,DESK!$B$2:$B$601,E561)=0),"Company is not one of theirs","OK"))))))</f>
        <v/>
      </c>
    </row>
    <row r="562" spans="1:10"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time",IF(D562="NO_SLOTS",IF(COUNTIF(PARTNERS!$A$2:$A$88,E562)=0,"Write the company in column E","OK"),IF(C562="","Missing phone",IF(COUNTIF(DESK!$F$2:$F$601,C562)=0,"Phone not found: copy it from your list",IF(AND(E562&lt;&gt;"",COUNTIFS(DESK!$F$2:$F$601,C562,DESK!$B$2:$B$601,E562)=0),"Company is not one of theirs","OK"))))))</f>
        <v/>
      </c>
    </row>
    <row r="563" spans="1:10"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time",IF(D563="NO_SLOTS",IF(COUNTIF(PARTNERS!$A$2:$A$88,E563)=0,"Write the company in column E","OK"),IF(C563="","Missing phone",IF(COUNTIF(DESK!$F$2:$F$601,C563)=0,"Phone not found: copy it from your list",IF(AND(E563&lt;&gt;"",COUNTIFS(DESK!$F$2:$F$601,C563,DESK!$B$2:$B$601,E563)=0),"Company is not one of theirs","OK"))))))</f>
        <v/>
      </c>
    </row>
    <row r="564" spans="1:10"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time",IF(D564="NO_SLOTS",IF(COUNTIF(PARTNERS!$A$2:$A$88,E564)=0,"Write the company in column E","OK"),IF(C564="","Missing phone",IF(COUNTIF(DESK!$F$2:$F$601,C564)=0,"Phone not found: copy it from your list",IF(AND(E564&lt;&gt;"",COUNTIFS(DESK!$F$2:$F$601,C564,DESK!$B$2:$B$601,E564)=0),"Company is not one of theirs","OK"))))))</f>
        <v/>
      </c>
    </row>
    <row r="565" spans="1:10"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time",IF(D565="NO_SLOTS",IF(COUNTIF(PARTNERS!$A$2:$A$88,E565)=0,"Write the company in column E","OK"),IF(C565="","Missing phone",IF(COUNTIF(DESK!$F$2:$F$601,C565)=0,"Phone not found: copy it from your list",IF(AND(E565&lt;&gt;"",COUNTIFS(DESK!$F$2:$F$601,C565,DESK!$B$2:$B$601,E565)=0),"Company is not one of theirs","OK"))))))</f>
        <v/>
      </c>
    </row>
    <row r="566" spans="1:10"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time",IF(D566="NO_SLOTS",IF(COUNTIF(PARTNERS!$A$2:$A$88,E566)=0,"Write the company in column E","OK"),IF(C566="","Missing phone",IF(COUNTIF(DESK!$F$2:$F$601,C566)=0,"Phone not found: copy it from your list",IF(AND(E566&lt;&gt;"",COUNTIFS(DESK!$F$2:$F$601,C566,DESK!$B$2:$B$601,E566)=0),"Company is not one of theirs","OK"))))))</f>
        <v/>
      </c>
    </row>
    <row r="567" spans="1:10"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time",IF(D567="NO_SLOTS",IF(COUNTIF(PARTNERS!$A$2:$A$88,E567)=0,"Write the company in column E","OK"),IF(C567="","Missing phone",IF(COUNTIF(DESK!$F$2:$F$601,C567)=0,"Phone not found: copy it from your list",IF(AND(E567&lt;&gt;"",COUNTIFS(DESK!$F$2:$F$601,C567,DESK!$B$2:$B$601,E567)=0),"Company is not one of theirs","OK"))))))</f>
        <v/>
      </c>
    </row>
    <row r="568" spans="1:10"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time",IF(D568="NO_SLOTS",IF(COUNTIF(PARTNERS!$A$2:$A$88,E568)=0,"Write the company in column E","OK"),IF(C568="","Missing phone",IF(COUNTIF(DESK!$F$2:$F$601,C568)=0,"Phone not found: copy it from your list",IF(AND(E568&lt;&gt;"",COUNTIFS(DESK!$F$2:$F$601,C568,DESK!$B$2:$B$601,E568)=0),"Company is not one of theirs","OK"))))))</f>
        <v/>
      </c>
    </row>
    <row r="569" spans="1:10"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time",IF(D569="NO_SLOTS",IF(COUNTIF(PARTNERS!$A$2:$A$88,E569)=0,"Write the company in column E","OK"),IF(C569="","Missing phone",IF(COUNTIF(DESK!$F$2:$F$601,C569)=0,"Phone not found: copy it from your list",IF(AND(E569&lt;&gt;"",COUNTIFS(DESK!$F$2:$F$601,C569,DESK!$B$2:$B$601,E569)=0),"Company is not one of theirs","OK"))))))</f>
        <v/>
      </c>
    </row>
    <row r="570" spans="1:10"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time",IF(D570="NO_SLOTS",IF(COUNTIF(PARTNERS!$A$2:$A$88,E570)=0,"Write the company in column E","OK"),IF(C570="","Missing phone",IF(COUNTIF(DESK!$F$2:$F$601,C570)=0,"Phone not found: copy it from your list",IF(AND(E570&lt;&gt;"",COUNTIFS(DESK!$F$2:$F$601,C570,DESK!$B$2:$B$601,E570)=0),"Company is not one of theirs","OK"))))))</f>
        <v/>
      </c>
    </row>
    <row r="571" spans="1:10"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time",IF(D571="NO_SLOTS",IF(COUNTIF(PARTNERS!$A$2:$A$88,E571)=0,"Write the company in column E","OK"),IF(C571="","Missing phone",IF(COUNTIF(DESK!$F$2:$F$601,C571)=0,"Phone not found: copy it from your list",IF(AND(E571&lt;&gt;"",COUNTIFS(DESK!$F$2:$F$601,C571,DESK!$B$2:$B$601,E571)=0),"Company is not one of theirs","OK"))))))</f>
        <v/>
      </c>
    </row>
    <row r="572" spans="1:10"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time",IF(D572="NO_SLOTS",IF(COUNTIF(PARTNERS!$A$2:$A$88,E572)=0,"Write the company in column E","OK"),IF(C572="","Missing phone",IF(COUNTIF(DESK!$F$2:$F$601,C572)=0,"Phone not found: copy it from your list",IF(AND(E572&lt;&gt;"",COUNTIFS(DESK!$F$2:$F$601,C572,DESK!$B$2:$B$601,E572)=0),"Company is not one of theirs","OK"))))))</f>
        <v/>
      </c>
    </row>
    <row r="573" spans="1:10"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time",IF(D573="NO_SLOTS",IF(COUNTIF(PARTNERS!$A$2:$A$88,E573)=0,"Write the company in column E","OK"),IF(C573="","Missing phone",IF(COUNTIF(DESK!$F$2:$F$601,C573)=0,"Phone not found: copy it from your list",IF(AND(E573&lt;&gt;"",COUNTIFS(DESK!$F$2:$F$601,C573,DESK!$B$2:$B$601,E573)=0),"Company is not one of theirs","OK"))))))</f>
        <v/>
      </c>
    </row>
    <row r="574" spans="1:10"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time",IF(D574="NO_SLOTS",IF(COUNTIF(PARTNERS!$A$2:$A$88,E574)=0,"Write the company in column E","OK"),IF(C574="","Missing phone",IF(COUNTIF(DESK!$F$2:$F$601,C574)=0,"Phone not found: copy it from your list",IF(AND(E574&lt;&gt;"",COUNTIFS(DESK!$F$2:$F$601,C574,DESK!$B$2:$B$601,E574)=0),"Company is not one of theirs","OK"))))))</f>
        <v/>
      </c>
    </row>
    <row r="575" spans="1:10"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time",IF(D575="NO_SLOTS",IF(COUNTIF(PARTNERS!$A$2:$A$88,E575)=0,"Write the company in column E","OK"),IF(C575="","Missing phone",IF(COUNTIF(DESK!$F$2:$F$601,C575)=0,"Phone not found: copy it from your list",IF(AND(E575&lt;&gt;"",COUNTIFS(DESK!$F$2:$F$601,C575,DESK!$B$2:$B$601,E575)=0),"Company is not one of theirs","OK"))))))</f>
        <v/>
      </c>
    </row>
    <row r="576" spans="1:10"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time",IF(D576="NO_SLOTS",IF(COUNTIF(PARTNERS!$A$2:$A$88,E576)=0,"Write the company in column E","OK"),IF(C576="","Missing phone",IF(COUNTIF(DESK!$F$2:$F$601,C576)=0,"Phone not found: copy it from your list",IF(AND(E576&lt;&gt;"",COUNTIFS(DESK!$F$2:$F$601,C576,DESK!$B$2:$B$601,E576)=0),"Company is not one of theirs","OK"))))))</f>
        <v/>
      </c>
    </row>
    <row r="577" spans="1:10"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time",IF(D577="NO_SLOTS",IF(COUNTIF(PARTNERS!$A$2:$A$88,E577)=0,"Write the company in column E","OK"),IF(C577="","Missing phone",IF(COUNTIF(DESK!$F$2:$F$601,C577)=0,"Phone not found: copy it from your list",IF(AND(E577&lt;&gt;"",COUNTIFS(DESK!$F$2:$F$601,C577,DESK!$B$2:$B$601,E577)=0),"Company is not one of theirs","OK"))))))</f>
        <v/>
      </c>
    </row>
    <row r="578" spans="1:10"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time",IF(D578="NO_SLOTS",IF(COUNTIF(PARTNERS!$A$2:$A$88,E578)=0,"Write the company in column E","OK"),IF(C578="","Missing phone",IF(COUNTIF(DESK!$F$2:$F$601,C578)=0,"Phone not found: copy it from your list",IF(AND(E578&lt;&gt;"",COUNTIFS(DESK!$F$2:$F$601,C578,DESK!$B$2:$B$601,E578)=0),"Company is not one of theirs","OK"))))))</f>
        <v/>
      </c>
    </row>
    <row r="579" spans="1:10"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time",IF(D579="NO_SLOTS",IF(COUNTIF(PARTNERS!$A$2:$A$88,E579)=0,"Write the company in column E","OK"),IF(C579="","Missing phone",IF(COUNTIF(DESK!$F$2:$F$601,C579)=0,"Phone not found: copy it from your list",IF(AND(E579&lt;&gt;"",COUNTIFS(DESK!$F$2:$F$601,C579,DESK!$B$2:$B$601,E579)=0),"Company is not one of theirs","OK"))))))</f>
        <v/>
      </c>
    </row>
    <row r="580" spans="1:10"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time",IF(D580="NO_SLOTS",IF(COUNTIF(PARTNERS!$A$2:$A$88,E580)=0,"Write the company in column E","OK"),IF(C580="","Missing phone",IF(COUNTIF(DESK!$F$2:$F$601,C580)=0,"Phone not found: copy it from your list",IF(AND(E580&lt;&gt;"",COUNTIFS(DESK!$F$2:$F$601,C580,DESK!$B$2:$B$601,E580)=0),"Company is not one of theirs","OK"))))))</f>
        <v/>
      </c>
    </row>
    <row r="581" spans="1:10"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time",IF(D581="NO_SLOTS",IF(COUNTIF(PARTNERS!$A$2:$A$88,E581)=0,"Write the company in column E","OK"),IF(C581="","Missing phone",IF(COUNTIF(DESK!$F$2:$F$601,C581)=0,"Phone not found: copy it from your list",IF(AND(E581&lt;&gt;"",COUNTIFS(DESK!$F$2:$F$601,C581,DESK!$B$2:$B$601,E581)=0),"Company is not one of theirs","OK"))))))</f>
        <v/>
      </c>
    </row>
    <row r="582" spans="1:10"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time",IF(D582="NO_SLOTS",IF(COUNTIF(PARTNERS!$A$2:$A$88,E582)=0,"Write the company in column E","OK"),IF(C582="","Missing phone",IF(COUNTIF(DESK!$F$2:$F$601,C582)=0,"Phone not found: copy it from your list",IF(AND(E582&lt;&gt;"",COUNTIFS(DESK!$F$2:$F$601,C582,DESK!$B$2:$B$601,E582)=0),"Company is not one of theirs","OK"))))))</f>
        <v/>
      </c>
    </row>
    <row r="583" spans="1:10"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time",IF(D583="NO_SLOTS",IF(COUNTIF(PARTNERS!$A$2:$A$88,E583)=0,"Write the company in column E","OK"),IF(C583="","Missing phone",IF(COUNTIF(DESK!$F$2:$F$601,C583)=0,"Phone not found: copy it from your list",IF(AND(E583&lt;&gt;"",COUNTIFS(DESK!$F$2:$F$601,C583,DESK!$B$2:$B$601,E583)=0),"Company is not one of theirs","OK"))))))</f>
        <v/>
      </c>
    </row>
    <row r="584" spans="1:10"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time",IF(D584="NO_SLOTS",IF(COUNTIF(PARTNERS!$A$2:$A$88,E584)=0,"Write the company in column E","OK"),IF(C584="","Missing phone",IF(COUNTIF(DESK!$F$2:$F$601,C584)=0,"Phone not found: copy it from your list",IF(AND(E584&lt;&gt;"",COUNTIFS(DESK!$F$2:$F$601,C584,DESK!$B$2:$B$601,E584)=0),"Company is not one of theirs","OK"))))))</f>
        <v/>
      </c>
    </row>
    <row r="585" spans="1:10"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time",IF(D585="NO_SLOTS",IF(COUNTIF(PARTNERS!$A$2:$A$88,E585)=0,"Write the company in column E","OK"),IF(C585="","Missing phone",IF(COUNTIF(DESK!$F$2:$F$601,C585)=0,"Phone not found: copy it from your list",IF(AND(E585&lt;&gt;"",COUNTIFS(DESK!$F$2:$F$601,C585,DESK!$B$2:$B$601,E585)=0),"Company is not one of theirs","OK"))))))</f>
        <v/>
      </c>
    </row>
    <row r="586" spans="1:10"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time",IF(D586="NO_SLOTS",IF(COUNTIF(PARTNERS!$A$2:$A$88,E586)=0,"Write the company in column E","OK"),IF(C586="","Missing phone",IF(COUNTIF(DESK!$F$2:$F$601,C586)=0,"Phone not found: copy it from your list",IF(AND(E586&lt;&gt;"",COUNTIFS(DESK!$F$2:$F$601,C586,DESK!$B$2:$B$601,E586)=0),"Company is not one of theirs","OK"))))))</f>
        <v/>
      </c>
    </row>
    <row r="587" spans="1:10"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time",IF(D587="NO_SLOTS",IF(COUNTIF(PARTNERS!$A$2:$A$88,E587)=0,"Write the company in column E","OK"),IF(C587="","Missing phone",IF(COUNTIF(DESK!$F$2:$F$601,C587)=0,"Phone not found: copy it from your list",IF(AND(E587&lt;&gt;"",COUNTIFS(DESK!$F$2:$F$601,C587,DESK!$B$2:$B$601,E587)=0),"Company is not one of theirs","OK"))))))</f>
        <v/>
      </c>
    </row>
    <row r="588" spans="1:10"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time",IF(D588="NO_SLOTS",IF(COUNTIF(PARTNERS!$A$2:$A$88,E588)=0,"Write the company in column E","OK"),IF(C588="","Missing phone",IF(COUNTIF(DESK!$F$2:$F$601,C588)=0,"Phone not found: copy it from your list",IF(AND(E588&lt;&gt;"",COUNTIFS(DESK!$F$2:$F$601,C588,DESK!$B$2:$B$601,E588)=0),"Company is not one of theirs","OK"))))))</f>
        <v/>
      </c>
    </row>
    <row r="589" spans="1:10"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time",IF(D589="NO_SLOTS",IF(COUNTIF(PARTNERS!$A$2:$A$88,E589)=0,"Write the company in column E","OK"),IF(C589="","Missing phone",IF(COUNTIF(DESK!$F$2:$F$601,C589)=0,"Phone not found: copy it from your list",IF(AND(E589&lt;&gt;"",COUNTIFS(DESK!$F$2:$F$601,C589,DESK!$B$2:$B$601,E589)=0),"Company is not one of theirs","OK"))))))</f>
        <v/>
      </c>
    </row>
    <row r="590" spans="1:10"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time",IF(D590="NO_SLOTS",IF(COUNTIF(PARTNERS!$A$2:$A$88,E590)=0,"Write the company in column E","OK"),IF(C590="","Missing phone",IF(COUNTIF(DESK!$F$2:$F$601,C590)=0,"Phone not found: copy it from your list",IF(AND(E590&lt;&gt;"",COUNTIFS(DESK!$F$2:$F$601,C590,DESK!$B$2:$B$601,E590)=0),"Company is not one of theirs","OK"))))))</f>
        <v/>
      </c>
    </row>
    <row r="591" spans="1:10"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time",IF(D591="NO_SLOTS",IF(COUNTIF(PARTNERS!$A$2:$A$88,E591)=0,"Write the company in column E","OK"),IF(C591="","Missing phone",IF(COUNTIF(DESK!$F$2:$F$601,C591)=0,"Phone not found: copy it from your list",IF(AND(E591&lt;&gt;"",COUNTIFS(DESK!$F$2:$F$601,C591,DESK!$B$2:$B$601,E591)=0),"Company is not one of theirs","OK"))))))</f>
        <v/>
      </c>
    </row>
    <row r="592" spans="1:10"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time",IF(D592="NO_SLOTS",IF(COUNTIF(PARTNERS!$A$2:$A$88,E592)=0,"Write the company in column E","OK"),IF(C592="","Missing phone",IF(COUNTIF(DESK!$F$2:$F$601,C592)=0,"Phone not found: copy it from your list",IF(AND(E592&lt;&gt;"",COUNTIFS(DESK!$F$2:$F$601,C592,DESK!$B$2:$B$601,E592)=0),"Company is not one of theirs","OK"))))))</f>
        <v/>
      </c>
    </row>
    <row r="593" spans="1:10"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time",IF(D593="NO_SLOTS",IF(COUNTIF(PARTNERS!$A$2:$A$88,E593)=0,"Write the company in column E","OK"),IF(C593="","Missing phone",IF(COUNTIF(DESK!$F$2:$F$601,C593)=0,"Phone not found: copy it from your list",IF(AND(E593&lt;&gt;"",COUNTIFS(DESK!$F$2:$F$601,C593,DESK!$B$2:$B$601,E593)=0),"Company is not one of theirs","OK"))))))</f>
        <v/>
      </c>
    </row>
    <row r="594" spans="1:10"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time",IF(D594="NO_SLOTS",IF(COUNTIF(PARTNERS!$A$2:$A$88,E594)=0,"Write the company in column E","OK"),IF(C594="","Missing phone",IF(COUNTIF(DESK!$F$2:$F$601,C594)=0,"Phone not found: copy it from your list",IF(AND(E594&lt;&gt;"",COUNTIFS(DESK!$F$2:$F$601,C594,DESK!$B$2:$B$601,E594)=0),"Company is not one of theirs","OK"))))))</f>
        <v/>
      </c>
    </row>
    <row r="595" spans="1:10"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time",IF(D595="NO_SLOTS",IF(COUNTIF(PARTNERS!$A$2:$A$88,E595)=0,"Write the company in column E","OK"),IF(C595="","Missing phone",IF(COUNTIF(DESK!$F$2:$F$601,C595)=0,"Phone not found: copy it from your list",IF(AND(E595&lt;&gt;"",COUNTIFS(DESK!$F$2:$F$601,C595,DESK!$B$2:$B$601,E595)=0),"Company is not one of theirs","OK"))))))</f>
        <v/>
      </c>
    </row>
    <row r="596" spans="1:10"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time",IF(D596="NO_SLOTS",IF(COUNTIF(PARTNERS!$A$2:$A$88,E596)=0,"Write the company in column E","OK"),IF(C596="","Missing phone",IF(COUNTIF(DESK!$F$2:$F$601,C596)=0,"Phone not found: copy it from your list",IF(AND(E596&lt;&gt;"",COUNTIFS(DESK!$F$2:$F$601,C596,DESK!$B$2:$B$601,E596)=0),"Company is not one of theirs","OK"))))))</f>
        <v/>
      </c>
    </row>
    <row r="597" spans="1:10"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time",IF(D597="NO_SLOTS",IF(COUNTIF(PARTNERS!$A$2:$A$88,E597)=0,"Write the company in column E","OK"),IF(C597="","Missing phone",IF(COUNTIF(DESK!$F$2:$F$601,C597)=0,"Phone not found: copy it from your list",IF(AND(E597&lt;&gt;"",COUNTIFS(DESK!$F$2:$F$601,C597,DESK!$B$2:$B$601,E597)=0),"Company is not one of theirs","OK"))))))</f>
        <v/>
      </c>
    </row>
    <row r="598" spans="1:10"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time",IF(D598="NO_SLOTS",IF(COUNTIF(PARTNERS!$A$2:$A$88,E598)=0,"Write the company in column E","OK"),IF(C598="","Missing phone",IF(COUNTIF(DESK!$F$2:$F$601,C598)=0,"Phone not found: copy it from your list",IF(AND(E598&lt;&gt;"",COUNTIFS(DESK!$F$2:$F$601,C598,DESK!$B$2:$B$601,E598)=0),"Company is not one of theirs","OK"))))))</f>
        <v/>
      </c>
    </row>
    <row r="599" spans="1:10"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time",IF(D599="NO_SLOTS",IF(COUNTIF(PARTNERS!$A$2:$A$88,E599)=0,"Write the company in column E","OK"),IF(C599="","Missing phone",IF(COUNTIF(DESK!$F$2:$F$601,C599)=0,"Phone not found: copy it from your list",IF(AND(E599&lt;&gt;"",COUNTIFS(DESK!$F$2:$F$601,C599,DESK!$B$2:$B$601,E599)=0),"Company is not one of theirs","OK"))))))</f>
        <v/>
      </c>
    </row>
    <row r="600" spans="1:10"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time",IF(D600="NO_SLOTS",IF(COUNTIF(PARTNERS!$A$2:$A$88,E600)=0,"Write the company in column E","OK"),IF(C600="","Missing phone",IF(COUNTIF(DESK!$F$2:$F$601,C600)=0,"Phone not found: copy it from your list",IF(AND(E600&lt;&gt;"",COUNTIFS(DESK!$F$2:$F$601,C600,DESK!$B$2:$B$601,E600)=0),"Company is not one of theirs","OK"))))))</f>
        <v/>
      </c>
    </row>
    <row r="601" spans="1:10"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time",IF(D601="NO_SLOTS",IF(COUNTIF(PARTNERS!$A$2:$A$88,E601)=0,"Write the company in column E","OK"),IF(C601="","Missing phone",IF(COUNTIF(DESK!$F$2:$F$601,C601)=0,"Phone not found: copy it from your list",IF(AND(E601&lt;&gt;"",COUNTIFS(DESK!$F$2:$F$601,C601,DESK!$B$2:$B$601,E601)=0),"Company is not one of theirs","OK"))))))</f>
        <v/>
      </c>
    </row>
    <row r="602" spans="1:10"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time",IF(D602="NO_SLOTS",IF(COUNTIF(PARTNERS!$A$2:$A$88,E602)=0,"Write the company in column E","OK"),IF(C602="","Missing phone",IF(COUNTIF(DESK!$F$2:$F$601,C602)=0,"Phone not found: copy it from your list",IF(AND(E602&lt;&gt;"",COUNTIFS(DESK!$F$2:$F$601,C602,DESK!$B$2:$B$601,E602)=0),"Company is not one of theirs","OK"))))))</f>
        <v/>
      </c>
    </row>
    <row r="603" spans="1:10"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time",IF(D603="NO_SLOTS",IF(COUNTIF(PARTNERS!$A$2:$A$88,E603)=0,"Write the company in column E","OK"),IF(C603="","Missing phone",IF(COUNTIF(DESK!$F$2:$F$601,C603)=0,"Phone not found: copy it from your list",IF(AND(E603&lt;&gt;"",COUNTIFS(DESK!$F$2:$F$601,C603,DESK!$B$2:$B$601,E603)=0),"Company is not one of theirs","OK"))))))</f>
        <v/>
      </c>
    </row>
    <row r="604" spans="1:10"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time",IF(D604="NO_SLOTS",IF(COUNTIF(PARTNERS!$A$2:$A$88,E604)=0,"Write the company in column E","OK"),IF(C604="","Missing phone",IF(COUNTIF(DESK!$F$2:$F$601,C604)=0,"Phone not found: copy it from your list",IF(AND(E604&lt;&gt;"",COUNTIFS(DESK!$F$2:$F$601,C604,DESK!$B$2:$B$601,E604)=0),"Company is not one of theirs","OK"))))))</f>
        <v/>
      </c>
    </row>
    <row r="605" spans="1:10"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time",IF(D605="NO_SLOTS",IF(COUNTIF(PARTNERS!$A$2:$A$88,E605)=0,"Write the company in column E","OK"),IF(C605="","Missing phone",IF(COUNTIF(DESK!$F$2:$F$601,C605)=0,"Phone not found: copy it from your list",IF(AND(E605&lt;&gt;"",COUNTIFS(DESK!$F$2:$F$601,C605,DESK!$B$2:$B$601,E605)=0),"Company is not one of theirs","OK"))))))</f>
        <v/>
      </c>
    </row>
    <row r="606" spans="1:10"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time",IF(D606="NO_SLOTS",IF(COUNTIF(PARTNERS!$A$2:$A$88,E606)=0,"Write the company in column E","OK"),IF(C606="","Missing phone",IF(COUNTIF(DESK!$F$2:$F$601,C606)=0,"Phone not found: copy it from your list",IF(AND(E606&lt;&gt;"",COUNTIFS(DESK!$F$2:$F$601,C606,DESK!$B$2:$B$601,E606)=0),"Company is not one of theirs","OK"))))))</f>
        <v/>
      </c>
    </row>
    <row r="607" spans="1:10"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time",IF(D607="NO_SLOTS",IF(COUNTIF(PARTNERS!$A$2:$A$88,E607)=0,"Write the company in column E","OK"),IF(C607="","Missing phone",IF(COUNTIF(DESK!$F$2:$F$601,C607)=0,"Phone not found: copy it from your list",IF(AND(E607&lt;&gt;"",COUNTIFS(DESK!$F$2:$F$601,C607,DESK!$B$2:$B$601,E607)=0),"Company is not one of theirs","OK"))))))</f>
        <v/>
      </c>
    </row>
    <row r="608" spans="1:10"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time",IF(D608="NO_SLOTS",IF(COUNTIF(PARTNERS!$A$2:$A$88,E608)=0,"Write the company in column E","OK"),IF(C608="","Missing phone",IF(COUNTIF(DESK!$F$2:$F$601,C608)=0,"Phone not found: copy it from your list",IF(AND(E608&lt;&gt;"",COUNTIFS(DESK!$F$2:$F$601,C608,DESK!$B$2:$B$601,E608)=0),"Company is not one of theirs","OK"))))))</f>
        <v/>
      </c>
    </row>
    <row r="609" spans="1:10"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time",IF(D609="NO_SLOTS",IF(COUNTIF(PARTNERS!$A$2:$A$88,E609)=0,"Write the company in column E","OK"),IF(C609="","Missing phone",IF(COUNTIF(DESK!$F$2:$F$601,C609)=0,"Phone not found: copy it from your list",IF(AND(E609&lt;&gt;"",COUNTIFS(DESK!$F$2:$F$601,C609,DESK!$B$2:$B$601,E609)=0),"Company is not one of theirs","OK"))))))</f>
        <v/>
      </c>
    </row>
    <row r="610" spans="1:10"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time",IF(D610="NO_SLOTS",IF(COUNTIF(PARTNERS!$A$2:$A$88,E610)=0,"Write the company in column E","OK"),IF(C610="","Missing phone",IF(COUNTIF(DESK!$F$2:$F$601,C610)=0,"Phone not found: copy it from your list",IF(AND(E610&lt;&gt;"",COUNTIFS(DESK!$F$2:$F$601,C610,DESK!$B$2:$B$601,E610)=0),"Company is not one of theirs","OK"))))))</f>
        <v/>
      </c>
    </row>
    <row r="611" spans="1:10"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time",IF(D611="NO_SLOTS",IF(COUNTIF(PARTNERS!$A$2:$A$88,E611)=0,"Write the company in column E","OK"),IF(C611="","Missing phone",IF(COUNTIF(DESK!$F$2:$F$601,C611)=0,"Phone not found: copy it from your list",IF(AND(E611&lt;&gt;"",COUNTIFS(DESK!$F$2:$F$601,C611,DESK!$B$2:$B$601,E611)=0),"Company is not one of theirs","OK"))))))</f>
        <v/>
      </c>
    </row>
    <row r="612" spans="1:10"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time",IF(D612="NO_SLOTS",IF(COUNTIF(PARTNERS!$A$2:$A$88,E612)=0,"Write the company in column E","OK"),IF(C612="","Missing phone",IF(COUNTIF(DESK!$F$2:$F$601,C612)=0,"Phone not found: copy it from your list",IF(AND(E612&lt;&gt;"",COUNTIFS(DESK!$F$2:$F$601,C612,DESK!$B$2:$B$601,E612)=0),"Company is not one of theirs","OK"))))))</f>
        <v/>
      </c>
    </row>
    <row r="613" spans="1:10"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time",IF(D613="NO_SLOTS",IF(COUNTIF(PARTNERS!$A$2:$A$88,E613)=0,"Write the company in column E","OK"),IF(C613="","Missing phone",IF(COUNTIF(DESK!$F$2:$F$601,C613)=0,"Phone not found: copy it from your list",IF(AND(E613&lt;&gt;"",COUNTIFS(DESK!$F$2:$F$601,C613,DESK!$B$2:$B$601,E613)=0),"Company is not one of theirs","OK"))))))</f>
        <v/>
      </c>
    </row>
    <row r="614" spans="1:10"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time",IF(D614="NO_SLOTS",IF(COUNTIF(PARTNERS!$A$2:$A$88,E614)=0,"Write the company in column E","OK"),IF(C614="","Missing phone",IF(COUNTIF(DESK!$F$2:$F$601,C614)=0,"Phone not found: copy it from your list",IF(AND(E614&lt;&gt;"",COUNTIFS(DESK!$F$2:$F$601,C614,DESK!$B$2:$B$601,E614)=0),"Company is not one of theirs","OK"))))))</f>
        <v/>
      </c>
    </row>
    <row r="615" spans="1:10"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time",IF(D615="NO_SLOTS",IF(COUNTIF(PARTNERS!$A$2:$A$88,E615)=0,"Write the company in column E","OK"),IF(C615="","Missing phone",IF(COUNTIF(DESK!$F$2:$F$601,C615)=0,"Phone not found: copy it from your list",IF(AND(E615&lt;&gt;"",COUNTIFS(DESK!$F$2:$F$601,C615,DESK!$B$2:$B$601,E615)=0),"Company is not one of theirs","OK"))))))</f>
        <v/>
      </c>
    </row>
    <row r="616" spans="1:10"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time",IF(D616="NO_SLOTS",IF(COUNTIF(PARTNERS!$A$2:$A$88,E616)=0,"Write the company in column E","OK"),IF(C616="","Missing phone",IF(COUNTIF(DESK!$F$2:$F$601,C616)=0,"Phone not found: copy it from your list",IF(AND(E616&lt;&gt;"",COUNTIFS(DESK!$F$2:$F$601,C616,DESK!$B$2:$B$601,E616)=0),"Company is not one of theirs","OK"))))))</f>
        <v/>
      </c>
    </row>
    <row r="617" spans="1:10"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time",IF(D617="NO_SLOTS",IF(COUNTIF(PARTNERS!$A$2:$A$88,E617)=0,"Write the company in column E","OK"),IF(C617="","Missing phone",IF(COUNTIF(DESK!$F$2:$F$601,C617)=0,"Phone not found: copy it from your list",IF(AND(E617&lt;&gt;"",COUNTIFS(DESK!$F$2:$F$601,C617,DESK!$B$2:$B$601,E617)=0),"Company is not one of theirs","OK"))))))</f>
        <v/>
      </c>
    </row>
    <row r="618" spans="1:10"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time",IF(D618="NO_SLOTS",IF(COUNTIF(PARTNERS!$A$2:$A$88,E618)=0,"Write the company in column E","OK"),IF(C618="","Missing phone",IF(COUNTIF(DESK!$F$2:$F$601,C618)=0,"Phone not found: copy it from your list",IF(AND(E618&lt;&gt;"",COUNTIFS(DESK!$F$2:$F$601,C618,DESK!$B$2:$B$601,E618)=0),"Company is not one of theirs","OK"))))))</f>
        <v/>
      </c>
    </row>
    <row r="619" spans="1:10"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time",IF(D619="NO_SLOTS",IF(COUNTIF(PARTNERS!$A$2:$A$88,E619)=0,"Write the company in column E","OK"),IF(C619="","Missing phone",IF(COUNTIF(DESK!$F$2:$F$601,C619)=0,"Phone not found: copy it from your list",IF(AND(E619&lt;&gt;"",COUNTIFS(DESK!$F$2:$F$601,C619,DESK!$B$2:$B$601,E619)=0),"Company is not one of theirs","OK"))))))</f>
        <v/>
      </c>
    </row>
    <row r="620" spans="1:10"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time",IF(D620="NO_SLOTS",IF(COUNTIF(PARTNERS!$A$2:$A$88,E620)=0,"Write the company in column E","OK"),IF(C620="","Missing phone",IF(COUNTIF(DESK!$F$2:$F$601,C620)=0,"Phone not found: copy it from your list",IF(AND(E620&lt;&gt;"",COUNTIFS(DESK!$F$2:$F$601,C620,DESK!$B$2:$B$601,E620)=0),"Company is not one of theirs","OK"))))))</f>
        <v/>
      </c>
    </row>
    <row r="621" spans="1:10"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time",IF(D621="NO_SLOTS",IF(COUNTIF(PARTNERS!$A$2:$A$88,E621)=0,"Write the company in column E","OK"),IF(C621="","Missing phone",IF(COUNTIF(DESK!$F$2:$F$601,C621)=0,"Phone not found: copy it from your list",IF(AND(E621&lt;&gt;"",COUNTIFS(DESK!$F$2:$F$601,C621,DESK!$B$2:$B$601,E621)=0),"Company is not one of theirs","OK"))))))</f>
        <v/>
      </c>
    </row>
    <row r="622" spans="1:10"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time",IF(D622="NO_SLOTS",IF(COUNTIF(PARTNERS!$A$2:$A$88,E622)=0,"Write the company in column E","OK"),IF(C622="","Missing phone",IF(COUNTIF(DESK!$F$2:$F$601,C622)=0,"Phone not found: copy it from your list",IF(AND(E622&lt;&gt;"",COUNTIFS(DESK!$F$2:$F$601,C622,DESK!$B$2:$B$601,E622)=0),"Company is not one of theirs","OK"))))))</f>
        <v/>
      </c>
    </row>
    <row r="623" spans="1:10"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time",IF(D623="NO_SLOTS",IF(COUNTIF(PARTNERS!$A$2:$A$88,E623)=0,"Write the company in column E","OK"),IF(C623="","Missing phone",IF(COUNTIF(DESK!$F$2:$F$601,C623)=0,"Phone not found: copy it from your list",IF(AND(E623&lt;&gt;"",COUNTIFS(DESK!$F$2:$F$601,C623,DESK!$B$2:$B$601,E623)=0),"Company is not one of theirs","OK"))))))</f>
        <v/>
      </c>
    </row>
    <row r="624" spans="1:10"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time",IF(D624="NO_SLOTS",IF(COUNTIF(PARTNERS!$A$2:$A$88,E624)=0,"Write the company in column E","OK"),IF(C624="","Missing phone",IF(COUNTIF(DESK!$F$2:$F$601,C624)=0,"Phone not found: copy it from your list",IF(AND(E624&lt;&gt;"",COUNTIFS(DESK!$F$2:$F$601,C624,DESK!$B$2:$B$601,E624)=0),"Company is not one of theirs","OK"))))))</f>
        <v/>
      </c>
    </row>
    <row r="625" spans="1:10"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time",IF(D625="NO_SLOTS",IF(COUNTIF(PARTNERS!$A$2:$A$88,E625)=0,"Write the company in column E","OK"),IF(C625="","Missing phone",IF(COUNTIF(DESK!$F$2:$F$601,C625)=0,"Phone not found: copy it from your list",IF(AND(E625&lt;&gt;"",COUNTIFS(DESK!$F$2:$F$601,C625,DESK!$B$2:$B$601,E625)=0),"Company is not one of theirs","OK"))))))</f>
        <v/>
      </c>
    </row>
    <row r="626" spans="1:10"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time",IF(D626="NO_SLOTS",IF(COUNTIF(PARTNERS!$A$2:$A$88,E626)=0,"Write the company in column E","OK"),IF(C626="","Missing phone",IF(COUNTIF(DESK!$F$2:$F$601,C626)=0,"Phone not found: copy it from your list",IF(AND(E626&lt;&gt;"",COUNTIFS(DESK!$F$2:$F$601,C626,DESK!$B$2:$B$601,E626)=0),"Company is not one of theirs","OK"))))))</f>
        <v/>
      </c>
    </row>
    <row r="627" spans="1:10"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time",IF(D627="NO_SLOTS",IF(COUNTIF(PARTNERS!$A$2:$A$88,E627)=0,"Write the company in column E","OK"),IF(C627="","Missing phone",IF(COUNTIF(DESK!$F$2:$F$601,C627)=0,"Phone not found: copy it from your list",IF(AND(E627&lt;&gt;"",COUNTIFS(DESK!$F$2:$F$601,C627,DESK!$B$2:$B$601,E627)=0),"Company is not one of theirs","OK"))))))</f>
        <v/>
      </c>
    </row>
    <row r="628" spans="1:10"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time",IF(D628="NO_SLOTS",IF(COUNTIF(PARTNERS!$A$2:$A$88,E628)=0,"Write the company in column E","OK"),IF(C628="","Missing phone",IF(COUNTIF(DESK!$F$2:$F$601,C628)=0,"Phone not found: copy it from your list",IF(AND(E628&lt;&gt;"",COUNTIFS(DESK!$F$2:$F$601,C628,DESK!$B$2:$B$601,E628)=0),"Company is not one of theirs","OK"))))))</f>
        <v/>
      </c>
    </row>
    <row r="629" spans="1:10"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time",IF(D629="NO_SLOTS",IF(COUNTIF(PARTNERS!$A$2:$A$88,E629)=0,"Write the company in column E","OK"),IF(C629="","Missing phone",IF(COUNTIF(DESK!$F$2:$F$601,C629)=0,"Phone not found: copy it from your list",IF(AND(E629&lt;&gt;"",COUNTIFS(DESK!$F$2:$F$601,C629,DESK!$B$2:$B$601,E629)=0),"Company is not one of theirs","OK"))))))</f>
        <v/>
      </c>
    </row>
    <row r="630" spans="1:10"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time",IF(D630="NO_SLOTS",IF(COUNTIF(PARTNERS!$A$2:$A$88,E630)=0,"Write the company in column E","OK"),IF(C630="","Missing phone",IF(COUNTIF(DESK!$F$2:$F$601,C630)=0,"Phone not found: copy it from your list",IF(AND(E630&lt;&gt;"",COUNTIFS(DESK!$F$2:$F$601,C630,DESK!$B$2:$B$601,E630)=0),"Company is not one of theirs","OK"))))))</f>
        <v/>
      </c>
    </row>
    <row r="631" spans="1:10"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time",IF(D631="NO_SLOTS",IF(COUNTIF(PARTNERS!$A$2:$A$88,E631)=0,"Write the company in column E","OK"),IF(C631="","Missing phone",IF(COUNTIF(DESK!$F$2:$F$601,C631)=0,"Phone not found: copy it from your list",IF(AND(E631&lt;&gt;"",COUNTIFS(DESK!$F$2:$F$601,C631,DESK!$B$2:$B$601,E631)=0),"Company is not one of theirs","OK"))))))</f>
        <v/>
      </c>
    </row>
    <row r="632" spans="1:10"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time",IF(D632="NO_SLOTS",IF(COUNTIF(PARTNERS!$A$2:$A$88,E632)=0,"Write the company in column E","OK"),IF(C632="","Missing phone",IF(COUNTIF(DESK!$F$2:$F$601,C632)=0,"Phone not found: copy it from your list",IF(AND(E632&lt;&gt;"",COUNTIFS(DESK!$F$2:$F$601,C632,DESK!$B$2:$B$601,E632)=0),"Company is not one of theirs","OK"))))))</f>
        <v/>
      </c>
    </row>
    <row r="633" spans="1:10"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time",IF(D633="NO_SLOTS",IF(COUNTIF(PARTNERS!$A$2:$A$88,E633)=0,"Write the company in column E","OK"),IF(C633="","Missing phone",IF(COUNTIF(DESK!$F$2:$F$601,C633)=0,"Phone not found: copy it from your list",IF(AND(E633&lt;&gt;"",COUNTIFS(DESK!$F$2:$F$601,C633,DESK!$B$2:$B$601,E633)=0),"Company is not one of theirs","OK"))))))</f>
        <v/>
      </c>
    </row>
    <row r="634" spans="1:10"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time",IF(D634="NO_SLOTS",IF(COUNTIF(PARTNERS!$A$2:$A$88,E634)=0,"Write the company in column E","OK"),IF(C634="","Missing phone",IF(COUNTIF(DESK!$F$2:$F$601,C634)=0,"Phone not found: copy it from your list",IF(AND(E634&lt;&gt;"",COUNTIFS(DESK!$F$2:$F$601,C634,DESK!$B$2:$B$601,E634)=0),"Company is not one of theirs","OK"))))))</f>
        <v/>
      </c>
    </row>
    <row r="635" spans="1:10"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time",IF(D635="NO_SLOTS",IF(COUNTIF(PARTNERS!$A$2:$A$88,E635)=0,"Write the company in column E","OK"),IF(C635="","Missing phone",IF(COUNTIF(DESK!$F$2:$F$601,C635)=0,"Phone not found: copy it from your list",IF(AND(E635&lt;&gt;"",COUNTIFS(DESK!$F$2:$F$601,C635,DESK!$B$2:$B$601,E635)=0),"Company is not one of theirs","OK"))))))</f>
        <v/>
      </c>
    </row>
    <row r="636" spans="1:10"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time",IF(D636="NO_SLOTS",IF(COUNTIF(PARTNERS!$A$2:$A$88,E636)=0,"Write the company in column E","OK"),IF(C636="","Missing phone",IF(COUNTIF(DESK!$F$2:$F$601,C636)=0,"Phone not found: copy it from your list",IF(AND(E636&lt;&gt;"",COUNTIFS(DESK!$F$2:$F$601,C636,DESK!$B$2:$B$601,E636)=0),"Company is not one of theirs","OK"))))))</f>
        <v/>
      </c>
    </row>
    <row r="637" spans="1:10"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time",IF(D637="NO_SLOTS",IF(COUNTIF(PARTNERS!$A$2:$A$88,E637)=0,"Write the company in column E","OK"),IF(C637="","Missing phone",IF(COUNTIF(DESK!$F$2:$F$601,C637)=0,"Phone not found: copy it from your list",IF(AND(E637&lt;&gt;"",COUNTIFS(DESK!$F$2:$F$601,C637,DESK!$B$2:$B$601,E637)=0),"Company is not one of theirs","OK"))))))</f>
        <v/>
      </c>
    </row>
    <row r="638" spans="1:10"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time",IF(D638="NO_SLOTS",IF(COUNTIF(PARTNERS!$A$2:$A$88,E638)=0,"Write the company in column E","OK"),IF(C638="","Missing phone",IF(COUNTIF(DESK!$F$2:$F$601,C638)=0,"Phone not found: copy it from your list",IF(AND(E638&lt;&gt;"",COUNTIFS(DESK!$F$2:$F$601,C638,DESK!$B$2:$B$601,E638)=0),"Company is not one of theirs","OK"))))))</f>
        <v/>
      </c>
    </row>
    <row r="639" spans="1:10"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time",IF(D639="NO_SLOTS",IF(COUNTIF(PARTNERS!$A$2:$A$88,E639)=0,"Write the company in column E","OK"),IF(C639="","Missing phone",IF(COUNTIF(DESK!$F$2:$F$601,C639)=0,"Phone not found: copy it from your list",IF(AND(E639&lt;&gt;"",COUNTIFS(DESK!$F$2:$F$601,C639,DESK!$B$2:$B$601,E639)=0),"Company is not one of theirs","OK"))))))</f>
        <v/>
      </c>
    </row>
    <row r="640" spans="1:10"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time",IF(D640="NO_SLOTS",IF(COUNTIF(PARTNERS!$A$2:$A$88,E640)=0,"Write the company in column E","OK"),IF(C640="","Missing phone",IF(COUNTIF(DESK!$F$2:$F$601,C640)=0,"Phone not found: copy it from your list",IF(AND(E640&lt;&gt;"",COUNTIFS(DESK!$F$2:$F$601,C640,DESK!$B$2:$B$601,E640)=0),"Company is not one of theirs","OK"))))))</f>
        <v/>
      </c>
    </row>
    <row r="641" spans="1:10"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time",IF(D641="NO_SLOTS",IF(COUNTIF(PARTNERS!$A$2:$A$88,E641)=0,"Write the company in column E","OK"),IF(C641="","Missing phone",IF(COUNTIF(DESK!$F$2:$F$601,C641)=0,"Phone not found: copy it from your list",IF(AND(E641&lt;&gt;"",COUNTIFS(DESK!$F$2:$F$601,C641,DESK!$B$2:$B$601,E641)=0),"Company is not one of theirs","OK"))))))</f>
        <v/>
      </c>
    </row>
    <row r="642" spans="1:10"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time",IF(D642="NO_SLOTS",IF(COUNTIF(PARTNERS!$A$2:$A$88,E642)=0,"Write the company in column E","OK"),IF(C642="","Missing phone",IF(COUNTIF(DESK!$F$2:$F$601,C642)=0,"Phone not found: copy it from your list",IF(AND(E642&lt;&gt;"",COUNTIFS(DESK!$F$2:$F$601,C642,DESK!$B$2:$B$601,E642)=0),"Company is not one of theirs","OK"))))))</f>
        <v/>
      </c>
    </row>
    <row r="643" spans="1:10"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time",IF(D643="NO_SLOTS",IF(COUNTIF(PARTNERS!$A$2:$A$88,E643)=0,"Write the company in column E","OK"),IF(C643="","Missing phone",IF(COUNTIF(DESK!$F$2:$F$601,C643)=0,"Phone not found: copy it from your list",IF(AND(E643&lt;&gt;"",COUNTIFS(DESK!$F$2:$F$601,C643,DESK!$B$2:$B$601,E643)=0),"Company is not one of theirs","OK"))))))</f>
        <v/>
      </c>
    </row>
    <row r="644" spans="1:10"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time",IF(D644="NO_SLOTS",IF(COUNTIF(PARTNERS!$A$2:$A$88,E644)=0,"Write the company in column E","OK"),IF(C644="","Missing phone",IF(COUNTIF(DESK!$F$2:$F$601,C644)=0,"Phone not found: copy it from your list",IF(AND(E644&lt;&gt;"",COUNTIFS(DESK!$F$2:$F$601,C644,DESK!$B$2:$B$601,E644)=0),"Company is not one of theirs","OK"))))))</f>
        <v/>
      </c>
    </row>
    <row r="645" spans="1:10"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time",IF(D645="NO_SLOTS",IF(COUNTIF(PARTNERS!$A$2:$A$88,E645)=0,"Write the company in column E","OK"),IF(C645="","Missing phone",IF(COUNTIF(DESK!$F$2:$F$601,C645)=0,"Phone not found: copy it from your list",IF(AND(E645&lt;&gt;"",COUNTIFS(DESK!$F$2:$F$601,C645,DESK!$B$2:$B$601,E645)=0),"Company is not one of theirs","OK"))))))</f>
        <v/>
      </c>
    </row>
    <row r="646" spans="1:10"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time",IF(D646="NO_SLOTS",IF(COUNTIF(PARTNERS!$A$2:$A$88,E646)=0,"Write the company in column E","OK"),IF(C646="","Missing phone",IF(COUNTIF(DESK!$F$2:$F$601,C646)=0,"Phone not found: copy it from your list",IF(AND(E646&lt;&gt;"",COUNTIFS(DESK!$F$2:$F$601,C646,DESK!$B$2:$B$601,E646)=0),"Company is not one of theirs","OK"))))))</f>
        <v/>
      </c>
    </row>
    <row r="647" spans="1:10"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time",IF(D647="NO_SLOTS",IF(COUNTIF(PARTNERS!$A$2:$A$88,E647)=0,"Write the company in column E","OK"),IF(C647="","Missing phone",IF(COUNTIF(DESK!$F$2:$F$601,C647)=0,"Phone not found: copy it from your list",IF(AND(E647&lt;&gt;"",COUNTIFS(DESK!$F$2:$F$601,C647,DESK!$B$2:$B$601,E647)=0),"Company is not one of theirs","OK"))))))</f>
        <v/>
      </c>
    </row>
    <row r="648" spans="1:10"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time",IF(D648="NO_SLOTS",IF(COUNTIF(PARTNERS!$A$2:$A$88,E648)=0,"Write the company in column E","OK"),IF(C648="","Missing phone",IF(COUNTIF(DESK!$F$2:$F$601,C648)=0,"Phone not found: copy it from your list",IF(AND(E648&lt;&gt;"",COUNTIFS(DESK!$F$2:$F$601,C648,DESK!$B$2:$B$601,E648)=0),"Company is not one of theirs","OK"))))))</f>
        <v/>
      </c>
    </row>
    <row r="649" spans="1:10"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time",IF(D649="NO_SLOTS",IF(COUNTIF(PARTNERS!$A$2:$A$88,E649)=0,"Write the company in column E","OK"),IF(C649="","Missing phone",IF(COUNTIF(DESK!$F$2:$F$601,C649)=0,"Phone not found: copy it from your list",IF(AND(E649&lt;&gt;"",COUNTIFS(DESK!$F$2:$F$601,C649,DESK!$B$2:$B$601,E649)=0),"Company is not one of theirs","OK"))))))</f>
        <v/>
      </c>
    </row>
    <row r="650" spans="1:10"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time",IF(D650="NO_SLOTS",IF(COUNTIF(PARTNERS!$A$2:$A$88,E650)=0,"Write the company in column E","OK"),IF(C650="","Missing phone",IF(COUNTIF(DESK!$F$2:$F$601,C650)=0,"Phone not found: copy it from your list",IF(AND(E650&lt;&gt;"",COUNTIFS(DESK!$F$2:$F$601,C650,DESK!$B$2:$B$601,E650)=0),"Company is not one of theirs","OK"))))))</f>
        <v/>
      </c>
    </row>
    <row r="651" spans="1:10"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time",IF(D651="NO_SLOTS",IF(COUNTIF(PARTNERS!$A$2:$A$88,E651)=0,"Write the company in column E","OK"),IF(C651="","Missing phone",IF(COUNTIF(DESK!$F$2:$F$601,C651)=0,"Phone not found: copy it from your list",IF(AND(E651&lt;&gt;"",COUNTIFS(DESK!$F$2:$F$601,C651,DESK!$B$2:$B$601,E651)=0),"Company is not one of theirs","OK"))))))</f>
        <v/>
      </c>
    </row>
    <row r="652" spans="1:10"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time",IF(D652="NO_SLOTS",IF(COUNTIF(PARTNERS!$A$2:$A$88,E652)=0,"Write the company in column E","OK"),IF(C652="","Missing phone",IF(COUNTIF(DESK!$F$2:$F$601,C652)=0,"Phone not found: copy it from your list",IF(AND(E652&lt;&gt;"",COUNTIFS(DESK!$F$2:$F$601,C652,DESK!$B$2:$B$601,E652)=0),"Company is not one of theirs","OK"))))))</f>
        <v/>
      </c>
    </row>
    <row r="653" spans="1:10"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time",IF(D653="NO_SLOTS",IF(COUNTIF(PARTNERS!$A$2:$A$88,E653)=0,"Write the company in column E","OK"),IF(C653="","Missing phone",IF(COUNTIF(DESK!$F$2:$F$601,C653)=0,"Phone not found: copy it from your list",IF(AND(E653&lt;&gt;"",COUNTIFS(DESK!$F$2:$F$601,C653,DESK!$B$2:$B$601,E653)=0),"Company is not one of theirs","OK"))))))</f>
        <v/>
      </c>
    </row>
    <row r="654" spans="1:10"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time",IF(D654="NO_SLOTS",IF(COUNTIF(PARTNERS!$A$2:$A$88,E654)=0,"Write the company in column E","OK"),IF(C654="","Missing phone",IF(COUNTIF(DESK!$F$2:$F$601,C654)=0,"Phone not found: copy it from your list",IF(AND(E654&lt;&gt;"",COUNTIFS(DESK!$F$2:$F$601,C654,DESK!$B$2:$B$601,E654)=0),"Company is not one of theirs","OK"))))))</f>
        <v/>
      </c>
    </row>
    <row r="655" spans="1:10"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time",IF(D655="NO_SLOTS",IF(COUNTIF(PARTNERS!$A$2:$A$88,E655)=0,"Write the company in column E","OK"),IF(C655="","Missing phone",IF(COUNTIF(DESK!$F$2:$F$601,C655)=0,"Phone not found: copy it from your list",IF(AND(E655&lt;&gt;"",COUNTIFS(DESK!$F$2:$F$601,C655,DESK!$B$2:$B$601,E655)=0),"Company is not one of theirs","OK"))))))</f>
        <v/>
      </c>
    </row>
    <row r="656" spans="1:10"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time",IF(D656="NO_SLOTS",IF(COUNTIF(PARTNERS!$A$2:$A$88,E656)=0,"Write the company in column E","OK"),IF(C656="","Missing phone",IF(COUNTIF(DESK!$F$2:$F$601,C656)=0,"Phone not found: copy it from your list",IF(AND(E656&lt;&gt;"",COUNTIFS(DESK!$F$2:$F$601,C656,DESK!$B$2:$B$601,E656)=0),"Company is not one of theirs","OK"))))))</f>
        <v/>
      </c>
    </row>
    <row r="657" spans="1:10"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time",IF(D657="NO_SLOTS",IF(COUNTIF(PARTNERS!$A$2:$A$88,E657)=0,"Write the company in column E","OK"),IF(C657="","Missing phone",IF(COUNTIF(DESK!$F$2:$F$601,C657)=0,"Phone not found: copy it from your list",IF(AND(E657&lt;&gt;"",COUNTIFS(DESK!$F$2:$F$601,C657,DESK!$B$2:$B$601,E657)=0),"Company is not one of theirs","OK"))))))</f>
        <v/>
      </c>
    </row>
    <row r="658" spans="1:10"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time",IF(D658="NO_SLOTS",IF(COUNTIF(PARTNERS!$A$2:$A$88,E658)=0,"Write the company in column E","OK"),IF(C658="","Missing phone",IF(COUNTIF(DESK!$F$2:$F$601,C658)=0,"Phone not found: copy it from your list",IF(AND(E658&lt;&gt;"",COUNTIFS(DESK!$F$2:$F$601,C658,DESK!$B$2:$B$601,E658)=0),"Company is not one of theirs","OK"))))))</f>
        <v/>
      </c>
    </row>
    <row r="659" spans="1:10"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time",IF(D659="NO_SLOTS",IF(COUNTIF(PARTNERS!$A$2:$A$88,E659)=0,"Write the company in column E","OK"),IF(C659="","Missing phone",IF(COUNTIF(DESK!$F$2:$F$601,C659)=0,"Phone not found: copy it from your list",IF(AND(E659&lt;&gt;"",COUNTIFS(DESK!$F$2:$F$601,C659,DESK!$B$2:$B$601,E659)=0),"Company is not one of theirs","OK"))))))</f>
        <v/>
      </c>
    </row>
    <row r="660" spans="1:10"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time",IF(D660="NO_SLOTS",IF(COUNTIF(PARTNERS!$A$2:$A$88,E660)=0,"Write the company in column E","OK"),IF(C660="","Missing phone",IF(COUNTIF(DESK!$F$2:$F$601,C660)=0,"Phone not found: copy it from your list",IF(AND(E660&lt;&gt;"",COUNTIFS(DESK!$F$2:$F$601,C660,DESK!$B$2:$B$601,E660)=0),"Company is not one of theirs","OK"))))))</f>
        <v/>
      </c>
    </row>
    <row r="661" spans="1:10"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time",IF(D661="NO_SLOTS",IF(COUNTIF(PARTNERS!$A$2:$A$88,E661)=0,"Write the company in column E","OK"),IF(C661="","Missing phone",IF(COUNTIF(DESK!$F$2:$F$601,C661)=0,"Phone not found: copy it from your list",IF(AND(E661&lt;&gt;"",COUNTIFS(DESK!$F$2:$F$601,C661,DESK!$B$2:$B$601,E661)=0),"Company is not one of theirs","OK"))))))</f>
        <v/>
      </c>
    </row>
    <row r="662" spans="1:10"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time",IF(D662="NO_SLOTS",IF(COUNTIF(PARTNERS!$A$2:$A$88,E662)=0,"Write the company in column E","OK"),IF(C662="","Missing phone",IF(COUNTIF(DESK!$F$2:$F$601,C662)=0,"Phone not found: copy it from your list",IF(AND(E662&lt;&gt;"",COUNTIFS(DESK!$F$2:$F$601,C662,DESK!$B$2:$B$601,E662)=0),"Company is not one of theirs","OK"))))))</f>
        <v/>
      </c>
    </row>
    <row r="663" spans="1:10"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time",IF(D663="NO_SLOTS",IF(COUNTIF(PARTNERS!$A$2:$A$88,E663)=0,"Write the company in column E","OK"),IF(C663="","Missing phone",IF(COUNTIF(DESK!$F$2:$F$601,C663)=0,"Phone not found: copy it from your list",IF(AND(E663&lt;&gt;"",COUNTIFS(DESK!$F$2:$F$601,C663,DESK!$B$2:$B$601,E663)=0),"Company is not one of theirs","OK"))))))</f>
        <v/>
      </c>
    </row>
    <row r="664" spans="1:10"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time",IF(D664="NO_SLOTS",IF(COUNTIF(PARTNERS!$A$2:$A$88,E664)=0,"Write the company in column E","OK"),IF(C664="","Missing phone",IF(COUNTIF(DESK!$F$2:$F$601,C664)=0,"Phone not found: copy it from your list",IF(AND(E664&lt;&gt;"",COUNTIFS(DESK!$F$2:$F$601,C664,DESK!$B$2:$B$601,E664)=0),"Company is not one of theirs","OK"))))))</f>
        <v/>
      </c>
    </row>
    <row r="665" spans="1:10"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time",IF(D665="NO_SLOTS",IF(COUNTIF(PARTNERS!$A$2:$A$88,E665)=0,"Write the company in column E","OK"),IF(C665="","Missing phone",IF(COUNTIF(DESK!$F$2:$F$601,C665)=0,"Phone not found: copy it from your list",IF(AND(E665&lt;&gt;"",COUNTIFS(DESK!$F$2:$F$601,C665,DESK!$B$2:$B$601,E665)=0),"Company is not one of theirs","OK"))))))</f>
        <v/>
      </c>
    </row>
    <row r="666" spans="1:10"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time",IF(D666="NO_SLOTS",IF(COUNTIF(PARTNERS!$A$2:$A$88,E666)=0,"Write the company in column E","OK"),IF(C666="","Missing phone",IF(COUNTIF(DESK!$F$2:$F$601,C666)=0,"Phone not found: copy it from your list",IF(AND(E666&lt;&gt;"",COUNTIFS(DESK!$F$2:$F$601,C666,DESK!$B$2:$B$601,E666)=0),"Company is not one of theirs","OK"))))))</f>
        <v/>
      </c>
    </row>
    <row r="667" spans="1:10"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time",IF(D667="NO_SLOTS",IF(COUNTIF(PARTNERS!$A$2:$A$88,E667)=0,"Write the company in column E","OK"),IF(C667="","Missing phone",IF(COUNTIF(DESK!$F$2:$F$601,C667)=0,"Phone not found: copy it from your list",IF(AND(E667&lt;&gt;"",COUNTIFS(DESK!$F$2:$F$601,C667,DESK!$B$2:$B$601,E667)=0),"Company is not one of theirs","OK"))))))</f>
        <v/>
      </c>
    </row>
    <row r="668" spans="1:10"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time",IF(D668="NO_SLOTS",IF(COUNTIF(PARTNERS!$A$2:$A$88,E668)=0,"Write the company in column E","OK"),IF(C668="","Missing phone",IF(COUNTIF(DESK!$F$2:$F$601,C668)=0,"Phone not found: copy it from your list",IF(AND(E668&lt;&gt;"",COUNTIFS(DESK!$F$2:$F$601,C668,DESK!$B$2:$B$601,E668)=0),"Company is not one of theirs","OK"))))))</f>
        <v/>
      </c>
    </row>
    <row r="669" spans="1:10"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time",IF(D669="NO_SLOTS",IF(COUNTIF(PARTNERS!$A$2:$A$88,E669)=0,"Write the company in column E","OK"),IF(C669="","Missing phone",IF(COUNTIF(DESK!$F$2:$F$601,C669)=0,"Phone not found: copy it from your list",IF(AND(E669&lt;&gt;"",COUNTIFS(DESK!$F$2:$F$601,C669,DESK!$B$2:$B$601,E669)=0),"Company is not one of theirs","OK"))))))</f>
        <v/>
      </c>
    </row>
    <row r="670" spans="1:10"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time",IF(D670="NO_SLOTS",IF(COUNTIF(PARTNERS!$A$2:$A$88,E670)=0,"Write the company in column E","OK"),IF(C670="","Missing phone",IF(COUNTIF(DESK!$F$2:$F$601,C670)=0,"Phone not found: copy it from your list",IF(AND(E670&lt;&gt;"",COUNTIFS(DESK!$F$2:$F$601,C670,DESK!$B$2:$B$601,E670)=0),"Company is not one of theirs","OK"))))))</f>
        <v/>
      </c>
    </row>
    <row r="671" spans="1:10"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time",IF(D671="NO_SLOTS",IF(COUNTIF(PARTNERS!$A$2:$A$88,E671)=0,"Write the company in column E","OK"),IF(C671="","Missing phone",IF(COUNTIF(DESK!$F$2:$F$601,C671)=0,"Phone not found: copy it from your list",IF(AND(E671&lt;&gt;"",COUNTIFS(DESK!$F$2:$F$601,C671,DESK!$B$2:$B$601,E671)=0),"Company is not one of theirs","OK"))))))</f>
        <v/>
      </c>
    </row>
    <row r="672" spans="1:10"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time",IF(D672="NO_SLOTS",IF(COUNTIF(PARTNERS!$A$2:$A$88,E672)=0,"Write the company in column E","OK"),IF(C672="","Missing phone",IF(COUNTIF(DESK!$F$2:$F$601,C672)=0,"Phone not found: copy it from your list",IF(AND(E672&lt;&gt;"",COUNTIFS(DESK!$F$2:$F$601,C672,DESK!$B$2:$B$601,E672)=0),"Company is not one of theirs","OK"))))))</f>
        <v/>
      </c>
    </row>
    <row r="673" spans="1:10"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time",IF(D673="NO_SLOTS",IF(COUNTIF(PARTNERS!$A$2:$A$88,E673)=0,"Write the company in column E","OK"),IF(C673="","Missing phone",IF(COUNTIF(DESK!$F$2:$F$601,C673)=0,"Phone not found: copy it from your list",IF(AND(E673&lt;&gt;"",COUNTIFS(DESK!$F$2:$F$601,C673,DESK!$B$2:$B$601,E673)=0),"Company is not one of theirs","OK"))))))</f>
        <v/>
      </c>
    </row>
    <row r="674" spans="1:10"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time",IF(D674="NO_SLOTS",IF(COUNTIF(PARTNERS!$A$2:$A$88,E674)=0,"Write the company in column E","OK"),IF(C674="","Missing phone",IF(COUNTIF(DESK!$F$2:$F$601,C674)=0,"Phone not found: copy it from your list",IF(AND(E674&lt;&gt;"",COUNTIFS(DESK!$F$2:$F$601,C674,DESK!$B$2:$B$601,E674)=0),"Company is not one of theirs","OK"))))))</f>
        <v/>
      </c>
    </row>
    <row r="675" spans="1:10"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time",IF(D675="NO_SLOTS",IF(COUNTIF(PARTNERS!$A$2:$A$88,E675)=0,"Write the company in column E","OK"),IF(C675="","Missing phone",IF(COUNTIF(DESK!$F$2:$F$601,C675)=0,"Phone not found: copy it from your list",IF(AND(E675&lt;&gt;"",COUNTIFS(DESK!$F$2:$F$601,C675,DESK!$B$2:$B$601,E675)=0),"Company is not one of theirs","OK"))))))</f>
        <v/>
      </c>
    </row>
    <row r="676" spans="1:10"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time",IF(D676="NO_SLOTS",IF(COUNTIF(PARTNERS!$A$2:$A$88,E676)=0,"Write the company in column E","OK"),IF(C676="","Missing phone",IF(COUNTIF(DESK!$F$2:$F$601,C676)=0,"Phone not found: copy it from your list",IF(AND(E676&lt;&gt;"",COUNTIFS(DESK!$F$2:$F$601,C676,DESK!$B$2:$B$601,E676)=0),"Company is not one of theirs","OK"))))))</f>
        <v/>
      </c>
    </row>
    <row r="677" spans="1:10"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time",IF(D677="NO_SLOTS",IF(COUNTIF(PARTNERS!$A$2:$A$88,E677)=0,"Write the company in column E","OK"),IF(C677="","Missing phone",IF(COUNTIF(DESK!$F$2:$F$601,C677)=0,"Phone not found: copy it from your list",IF(AND(E677&lt;&gt;"",COUNTIFS(DESK!$F$2:$F$601,C677,DESK!$B$2:$B$601,E677)=0),"Company is not one of theirs","OK"))))))</f>
        <v/>
      </c>
    </row>
    <row r="678" spans="1:10"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time",IF(D678="NO_SLOTS",IF(COUNTIF(PARTNERS!$A$2:$A$88,E678)=0,"Write the company in column E","OK"),IF(C678="","Missing phone",IF(COUNTIF(DESK!$F$2:$F$601,C678)=0,"Phone not found: copy it from your list",IF(AND(E678&lt;&gt;"",COUNTIFS(DESK!$F$2:$F$601,C678,DESK!$B$2:$B$601,E678)=0),"Company is not one of theirs","OK"))))))</f>
        <v/>
      </c>
    </row>
    <row r="679" spans="1:10"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time",IF(D679="NO_SLOTS",IF(COUNTIF(PARTNERS!$A$2:$A$88,E679)=0,"Write the company in column E","OK"),IF(C679="","Missing phone",IF(COUNTIF(DESK!$F$2:$F$601,C679)=0,"Phone not found: copy it from your list",IF(AND(E679&lt;&gt;"",COUNTIFS(DESK!$F$2:$F$601,C679,DESK!$B$2:$B$601,E679)=0),"Company is not one of theirs","OK"))))))</f>
        <v/>
      </c>
    </row>
    <row r="680" spans="1:10"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time",IF(D680="NO_SLOTS",IF(COUNTIF(PARTNERS!$A$2:$A$88,E680)=0,"Write the company in column E","OK"),IF(C680="","Missing phone",IF(COUNTIF(DESK!$F$2:$F$601,C680)=0,"Phone not found: copy it from your list",IF(AND(E680&lt;&gt;"",COUNTIFS(DESK!$F$2:$F$601,C680,DESK!$B$2:$B$601,E680)=0),"Company is not one of theirs","OK"))))))</f>
        <v/>
      </c>
    </row>
    <row r="681" spans="1:10"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time",IF(D681="NO_SLOTS",IF(COUNTIF(PARTNERS!$A$2:$A$88,E681)=0,"Write the company in column E","OK"),IF(C681="","Missing phone",IF(COUNTIF(DESK!$F$2:$F$601,C681)=0,"Phone not found: copy it from your list",IF(AND(E681&lt;&gt;"",COUNTIFS(DESK!$F$2:$F$601,C681,DESK!$B$2:$B$601,E681)=0),"Company is not one of theirs","OK"))))))</f>
        <v/>
      </c>
    </row>
    <row r="682" spans="1:10"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time",IF(D682="NO_SLOTS",IF(COUNTIF(PARTNERS!$A$2:$A$88,E682)=0,"Write the company in column E","OK"),IF(C682="","Missing phone",IF(COUNTIF(DESK!$F$2:$F$601,C682)=0,"Phone not found: copy it from your list",IF(AND(E682&lt;&gt;"",COUNTIFS(DESK!$F$2:$F$601,C682,DESK!$B$2:$B$601,E682)=0),"Company is not one of theirs","OK"))))))</f>
        <v/>
      </c>
    </row>
    <row r="683" spans="1:10"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time",IF(D683="NO_SLOTS",IF(COUNTIF(PARTNERS!$A$2:$A$88,E683)=0,"Write the company in column E","OK"),IF(C683="","Missing phone",IF(COUNTIF(DESK!$F$2:$F$601,C683)=0,"Phone not found: copy it from your list",IF(AND(E683&lt;&gt;"",COUNTIFS(DESK!$F$2:$F$601,C683,DESK!$B$2:$B$601,E683)=0),"Company is not one of theirs","OK"))))))</f>
        <v/>
      </c>
    </row>
    <row r="684" spans="1:10"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time",IF(D684="NO_SLOTS",IF(COUNTIF(PARTNERS!$A$2:$A$88,E684)=0,"Write the company in column E","OK"),IF(C684="","Missing phone",IF(COUNTIF(DESK!$F$2:$F$601,C684)=0,"Phone not found: copy it from your list",IF(AND(E684&lt;&gt;"",COUNTIFS(DESK!$F$2:$F$601,C684,DESK!$B$2:$B$601,E684)=0),"Company is not one of theirs","OK"))))))</f>
        <v/>
      </c>
    </row>
    <row r="685" spans="1:10"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time",IF(D685="NO_SLOTS",IF(COUNTIF(PARTNERS!$A$2:$A$88,E685)=0,"Write the company in column E","OK"),IF(C685="","Missing phone",IF(COUNTIF(DESK!$F$2:$F$601,C685)=0,"Phone not found: copy it from your list",IF(AND(E685&lt;&gt;"",COUNTIFS(DESK!$F$2:$F$601,C685,DESK!$B$2:$B$601,E685)=0),"Company is not one of theirs","OK"))))))</f>
        <v/>
      </c>
    </row>
    <row r="686" spans="1:10"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time",IF(D686="NO_SLOTS",IF(COUNTIF(PARTNERS!$A$2:$A$88,E686)=0,"Write the company in column E","OK"),IF(C686="","Missing phone",IF(COUNTIF(DESK!$F$2:$F$601,C686)=0,"Phone not found: copy it from your list",IF(AND(E686&lt;&gt;"",COUNTIFS(DESK!$F$2:$F$601,C686,DESK!$B$2:$B$601,E686)=0),"Company is not one of theirs","OK"))))))</f>
        <v/>
      </c>
    </row>
    <row r="687" spans="1:10"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time",IF(D687="NO_SLOTS",IF(COUNTIF(PARTNERS!$A$2:$A$88,E687)=0,"Write the company in column E","OK"),IF(C687="","Missing phone",IF(COUNTIF(DESK!$F$2:$F$601,C687)=0,"Phone not found: copy it from your list",IF(AND(E687&lt;&gt;"",COUNTIFS(DESK!$F$2:$F$601,C687,DESK!$B$2:$B$601,E687)=0),"Company is not one of theirs","OK"))))))</f>
        <v/>
      </c>
    </row>
    <row r="688" spans="1:10"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time",IF(D688="NO_SLOTS",IF(COUNTIF(PARTNERS!$A$2:$A$88,E688)=0,"Write the company in column E","OK"),IF(C688="","Missing phone",IF(COUNTIF(DESK!$F$2:$F$601,C688)=0,"Phone not found: copy it from your list",IF(AND(E688&lt;&gt;"",COUNTIFS(DESK!$F$2:$F$601,C688,DESK!$B$2:$B$601,E688)=0),"Company is not one of theirs","OK"))))))</f>
        <v/>
      </c>
    </row>
    <row r="689" spans="1:10"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time",IF(D689="NO_SLOTS",IF(COUNTIF(PARTNERS!$A$2:$A$88,E689)=0,"Write the company in column E","OK"),IF(C689="","Missing phone",IF(COUNTIF(DESK!$F$2:$F$601,C689)=0,"Phone not found: copy it from your list",IF(AND(E689&lt;&gt;"",COUNTIFS(DESK!$F$2:$F$601,C689,DESK!$B$2:$B$601,E689)=0),"Company is not one of theirs","OK"))))))</f>
        <v/>
      </c>
    </row>
    <row r="690" spans="1:10"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time",IF(D690="NO_SLOTS",IF(COUNTIF(PARTNERS!$A$2:$A$88,E690)=0,"Write the company in column E","OK"),IF(C690="","Missing phone",IF(COUNTIF(DESK!$F$2:$F$601,C690)=0,"Phone not found: copy it from your list",IF(AND(E690&lt;&gt;"",COUNTIFS(DESK!$F$2:$F$601,C690,DESK!$B$2:$B$601,E690)=0),"Company is not one of theirs","OK"))))))</f>
        <v/>
      </c>
    </row>
    <row r="691" spans="1:10"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time",IF(D691="NO_SLOTS",IF(COUNTIF(PARTNERS!$A$2:$A$88,E691)=0,"Write the company in column E","OK"),IF(C691="","Missing phone",IF(COUNTIF(DESK!$F$2:$F$601,C691)=0,"Phone not found: copy it from your list",IF(AND(E691&lt;&gt;"",COUNTIFS(DESK!$F$2:$F$601,C691,DESK!$B$2:$B$601,E691)=0),"Company is not one of theirs","OK"))))))</f>
        <v/>
      </c>
    </row>
    <row r="692" spans="1:10"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time",IF(D692="NO_SLOTS",IF(COUNTIF(PARTNERS!$A$2:$A$88,E692)=0,"Write the company in column E","OK"),IF(C692="","Missing phone",IF(COUNTIF(DESK!$F$2:$F$601,C692)=0,"Phone not found: copy it from your list",IF(AND(E692&lt;&gt;"",COUNTIFS(DESK!$F$2:$F$601,C692,DESK!$B$2:$B$601,E692)=0),"Company is not one of theirs","OK"))))))</f>
        <v/>
      </c>
    </row>
    <row r="693" spans="1:10"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time",IF(D693="NO_SLOTS",IF(COUNTIF(PARTNERS!$A$2:$A$88,E693)=0,"Write the company in column E","OK"),IF(C693="","Missing phone",IF(COUNTIF(DESK!$F$2:$F$601,C693)=0,"Phone not found: copy it from your list",IF(AND(E693&lt;&gt;"",COUNTIFS(DESK!$F$2:$F$601,C693,DESK!$B$2:$B$601,E693)=0),"Company is not one of theirs","OK"))))))</f>
        <v/>
      </c>
    </row>
    <row r="694" spans="1:10"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time",IF(D694="NO_SLOTS",IF(COUNTIF(PARTNERS!$A$2:$A$88,E694)=0,"Write the company in column E","OK"),IF(C694="","Missing phone",IF(COUNTIF(DESK!$F$2:$F$601,C694)=0,"Phone not found: copy it from your list",IF(AND(E694&lt;&gt;"",COUNTIFS(DESK!$F$2:$F$601,C694,DESK!$B$2:$B$601,E694)=0),"Company is not one of theirs","OK"))))))</f>
        <v/>
      </c>
    </row>
    <row r="695" spans="1:10"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time",IF(D695="NO_SLOTS",IF(COUNTIF(PARTNERS!$A$2:$A$88,E695)=0,"Write the company in column E","OK"),IF(C695="","Missing phone",IF(COUNTIF(DESK!$F$2:$F$601,C695)=0,"Phone not found: copy it from your list",IF(AND(E695&lt;&gt;"",COUNTIFS(DESK!$F$2:$F$601,C695,DESK!$B$2:$B$601,E695)=0),"Company is not one of theirs","OK"))))))</f>
        <v/>
      </c>
    </row>
    <row r="696" spans="1:10"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time",IF(D696="NO_SLOTS",IF(COUNTIF(PARTNERS!$A$2:$A$88,E696)=0,"Write the company in column E","OK"),IF(C696="","Missing phone",IF(COUNTIF(DESK!$F$2:$F$601,C696)=0,"Phone not found: copy it from your list",IF(AND(E696&lt;&gt;"",COUNTIFS(DESK!$F$2:$F$601,C696,DESK!$B$2:$B$601,E696)=0),"Company is not one of theirs","OK"))))))</f>
        <v/>
      </c>
    </row>
    <row r="697" spans="1:10"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time",IF(D697="NO_SLOTS",IF(COUNTIF(PARTNERS!$A$2:$A$88,E697)=0,"Write the company in column E","OK"),IF(C697="","Missing phone",IF(COUNTIF(DESK!$F$2:$F$601,C697)=0,"Phone not found: copy it from your list",IF(AND(E697&lt;&gt;"",COUNTIFS(DESK!$F$2:$F$601,C697,DESK!$B$2:$B$601,E697)=0),"Company is not one of theirs","OK"))))))</f>
        <v/>
      </c>
    </row>
    <row r="698" spans="1:10"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time",IF(D698="NO_SLOTS",IF(COUNTIF(PARTNERS!$A$2:$A$88,E698)=0,"Write the company in column E","OK"),IF(C698="","Missing phone",IF(COUNTIF(DESK!$F$2:$F$601,C698)=0,"Phone not found: copy it from your list",IF(AND(E698&lt;&gt;"",COUNTIFS(DESK!$F$2:$F$601,C698,DESK!$B$2:$B$601,E698)=0),"Company is not one of theirs","OK"))))))</f>
        <v/>
      </c>
    </row>
    <row r="699" spans="1:10"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time",IF(D699="NO_SLOTS",IF(COUNTIF(PARTNERS!$A$2:$A$88,E699)=0,"Write the company in column E","OK"),IF(C699="","Missing phone",IF(COUNTIF(DESK!$F$2:$F$601,C699)=0,"Phone not found: copy it from your list",IF(AND(E699&lt;&gt;"",COUNTIFS(DESK!$F$2:$F$601,C699,DESK!$B$2:$B$601,E699)=0),"Company is not one of theirs","OK"))))))</f>
        <v/>
      </c>
    </row>
    <row r="700" spans="1:10"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time",IF(D700="NO_SLOTS",IF(COUNTIF(PARTNERS!$A$2:$A$88,E700)=0,"Write the company in column E","OK"),IF(C700="","Missing phone",IF(COUNTIF(DESK!$F$2:$F$601,C700)=0,"Phone not found: copy it from your list",IF(AND(E700&lt;&gt;"",COUNTIFS(DESK!$F$2:$F$601,C700,DESK!$B$2:$B$601,E700)=0),"Company is not one of theirs","OK"))))))</f>
        <v/>
      </c>
    </row>
    <row r="701" spans="1:10"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time",IF(D701="NO_SLOTS",IF(COUNTIF(PARTNERS!$A$2:$A$88,E701)=0,"Write the company in column E","OK"),IF(C701="","Missing phone",IF(COUNTIF(DESK!$F$2:$F$601,C701)=0,"Phone not found: copy it from your list",IF(AND(E701&lt;&gt;"",COUNTIFS(DESK!$F$2:$F$601,C701,DESK!$B$2:$B$601,E701)=0),"Company is not one of theirs","OK"))))))</f>
        <v/>
      </c>
    </row>
    <row r="702" spans="1:10"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time",IF(D702="NO_SLOTS",IF(COUNTIF(PARTNERS!$A$2:$A$88,E702)=0,"Write the company in column E","OK"),IF(C702="","Missing phone",IF(COUNTIF(DESK!$F$2:$F$601,C702)=0,"Phone not found: copy it from your list",IF(AND(E702&lt;&gt;"",COUNTIFS(DESK!$F$2:$F$601,C702,DESK!$B$2:$B$601,E702)=0),"Company is not one of theirs","OK"))))))</f>
        <v/>
      </c>
    </row>
    <row r="703" spans="1:10"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time",IF(D703="NO_SLOTS",IF(COUNTIF(PARTNERS!$A$2:$A$88,E703)=0,"Write the company in column E","OK"),IF(C703="","Missing phone",IF(COUNTIF(DESK!$F$2:$F$601,C703)=0,"Phone not found: copy it from your list",IF(AND(E703&lt;&gt;"",COUNTIFS(DESK!$F$2:$F$601,C703,DESK!$B$2:$B$601,E703)=0),"Company is not one of theirs","OK"))))))</f>
        <v/>
      </c>
    </row>
    <row r="704" spans="1:10"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time",IF(D704="NO_SLOTS",IF(COUNTIF(PARTNERS!$A$2:$A$88,E704)=0,"Write the company in column E","OK"),IF(C704="","Missing phone",IF(COUNTIF(DESK!$F$2:$F$601,C704)=0,"Phone not found: copy it from your list",IF(AND(E704&lt;&gt;"",COUNTIFS(DESK!$F$2:$F$601,C704,DESK!$B$2:$B$601,E704)=0),"Company is not one of theirs","OK"))))))</f>
        <v/>
      </c>
    </row>
    <row r="705" spans="1:10"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time",IF(D705="NO_SLOTS",IF(COUNTIF(PARTNERS!$A$2:$A$88,E705)=0,"Write the company in column E","OK"),IF(C705="","Missing phone",IF(COUNTIF(DESK!$F$2:$F$601,C705)=0,"Phone not found: copy it from your list",IF(AND(E705&lt;&gt;"",COUNTIFS(DESK!$F$2:$F$601,C705,DESK!$B$2:$B$601,E705)=0),"Company is not one of theirs","OK"))))))</f>
        <v/>
      </c>
    </row>
    <row r="706" spans="1:10"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time",IF(D706="NO_SLOTS",IF(COUNTIF(PARTNERS!$A$2:$A$88,E706)=0,"Write the company in column E","OK"),IF(C706="","Missing phone",IF(COUNTIF(DESK!$F$2:$F$601,C706)=0,"Phone not found: copy it from your list",IF(AND(E706&lt;&gt;"",COUNTIFS(DESK!$F$2:$F$601,C706,DESK!$B$2:$B$601,E706)=0),"Company is not one of theirs","OK"))))))</f>
        <v/>
      </c>
    </row>
    <row r="707" spans="1:10"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time",IF(D707="NO_SLOTS",IF(COUNTIF(PARTNERS!$A$2:$A$88,E707)=0,"Write the company in column E","OK"),IF(C707="","Missing phone",IF(COUNTIF(DESK!$F$2:$F$601,C707)=0,"Phone not found: copy it from your list",IF(AND(E707&lt;&gt;"",COUNTIFS(DESK!$F$2:$F$601,C707,DESK!$B$2:$B$601,E707)=0),"Company is not one of theirs","OK"))))))</f>
        <v/>
      </c>
    </row>
    <row r="708" spans="1:10"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time",IF(D708="NO_SLOTS",IF(COUNTIF(PARTNERS!$A$2:$A$88,E708)=0,"Write the company in column E","OK"),IF(C708="","Missing phone",IF(COUNTIF(DESK!$F$2:$F$601,C708)=0,"Phone not found: copy it from your list",IF(AND(E708&lt;&gt;"",COUNTIFS(DESK!$F$2:$F$601,C708,DESK!$B$2:$B$601,E708)=0),"Company is not one of theirs","OK"))))))</f>
        <v/>
      </c>
    </row>
    <row r="709" spans="1:10"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time",IF(D709="NO_SLOTS",IF(COUNTIF(PARTNERS!$A$2:$A$88,E709)=0,"Write the company in column E","OK"),IF(C709="","Missing phone",IF(COUNTIF(DESK!$F$2:$F$601,C709)=0,"Phone not found: copy it from your list",IF(AND(E709&lt;&gt;"",COUNTIFS(DESK!$F$2:$F$601,C709,DESK!$B$2:$B$601,E709)=0),"Company is not one of theirs","OK"))))))</f>
        <v/>
      </c>
    </row>
    <row r="710" spans="1:10"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time",IF(D710="NO_SLOTS",IF(COUNTIF(PARTNERS!$A$2:$A$88,E710)=0,"Write the company in column E","OK"),IF(C710="","Missing phone",IF(COUNTIF(DESK!$F$2:$F$601,C710)=0,"Phone not found: copy it from your list",IF(AND(E710&lt;&gt;"",COUNTIFS(DESK!$F$2:$F$601,C710,DESK!$B$2:$B$601,E710)=0),"Company is not one of theirs","OK"))))))</f>
        <v/>
      </c>
    </row>
    <row r="711" spans="1:10"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time",IF(D711="NO_SLOTS",IF(COUNTIF(PARTNERS!$A$2:$A$88,E711)=0,"Write the company in column E","OK"),IF(C711="","Missing phone",IF(COUNTIF(DESK!$F$2:$F$601,C711)=0,"Phone not found: copy it from your list",IF(AND(E711&lt;&gt;"",COUNTIFS(DESK!$F$2:$F$601,C711,DESK!$B$2:$B$601,E711)=0),"Company is not one of theirs","OK"))))))</f>
        <v/>
      </c>
    </row>
    <row r="712" spans="1:10"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time",IF(D712="NO_SLOTS",IF(COUNTIF(PARTNERS!$A$2:$A$88,E712)=0,"Write the company in column E","OK"),IF(C712="","Missing phone",IF(COUNTIF(DESK!$F$2:$F$601,C712)=0,"Phone not found: copy it from your list",IF(AND(E712&lt;&gt;"",COUNTIFS(DESK!$F$2:$F$601,C712,DESK!$B$2:$B$601,E712)=0),"Company is not one of theirs","OK"))))))</f>
        <v/>
      </c>
    </row>
    <row r="713" spans="1:10"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time",IF(D713="NO_SLOTS",IF(COUNTIF(PARTNERS!$A$2:$A$88,E713)=0,"Write the company in column E","OK"),IF(C713="","Missing phone",IF(COUNTIF(DESK!$F$2:$F$601,C713)=0,"Phone not found: copy it from your list",IF(AND(E713&lt;&gt;"",COUNTIFS(DESK!$F$2:$F$601,C713,DESK!$B$2:$B$601,E713)=0),"Company is not one of theirs","OK"))))))</f>
        <v/>
      </c>
    </row>
    <row r="714" spans="1:10"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time",IF(D714="NO_SLOTS",IF(COUNTIF(PARTNERS!$A$2:$A$88,E714)=0,"Write the company in column E","OK"),IF(C714="","Missing phone",IF(COUNTIF(DESK!$F$2:$F$601,C714)=0,"Phone not found: copy it from your list",IF(AND(E714&lt;&gt;"",COUNTIFS(DESK!$F$2:$F$601,C714,DESK!$B$2:$B$601,E714)=0),"Company is not one of theirs","OK"))))))</f>
        <v/>
      </c>
    </row>
    <row r="715" spans="1:10"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time",IF(D715="NO_SLOTS",IF(COUNTIF(PARTNERS!$A$2:$A$88,E715)=0,"Write the company in column E","OK"),IF(C715="","Missing phone",IF(COUNTIF(DESK!$F$2:$F$601,C715)=0,"Phone not found: copy it from your list",IF(AND(E715&lt;&gt;"",COUNTIFS(DESK!$F$2:$F$601,C715,DESK!$B$2:$B$601,E715)=0),"Company is not one of theirs","OK"))))))</f>
        <v/>
      </c>
    </row>
    <row r="716" spans="1:10"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time",IF(D716="NO_SLOTS",IF(COUNTIF(PARTNERS!$A$2:$A$88,E716)=0,"Write the company in column E","OK"),IF(C716="","Missing phone",IF(COUNTIF(DESK!$F$2:$F$601,C716)=0,"Phone not found: copy it from your list",IF(AND(E716&lt;&gt;"",COUNTIFS(DESK!$F$2:$F$601,C716,DESK!$B$2:$B$601,E716)=0),"Company is not one of theirs","OK"))))))</f>
        <v/>
      </c>
    </row>
    <row r="717" spans="1:10"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time",IF(D717="NO_SLOTS",IF(COUNTIF(PARTNERS!$A$2:$A$88,E717)=0,"Write the company in column E","OK"),IF(C717="","Missing phone",IF(COUNTIF(DESK!$F$2:$F$601,C717)=0,"Phone not found: copy it from your list",IF(AND(E717&lt;&gt;"",COUNTIFS(DESK!$F$2:$F$601,C717,DESK!$B$2:$B$601,E717)=0),"Company is not one of theirs","OK"))))))</f>
        <v/>
      </c>
    </row>
    <row r="718" spans="1:10"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time",IF(D718="NO_SLOTS",IF(COUNTIF(PARTNERS!$A$2:$A$88,E718)=0,"Write the company in column E","OK"),IF(C718="","Missing phone",IF(COUNTIF(DESK!$F$2:$F$601,C718)=0,"Phone not found: copy it from your list",IF(AND(E718&lt;&gt;"",COUNTIFS(DESK!$F$2:$F$601,C718,DESK!$B$2:$B$601,E718)=0),"Company is not one of theirs","OK"))))))</f>
        <v/>
      </c>
    </row>
    <row r="719" spans="1:10"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time",IF(D719="NO_SLOTS",IF(COUNTIF(PARTNERS!$A$2:$A$88,E719)=0,"Write the company in column E","OK"),IF(C719="","Missing phone",IF(COUNTIF(DESK!$F$2:$F$601,C719)=0,"Phone not found: copy it from your list",IF(AND(E719&lt;&gt;"",COUNTIFS(DESK!$F$2:$F$601,C719,DESK!$B$2:$B$601,E719)=0),"Company is not one of theirs","OK"))))))</f>
        <v/>
      </c>
    </row>
    <row r="720" spans="1:10"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time",IF(D720="NO_SLOTS",IF(COUNTIF(PARTNERS!$A$2:$A$88,E720)=0,"Write the company in column E","OK"),IF(C720="","Missing phone",IF(COUNTIF(DESK!$F$2:$F$601,C720)=0,"Phone not found: copy it from your list",IF(AND(E720&lt;&gt;"",COUNTIFS(DESK!$F$2:$F$601,C720,DESK!$B$2:$B$601,E720)=0),"Company is not one of theirs","OK"))))))</f>
        <v/>
      </c>
    </row>
    <row r="721" spans="1:10"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time",IF(D721="NO_SLOTS",IF(COUNTIF(PARTNERS!$A$2:$A$88,E721)=0,"Write the company in column E","OK"),IF(C721="","Missing phone",IF(COUNTIF(DESK!$F$2:$F$601,C721)=0,"Phone not found: copy it from your list",IF(AND(E721&lt;&gt;"",COUNTIFS(DESK!$F$2:$F$601,C721,DESK!$B$2:$B$601,E721)=0),"Company is not one of theirs","OK"))))))</f>
        <v/>
      </c>
    </row>
    <row r="722" spans="1:10"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time",IF(D722="NO_SLOTS",IF(COUNTIF(PARTNERS!$A$2:$A$88,E722)=0,"Write the company in column E","OK"),IF(C722="","Missing phone",IF(COUNTIF(DESK!$F$2:$F$601,C722)=0,"Phone not found: copy it from your list",IF(AND(E722&lt;&gt;"",COUNTIFS(DESK!$F$2:$F$601,C722,DESK!$B$2:$B$601,E722)=0),"Company is not one of theirs","OK"))))))</f>
        <v/>
      </c>
    </row>
    <row r="723" spans="1:10"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time",IF(D723="NO_SLOTS",IF(COUNTIF(PARTNERS!$A$2:$A$88,E723)=0,"Write the company in column E","OK"),IF(C723="","Missing phone",IF(COUNTIF(DESK!$F$2:$F$601,C723)=0,"Phone not found: copy it from your list",IF(AND(E723&lt;&gt;"",COUNTIFS(DESK!$F$2:$F$601,C723,DESK!$B$2:$B$601,E723)=0),"Company is not one of theirs","OK"))))))</f>
        <v/>
      </c>
    </row>
    <row r="724" spans="1:10"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time",IF(D724="NO_SLOTS",IF(COUNTIF(PARTNERS!$A$2:$A$88,E724)=0,"Write the company in column E","OK"),IF(C724="","Missing phone",IF(COUNTIF(DESK!$F$2:$F$601,C724)=0,"Phone not found: copy it from your list",IF(AND(E724&lt;&gt;"",COUNTIFS(DESK!$F$2:$F$601,C724,DESK!$B$2:$B$601,E724)=0),"Company is not one of theirs","OK"))))))</f>
        <v/>
      </c>
    </row>
    <row r="725" spans="1:10"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time",IF(D725="NO_SLOTS",IF(COUNTIF(PARTNERS!$A$2:$A$88,E725)=0,"Write the company in column E","OK"),IF(C725="","Missing phone",IF(COUNTIF(DESK!$F$2:$F$601,C725)=0,"Phone not found: copy it from your list",IF(AND(E725&lt;&gt;"",COUNTIFS(DESK!$F$2:$F$601,C725,DESK!$B$2:$B$601,E725)=0),"Company is not one of theirs","OK"))))))</f>
        <v/>
      </c>
    </row>
    <row r="726" spans="1:10"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time",IF(D726="NO_SLOTS",IF(COUNTIF(PARTNERS!$A$2:$A$88,E726)=0,"Write the company in column E","OK"),IF(C726="","Missing phone",IF(COUNTIF(DESK!$F$2:$F$601,C726)=0,"Phone not found: copy it from your list",IF(AND(E726&lt;&gt;"",COUNTIFS(DESK!$F$2:$F$601,C726,DESK!$B$2:$B$601,E726)=0),"Company is not one of theirs","OK"))))))</f>
        <v/>
      </c>
    </row>
    <row r="727" spans="1:10"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time",IF(D727="NO_SLOTS",IF(COUNTIF(PARTNERS!$A$2:$A$88,E727)=0,"Write the company in column E","OK"),IF(C727="","Missing phone",IF(COUNTIF(DESK!$F$2:$F$601,C727)=0,"Phone not found: copy it from your list",IF(AND(E727&lt;&gt;"",COUNTIFS(DESK!$F$2:$F$601,C727,DESK!$B$2:$B$601,E727)=0),"Company is not one of theirs","OK"))))))</f>
        <v/>
      </c>
    </row>
    <row r="728" spans="1:10"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time",IF(D728="NO_SLOTS",IF(COUNTIF(PARTNERS!$A$2:$A$88,E728)=0,"Write the company in column E","OK"),IF(C728="","Missing phone",IF(COUNTIF(DESK!$F$2:$F$601,C728)=0,"Phone not found: copy it from your list",IF(AND(E728&lt;&gt;"",COUNTIFS(DESK!$F$2:$F$601,C728,DESK!$B$2:$B$601,E728)=0),"Company is not one of theirs","OK"))))))</f>
        <v/>
      </c>
    </row>
    <row r="729" spans="1:10"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time",IF(D729="NO_SLOTS",IF(COUNTIF(PARTNERS!$A$2:$A$88,E729)=0,"Write the company in column E","OK"),IF(C729="","Missing phone",IF(COUNTIF(DESK!$F$2:$F$601,C729)=0,"Phone not found: copy it from your list",IF(AND(E729&lt;&gt;"",COUNTIFS(DESK!$F$2:$F$601,C729,DESK!$B$2:$B$601,E729)=0),"Company is not one of theirs","OK"))))))</f>
        <v/>
      </c>
    </row>
    <row r="730" spans="1:10"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time",IF(D730="NO_SLOTS",IF(COUNTIF(PARTNERS!$A$2:$A$88,E730)=0,"Write the company in column E","OK"),IF(C730="","Missing phone",IF(COUNTIF(DESK!$F$2:$F$601,C730)=0,"Phone not found: copy it from your list",IF(AND(E730&lt;&gt;"",COUNTIFS(DESK!$F$2:$F$601,C730,DESK!$B$2:$B$601,E730)=0),"Company is not one of theirs","OK"))))))</f>
        <v/>
      </c>
    </row>
    <row r="731" spans="1:10"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time",IF(D731="NO_SLOTS",IF(COUNTIF(PARTNERS!$A$2:$A$88,E731)=0,"Write the company in column E","OK"),IF(C731="","Missing phone",IF(COUNTIF(DESK!$F$2:$F$601,C731)=0,"Phone not found: copy it from your list",IF(AND(E731&lt;&gt;"",COUNTIFS(DESK!$F$2:$F$601,C731,DESK!$B$2:$B$601,E731)=0),"Company is not one of theirs","OK"))))))</f>
        <v/>
      </c>
    </row>
    <row r="732" spans="1:10"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time",IF(D732="NO_SLOTS",IF(COUNTIF(PARTNERS!$A$2:$A$88,E732)=0,"Write the company in column E","OK"),IF(C732="","Missing phone",IF(COUNTIF(DESK!$F$2:$F$601,C732)=0,"Phone not found: copy it from your list",IF(AND(E732&lt;&gt;"",COUNTIFS(DESK!$F$2:$F$601,C732,DESK!$B$2:$B$601,E732)=0),"Company is not one of theirs","OK"))))))</f>
        <v/>
      </c>
    </row>
    <row r="733" spans="1:10"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time",IF(D733="NO_SLOTS",IF(COUNTIF(PARTNERS!$A$2:$A$88,E733)=0,"Write the company in column E","OK"),IF(C733="","Missing phone",IF(COUNTIF(DESK!$F$2:$F$601,C733)=0,"Phone not found: copy it from your list",IF(AND(E733&lt;&gt;"",COUNTIFS(DESK!$F$2:$F$601,C733,DESK!$B$2:$B$601,E733)=0),"Company is not one of theirs","OK"))))))</f>
        <v/>
      </c>
    </row>
    <row r="734" spans="1:10"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time",IF(D734="NO_SLOTS",IF(COUNTIF(PARTNERS!$A$2:$A$88,E734)=0,"Write the company in column E","OK"),IF(C734="","Missing phone",IF(COUNTIF(DESK!$F$2:$F$601,C734)=0,"Phone not found: copy it from your list",IF(AND(E734&lt;&gt;"",COUNTIFS(DESK!$F$2:$F$601,C734,DESK!$B$2:$B$601,E734)=0),"Company is not one of theirs","OK"))))))</f>
        <v/>
      </c>
    </row>
    <row r="735" spans="1:10"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time",IF(D735="NO_SLOTS",IF(COUNTIF(PARTNERS!$A$2:$A$88,E735)=0,"Write the company in column E","OK"),IF(C735="","Missing phone",IF(COUNTIF(DESK!$F$2:$F$601,C735)=0,"Phone not found: copy it from your list",IF(AND(E735&lt;&gt;"",COUNTIFS(DESK!$F$2:$F$601,C735,DESK!$B$2:$B$601,E735)=0),"Company is not one of theirs","OK"))))))</f>
        <v/>
      </c>
    </row>
    <row r="736" spans="1:10"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time",IF(D736="NO_SLOTS",IF(COUNTIF(PARTNERS!$A$2:$A$88,E736)=0,"Write the company in column E","OK"),IF(C736="","Missing phone",IF(COUNTIF(DESK!$F$2:$F$601,C736)=0,"Phone not found: copy it from your list",IF(AND(E736&lt;&gt;"",COUNTIFS(DESK!$F$2:$F$601,C736,DESK!$B$2:$B$601,E736)=0),"Company is not one of theirs","OK"))))))</f>
        <v/>
      </c>
    </row>
    <row r="737" spans="1:10"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time",IF(D737="NO_SLOTS",IF(COUNTIF(PARTNERS!$A$2:$A$88,E737)=0,"Write the company in column E","OK"),IF(C737="","Missing phone",IF(COUNTIF(DESK!$F$2:$F$601,C737)=0,"Phone not found: copy it from your list",IF(AND(E737&lt;&gt;"",COUNTIFS(DESK!$F$2:$F$601,C737,DESK!$B$2:$B$601,E737)=0),"Company is not one of theirs","OK"))))))</f>
        <v/>
      </c>
    </row>
    <row r="738" spans="1:10"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time",IF(D738="NO_SLOTS",IF(COUNTIF(PARTNERS!$A$2:$A$88,E738)=0,"Write the company in column E","OK"),IF(C738="","Missing phone",IF(COUNTIF(DESK!$F$2:$F$601,C738)=0,"Phone not found: copy it from your list",IF(AND(E738&lt;&gt;"",COUNTIFS(DESK!$F$2:$F$601,C738,DESK!$B$2:$B$601,E738)=0),"Company is not one of theirs","OK"))))))</f>
        <v/>
      </c>
    </row>
    <row r="739" spans="1:10"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time",IF(D739="NO_SLOTS",IF(COUNTIF(PARTNERS!$A$2:$A$88,E739)=0,"Write the company in column E","OK"),IF(C739="","Missing phone",IF(COUNTIF(DESK!$F$2:$F$601,C739)=0,"Phone not found: copy it from your list",IF(AND(E739&lt;&gt;"",COUNTIFS(DESK!$F$2:$F$601,C739,DESK!$B$2:$B$601,E739)=0),"Company is not one of theirs","OK"))))))</f>
        <v/>
      </c>
    </row>
    <row r="740" spans="1:10"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time",IF(D740="NO_SLOTS",IF(COUNTIF(PARTNERS!$A$2:$A$88,E740)=0,"Write the company in column E","OK"),IF(C740="","Missing phone",IF(COUNTIF(DESK!$F$2:$F$601,C740)=0,"Phone not found: copy it from your list",IF(AND(E740&lt;&gt;"",COUNTIFS(DESK!$F$2:$F$601,C740,DESK!$B$2:$B$601,E740)=0),"Company is not one of theirs","OK"))))))</f>
        <v/>
      </c>
    </row>
    <row r="741" spans="1:10"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time",IF(D741="NO_SLOTS",IF(COUNTIF(PARTNERS!$A$2:$A$88,E741)=0,"Write the company in column E","OK"),IF(C741="","Missing phone",IF(COUNTIF(DESK!$F$2:$F$601,C741)=0,"Phone not found: copy it from your list",IF(AND(E741&lt;&gt;"",COUNTIFS(DESK!$F$2:$F$601,C741,DESK!$B$2:$B$601,E741)=0),"Company is not one of theirs","OK"))))))</f>
        <v/>
      </c>
    </row>
    <row r="742" spans="1:10"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time",IF(D742="NO_SLOTS",IF(COUNTIF(PARTNERS!$A$2:$A$88,E742)=0,"Write the company in column E","OK"),IF(C742="","Missing phone",IF(COUNTIF(DESK!$F$2:$F$601,C742)=0,"Phone not found: copy it from your list",IF(AND(E742&lt;&gt;"",COUNTIFS(DESK!$F$2:$F$601,C742,DESK!$B$2:$B$601,E742)=0),"Company is not one of theirs","OK"))))))</f>
        <v/>
      </c>
    </row>
    <row r="743" spans="1:10"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time",IF(D743="NO_SLOTS",IF(COUNTIF(PARTNERS!$A$2:$A$88,E743)=0,"Write the company in column E","OK"),IF(C743="","Missing phone",IF(COUNTIF(DESK!$F$2:$F$601,C743)=0,"Phone not found: copy it from your list",IF(AND(E743&lt;&gt;"",COUNTIFS(DESK!$F$2:$F$601,C743,DESK!$B$2:$B$601,E743)=0),"Company is not one of theirs","OK"))))))</f>
        <v/>
      </c>
    </row>
    <row r="744" spans="1:10"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time",IF(D744="NO_SLOTS",IF(COUNTIF(PARTNERS!$A$2:$A$88,E744)=0,"Write the company in column E","OK"),IF(C744="","Missing phone",IF(COUNTIF(DESK!$F$2:$F$601,C744)=0,"Phone not found: copy it from your list",IF(AND(E744&lt;&gt;"",COUNTIFS(DESK!$F$2:$F$601,C744,DESK!$B$2:$B$601,E744)=0),"Company is not one of theirs","OK"))))))</f>
        <v/>
      </c>
    </row>
    <row r="745" spans="1:10"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time",IF(D745="NO_SLOTS",IF(COUNTIF(PARTNERS!$A$2:$A$88,E745)=0,"Write the company in column E","OK"),IF(C745="","Missing phone",IF(COUNTIF(DESK!$F$2:$F$601,C745)=0,"Phone not found: copy it from your list",IF(AND(E745&lt;&gt;"",COUNTIFS(DESK!$F$2:$F$601,C745,DESK!$B$2:$B$601,E745)=0),"Company is not one of theirs","OK"))))))</f>
        <v/>
      </c>
    </row>
    <row r="746" spans="1:10"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time",IF(D746="NO_SLOTS",IF(COUNTIF(PARTNERS!$A$2:$A$88,E746)=0,"Write the company in column E","OK"),IF(C746="","Missing phone",IF(COUNTIF(DESK!$F$2:$F$601,C746)=0,"Phone not found: copy it from your list",IF(AND(E746&lt;&gt;"",COUNTIFS(DESK!$F$2:$F$601,C746,DESK!$B$2:$B$601,E746)=0),"Company is not one of theirs","OK"))))))</f>
        <v/>
      </c>
    </row>
    <row r="747" spans="1:10"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time",IF(D747="NO_SLOTS",IF(COUNTIF(PARTNERS!$A$2:$A$88,E747)=0,"Write the company in column E","OK"),IF(C747="","Missing phone",IF(COUNTIF(DESK!$F$2:$F$601,C747)=0,"Phone not found: copy it from your list",IF(AND(E747&lt;&gt;"",COUNTIFS(DESK!$F$2:$F$601,C747,DESK!$B$2:$B$601,E747)=0),"Company is not one of theirs","OK"))))))</f>
        <v/>
      </c>
    </row>
    <row r="748" spans="1:10"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time",IF(D748="NO_SLOTS",IF(COUNTIF(PARTNERS!$A$2:$A$88,E748)=0,"Write the company in column E","OK"),IF(C748="","Missing phone",IF(COUNTIF(DESK!$F$2:$F$601,C748)=0,"Phone not found: copy it from your list",IF(AND(E748&lt;&gt;"",COUNTIFS(DESK!$F$2:$F$601,C748,DESK!$B$2:$B$601,E748)=0),"Company is not one of theirs","OK"))))))</f>
        <v/>
      </c>
    </row>
    <row r="749" spans="1:10"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time",IF(D749="NO_SLOTS",IF(COUNTIF(PARTNERS!$A$2:$A$88,E749)=0,"Write the company in column E","OK"),IF(C749="","Missing phone",IF(COUNTIF(DESK!$F$2:$F$601,C749)=0,"Phone not found: copy it from your list",IF(AND(E749&lt;&gt;"",COUNTIFS(DESK!$F$2:$F$601,C749,DESK!$B$2:$B$601,E749)=0),"Company is not one of theirs","OK"))))))</f>
        <v/>
      </c>
    </row>
    <row r="750" spans="1:10"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time",IF(D750="NO_SLOTS",IF(COUNTIF(PARTNERS!$A$2:$A$88,E750)=0,"Write the company in column E","OK"),IF(C750="","Missing phone",IF(COUNTIF(DESK!$F$2:$F$601,C750)=0,"Phone not found: copy it from your list",IF(AND(E750&lt;&gt;"",COUNTIFS(DESK!$F$2:$F$601,C750,DESK!$B$2:$B$601,E750)=0),"Company is not one of theirs","OK"))))))</f>
        <v/>
      </c>
    </row>
    <row r="751" spans="1:10"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time",IF(D751="NO_SLOTS",IF(COUNTIF(PARTNERS!$A$2:$A$88,E751)=0,"Write the company in column E","OK"),IF(C751="","Missing phone",IF(COUNTIF(DESK!$F$2:$F$601,C751)=0,"Phone not found: copy it from your list",IF(AND(E751&lt;&gt;"",COUNTIFS(DESK!$F$2:$F$601,C751,DESK!$B$2:$B$601,E751)=0),"Company is not one of theirs","OK"))))))</f>
        <v/>
      </c>
    </row>
    <row r="752" spans="1:10"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time",IF(D752="NO_SLOTS",IF(COUNTIF(PARTNERS!$A$2:$A$88,E752)=0,"Write the company in column E","OK"),IF(C752="","Missing phone",IF(COUNTIF(DESK!$F$2:$F$601,C752)=0,"Phone not found: copy it from your list",IF(AND(E752&lt;&gt;"",COUNTIFS(DESK!$F$2:$F$601,C752,DESK!$B$2:$B$601,E752)=0),"Company is not one of theirs","OK"))))))</f>
        <v/>
      </c>
    </row>
    <row r="753" spans="1:10"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time",IF(D753="NO_SLOTS",IF(COUNTIF(PARTNERS!$A$2:$A$88,E753)=0,"Write the company in column E","OK"),IF(C753="","Missing phone",IF(COUNTIF(DESK!$F$2:$F$601,C753)=0,"Phone not found: copy it from your list",IF(AND(E753&lt;&gt;"",COUNTIFS(DESK!$F$2:$F$601,C753,DESK!$B$2:$B$601,E753)=0),"Company is not one of theirs","OK"))))))</f>
        <v/>
      </c>
    </row>
    <row r="754" spans="1:10"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time",IF(D754="NO_SLOTS",IF(COUNTIF(PARTNERS!$A$2:$A$88,E754)=0,"Write the company in column E","OK"),IF(C754="","Missing phone",IF(COUNTIF(DESK!$F$2:$F$601,C754)=0,"Phone not found: copy it from your list",IF(AND(E754&lt;&gt;"",COUNTIFS(DESK!$F$2:$F$601,C754,DESK!$B$2:$B$601,E754)=0),"Company is not one of theirs","OK"))))))</f>
        <v/>
      </c>
    </row>
    <row r="755" spans="1:10"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time",IF(D755="NO_SLOTS",IF(COUNTIF(PARTNERS!$A$2:$A$88,E755)=0,"Write the company in column E","OK"),IF(C755="","Missing phone",IF(COUNTIF(DESK!$F$2:$F$601,C755)=0,"Phone not found: copy it from your list",IF(AND(E755&lt;&gt;"",COUNTIFS(DESK!$F$2:$F$601,C755,DESK!$B$2:$B$601,E755)=0),"Company is not one of theirs","OK"))))))</f>
        <v/>
      </c>
    </row>
    <row r="756" spans="1:10"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time",IF(D756="NO_SLOTS",IF(COUNTIF(PARTNERS!$A$2:$A$88,E756)=0,"Write the company in column E","OK"),IF(C756="","Missing phone",IF(COUNTIF(DESK!$F$2:$F$601,C756)=0,"Phone not found: copy it from your list",IF(AND(E756&lt;&gt;"",COUNTIFS(DESK!$F$2:$F$601,C756,DESK!$B$2:$B$601,E756)=0),"Company is not one of theirs","OK"))))))</f>
        <v/>
      </c>
    </row>
    <row r="757" spans="1:10"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time",IF(D757="NO_SLOTS",IF(COUNTIF(PARTNERS!$A$2:$A$88,E757)=0,"Write the company in column E","OK"),IF(C757="","Missing phone",IF(COUNTIF(DESK!$F$2:$F$601,C757)=0,"Phone not found: copy it from your list",IF(AND(E757&lt;&gt;"",COUNTIFS(DESK!$F$2:$F$601,C757,DESK!$B$2:$B$601,E757)=0),"Company is not one of theirs","OK"))))))</f>
        <v/>
      </c>
    </row>
    <row r="758" spans="1:10"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time",IF(D758="NO_SLOTS",IF(COUNTIF(PARTNERS!$A$2:$A$88,E758)=0,"Write the company in column E","OK"),IF(C758="","Missing phone",IF(COUNTIF(DESK!$F$2:$F$601,C758)=0,"Phone not found: copy it from your list",IF(AND(E758&lt;&gt;"",COUNTIFS(DESK!$F$2:$F$601,C758,DESK!$B$2:$B$601,E758)=0),"Company is not one of theirs","OK"))))))</f>
        <v/>
      </c>
    </row>
    <row r="759" spans="1:10"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time",IF(D759="NO_SLOTS",IF(COUNTIF(PARTNERS!$A$2:$A$88,E759)=0,"Write the company in column E","OK"),IF(C759="","Missing phone",IF(COUNTIF(DESK!$F$2:$F$601,C759)=0,"Phone not found: copy it from your list",IF(AND(E759&lt;&gt;"",COUNTIFS(DESK!$F$2:$F$601,C759,DESK!$B$2:$B$601,E759)=0),"Company is not one of theirs","OK"))))))</f>
        <v/>
      </c>
    </row>
    <row r="760" spans="1:10"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time",IF(D760="NO_SLOTS",IF(COUNTIF(PARTNERS!$A$2:$A$88,E760)=0,"Write the company in column E","OK"),IF(C760="","Missing phone",IF(COUNTIF(DESK!$F$2:$F$601,C760)=0,"Phone not found: copy it from your list",IF(AND(E760&lt;&gt;"",COUNTIFS(DESK!$F$2:$F$601,C760,DESK!$B$2:$B$601,E760)=0),"Company is not one of theirs","OK"))))))</f>
        <v/>
      </c>
    </row>
    <row r="761" spans="1:10"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time",IF(D761="NO_SLOTS",IF(COUNTIF(PARTNERS!$A$2:$A$88,E761)=0,"Write the company in column E","OK"),IF(C761="","Missing phone",IF(COUNTIF(DESK!$F$2:$F$601,C761)=0,"Phone not found: copy it from your list",IF(AND(E761&lt;&gt;"",COUNTIFS(DESK!$F$2:$F$601,C761,DESK!$B$2:$B$601,E761)=0),"Company is not one of theirs","OK"))))))</f>
        <v/>
      </c>
    </row>
    <row r="762" spans="1:10"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time",IF(D762="NO_SLOTS",IF(COUNTIF(PARTNERS!$A$2:$A$88,E762)=0,"Write the company in column E","OK"),IF(C762="","Missing phone",IF(COUNTIF(DESK!$F$2:$F$601,C762)=0,"Phone not found: copy it from your list",IF(AND(E762&lt;&gt;"",COUNTIFS(DESK!$F$2:$F$601,C762,DESK!$B$2:$B$601,E762)=0),"Company is not one of theirs","OK"))))))</f>
        <v/>
      </c>
    </row>
    <row r="763" spans="1:10"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time",IF(D763="NO_SLOTS",IF(COUNTIF(PARTNERS!$A$2:$A$88,E763)=0,"Write the company in column E","OK"),IF(C763="","Missing phone",IF(COUNTIF(DESK!$F$2:$F$601,C763)=0,"Phone not found: copy it from your list",IF(AND(E763&lt;&gt;"",COUNTIFS(DESK!$F$2:$F$601,C763,DESK!$B$2:$B$601,E763)=0),"Company is not one of theirs","OK"))))))</f>
        <v/>
      </c>
    </row>
    <row r="764" spans="1:10"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time",IF(D764="NO_SLOTS",IF(COUNTIF(PARTNERS!$A$2:$A$88,E764)=0,"Write the company in column E","OK"),IF(C764="","Missing phone",IF(COUNTIF(DESK!$F$2:$F$601,C764)=0,"Phone not found: copy it from your list",IF(AND(E764&lt;&gt;"",COUNTIFS(DESK!$F$2:$F$601,C764,DESK!$B$2:$B$601,E764)=0),"Company is not one of theirs","OK"))))))</f>
        <v/>
      </c>
    </row>
    <row r="765" spans="1:10"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time",IF(D765="NO_SLOTS",IF(COUNTIF(PARTNERS!$A$2:$A$88,E765)=0,"Write the company in column E","OK"),IF(C765="","Missing phone",IF(COUNTIF(DESK!$F$2:$F$601,C765)=0,"Phone not found: copy it from your list",IF(AND(E765&lt;&gt;"",COUNTIFS(DESK!$F$2:$F$601,C765,DESK!$B$2:$B$601,E765)=0),"Company is not one of theirs","OK"))))))</f>
        <v/>
      </c>
    </row>
    <row r="766" spans="1:10"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time",IF(D766="NO_SLOTS",IF(COUNTIF(PARTNERS!$A$2:$A$88,E766)=0,"Write the company in column E","OK"),IF(C766="","Missing phone",IF(COUNTIF(DESK!$F$2:$F$601,C766)=0,"Phone not found: copy it from your list",IF(AND(E766&lt;&gt;"",COUNTIFS(DESK!$F$2:$F$601,C766,DESK!$B$2:$B$601,E766)=0),"Company is not one of theirs","OK"))))))</f>
        <v/>
      </c>
    </row>
    <row r="767" spans="1:10"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time",IF(D767="NO_SLOTS",IF(COUNTIF(PARTNERS!$A$2:$A$88,E767)=0,"Write the company in column E","OK"),IF(C767="","Missing phone",IF(COUNTIF(DESK!$F$2:$F$601,C767)=0,"Phone not found: copy it from your list",IF(AND(E767&lt;&gt;"",COUNTIFS(DESK!$F$2:$F$601,C767,DESK!$B$2:$B$601,E767)=0),"Company is not one of theirs","OK"))))))</f>
        <v/>
      </c>
    </row>
    <row r="768" spans="1:10"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time",IF(D768="NO_SLOTS",IF(COUNTIF(PARTNERS!$A$2:$A$88,E768)=0,"Write the company in column E","OK"),IF(C768="","Missing phone",IF(COUNTIF(DESK!$F$2:$F$601,C768)=0,"Phone not found: copy it from your list",IF(AND(E768&lt;&gt;"",COUNTIFS(DESK!$F$2:$F$601,C768,DESK!$B$2:$B$601,E768)=0),"Company is not one of theirs","OK"))))))</f>
        <v/>
      </c>
    </row>
    <row r="769" spans="1:10"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time",IF(D769="NO_SLOTS",IF(COUNTIF(PARTNERS!$A$2:$A$88,E769)=0,"Write the company in column E","OK"),IF(C769="","Missing phone",IF(COUNTIF(DESK!$F$2:$F$601,C769)=0,"Phone not found: copy it from your list",IF(AND(E769&lt;&gt;"",COUNTIFS(DESK!$F$2:$F$601,C769,DESK!$B$2:$B$601,E769)=0),"Company is not one of theirs","OK"))))))</f>
        <v/>
      </c>
    </row>
    <row r="770" spans="1:10"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time",IF(D770="NO_SLOTS",IF(COUNTIF(PARTNERS!$A$2:$A$88,E770)=0,"Write the company in column E","OK"),IF(C770="","Missing phone",IF(COUNTIF(DESK!$F$2:$F$601,C770)=0,"Phone not found: copy it from your list",IF(AND(E770&lt;&gt;"",COUNTIFS(DESK!$F$2:$F$601,C770,DESK!$B$2:$B$601,E770)=0),"Company is not one of theirs","OK"))))))</f>
        <v/>
      </c>
    </row>
    <row r="771" spans="1:10"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time",IF(D771="NO_SLOTS",IF(COUNTIF(PARTNERS!$A$2:$A$88,E771)=0,"Write the company in column E","OK"),IF(C771="","Missing phone",IF(COUNTIF(DESK!$F$2:$F$601,C771)=0,"Phone not found: copy it from your list",IF(AND(E771&lt;&gt;"",COUNTIFS(DESK!$F$2:$F$601,C771,DESK!$B$2:$B$601,E771)=0),"Company is not one of theirs","OK"))))))</f>
        <v/>
      </c>
    </row>
    <row r="772" spans="1:10"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time",IF(D772="NO_SLOTS",IF(COUNTIF(PARTNERS!$A$2:$A$88,E772)=0,"Write the company in column E","OK"),IF(C772="","Missing phone",IF(COUNTIF(DESK!$F$2:$F$601,C772)=0,"Phone not found: copy it from your list",IF(AND(E772&lt;&gt;"",COUNTIFS(DESK!$F$2:$F$601,C772,DESK!$B$2:$B$601,E772)=0),"Company is not one of theirs","OK"))))))</f>
        <v/>
      </c>
    </row>
    <row r="773" spans="1:10"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time",IF(D773="NO_SLOTS",IF(COUNTIF(PARTNERS!$A$2:$A$88,E773)=0,"Write the company in column E","OK"),IF(C773="","Missing phone",IF(COUNTIF(DESK!$F$2:$F$601,C773)=0,"Phone not found: copy it from your list",IF(AND(E773&lt;&gt;"",COUNTIFS(DESK!$F$2:$F$601,C773,DESK!$B$2:$B$601,E773)=0),"Company is not one of theirs","OK"))))))</f>
        <v/>
      </c>
    </row>
    <row r="774" spans="1:10"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time",IF(D774="NO_SLOTS",IF(COUNTIF(PARTNERS!$A$2:$A$88,E774)=0,"Write the company in column E","OK"),IF(C774="","Missing phone",IF(COUNTIF(DESK!$F$2:$F$601,C774)=0,"Phone not found: copy it from your list",IF(AND(E774&lt;&gt;"",COUNTIFS(DESK!$F$2:$F$601,C774,DESK!$B$2:$B$601,E774)=0),"Company is not one of theirs","OK"))))))</f>
        <v/>
      </c>
    </row>
    <row r="775" spans="1:10"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time",IF(D775="NO_SLOTS",IF(COUNTIF(PARTNERS!$A$2:$A$88,E775)=0,"Write the company in column E","OK"),IF(C775="","Missing phone",IF(COUNTIF(DESK!$F$2:$F$601,C775)=0,"Phone not found: copy it from your list",IF(AND(E775&lt;&gt;"",COUNTIFS(DESK!$F$2:$F$601,C775,DESK!$B$2:$B$601,E775)=0),"Company is not one of theirs","OK"))))))</f>
        <v/>
      </c>
    </row>
    <row r="776" spans="1:10"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time",IF(D776="NO_SLOTS",IF(COUNTIF(PARTNERS!$A$2:$A$88,E776)=0,"Write the company in column E","OK"),IF(C776="","Missing phone",IF(COUNTIF(DESK!$F$2:$F$601,C776)=0,"Phone not found: copy it from your list",IF(AND(E776&lt;&gt;"",COUNTIFS(DESK!$F$2:$F$601,C776,DESK!$B$2:$B$601,E776)=0),"Company is not one of theirs","OK"))))))</f>
        <v/>
      </c>
    </row>
    <row r="777" spans="1:10"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time",IF(D777="NO_SLOTS",IF(COUNTIF(PARTNERS!$A$2:$A$88,E777)=0,"Write the company in column E","OK"),IF(C777="","Missing phone",IF(COUNTIF(DESK!$F$2:$F$601,C777)=0,"Phone not found: copy it from your list",IF(AND(E777&lt;&gt;"",COUNTIFS(DESK!$F$2:$F$601,C777,DESK!$B$2:$B$601,E777)=0),"Company is not one of theirs","OK"))))))</f>
        <v/>
      </c>
    </row>
    <row r="778" spans="1:10"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time",IF(D778="NO_SLOTS",IF(COUNTIF(PARTNERS!$A$2:$A$88,E778)=0,"Write the company in column E","OK"),IF(C778="","Missing phone",IF(COUNTIF(DESK!$F$2:$F$601,C778)=0,"Phone not found: copy it from your list",IF(AND(E778&lt;&gt;"",COUNTIFS(DESK!$F$2:$F$601,C778,DESK!$B$2:$B$601,E778)=0),"Company is not one of theirs","OK"))))))</f>
        <v/>
      </c>
    </row>
    <row r="779" spans="1:10"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time",IF(D779="NO_SLOTS",IF(COUNTIF(PARTNERS!$A$2:$A$88,E779)=0,"Write the company in column E","OK"),IF(C779="","Missing phone",IF(COUNTIF(DESK!$F$2:$F$601,C779)=0,"Phone not found: copy it from your list",IF(AND(E779&lt;&gt;"",COUNTIFS(DESK!$F$2:$F$601,C779,DESK!$B$2:$B$601,E779)=0),"Company is not one of theirs","OK"))))))</f>
        <v/>
      </c>
    </row>
    <row r="780" spans="1:10"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time",IF(D780="NO_SLOTS",IF(COUNTIF(PARTNERS!$A$2:$A$88,E780)=0,"Write the company in column E","OK"),IF(C780="","Missing phone",IF(COUNTIF(DESK!$F$2:$F$601,C780)=0,"Phone not found: copy it from your list",IF(AND(E780&lt;&gt;"",COUNTIFS(DESK!$F$2:$F$601,C780,DESK!$B$2:$B$601,E780)=0),"Company is not one of theirs","OK"))))))</f>
        <v/>
      </c>
    </row>
    <row r="781" spans="1:10"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time",IF(D781="NO_SLOTS",IF(COUNTIF(PARTNERS!$A$2:$A$88,E781)=0,"Write the company in column E","OK"),IF(C781="","Missing phone",IF(COUNTIF(DESK!$F$2:$F$601,C781)=0,"Phone not found: copy it from your list",IF(AND(E781&lt;&gt;"",COUNTIFS(DESK!$F$2:$F$601,C781,DESK!$B$2:$B$601,E781)=0),"Company is not one of theirs","OK"))))))</f>
        <v/>
      </c>
    </row>
    <row r="782" spans="1:10"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time",IF(D782="NO_SLOTS",IF(COUNTIF(PARTNERS!$A$2:$A$88,E782)=0,"Write the company in column E","OK"),IF(C782="","Missing phone",IF(COUNTIF(DESK!$F$2:$F$601,C782)=0,"Phone not found: copy it from your list",IF(AND(E782&lt;&gt;"",COUNTIFS(DESK!$F$2:$F$601,C782,DESK!$B$2:$B$601,E782)=0),"Company is not one of theirs","OK"))))))</f>
        <v/>
      </c>
    </row>
    <row r="783" spans="1:10"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time",IF(D783="NO_SLOTS",IF(COUNTIF(PARTNERS!$A$2:$A$88,E783)=0,"Write the company in column E","OK"),IF(C783="","Missing phone",IF(COUNTIF(DESK!$F$2:$F$601,C783)=0,"Phone not found: copy it from your list",IF(AND(E783&lt;&gt;"",COUNTIFS(DESK!$F$2:$F$601,C783,DESK!$B$2:$B$601,E783)=0),"Company is not one of theirs","OK"))))))</f>
        <v/>
      </c>
    </row>
    <row r="784" spans="1:10"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time",IF(D784="NO_SLOTS",IF(COUNTIF(PARTNERS!$A$2:$A$88,E784)=0,"Write the company in column E","OK"),IF(C784="","Missing phone",IF(COUNTIF(DESK!$F$2:$F$601,C784)=0,"Phone not found: copy it from your list",IF(AND(E784&lt;&gt;"",COUNTIFS(DESK!$F$2:$F$601,C784,DESK!$B$2:$B$601,E784)=0),"Company is not one of theirs","OK"))))))</f>
        <v/>
      </c>
    </row>
    <row r="785" spans="1:10"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time",IF(D785="NO_SLOTS",IF(COUNTIF(PARTNERS!$A$2:$A$88,E785)=0,"Write the company in column E","OK"),IF(C785="","Missing phone",IF(COUNTIF(DESK!$F$2:$F$601,C785)=0,"Phone not found: copy it from your list",IF(AND(E785&lt;&gt;"",COUNTIFS(DESK!$F$2:$F$601,C785,DESK!$B$2:$B$601,E785)=0),"Company is not one of theirs","OK"))))))</f>
        <v/>
      </c>
    </row>
    <row r="786" spans="1:10"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time",IF(D786="NO_SLOTS",IF(COUNTIF(PARTNERS!$A$2:$A$88,E786)=0,"Write the company in column E","OK"),IF(C786="","Missing phone",IF(COUNTIF(DESK!$F$2:$F$601,C786)=0,"Phone not found: copy it from your list",IF(AND(E786&lt;&gt;"",COUNTIFS(DESK!$F$2:$F$601,C786,DESK!$B$2:$B$601,E786)=0),"Company is not one of theirs","OK"))))))</f>
        <v/>
      </c>
    </row>
    <row r="787" spans="1:10"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time",IF(D787="NO_SLOTS",IF(COUNTIF(PARTNERS!$A$2:$A$88,E787)=0,"Write the company in column E","OK"),IF(C787="","Missing phone",IF(COUNTIF(DESK!$F$2:$F$601,C787)=0,"Phone not found: copy it from your list",IF(AND(E787&lt;&gt;"",COUNTIFS(DESK!$F$2:$F$601,C787,DESK!$B$2:$B$601,E787)=0),"Company is not one of theirs","OK"))))))</f>
        <v/>
      </c>
    </row>
    <row r="788" spans="1:10"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time",IF(D788="NO_SLOTS",IF(COUNTIF(PARTNERS!$A$2:$A$88,E788)=0,"Write the company in column E","OK"),IF(C788="","Missing phone",IF(COUNTIF(DESK!$F$2:$F$601,C788)=0,"Phone not found: copy it from your list",IF(AND(E788&lt;&gt;"",COUNTIFS(DESK!$F$2:$F$601,C788,DESK!$B$2:$B$601,E788)=0),"Company is not one of theirs","OK"))))))</f>
        <v/>
      </c>
    </row>
    <row r="789" spans="1:10"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time",IF(D789="NO_SLOTS",IF(COUNTIF(PARTNERS!$A$2:$A$88,E789)=0,"Write the company in column E","OK"),IF(C789="","Missing phone",IF(COUNTIF(DESK!$F$2:$F$601,C789)=0,"Phone not found: copy it from your list",IF(AND(E789&lt;&gt;"",COUNTIFS(DESK!$F$2:$F$601,C789,DESK!$B$2:$B$601,E789)=0),"Company is not one of theirs","OK"))))))</f>
        <v/>
      </c>
    </row>
    <row r="790" spans="1:10"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time",IF(D790="NO_SLOTS",IF(COUNTIF(PARTNERS!$A$2:$A$88,E790)=0,"Write the company in column E","OK"),IF(C790="","Missing phone",IF(COUNTIF(DESK!$F$2:$F$601,C790)=0,"Phone not found: copy it from your list",IF(AND(E790&lt;&gt;"",COUNTIFS(DESK!$F$2:$F$601,C790,DESK!$B$2:$B$601,E790)=0),"Company is not one of theirs","OK"))))))</f>
        <v/>
      </c>
    </row>
    <row r="791" spans="1:10"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time",IF(D791="NO_SLOTS",IF(COUNTIF(PARTNERS!$A$2:$A$88,E791)=0,"Write the company in column E","OK"),IF(C791="","Missing phone",IF(COUNTIF(DESK!$F$2:$F$601,C791)=0,"Phone not found: copy it from your list",IF(AND(E791&lt;&gt;"",COUNTIFS(DESK!$F$2:$F$601,C791,DESK!$B$2:$B$601,E791)=0),"Company is not one of theirs","OK"))))))</f>
        <v/>
      </c>
    </row>
    <row r="792" spans="1:10"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time",IF(D792="NO_SLOTS",IF(COUNTIF(PARTNERS!$A$2:$A$88,E792)=0,"Write the company in column E","OK"),IF(C792="","Missing phone",IF(COUNTIF(DESK!$F$2:$F$601,C792)=0,"Phone not found: copy it from your list",IF(AND(E792&lt;&gt;"",COUNTIFS(DESK!$F$2:$F$601,C792,DESK!$B$2:$B$601,E792)=0),"Company is not one of theirs","OK"))))))</f>
        <v/>
      </c>
    </row>
    <row r="793" spans="1:10"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time",IF(D793="NO_SLOTS",IF(COUNTIF(PARTNERS!$A$2:$A$88,E793)=0,"Write the company in column E","OK"),IF(C793="","Missing phone",IF(COUNTIF(DESK!$F$2:$F$601,C793)=0,"Phone not found: copy it from your list",IF(AND(E793&lt;&gt;"",COUNTIFS(DESK!$F$2:$F$601,C793,DESK!$B$2:$B$601,E793)=0),"Company is not one of theirs","OK"))))))</f>
        <v/>
      </c>
    </row>
    <row r="794" spans="1:10"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time",IF(D794="NO_SLOTS",IF(COUNTIF(PARTNERS!$A$2:$A$88,E794)=0,"Write the company in column E","OK"),IF(C794="","Missing phone",IF(COUNTIF(DESK!$F$2:$F$601,C794)=0,"Phone not found: copy it from your list",IF(AND(E794&lt;&gt;"",COUNTIFS(DESK!$F$2:$F$601,C794,DESK!$B$2:$B$601,E794)=0),"Company is not one of theirs","OK"))))))</f>
        <v/>
      </c>
    </row>
    <row r="795" spans="1:10"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time",IF(D795="NO_SLOTS",IF(COUNTIF(PARTNERS!$A$2:$A$88,E795)=0,"Write the company in column E","OK"),IF(C795="","Missing phone",IF(COUNTIF(DESK!$F$2:$F$601,C795)=0,"Phone not found: copy it from your list",IF(AND(E795&lt;&gt;"",COUNTIFS(DESK!$F$2:$F$601,C795,DESK!$B$2:$B$601,E795)=0),"Company is not one of theirs","OK"))))))</f>
        <v/>
      </c>
    </row>
    <row r="796" spans="1:10"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time",IF(D796="NO_SLOTS",IF(COUNTIF(PARTNERS!$A$2:$A$88,E796)=0,"Write the company in column E","OK"),IF(C796="","Missing phone",IF(COUNTIF(DESK!$F$2:$F$601,C796)=0,"Phone not found: copy it from your list",IF(AND(E796&lt;&gt;"",COUNTIFS(DESK!$F$2:$F$601,C796,DESK!$B$2:$B$601,E796)=0),"Company is not one of theirs","OK"))))))</f>
        <v/>
      </c>
    </row>
    <row r="797" spans="1:10"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time",IF(D797="NO_SLOTS",IF(COUNTIF(PARTNERS!$A$2:$A$88,E797)=0,"Write the company in column E","OK"),IF(C797="","Missing phone",IF(COUNTIF(DESK!$F$2:$F$601,C797)=0,"Phone not found: copy it from your list",IF(AND(E797&lt;&gt;"",COUNTIFS(DESK!$F$2:$F$601,C797,DESK!$B$2:$B$601,E797)=0),"Company is not one of theirs","OK"))))))</f>
        <v/>
      </c>
    </row>
    <row r="798" spans="1:10"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time",IF(D798="NO_SLOTS",IF(COUNTIF(PARTNERS!$A$2:$A$88,E798)=0,"Write the company in column E","OK"),IF(C798="","Missing phone",IF(COUNTIF(DESK!$F$2:$F$601,C798)=0,"Phone not found: copy it from your list",IF(AND(E798&lt;&gt;"",COUNTIFS(DESK!$F$2:$F$601,C798,DESK!$B$2:$B$601,E798)=0),"Company is not one of theirs","OK"))))))</f>
        <v/>
      </c>
    </row>
    <row r="799" spans="1:10"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time",IF(D799="NO_SLOTS",IF(COUNTIF(PARTNERS!$A$2:$A$88,E799)=0,"Write the company in column E","OK"),IF(C799="","Missing phone",IF(COUNTIF(DESK!$F$2:$F$601,C799)=0,"Phone not found: copy it from your list",IF(AND(E799&lt;&gt;"",COUNTIFS(DESK!$F$2:$F$601,C799,DESK!$B$2:$B$601,E799)=0),"Company is not one of theirs","OK"))))))</f>
        <v/>
      </c>
    </row>
    <row r="800" spans="1:10"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time",IF(D800="NO_SLOTS",IF(COUNTIF(PARTNERS!$A$2:$A$88,E800)=0,"Write the company in column E","OK"),IF(C800="","Missing phone",IF(COUNTIF(DESK!$F$2:$F$601,C800)=0,"Phone not found: copy it from your list",IF(AND(E800&lt;&gt;"",COUNTIFS(DESK!$F$2:$F$601,C800,DESK!$B$2:$B$601,E800)=0),"Company is not one of theirs","OK"))))))</f>
        <v/>
      </c>
    </row>
    <row r="801" spans="1:10"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time",IF(D801="NO_SLOTS",IF(COUNTIF(PARTNERS!$A$2:$A$88,E801)=0,"Write the company in column E","OK"),IF(C801="","Missing phone",IF(COUNTIF(DESK!$F$2:$F$601,C801)=0,"Phone not found: copy it from your list",IF(AND(E801&lt;&gt;"",COUNTIFS(DESK!$F$2:$F$601,C801,DESK!$B$2:$B$601,E801)=0),"Company is not one of theirs","OK"))))))</f>
        <v/>
      </c>
    </row>
    <row r="802" spans="1:10"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time",IF(D802="NO_SLOTS",IF(COUNTIF(PARTNERS!$A$2:$A$88,E802)=0,"Write the company in column E","OK"),IF(C802="","Missing phone",IF(COUNTIF(DESK!$F$2:$F$601,C802)=0,"Phone not found: copy it from your list",IF(AND(E802&lt;&gt;"",COUNTIFS(DESK!$F$2:$F$601,C802,DESK!$B$2:$B$601,E802)=0),"Company is not one of theirs","OK"))))))</f>
        <v/>
      </c>
    </row>
    <row r="803" spans="1:10"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time",IF(D803="NO_SLOTS",IF(COUNTIF(PARTNERS!$A$2:$A$88,E803)=0,"Write the company in column E","OK"),IF(C803="","Missing phone",IF(COUNTIF(DESK!$F$2:$F$601,C803)=0,"Phone not found: copy it from your list",IF(AND(E803&lt;&gt;"",COUNTIFS(DESK!$F$2:$F$601,C803,DESK!$B$2:$B$601,E803)=0),"Company is not one of theirs","OK"))))))</f>
        <v/>
      </c>
    </row>
    <row r="804" spans="1:10"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time",IF(D804="NO_SLOTS",IF(COUNTIF(PARTNERS!$A$2:$A$88,E804)=0,"Write the company in column E","OK"),IF(C804="","Missing phone",IF(COUNTIF(DESK!$F$2:$F$601,C804)=0,"Phone not found: copy it from your list",IF(AND(E804&lt;&gt;"",COUNTIFS(DESK!$F$2:$F$601,C804,DESK!$B$2:$B$601,E804)=0),"Company is not one of theirs","OK"))))))</f>
        <v/>
      </c>
    </row>
    <row r="805" spans="1:10"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time",IF(D805="NO_SLOTS",IF(COUNTIF(PARTNERS!$A$2:$A$88,E805)=0,"Write the company in column E","OK"),IF(C805="","Missing phone",IF(COUNTIF(DESK!$F$2:$F$601,C805)=0,"Phone not found: copy it from your list",IF(AND(E805&lt;&gt;"",COUNTIFS(DESK!$F$2:$F$601,C805,DESK!$B$2:$B$601,E805)=0),"Company is not one of theirs","OK"))))))</f>
        <v/>
      </c>
    </row>
    <row r="806" spans="1:10"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time",IF(D806="NO_SLOTS",IF(COUNTIF(PARTNERS!$A$2:$A$88,E806)=0,"Write the company in column E","OK"),IF(C806="","Missing phone",IF(COUNTIF(DESK!$F$2:$F$601,C806)=0,"Phone not found: copy it from your list",IF(AND(E806&lt;&gt;"",COUNTIFS(DESK!$F$2:$F$601,C806,DESK!$B$2:$B$601,E806)=0),"Company is not one of theirs","OK"))))))</f>
        <v/>
      </c>
    </row>
    <row r="807" spans="1:10"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time",IF(D807="NO_SLOTS",IF(COUNTIF(PARTNERS!$A$2:$A$88,E807)=0,"Write the company in column E","OK"),IF(C807="","Missing phone",IF(COUNTIF(DESK!$F$2:$F$601,C807)=0,"Phone not found: copy it from your list",IF(AND(E807&lt;&gt;"",COUNTIFS(DESK!$F$2:$F$601,C807,DESK!$B$2:$B$601,E807)=0),"Company is not one of theirs","OK"))))))</f>
        <v/>
      </c>
    </row>
    <row r="808" spans="1:10"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time",IF(D808="NO_SLOTS",IF(COUNTIF(PARTNERS!$A$2:$A$88,E808)=0,"Write the company in column E","OK"),IF(C808="","Missing phone",IF(COUNTIF(DESK!$F$2:$F$601,C808)=0,"Phone not found: copy it from your list",IF(AND(E808&lt;&gt;"",COUNTIFS(DESK!$F$2:$F$601,C808,DESK!$B$2:$B$601,E808)=0),"Company is not one of theirs","OK"))))))</f>
        <v/>
      </c>
    </row>
    <row r="809" spans="1:10"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time",IF(D809="NO_SLOTS",IF(COUNTIF(PARTNERS!$A$2:$A$88,E809)=0,"Write the company in column E","OK"),IF(C809="","Missing phone",IF(COUNTIF(DESK!$F$2:$F$601,C809)=0,"Phone not found: copy it from your list",IF(AND(E809&lt;&gt;"",COUNTIFS(DESK!$F$2:$F$601,C809,DESK!$B$2:$B$601,E809)=0),"Company is not one of theirs","OK"))))))</f>
        <v/>
      </c>
    </row>
    <row r="810" spans="1:10"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time",IF(D810="NO_SLOTS",IF(COUNTIF(PARTNERS!$A$2:$A$88,E810)=0,"Write the company in column E","OK"),IF(C810="","Missing phone",IF(COUNTIF(DESK!$F$2:$F$601,C810)=0,"Phone not found: copy it from your list",IF(AND(E810&lt;&gt;"",COUNTIFS(DESK!$F$2:$F$601,C810,DESK!$B$2:$B$601,E810)=0),"Company is not one of theirs","OK"))))))</f>
        <v/>
      </c>
    </row>
    <row r="811" spans="1:10"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time",IF(D811="NO_SLOTS",IF(COUNTIF(PARTNERS!$A$2:$A$88,E811)=0,"Write the company in column E","OK"),IF(C811="","Missing phone",IF(COUNTIF(DESK!$F$2:$F$601,C811)=0,"Phone not found: copy it from your list",IF(AND(E811&lt;&gt;"",COUNTIFS(DESK!$F$2:$F$601,C811,DESK!$B$2:$B$601,E811)=0),"Company is not one of theirs","OK"))))))</f>
        <v/>
      </c>
    </row>
    <row r="812" spans="1:10"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time",IF(D812="NO_SLOTS",IF(COUNTIF(PARTNERS!$A$2:$A$88,E812)=0,"Write the company in column E","OK"),IF(C812="","Missing phone",IF(COUNTIF(DESK!$F$2:$F$601,C812)=0,"Phone not found: copy it from your list",IF(AND(E812&lt;&gt;"",COUNTIFS(DESK!$F$2:$F$601,C812,DESK!$B$2:$B$601,E812)=0),"Company is not one of theirs","OK"))))))</f>
        <v/>
      </c>
    </row>
    <row r="813" spans="1:10"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time",IF(D813="NO_SLOTS",IF(COUNTIF(PARTNERS!$A$2:$A$88,E813)=0,"Write the company in column E","OK"),IF(C813="","Missing phone",IF(COUNTIF(DESK!$F$2:$F$601,C813)=0,"Phone not found: copy it from your list",IF(AND(E813&lt;&gt;"",COUNTIFS(DESK!$F$2:$F$601,C813,DESK!$B$2:$B$601,E813)=0),"Company is not one of theirs","OK"))))))</f>
        <v/>
      </c>
    </row>
    <row r="814" spans="1:10"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time",IF(D814="NO_SLOTS",IF(COUNTIF(PARTNERS!$A$2:$A$88,E814)=0,"Write the company in column E","OK"),IF(C814="","Missing phone",IF(COUNTIF(DESK!$F$2:$F$601,C814)=0,"Phone not found: copy it from your list",IF(AND(E814&lt;&gt;"",COUNTIFS(DESK!$F$2:$F$601,C814,DESK!$B$2:$B$601,E814)=0),"Company is not one of theirs","OK"))))))</f>
        <v/>
      </c>
    </row>
    <row r="815" spans="1:10"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time",IF(D815="NO_SLOTS",IF(COUNTIF(PARTNERS!$A$2:$A$88,E815)=0,"Write the company in column E","OK"),IF(C815="","Missing phone",IF(COUNTIF(DESK!$F$2:$F$601,C815)=0,"Phone not found: copy it from your list",IF(AND(E815&lt;&gt;"",COUNTIFS(DESK!$F$2:$F$601,C815,DESK!$B$2:$B$601,E815)=0),"Company is not one of theirs","OK"))))))</f>
        <v/>
      </c>
    </row>
    <row r="816" spans="1:10"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time",IF(D816="NO_SLOTS",IF(COUNTIF(PARTNERS!$A$2:$A$88,E816)=0,"Write the company in column E","OK"),IF(C816="","Missing phone",IF(COUNTIF(DESK!$F$2:$F$601,C816)=0,"Phone not found: copy it from your list",IF(AND(E816&lt;&gt;"",COUNTIFS(DESK!$F$2:$F$601,C816,DESK!$B$2:$B$601,E816)=0),"Company is not one of theirs","OK"))))))</f>
        <v/>
      </c>
    </row>
    <row r="817" spans="1:10"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time",IF(D817="NO_SLOTS",IF(COUNTIF(PARTNERS!$A$2:$A$88,E817)=0,"Write the company in column E","OK"),IF(C817="","Missing phone",IF(COUNTIF(DESK!$F$2:$F$601,C817)=0,"Phone not found: copy it from your list",IF(AND(E817&lt;&gt;"",COUNTIFS(DESK!$F$2:$F$601,C817,DESK!$B$2:$B$601,E817)=0),"Company is not one of theirs","OK"))))))</f>
        <v/>
      </c>
    </row>
    <row r="818" spans="1:10"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time",IF(D818="NO_SLOTS",IF(COUNTIF(PARTNERS!$A$2:$A$88,E818)=0,"Write the company in column E","OK"),IF(C818="","Missing phone",IF(COUNTIF(DESK!$F$2:$F$601,C818)=0,"Phone not found: copy it from your list",IF(AND(E818&lt;&gt;"",COUNTIFS(DESK!$F$2:$F$601,C818,DESK!$B$2:$B$601,E818)=0),"Company is not one of theirs","OK"))))))</f>
        <v/>
      </c>
    </row>
    <row r="819" spans="1:10"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time",IF(D819="NO_SLOTS",IF(COUNTIF(PARTNERS!$A$2:$A$88,E819)=0,"Write the company in column E","OK"),IF(C819="","Missing phone",IF(COUNTIF(DESK!$F$2:$F$601,C819)=0,"Phone not found: copy it from your list",IF(AND(E819&lt;&gt;"",COUNTIFS(DESK!$F$2:$F$601,C819,DESK!$B$2:$B$601,E819)=0),"Company is not one of theirs","OK"))))))</f>
        <v/>
      </c>
    </row>
    <row r="820" spans="1:10"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time",IF(D820="NO_SLOTS",IF(COUNTIF(PARTNERS!$A$2:$A$88,E820)=0,"Write the company in column E","OK"),IF(C820="","Missing phone",IF(COUNTIF(DESK!$F$2:$F$601,C820)=0,"Phone not found: copy it from your list",IF(AND(E820&lt;&gt;"",COUNTIFS(DESK!$F$2:$F$601,C820,DESK!$B$2:$B$601,E820)=0),"Company is not one of theirs","OK"))))))</f>
        <v/>
      </c>
    </row>
    <row r="821" spans="1:10"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time",IF(D821="NO_SLOTS",IF(COUNTIF(PARTNERS!$A$2:$A$88,E821)=0,"Write the company in column E","OK"),IF(C821="","Missing phone",IF(COUNTIF(DESK!$F$2:$F$601,C821)=0,"Phone not found: copy it from your list",IF(AND(E821&lt;&gt;"",COUNTIFS(DESK!$F$2:$F$601,C821,DESK!$B$2:$B$601,E821)=0),"Company is not one of theirs","OK"))))))</f>
        <v/>
      </c>
    </row>
    <row r="822" spans="1:10"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time",IF(D822="NO_SLOTS",IF(COUNTIF(PARTNERS!$A$2:$A$88,E822)=0,"Write the company in column E","OK"),IF(C822="","Missing phone",IF(COUNTIF(DESK!$F$2:$F$601,C822)=0,"Phone not found: copy it from your list",IF(AND(E822&lt;&gt;"",COUNTIFS(DESK!$F$2:$F$601,C822,DESK!$B$2:$B$601,E822)=0),"Company is not one of theirs","OK"))))))</f>
        <v/>
      </c>
    </row>
    <row r="823" spans="1:10"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time",IF(D823="NO_SLOTS",IF(COUNTIF(PARTNERS!$A$2:$A$88,E823)=0,"Write the company in column E","OK"),IF(C823="","Missing phone",IF(COUNTIF(DESK!$F$2:$F$601,C823)=0,"Phone not found: copy it from your list",IF(AND(E823&lt;&gt;"",COUNTIFS(DESK!$F$2:$F$601,C823,DESK!$B$2:$B$601,E823)=0),"Company is not one of theirs","OK"))))))</f>
        <v/>
      </c>
    </row>
    <row r="824" spans="1:10"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time",IF(D824="NO_SLOTS",IF(COUNTIF(PARTNERS!$A$2:$A$88,E824)=0,"Write the company in column E","OK"),IF(C824="","Missing phone",IF(COUNTIF(DESK!$F$2:$F$601,C824)=0,"Phone not found: copy it from your list",IF(AND(E824&lt;&gt;"",COUNTIFS(DESK!$F$2:$F$601,C824,DESK!$B$2:$B$601,E824)=0),"Company is not one of theirs","OK"))))))</f>
        <v/>
      </c>
    </row>
    <row r="825" spans="1:10"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time",IF(D825="NO_SLOTS",IF(COUNTIF(PARTNERS!$A$2:$A$88,E825)=0,"Write the company in column E","OK"),IF(C825="","Missing phone",IF(COUNTIF(DESK!$F$2:$F$601,C825)=0,"Phone not found: copy it from your list",IF(AND(E825&lt;&gt;"",COUNTIFS(DESK!$F$2:$F$601,C825,DESK!$B$2:$B$601,E825)=0),"Company is not one of theirs","OK"))))))</f>
        <v/>
      </c>
    </row>
    <row r="826" spans="1:10"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time",IF(D826="NO_SLOTS",IF(COUNTIF(PARTNERS!$A$2:$A$88,E826)=0,"Write the company in column E","OK"),IF(C826="","Missing phone",IF(COUNTIF(DESK!$F$2:$F$601,C826)=0,"Phone not found: copy it from your list",IF(AND(E826&lt;&gt;"",COUNTIFS(DESK!$F$2:$F$601,C826,DESK!$B$2:$B$601,E826)=0),"Company is not one of theirs","OK"))))))</f>
        <v/>
      </c>
    </row>
    <row r="827" spans="1:10"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time",IF(D827="NO_SLOTS",IF(COUNTIF(PARTNERS!$A$2:$A$88,E827)=0,"Write the company in column E","OK"),IF(C827="","Missing phone",IF(COUNTIF(DESK!$F$2:$F$601,C827)=0,"Phone not found: copy it from your list",IF(AND(E827&lt;&gt;"",COUNTIFS(DESK!$F$2:$F$601,C827,DESK!$B$2:$B$601,E827)=0),"Company is not one of theirs","OK"))))))</f>
        <v/>
      </c>
    </row>
    <row r="828" spans="1:10"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time",IF(D828="NO_SLOTS",IF(COUNTIF(PARTNERS!$A$2:$A$88,E828)=0,"Write the company in column E","OK"),IF(C828="","Missing phone",IF(COUNTIF(DESK!$F$2:$F$601,C828)=0,"Phone not found: copy it from your list",IF(AND(E828&lt;&gt;"",COUNTIFS(DESK!$F$2:$F$601,C828,DESK!$B$2:$B$601,E828)=0),"Company is not one of theirs","OK"))))))</f>
        <v/>
      </c>
    </row>
    <row r="829" spans="1:10"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time",IF(D829="NO_SLOTS",IF(COUNTIF(PARTNERS!$A$2:$A$88,E829)=0,"Write the company in column E","OK"),IF(C829="","Missing phone",IF(COUNTIF(DESK!$F$2:$F$601,C829)=0,"Phone not found: copy it from your list",IF(AND(E829&lt;&gt;"",COUNTIFS(DESK!$F$2:$F$601,C829,DESK!$B$2:$B$601,E829)=0),"Company is not one of theirs","OK"))))))</f>
        <v/>
      </c>
    </row>
    <row r="830" spans="1:10"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time",IF(D830="NO_SLOTS",IF(COUNTIF(PARTNERS!$A$2:$A$88,E830)=0,"Write the company in column E","OK"),IF(C830="","Missing phone",IF(COUNTIF(DESK!$F$2:$F$601,C830)=0,"Phone not found: copy it from your list",IF(AND(E830&lt;&gt;"",COUNTIFS(DESK!$F$2:$F$601,C830,DESK!$B$2:$B$601,E830)=0),"Company is not one of theirs","OK"))))))</f>
        <v/>
      </c>
    </row>
    <row r="831" spans="1:10"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time",IF(D831="NO_SLOTS",IF(COUNTIF(PARTNERS!$A$2:$A$88,E831)=0,"Write the company in column E","OK"),IF(C831="","Missing phone",IF(COUNTIF(DESK!$F$2:$F$601,C831)=0,"Phone not found: copy it from your list",IF(AND(E831&lt;&gt;"",COUNTIFS(DESK!$F$2:$F$601,C831,DESK!$B$2:$B$601,E831)=0),"Company is not one of theirs","OK"))))))</f>
        <v/>
      </c>
    </row>
    <row r="832" spans="1:10"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time",IF(D832="NO_SLOTS",IF(COUNTIF(PARTNERS!$A$2:$A$88,E832)=0,"Write the company in column E","OK"),IF(C832="","Missing phone",IF(COUNTIF(DESK!$F$2:$F$601,C832)=0,"Phone not found: copy it from your list",IF(AND(E832&lt;&gt;"",COUNTIFS(DESK!$F$2:$F$601,C832,DESK!$B$2:$B$601,E832)=0),"Company is not one of theirs","OK"))))))</f>
        <v/>
      </c>
    </row>
    <row r="833" spans="1:10"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time",IF(D833="NO_SLOTS",IF(COUNTIF(PARTNERS!$A$2:$A$88,E833)=0,"Write the company in column E","OK"),IF(C833="","Missing phone",IF(COUNTIF(DESK!$F$2:$F$601,C833)=0,"Phone not found: copy it from your list",IF(AND(E833&lt;&gt;"",COUNTIFS(DESK!$F$2:$F$601,C833,DESK!$B$2:$B$601,E833)=0),"Company is not one of theirs","OK"))))))</f>
        <v/>
      </c>
    </row>
    <row r="834" spans="1:10"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time",IF(D834="NO_SLOTS",IF(COUNTIF(PARTNERS!$A$2:$A$88,E834)=0,"Write the company in column E","OK"),IF(C834="","Missing phone",IF(COUNTIF(DESK!$F$2:$F$601,C834)=0,"Phone not found: copy it from your list",IF(AND(E834&lt;&gt;"",COUNTIFS(DESK!$F$2:$F$601,C834,DESK!$B$2:$B$601,E834)=0),"Company is not one of theirs","OK"))))))</f>
        <v/>
      </c>
    </row>
    <row r="835" spans="1:10"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time",IF(D835="NO_SLOTS",IF(COUNTIF(PARTNERS!$A$2:$A$88,E835)=0,"Write the company in column E","OK"),IF(C835="","Missing phone",IF(COUNTIF(DESK!$F$2:$F$601,C835)=0,"Phone not found: copy it from your list",IF(AND(E835&lt;&gt;"",COUNTIFS(DESK!$F$2:$F$601,C835,DESK!$B$2:$B$601,E835)=0),"Company is not one of theirs","OK"))))))</f>
        <v/>
      </c>
    </row>
    <row r="836" spans="1:10"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time",IF(D836="NO_SLOTS",IF(COUNTIF(PARTNERS!$A$2:$A$88,E836)=0,"Write the company in column E","OK"),IF(C836="","Missing phone",IF(COUNTIF(DESK!$F$2:$F$601,C836)=0,"Phone not found: copy it from your list",IF(AND(E836&lt;&gt;"",COUNTIFS(DESK!$F$2:$F$601,C836,DESK!$B$2:$B$601,E836)=0),"Company is not one of theirs","OK"))))))</f>
        <v/>
      </c>
    </row>
    <row r="837" spans="1:10"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time",IF(D837="NO_SLOTS",IF(COUNTIF(PARTNERS!$A$2:$A$88,E837)=0,"Write the company in column E","OK"),IF(C837="","Missing phone",IF(COUNTIF(DESK!$F$2:$F$601,C837)=0,"Phone not found: copy it from your list",IF(AND(E837&lt;&gt;"",COUNTIFS(DESK!$F$2:$F$601,C837,DESK!$B$2:$B$601,E837)=0),"Company is not one of theirs","OK"))))))</f>
        <v/>
      </c>
    </row>
    <row r="838" spans="1:10"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time",IF(D838="NO_SLOTS",IF(COUNTIF(PARTNERS!$A$2:$A$88,E838)=0,"Write the company in column E","OK"),IF(C838="","Missing phone",IF(COUNTIF(DESK!$F$2:$F$601,C838)=0,"Phone not found: copy it from your list",IF(AND(E838&lt;&gt;"",COUNTIFS(DESK!$F$2:$F$601,C838,DESK!$B$2:$B$601,E838)=0),"Company is not one of theirs","OK"))))))</f>
        <v/>
      </c>
    </row>
    <row r="839" spans="1:10"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time",IF(D839="NO_SLOTS",IF(COUNTIF(PARTNERS!$A$2:$A$88,E839)=0,"Write the company in column E","OK"),IF(C839="","Missing phone",IF(COUNTIF(DESK!$F$2:$F$601,C839)=0,"Phone not found: copy it from your list",IF(AND(E839&lt;&gt;"",COUNTIFS(DESK!$F$2:$F$601,C839,DESK!$B$2:$B$601,E839)=0),"Company is not one of theirs","OK"))))))</f>
        <v/>
      </c>
    </row>
    <row r="840" spans="1:10"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time",IF(D840="NO_SLOTS",IF(COUNTIF(PARTNERS!$A$2:$A$88,E840)=0,"Write the company in column E","OK"),IF(C840="","Missing phone",IF(COUNTIF(DESK!$F$2:$F$601,C840)=0,"Phone not found: copy it from your list",IF(AND(E840&lt;&gt;"",COUNTIFS(DESK!$F$2:$F$601,C840,DESK!$B$2:$B$601,E840)=0),"Company is not one of theirs","OK"))))))</f>
        <v/>
      </c>
    </row>
    <row r="841" spans="1:10"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time",IF(D841="NO_SLOTS",IF(COUNTIF(PARTNERS!$A$2:$A$88,E841)=0,"Write the company in column E","OK"),IF(C841="","Missing phone",IF(COUNTIF(DESK!$F$2:$F$601,C841)=0,"Phone not found: copy it from your list",IF(AND(E841&lt;&gt;"",COUNTIFS(DESK!$F$2:$F$601,C841,DESK!$B$2:$B$601,E841)=0),"Company is not one of theirs","OK"))))))</f>
        <v/>
      </c>
    </row>
    <row r="842" spans="1:10"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time",IF(D842="NO_SLOTS",IF(COUNTIF(PARTNERS!$A$2:$A$88,E842)=0,"Write the company in column E","OK"),IF(C842="","Missing phone",IF(COUNTIF(DESK!$F$2:$F$601,C842)=0,"Phone not found: copy it from your list",IF(AND(E842&lt;&gt;"",COUNTIFS(DESK!$F$2:$F$601,C842,DESK!$B$2:$B$601,E842)=0),"Company is not one of theirs","OK"))))))</f>
        <v/>
      </c>
    </row>
    <row r="843" spans="1:10"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time",IF(D843="NO_SLOTS",IF(COUNTIF(PARTNERS!$A$2:$A$88,E843)=0,"Write the company in column E","OK"),IF(C843="","Missing phone",IF(COUNTIF(DESK!$F$2:$F$601,C843)=0,"Phone not found: copy it from your list",IF(AND(E843&lt;&gt;"",COUNTIFS(DESK!$F$2:$F$601,C843,DESK!$B$2:$B$601,E843)=0),"Company is not one of theirs","OK"))))))</f>
        <v/>
      </c>
    </row>
    <row r="844" spans="1:10"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time",IF(D844="NO_SLOTS",IF(COUNTIF(PARTNERS!$A$2:$A$88,E844)=0,"Write the company in column E","OK"),IF(C844="","Missing phone",IF(COUNTIF(DESK!$F$2:$F$601,C844)=0,"Phone not found: copy it from your list",IF(AND(E844&lt;&gt;"",COUNTIFS(DESK!$F$2:$F$601,C844,DESK!$B$2:$B$601,E844)=0),"Company is not one of theirs","OK"))))))</f>
        <v/>
      </c>
    </row>
    <row r="845" spans="1:10"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time",IF(D845="NO_SLOTS",IF(COUNTIF(PARTNERS!$A$2:$A$88,E845)=0,"Write the company in column E","OK"),IF(C845="","Missing phone",IF(COUNTIF(DESK!$F$2:$F$601,C845)=0,"Phone not found: copy it from your list",IF(AND(E845&lt;&gt;"",COUNTIFS(DESK!$F$2:$F$601,C845,DESK!$B$2:$B$601,E845)=0),"Company is not one of theirs","OK"))))))</f>
        <v/>
      </c>
    </row>
    <row r="846" spans="1:10"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time",IF(D846="NO_SLOTS",IF(COUNTIF(PARTNERS!$A$2:$A$88,E846)=0,"Write the company in column E","OK"),IF(C846="","Missing phone",IF(COUNTIF(DESK!$F$2:$F$601,C846)=0,"Phone not found: copy it from your list",IF(AND(E846&lt;&gt;"",COUNTIFS(DESK!$F$2:$F$601,C846,DESK!$B$2:$B$601,E846)=0),"Company is not one of theirs","OK"))))))</f>
        <v/>
      </c>
    </row>
    <row r="847" spans="1:10"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time",IF(D847="NO_SLOTS",IF(COUNTIF(PARTNERS!$A$2:$A$88,E847)=0,"Write the company in column E","OK"),IF(C847="","Missing phone",IF(COUNTIF(DESK!$F$2:$F$601,C847)=0,"Phone not found: copy it from your list",IF(AND(E847&lt;&gt;"",COUNTIFS(DESK!$F$2:$F$601,C847,DESK!$B$2:$B$601,E847)=0),"Company is not one of theirs","OK"))))))</f>
        <v/>
      </c>
    </row>
    <row r="848" spans="1:10"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time",IF(D848="NO_SLOTS",IF(COUNTIF(PARTNERS!$A$2:$A$88,E848)=0,"Write the company in column E","OK"),IF(C848="","Missing phone",IF(COUNTIF(DESK!$F$2:$F$601,C848)=0,"Phone not found: copy it from your list",IF(AND(E848&lt;&gt;"",COUNTIFS(DESK!$F$2:$F$601,C848,DESK!$B$2:$B$601,E848)=0),"Company is not one of theirs","OK"))))))</f>
        <v/>
      </c>
    </row>
    <row r="849" spans="1:10"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time",IF(D849="NO_SLOTS",IF(COUNTIF(PARTNERS!$A$2:$A$88,E849)=0,"Write the company in column E","OK"),IF(C849="","Missing phone",IF(COUNTIF(DESK!$F$2:$F$601,C849)=0,"Phone not found: copy it from your list",IF(AND(E849&lt;&gt;"",COUNTIFS(DESK!$F$2:$F$601,C849,DESK!$B$2:$B$601,E849)=0),"Company is not one of theirs","OK"))))))</f>
        <v/>
      </c>
    </row>
    <row r="850" spans="1:10"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time",IF(D850="NO_SLOTS",IF(COUNTIF(PARTNERS!$A$2:$A$88,E850)=0,"Write the company in column E","OK"),IF(C850="","Missing phone",IF(COUNTIF(DESK!$F$2:$F$601,C850)=0,"Phone not found: copy it from your list",IF(AND(E850&lt;&gt;"",COUNTIFS(DESK!$F$2:$F$601,C850,DESK!$B$2:$B$601,E850)=0),"Company is not one of theirs","OK"))))))</f>
        <v/>
      </c>
    </row>
    <row r="851" spans="1:10"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time",IF(D851="NO_SLOTS",IF(COUNTIF(PARTNERS!$A$2:$A$88,E851)=0,"Write the company in column E","OK"),IF(C851="","Missing phone",IF(COUNTIF(DESK!$F$2:$F$601,C851)=0,"Phone not found: copy it from your list",IF(AND(E851&lt;&gt;"",COUNTIFS(DESK!$F$2:$F$601,C851,DESK!$B$2:$B$601,E851)=0),"Company is not one of theirs","OK"))))))</f>
        <v/>
      </c>
    </row>
    <row r="852" spans="1:10"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time",IF(D852="NO_SLOTS",IF(COUNTIF(PARTNERS!$A$2:$A$88,E852)=0,"Write the company in column E","OK"),IF(C852="","Missing phone",IF(COUNTIF(DESK!$F$2:$F$601,C852)=0,"Phone not found: copy it from your list",IF(AND(E852&lt;&gt;"",COUNTIFS(DESK!$F$2:$F$601,C852,DESK!$B$2:$B$601,E852)=0),"Company is not one of theirs","OK"))))))</f>
        <v/>
      </c>
    </row>
    <row r="853" spans="1:10"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time",IF(D853="NO_SLOTS",IF(COUNTIF(PARTNERS!$A$2:$A$88,E853)=0,"Write the company in column E","OK"),IF(C853="","Missing phone",IF(COUNTIF(DESK!$F$2:$F$601,C853)=0,"Phone not found: copy it from your list",IF(AND(E853&lt;&gt;"",COUNTIFS(DESK!$F$2:$F$601,C853,DESK!$B$2:$B$601,E853)=0),"Company is not one of theirs","OK"))))))</f>
        <v/>
      </c>
    </row>
    <row r="854" spans="1:10"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time",IF(D854="NO_SLOTS",IF(COUNTIF(PARTNERS!$A$2:$A$88,E854)=0,"Write the company in column E","OK"),IF(C854="","Missing phone",IF(COUNTIF(DESK!$F$2:$F$601,C854)=0,"Phone not found: copy it from your list",IF(AND(E854&lt;&gt;"",COUNTIFS(DESK!$F$2:$F$601,C854,DESK!$B$2:$B$601,E854)=0),"Company is not one of theirs","OK"))))))</f>
        <v/>
      </c>
    </row>
    <row r="855" spans="1:10"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time",IF(D855="NO_SLOTS",IF(COUNTIF(PARTNERS!$A$2:$A$88,E855)=0,"Write the company in column E","OK"),IF(C855="","Missing phone",IF(COUNTIF(DESK!$F$2:$F$601,C855)=0,"Phone not found: copy it from your list",IF(AND(E855&lt;&gt;"",COUNTIFS(DESK!$F$2:$F$601,C855,DESK!$B$2:$B$601,E855)=0),"Company is not one of theirs","OK"))))))</f>
        <v/>
      </c>
    </row>
    <row r="856" spans="1:10"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time",IF(D856="NO_SLOTS",IF(COUNTIF(PARTNERS!$A$2:$A$88,E856)=0,"Write the company in column E","OK"),IF(C856="","Missing phone",IF(COUNTIF(DESK!$F$2:$F$601,C856)=0,"Phone not found: copy it from your list",IF(AND(E856&lt;&gt;"",COUNTIFS(DESK!$F$2:$F$601,C856,DESK!$B$2:$B$601,E856)=0),"Company is not one of theirs","OK"))))))</f>
        <v/>
      </c>
    </row>
    <row r="857" spans="1:10"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time",IF(D857="NO_SLOTS",IF(COUNTIF(PARTNERS!$A$2:$A$88,E857)=0,"Write the company in column E","OK"),IF(C857="","Missing phone",IF(COUNTIF(DESK!$F$2:$F$601,C857)=0,"Phone not found: copy it from your list",IF(AND(E857&lt;&gt;"",COUNTIFS(DESK!$F$2:$F$601,C857,DESK!$B$2:$B$601,E857)=0),"Company is not one of theirs","OK"))))))</f>
        <v/>
      </c>
    </row>
    <row r="858" spans="1:10"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time",IF(D858="NO_SLOTS",IF(COUNTIF(PARTNERS!$A$2:$A$88,E858)=0,"Write the company in column E","OK"),IF(C858="","Missing phone",IF(COUNTIF(DESK!$F$2:$F$601,C858)=0,"Phone not found: copy it from your list",IF(AND(E858&lt;&gt;"",COUNTIFS(DESK!$F$2:$F$601,C858,DESK!$B$2:$B$601,E858)=0),"Company is not one of theirs","OK"))))))</f>
        <v/>
      </c>
    </row>
    <row r="859" spans="1:10"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time",IF(D859="NO_SLOTS",IF(COUNTIF(PARTNERS!$A$2:$A$88,E859)=0,"Write the company in column E","OK"),IF(C859="","Missing phone",IF(COUNTIF(DESK!$F$2:$F$601,C859)=0,"Phone not found: copy it from your list",IF(AND(E859&lt;&gt;"",COUNTIFS(DESK!$F$2:$F$601,C859,DESK!$B$2:$B$601,E859)=0),"Company is not one of theirs","OK"))))))</f>
        <v/>
      </c>
    </row>
    <row r="860" spans="1:10"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time",IF(D860="NO_SLOTS",IF(COUNTIF(PARTNERS!$A$2:$A$88,E860)=0,"Write the company in column E","OK"),IF(C860="","Missing phone",IF(COUNTIF(DESK!$F$2:$F$601,C860)=0,"Phone not found: copy it from your list",IF(AND(E860&lt;&gt;"",COUNTIFS(DESK!$F$2:$F$601,C860,DESK!$B$2:$B$601,E860)=0),"Company is not one of theirs","OK"))))))</f>
        <v/>
      </c>
    </row>
    <row r="861" spans="1:10"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time",IF(D861="NO_SLOTS",IF(COUNTIF(PARTNERS!$A$2:$A$88,E861)=0,"Write the company in column E","OK"),IF(C861="","Missing phone",IF(COUNTIF(DESK!$F$2:$F$601,C861)=0,"Phone not found: copy it from your list",IF(AND(E861&lt;&gt;"",COUNTIFS(DESK!$F$2:$F$601,C861,DESK!$B$2:$B$601,E861)=0),"Company is not one of theirs","OK"))))))</f>
        <v/>
      </c>
    </row>
    <row r="862" spans="1:10"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time",IF(D862="NO_SLOTS",IF(COUNTIF(PARTNERS!$A$2:$A$88,E862)=0,"Write the company in column E","OK"),IF(C862="","Missing phone",IF(COUNTIF(DESK!$F$2:$F$601,C862)=0,"Phone not found: copy it from your list",IF(AND(E862&lt;&gt;"",COUNTIFS(DESK!$F$2:$F$601,C862,DESK!$B$2:$B$601,E862)=0),"Company is not one of theirs","OK"))))))</f>
        <v/>
      </c>
    </row>
    <row r="863" spans="1:10"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time",IF(D863="NO_SLOTS",IF(COUNTIF(PARTNERS!$A$2:$A$88,E863)=0,"Write the company in column E","OK"),IF(C863="","Missing phone",IF(COUNTIF(DESK!$F$2:$F$601,C863)=0,"Phone not found: copy it from your list",IF(AND(E863&lt;&gt;"",COUNTIFS(DESK!$F$2:$F$601,C863,DESK!$B$2:$B$601,E863)=0),"Company is not one of theirs","OK"))))))</f>
        <v/>
      </c>
    </row>
    <row r="864" spans="1:10"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time",IF(D864="NO_SLOTS",IF(COUNTIF(PARTNERS!$A$2:$A$88,E864)=0,"Write the company in column E","OK"),IF(C864="","Missing phone",IF(COUNTIF(DESK!$F$2:$F$601,C864)=0,"Phone not found: copy it from your list",IF(AND(E864&lt;&gt;"",COUNTIFS(DESK!$F$2:$F$601,C864,DESK!$B$2:$B$601,E864)=0),"Company is not one of theirs","OK"))))))</f>
        <v/>
      </c>
    </row>
    <row r="865" spans="1:10"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time",IF(D865="NO_SLOTS",IF(COUNTIF(PARTNERS!$A$2:$A$88,E865)=0,"Write the company in column E","OK"),IF(C865="","Missing phone",IF(COUNTIF(DESK!$F$2:$F$601,C865)=0,"Phone not found: copy it from your list",IF(AND(E865&lt;&gt;"",COUNTIFS(DESK!$F$2:$F$601,C865,DESK!$B$2:$B$601,E865)=0),"Company is not one of theirs","OK"))))))</f>
        <v/>
      </c>
    </row>
    <row r="866" spans="1:10"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time",IF(D866="NO_SLOTS",IF(COUNTIF(PARTNERS!$A$2:$A$88,E866)=0,"Write the company in column E","OK"),IF(C866="","Missing phone",IF(COUNTIF(DESK!$F$2:$F$601,C866)=0,"Phone not found: copy it from your list",IF(AND(E866&lt;&gt;"",COUNTIFS(DESK!$F$2:$F$601,C866,DESK!$B$2:$B$601,E866)=0),"Company is not one of theirs","OK"))))))</f>
        <v/>
      </c>
    </row>
    <row r="867" spans="1:10"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time",IF(D867="NO_SLOTS",IF(COUNTIF(PARTNERS!$A$2:$A$88,E867)=0,"Write the company in column E","OK"),IF(C867="","Missing phone",IF(COUNTIF(DESK!$F$2:$F$601,C867)=0,"Phone not found: copy it from your list",IF(AND(E867&lt;&gt;"",COUNTIFS(DESK!$F$2:$F$601,C867,DESK!$B$2:$B$601,E867)=0),"Company is not one of theirs","OK"))))))</f>
        <v/>
      </c>
    </row>
    <row r="868" spans="1:10"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time",IF(D868="NO_SLOTS",IF(COUNTIF(PARTNERS!$A$2:$A$88,E868)=0,"Write the company in column E","OK"),IF(C868="","Missing phone",IF(COUNTIF(DESK!$F$2:$F$601,C868)=0,"Phone not found: copy it from your list",IF(AND(E868&lt;&gt;"",COUNTIFS(DESK!$F$2:$F$601,C868,DESK!$B$2:$B$601,E868)=0),"Company is not one of theirs","OK"))))))</f>
        <v/>
      </c>
    </row>
    <row r="869" spans="1:10"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time",IF(D869="NO_SLOTS",IF(COUNTIF(PARTNERS!$A$2:$A$88,E869)=0,"Write the company in column E","OK"),IF(C869="","Missing phone",IF(COUNTIF(DESK!$F$2:$F$601,C869)=0,"Phone not found: copy it from your list",IF(AND(E869&lt;&gt;"",COUNTIFS(DESK!$F$2:$F$601,C869,DESK!$B$2:$B$601,E869)=0),"Company is not one of theirs","OK"))))))</f>
        <v/>
      </c>
    </row>
    <row r="870" spans="1:10"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time",IF(D870="NO_SLOTS",IF(COUNTIF(PARTNERS!$A$2:$A$88,E870)=0,"Write the company in column E","OK"),IF(C870="","Missing phone",IF(COUNTIF(DESK!$F$2:$F$601,C870)=0,"Phone not found: copy it from your list",IF(AND(E870&lt;&gt;"",COUNTIFS(DESK!$F$2:$F$601,C870,DESK!$B$2:$B$601,E870)=0),"Company is not one of theirs","OK"))))))</f>
        <v/>
      </c>
    </row>
    <row r="871" spans="1:10"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time",IF(D871="NO_SLOTS",IF(COUNTIF(PARTNERS!$A$2:$A$88,E871)=0,"Write the company in column E","OK"),IF(C871="","Missing phone",IF(COUNTIF(DESK!$F$2:$F$601,C871)=0,"Phone not found: copy it from your list",IF(AND(E871&lt;&gt;"",COUNTIFS(DESK!$F$2:$F$601,C871,DESK!$B$2:$B$601,E871)=0),"Company is not one of theirs","OK"))))))</f>
        <v/>
      </c>
    </row>
    <row r="872" spans="1:10"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time",IF(D872="NO_SLOTS",IF(COUNTIF(PARTNERS!$A$2:$A$88,E872)=0,"Write the company in column E","OK"),IF(C872="","Missing phone",IF(COUNTIF(DESK!$F$2:$F$601,C872)=0,"Phone not found: copy it from your list",IF(AND(E872&lt;&gt;"",COUNTIFS(DESK!$F$2:$F$601,C872,DESK!$B$2:$B$601,E872)=0),"Company is not one of theirs","OK"))))))</f>
        <v/>
      </c>
    </row>
    <row r="873" spans="1:10"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time",IF(D873="NO_SLOTS",IF(COUNTIF(PARTNERS!$A$2:$A$88,E873)=0,"Write the company in column E","OK"),IF(C873="","Missing phone",IF(COUNTIF(DESK!$F$2:$F$601,C873)=0,"Phone not found: copy it from your list",IF(AND(E873&lt;&gt;"",COUNTIFS(DESK!$F$2:$F$601,C873,DESK!$B$2:$B$601,E873)=0),"Company is not one of theirs","OK"))))))</f>
        <v/>
      </c>
    </row>
    <row r="874" spans="1:10"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time",IF(D874="NO_SLOTS",IF(COUNTIF(PARTNERS!$A$2:$A$88,E874)=0,"Write the company in column E","OK"),IF(C874="","Missing phone",IF(COUNTIF(DESK!$F$2:$F$601,C874)=0,"Phone not found: copy it from your list",IF(AND(E874&lt;&gt;"",COUNTIFS(DESK!$F$2:$F$601,C874,DESK!$B$2:$B$601,E874)=0),"Company is not one of theirs","OK"))))))</f>
        <v/>
      </c>
    </row>
    <row r="875" spans="1:10"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time",IF(D875="NO_SLOTS",IF(COUNTIF(PARTNERS!$A$2:$A$88,E875)=0,"Write the company in column E","OK"),IF(C875="","Missing phone",IF(COUNTIF(DESK!$F$2:$F$601,C875)=0,"Phone not found: copy it from your list",IF(AND(E875&lt;&gt;"",COUNTIFS(DESK!$F$2:$F$601,C875,DESK!$B$2:$B$601,E875)=0),"Company is not one of theirs","OK"))))))</f>
        <v/>
      </c>
    </row>
    <row r="876" spans="1:10"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time",IF(D876="NO_SLOTS",IF(COUNTIF(PARTNERS!$A$2:$A$88,E876)=0,"Write the company in column E","OK"),IF(C876="","Missing phone",IF(COUNTIF(DESK!$F$2:$F$601,C876)=0,"Phone not found: copy it from your list",IF(AND(E876&lt;&gt;"",COUNTIFS(DESK!$F$2:$F$601,C876,DESK!$B$2:$B$601,E876)=0),"Company is not one of theirs","OK"))))))</f>
        <v/>
      </c>
    </row>
    <row r="877" spans="1:10"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time",IF(D877="NO_SLOTS",IF(COUNTIF(PARTNERS!$A$2:$A$88,E877)=0,"Write the company in column E","OK"),IF(C877="","Missing phone",IF(COUNTIF(DESK!$F$2:$F$601,C877)=0,"Phone not found: copy it from your list",IF(AND(E877&lt;&gt;"",COUNTIFS(DESK!$F$2:$F$601,C877,DESK!$B$2:$B$601,E877)=0),"Company is not one of theirs","OK"))))))</f>
        <v/>
      </c>
    </row>
    <row r="878" spans="1:10"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time",IF(D878="NO_SLOTS",IF(COUNTIF(PARTNERS!$A$2:$A$88,E878)=0,"Write the company in column E","OK"),IF(C878="","Missing phone",IF(COUNTIF(DESK!$F$2:$F$601,C878)=0,"Phone not found: copy it from your list",IF(AND(E878&lt;&gt;"",COUNTIFS(DESK!$F$2:$F$601,C878,DESK!$B$2:$B$601,E878)=0),"Company is not one of theirs","OK"))))))</f>
        <v/>
      </c>
    </row>
    <row r="879" spans="1:10"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time",IF(D879="NO_SLOTS",IF(COUNTIF(PARTNERS!$A$2:$A$88,E879)=0,"Write the company in column E","OK"),IF(C879="","Missing phone",IF(COUNTIF(DESK!$F$2:$F$601,C879)=0,"Phone not found: copy it from your list",IF(AND(E879&lt;&gt;"",COUNTIFS(DESK!$F$2:$F$601,C879,DESK!$B$2:$B$601,E879)=0),"Company is not one of theirs","OK"))))))</f>
        <v/>
      </c>
    </row>
    <row r="880" spans="1:10"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time",IF(D880="NO_SLOTS",IF(COUNTIF(PARTNERS!$A$2:$A$88,E880)=0,"Write the company in column E","OK"),IF(C880="","Missing phone",IF(COUNTIF(DESK!$F$2:$F$601,C880)=0,"Phone not found: copy it from your list",IF(AND(E880&lt;&gt;"",COUNTIFS(DESK!$F$2:$F$601,C880,DESK!$B$2:$B$601,E880)=0),"Company is not one of theirs","OK"))))))</f>
        <v/>
      </c>
    </row>
    <row r="881" spans="1:10"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time",IF(D881="NO_SLOTS",IF(COUNTIF(PARTNERS!$A$2:$A$88,E881)=0,"Write the company in column E","OK"),IF(C881="","Missing phone",IF(COUNTIF(DESK!$F$2:$F$601,C881)=0,"Phone not found: copy it from your list",IF(AND(E881&lt;&gt;"",COUNTIFS(DESK!$F$2:$F$601,C881,DESK!$B$2:$B$601,E881)=0),"Company is not one of theirs","OK"))))))</f>
        <v/>
      </c>
    </row>
    <row r="882" spans="1:10"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time",IF(D882="NO_SLOTS",IF(COUNTIF(PARTNERS!$A$2:$A$88,E882)=0,"Write the company in column E","OK"),IF(C882="","Missing phone",IF(COUNTIF(DESK!$F$2:$F$601,C882)=0,"Phone not found: copy it from your list",IF(AND(E882&lt;&gt;"",COUNTIFS(DESK!$F$2:$F$601,C882,DESK!$B$2:$B$601,E882)=0),"Company is not one of theirs","OK"))))))</f>
        <v/>
      </c>
    </row>
    <row r="883" spans="1:10"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time",IF(D883="NO_SLOTS",IF(COUNTIF(PARTNERS!$A$2:$A$88,E883)=0,"Write the company in column E","OK"),IF(C883="","Missing phone",IF(COUNTIF(DESK!$F$2:$F$601,C883)=0,"Phone not found: copy it from your list",IF(AND(E883&lt;&gt;"",COUNTIFS(DESK!$F$2:$F$601,C883,DESK!$B$2:$B$601,E883)=0),"Company is not one of theirs","OK"))))))</f>
        <v/>
      </c>
    </row>
    <row r="884" spans="1:10"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time",IF(D884="NO_SLOTS",IF(COUNTIF(PARTNERS!$A$2:$A$88,E884)=0,"Write the company in column E","OK"),IF(C884="","Missing phone",IF(COUNTIF(DESK!$F$2:$F$601,C884)=0,"Phone not found: copy it from your list",IF(AND(E884&lt;&gt;"",COUNTIFS(DESK!$F$2:$F$601,C884,DESK!$B$2:$B$601,E884)=0),"Company is not one of theirs","OK"))))))</f>
        <v/>
      </c>
    </row>
    <row r="885" spans="1:10"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time",IF(D885="NO_SLOTS",IF(COUNTIF(PARTNERS!$A$2:$A$88,E885)=0,"Write the company in column E","OK"),IF(C885="","Missing phone",IF(COUNTIF(DESK!$F$2:$F$601,C885)=0,"Phone not found: copy it from your list",IF(AND(E885&lt;&gt;"",COUNTIFS(DESK!$F$2:$F$601,C885,DESK!$B$2:$B$601,E885)=0),"Company is not one of theirs","OK"))))))</f>
        <v/>
      </c>
    </row>
    <row r="886" spans="1:10"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time",IF(D886="NO_SLOTS",IF(COUNTIF(PARTNERS!$A$2:$A$88,E886)=0,"Write the company in column E","OK"),IF(C886="","Missing phone",IF(COUNTIF(DESK!$F$2:$F$601,C886)=0,"Phone not found: copy it from your list",IF(AND(E886&lt;&gt;"",COUNTIFS(DESK!$F$2:$F$601,C886,DESK!$B$2:$B$601,E886)=0),"Company is not one of theirs","OK"))))))</f>
        <v/>
      </c>
    </row>
    <row r="887" spans="1:10"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time",IF(D887="NO_SLOTS",IF(COUNTIF(PARTNERS!$A$2:$A$88,E887)=0,"Write the company in column E","OK"),IF(C887="","Missing phone",IF(COUNTIF(DESK!$F$2:$F$601,C887)=0,"Phone not found: copy it from your list",IF(AND(E887&lt;&gt;"",COUNTIFS(DESK!$F$2:$F$601,C887,DESK!$B$2:$B$601,E887)=0),"Company is not one of theirs","OK"))))))</f>
        <v/>
      </c>
    </row>
    <row r="888" spans="1:10"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time",IF(D888="NO_SLOTS",IF(COUNTIF(PARTNERS!$A$2:$A$88,E888)=0,"Write the company in column E","OK"),IF(C888="","Missing phone",IF(COUNTIF(DESK!$F$2:$F$601,C888)=0,"Phone not found: copy it from your list",IF(AND(E888&lt;&gt;"",COUNTIFS(DESK!$F$2:$F$601,C888,DESK!$B$2:$B$601,E888)=0),"Company is not one of theirs","OK"))))))</f>
        <v/>
      </c>
    </row>
    <row r="889" spans="1:10"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time",IF(D889="NO_SLOTS",IF(COUNTIF(PARTNERS!$A$2:$A$88,E889)=0,"Write the company in column E","OK"),IF(C889="","Missing phone",IF(COUNTIF(DESK!$F$2:$F$601,C889)=0,"Phone not found: copy it from your list",IF(AND(E889&lt;&gt;"",COUNTIFS(DESK!$F$2:$F$601,C889,DESK!$B$2:$B$601,E889)=0),"Company is not one of theirs","OK"))))))</f>
        <v/>
      </c>
    </row>
    <row r="890" spans="1:10"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time",IF(D890="NO_SLOTS",IF(COUNTIF(PARTNERS!$A$2:$A$88,E890)=0,"Write the company in column E","OK"),IF(C890="","Missing phone",IF(COUNTIF(DESK!$F$2:$F$601,C890)=0,"Phone not found: copy it from your list",IF(AND(E890&lt;&gt;"",COUNTIFS(DESK!$F$2:$F$601,C890,DESK!$B$2:$B$601,E890)=0),"Company is not one of theirs","OK"))))))</f>
        <v/>
      </c>
    </row>
    <row r="891" spans="1:10"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time",IF(D891="NO_SLOTS",IF(COUNTIF(PARTNERS!$A$2:$A$88,E891)=0,"Write the company in column E","OK"),IF(C891="","Missing phone",IF(COUNTIF(DESK!$F$2:$F$601,C891)=0,"Phone not found: copy it from your list",IF(AND(E891&lt;&gt;"",COUNTIFS(DESK!$F$2:$F$601,C891,DESK!$B$2:$B$601,E891)=0),"Company is not one of theirs","OK"))))))</f>
        <v/>
      </c>
    </row>
    <row r="892" spans="1:10"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time",IF(D892="NO_SLOTS",IF(COUNTIF(PARTNERS!$A$2:$A$88,E892)=0,"Write the company in column E","OK"),IF(C892="","Missing phone",IF(COUNTIF(DESK!$F$2:$F$601,C892)=0,"Phone not found: copy it from your list",IF(AND(E892&lt;&gt;"",COUNTIFS(DESK!$F$2:$F$601,C892,DESK!$B$2:$B$601,E892)=0),"Company is not one of theirs","OK"))))))</f>
        <v/>
      </c>
    </row>
    <row r="893" spans="1:10"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time",IF(D893="NO_SLOTS",IF(COUNTIF(PARTNERS!$A$2:$A$88,E893)=0,"Write the company in column E","OK"),IF(C893="","Missing phone",IF(COUNTIF(DESK!$F$2:$F$601,C893)=0,"Phone not found: copy it from your list",IF(AND(E893&lt;&gt;"",COUNTIFS(DESK!$F$2:$F$601,C893,DESK!$B$2:$B$601,E893)=0),"Company is not one of theirs","OK"))))))</f>
        <v/>
      </c>
    </row>
    <row r="894" spans="1:10"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time",IF(D894="NO_SLOTS",IF(COUNTIF(PARTNERS!$A$2:$A$88,E894)=0,"Write the company in column E","OK"),IF(C894="","Missing phone",IF(COUNTIF(DESK!$F$2:$F$601,C894)=0,"Phone not found: copy it from your list",IF(AND(E894&lt;&gt;"",COUNTIFS(DESK!$F$2:$F$601,C894,DESK!$B$2:$B$601,E894)=0),"Company is not one of theirs","OK"))))))</f>
        <v/>
      </c>
    </row>
    <row r="895" spans="1:10"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time",IF(D895="NO_SLOTS",IF(COUNTIF(PARTNERS!$A$2:$A$88,E895)=0,"Write the company in column E","OK"),IF(C895="","Missing phone",IF(COUNTIF(DESK!$F$2:$F$601,C895)=0,"Phone not found: copy it from your list",IF(AND(E895&lt;&gt;"",COUNTIFS(DESK!$F$2:$F$601,C895,DESK!$B$2:$B$601,E895)=0),"Company is not one of theirs","OK"))))))</f>
        <v/>
      </c>
    </row>
    <row r="896" spans="1:10"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time",IF(D896="NO_SLOTS",IF(COUNTIF(PARTNERS!$A$2:$A$88,E896)=0,"Write the company in column E","OK"),IF(C896="","Missing phone",IF(COUNTIF(DESK!$F$2:$F$601,C896)=0,"Phone not found: copy it from your list",IF(AND(E896&lt;&gt;"",COUNTIFS(DESK!$F$2:$F$601,C896,DESK!$B$2:$B$601,E896)=0),"Company is not one of theirs","OK"))))))</f>
        <v/>
      </c>
    </row>
    <row r="897" spans="1:10"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time",IF(D897="NO_SLOTS",IF(COUNTIF(PARTNERS!$A$2:$A$88,E897)=0,"Write the company in column E","OK"),IF(C897="","Missing phone",IF(COUNTIF(DESK!$F$2:$F$601,C897)=0,"Phone not found: copy it from your list",IF(AND(E897&lt;&gt;"",COUNTIFS(DESK!$F$2:$F$601,C897,DESK!$B$2:$B$601,E897)=0),"Company is not one of theirs","OK"))))))</f>
        <v/>
      </c>
    </row>
    <row r="898" spans="1:10"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time",IF(D898="NO_SLOTS",IF(COUNTIF(PARTNERS!$A$2:$A$88,E898)=0,"Write the company in column E","OK"),IF(C898="","Missing phone",IF(COUNTIF(DESK!$F$2:$F$601,C898)=0,"Phone not found: copy it from your list",IF(AND(E898&lt;&gt;"",COUNTIFS(DESK!$F$2:$F$601,C898,DESK!$B$2:$B$601,E898)=0),"Company is not one of theirs","OK"))))))</f>
        <v/>
      </c>
    </row>
    <row r="899" spans="1:10"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time",IF(D899="NO_SLOTS",IF(COUNTIF(PARTNERS!$A$2:$A$88,E899)=0,"Write the company in column E","OK"),IF(C899="","Missing phone",IF(COUNTIF(DESK!$F$2:$F$601,C899)=0,"Phone not found: copy it from your list",IF(AND(E899&lt;&gt;"",COUNTIFS(DESK!$F$2:$F$601,C899,DESK!$B$2:$B$601,E899)=0),"Company is not one of theirs","OK"))))))</f>
        <v/>
      </c>
    </row>
    <row r="900" spans="1:10"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time",IF(D900="NO_SLOTS",IF(COUNTIF(PARTNERS!$A$2:$A$88,E900)=0,"Write the company in column E","OK"),IF(C900="","Missing phone",IF(COUNTIF(DESK!$F$2:$F$601,C900)=0,"Phone not found: copy it from your list",IF(AND(E900&lt;&gt;"",COUNTIFS(DESK!$F$2:$F$601,C900,DESK!$B$2:$B$601,E900)=0),"Company is not one of theirs","OK"))))))</f>
        <v/>
      </c>
    </row>
    <row r="901" spans="1:10"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time",IF(D901="NO_SLOTS",IF(COUNTIF(PARTNERS!$A$2:$A$88,E901)=0,"Write the company in column E","OK"),IF(C901="","Missing phone",IF(COUNTIF(DESK!$F$2:$F$601,C901)=0,"Phone not found: copy it from your list",IF(AND(E901&lt;&gt;"",COUNTIFS(DESK!$F$2:$F$601,C901,DESK!$B$2:$B$601,E901)=0),"Company is not one of theirs","OK"))))))</f>
        <v/>
      </c>
    </row>
    <row r="902" spans="1:10"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time",IF(D902="NO_SLOTS",IF(COUNTIF(PARTNERS!$A$2:$A$88,E902)=0,"Write the company in column E","OK"),IF(C902="","Missing phone",IF(COUNTIF(DESK!$F$2:$F$601,C902)=0,"Phone not found: copy it from your list",IF(AND(E902&lt;&gt;"",COUNTIFS(DESK!$F$2:$F$601,C902,DESK!$B$2:$B$601,E902)=0),"Company is not one of theirs","OK"))))))</f>
        <v/>
      </c>
    </row>
    <row r="903" spans="1:10"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time",IF(D903="NO_SLOTS",IF(COUNTIF(PARTNERS!$A$2:$A$88,E903)=0,"Write the company in column E","OK"),IF(C903="","Missing phone",IF(COUNTIF(DESK!$F$2:$F$601,C903)=0,"Phone not found: copy it from your list",IF(AND(E903&lt;&gt;"",COUNTIFS(DESK!$F$2:$F$601,C903,DESK!$B$2:$B$601,E903)=0),"Company is not one of theirs","OK"))))))</f>
        <v/>
      </c>
    </row>
    <row r="904" spans="1:10"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time",IF(D904="NO_SLOTS",IF(COUNTIF(PARTNERS!$A$2:$A$88,E904)=0,"Write the company in column E","OK"),IF(C904="","Missing phone",IF(COUNTIF(DESK!$F$2:$F$601,C904)=0,"Phone not found: copy it from your list",IF(AND(E904&lt;&gt;"",COUNTIFS(DESK!$F$2:$F$601,C904,DESK!$B$2:$B$601,E904)=0),"Company is not one of theirs","OK"))))))</f>
        <v/>
      </c>
    </row>
    <row r="905" spans="1:10"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time",IF(D905="NO_SLOTS",IF(COUNTIF(PARTNERS!$A$2:$A$88,E905)=0,"Write the company in column E","OK"),IF(C905="","Missing phone",IF(COUNTIF(DESK!$F$2:$F$601,C905)=0,"Phone not found: copy it from your list",IF(AND(E905&lt;&gt;"",COUNTIFS(DESK!$F$2:$F$601,C905,DESK!$B$2:$B$601,E905)=0),"Company is not one of theirs","OK"))))))</f>
        <v/>
      </c>
    </row>
    <row r="906" spans="1:10"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time",IF(D906="NO_SLOTS",IF(COUNTIF(PARTNERS!$A$2:$A$88,E906)=0,"Write the company in column E","OK"),IF(C906="","Missing phone",IF(COUNTIF(DESK!$F$2:$F$601,C906)=0,"Phone not found: copy it from your list",IF(AND(E906&lt;&gt;"",COUNTIFS(DESK!$F$2:$F$601,C906,DESK!$B$2:$B$601,E906)=0),"Company is not one of theirs","OK"))))))</f>
        <v/>
      </c>
    </row>
    <row r="907" spans="1:10"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time",IF(D907="NO_SLOTS",IF(COUNTIF(PARTNERS!$A$2:$A$88,E907)=0,"Write the company in column E","OK"),IF(C907="","Missing phone",IF(COUNTIF(DESK!$F$2:$F$601,C907)=0,"Phone not found: copy it from your list",IF(AND(E907&lt;&gt;"",COUNTIFS(DESK!$F$2:$F$601,C907,DESK!$B$2:$B$601,E907)=0),"Company is not one of theirs","OK"))))))</f>
        <v/>
      </c>
    </row>
    <row r="908" spans="1:10"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time",IF(D908="NO_SLOTS",IF(COUNTIF(PARTNERS!$A$2:$A$88,E908)=0,"Write the company in column E","OK"),IF(C908="","Missing phone",IF(COUNTIF(DESK!$F$2:$F$601,C908)=0,"Phone not found: copy it from your list",IF(AND(E908&lt;&gt;"",COUNTIFS(DESK!$F$2:$F$601,C908,DESK!$B$2:$B$601,E908)=0),"Company is not one of theirs","OK"))))))</f>
        <v/>
      </c>
    </row>
    <row r="909" spans="1:10"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time",IF(D909="NO_SLOTS",IF(COUNTIF(PARTNERS!$A$2:$A$88,E909)=0,"Write the company in column E","OK"),IF(C909="","Missing phone",IF(COUNTIF(DESK!$F$2:$F$601,C909)=0,"Phone not found: copy it from your list",IF(AND(E909&lt;&gt;"",COUNTIFS(DESK!$F$2:$F$601,C909,DESK!$B$2:$B$601,E909)=0),"Company is not one of theirs","OK"))))))</f>
        <v/>
      </c>
    </row>
    <row r="910" spans="1:10"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time",IF(D910="NO_SLOTS",IF(COUNTIF(PARTNERS!$A$2:$A$88,E910)=0,"Write the company in column E","OK"),IF(C910="","Missing phone",IF(COUNTIF(DESK!$F$2:$F$601,C910)=0,"Phone not found: copy it from your list",IF(AND(E910&lt;&gt;"",COUNTIFS(DESK!$F$2:$F$601,C910,DESK!$B$2:$B$601,E910)=0),"Company is not one of theirs","OK"))))))</f>
        <v/>
      </c>
    </row>
    <row r="911" spans="1:10"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time",IF(D911="NO_SLOTS",IF(COUNTIF(PARTNERS!$A$2:$A$88,E911)=0,"Write the company in column E","OK"),IF(C911="","Missing phone",IF(COUNTIF(DESK!$F$2:$F$601,C911)=0,"Phone not found: copy it from your list",IF(AND(E911&lt;&gt;"",COUNTIFS(DESK!$F$2:$F$601,C911,DESK!$B$2:$B$601,E911)=0),"Company is not one of theirs","OK"))))))</f>
        <v/>
      </c>
    </row>
    <row r="912" spans="1:10"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time",IF(D912="NO_SLOTS",IF(COUNTIF(PARTNERS!$A$2:$A$88,E912)=0,"Write the company in column E","OK"),IF(C912="","Missing phone",IF(COUNTIF(DESK!$F$2:$F$601,C912)=0,"Phone not found: copy it from your list",IF(AND(E912&lt;&gt;"",COUNTIFS(DESK!$F$2:$F$601,C912,DESK!$B$2:$B$601,E912)=0),"Company is not one of theirs","OK"))))))</f>
        <v/>
      </c>
    </row>
    <row r="913" spans="1:10"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time",IF(D913="NO_SLOTS",IF(COUNTIF(PARTNERS!$A$2:$A$88,E913)=0,"Write the company in column E","OK"),IF(C913="","Missing phone",IF(COUNTIF(DESK!$F$2:$F$601,C913)=0,"Phone not found: copy it from your list",IF(AND(E913&lt;&gt;"",COUNTIFS(DESK!$F$2:$F$601,C913,DESK!$B$2:$B$601,E913)=0),"Company is not one of theirs","OK"))))))</f>
        <v/>
      </c>
    </row>
    <row r="914" spans="1:10"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time",IF(D914="NO_SLOTS",IF(COUNTIF(PARTNERS!$A$2:$A$88,E914)=0,"Write the company in column E","OK"),IF(C914="","Missing phone",IF(COUNTIF(DESK!$F$2:$F$601,C914)=0,"Phone not found: copy it from your list",IF(AND(E914&lt;&gt;"",COUNTIFS(DESK!$F$2:$F$601,C914,DESK!$B$2:$B$601,E914)=0),"Company is not one of theirs","OK"))))))</f>
        <v/>
      </c>
    </row>
    <row r="915" spans="1:10"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time",IF(D915="NO_SLOTS",IF(COUNTIF(PARTNERS!$A$2:$A$88,E915)=0,"Write the company in column E","OK"),IF(C915="","Missing phone",IF(COUNTIF(DESK!$F$2:$F$601,C915)=0,"Phone not found: copy it from your list",IF(AND(E915&lt;&gt;"",COUNTIFS(DESK!$F$2:$F$601,C915,DESK!$B$2:$B$601,E915)=0),"Company is not one of theirs","OK"))))))</f>
        <v/>
      </c>
    </row>
    <row r="916" spans="1:10"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time",IF(D916="NO_SLOTS",IF(COUNTIF(PARTNERS!$A$2:$A$88,E916)=0,"Write the company in column E","OK"),IF(C916="","Missing phone",IF(COUNTIF(DESK!$F$2:$F$601,C916)=0,"Phone not found: copy it from your list",IF(AND(E916&lt;&gt;"",COUNTIFS(DESK!$F$2:$F$601,C916,DESK!$B$2:$B$601,E916)=0),"Company is not one of theirs","OK"))))))</f>
        <v/>
      </c>
    </row>
    <row r="917" spans="1:10"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time",IF(D917="NO_SLOTS",IF(COUNTIF(PARTNERS!$A$2:$A$88,E917)=0,"Write the company in column E","OK"),IF(C917="","Missing phone",IF(COUNTIF(DESK!$F$2:$F$601,C917)=0,"Phone not found: copy it from your list",IF(AND(E917&lt;&gt;"",COUNTIFS(DESK!$F$2:$F$601,C917,DESK!$B$2:$B$601,E917)=0),"Company is not one of theirs","OK"))))))</f>
        <v/>
      </c>
    </row>
    <row r="918" spans="1:10"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time",IF(D918="NO_SLOTS",IF(COUNTIF(PARTNERS!$A$2:$A$88,E918)=0,"Write the company in column E","OK"),IF(C918="","Missing phone",IF(COUNTIF(DESK!$F$2:$F$601,C918)=0,"Phone not found: copy it from your list",IF(AND(E918&lt;&gt;"",COUNTIFS(DESK!$F$2:$F$601,C918,DESK!$B$2:$B$601,E918)=0),"Company is not one of theirs","OK"))))))</f>
        <v/>
      </c>
    </row>
    <row r="919" spans="1:10"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time",IF(D919="NO_SLOTS",IF(COUNTIF(PARTNERS!$A$2:$A$88,E919)=0,"Write the company in column E","OK"),IF(C919="","Missing phone",IF(COUNTIF(DESK!$F$2:$F$601,C919)=0,"Phone not found: copy it from your list",IF(AND(E919&lt;&gt;"",COUNTIFS(DESK!$F$2:$F$601,C919,DESK!$B$2:$B$601,E919)=0),"Company is not one of theirs","OK"))))))</f>
        <v/>
      </c>
    </row>
    <row r="920" spans="1:10"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time",IF(D920="NO_SLOTS",IF(COUNTIF(PARTNERS!$A$2:$A$88,E920)=0,"Write the company in column E","OK"),IF(C920="","Missing phone",IF(COUNTIF(DESK!$F$2:$F$601,C920)=0,"Phone not found: copy it from your list",IF(AND(E920&lt;&gt;"",COUNTIFS(DESK!$F$2:$F$601,C920,DESK!$B$2:$B$601,E920)=0),"Company is not one of theirs","OK"))))))</f>
        <v/>
      </c>
    </row>
    <row r="921" spans="1:10"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time",IF(D921="NO_SLOTS",IF(COUNTIF(PARTNERS!$A$2:$A$88,E921)=0,"Write the company in column E","OK"),IF(C921="","Missing phone",IF(COUNTIF(DESK!$F$2:$F$601,C921)=0,"Phone not found: copy it from your list",IF(AND(E921&lt;&gt;"",COUNTIFS(DESK!$F$2:$F$601,C921,DESK!$B$2:$B$601,E921)=0),"Company is not one of theirs","OK"))))))</f>
        <v/>
      </c>
    </row>
    <row r="922" spans="1:10"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time",IF(D922="NO_SLOTS",IF(COUNTIF(PARTNERS!$A$2:$A$88,E922)=0,"Write the company in column E","OK"),IF(C922="","Missing phone",IF(COUNTIF(DESK!$F$2:$F$601,C922)=0,"Phone not found: copy it from your list",IF(AND(E922&lt;&gt;"",COUNTIFS(DESK!$F$2:$F$601,C922,DESK!$B$2:$B$601,E922)=0),"Company is not one of theirs","OK"))))))</f>
        <v/>
      </c>
    </row>
    <row r="923" spans="1:10"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time",IF(D923="NO_SLOTS",IF(COUNTIF(PARTNERS!$A$2:$A$88,E923)=0,"Write the company in column E","OK"),IF(C923="","Missing phone",IF(COUNTIF(DESK!$F$2:$F$601,C923)=0,"Phone not found: copy it from your list",IF(AND(E923&lt;&gt;"",COUNTIFS(DESK!$F$2:$F$601,C923,DESK!$B$2:$B$601,E923)=0),"Company is not one of theirs","OK"))))))</f>
        <v/>
      </c>
    </row>
    <row r="924" spans="1:10"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time",IF(D924="NO_SLOTS",IF(COUNTIF(PARTNERS!$A$2:$A$88,E924)=0,"Write the company in column E","OK"),IF(C924="","Missing phone",IF(COUNTIF(DESK!$F$2:$F$601,C924)=0,"Phone not found: copy it from your list",IF(AND(E924&lt;&gt;"",COUNTIFS(DESK!$F$2:$F$601,C924,DESK!$B$2:$B$601,E924)=0),"Company is not one of theirs","OK"))))))</f>
        <v/>
      </c>
    </row>
    <row r="925" spans="1:10"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time",IF(D925="NO_SLOTS",IF(COUNTIF(PARTNERS!$A$2:$A$88,E925)=0,"Write the company in column E","OK"),IF(C925="","Missing phone",IF(COUNTIF(DESK!$F$2:$F$601,C925)=0,"Phone not found: copy it from your list",IF(AND(E925&lt;&gt;"",COUNTIFS(DESK!$F$2:$F$601,C925,DESK!$B$2:$B$601,E925)=0),"Company is not one of theirs","OK"))))))</f>
        <v/>
      </c>
    </row>
    <row r="926" spans="1:10"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time",IF(D926="NO_SLOTS",IF(COUNTIF(PARTNERS!$A$2:$A$88,E926)=0,"Write the company in column E","OK"),IF(C926="","Missing phone",IF(COUNTIF(DESK!$F$2:$F$601,C926)=0,"Phone not found: copy it from your list",IF(AND(E926&lt;&gt;"",COUNTIFS(DESK!$F$2:$F$601,C926,DESK!$B$2:$B$601,E926)=0),"Company is not one of theirs","OK"))))))</f>
        <v/>
      </c>
    </row>
    <row r="927" spans="1:10"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time",IF(D927="NO_SLOTS",IF(COUNTIF(PARTNERS!$A$2:$A$88,E927)=0,"Write the company in column E","OK"),IF(C927="","Missing phone",IF(COUNTIF(DESK!$F$2:$F$601,C927)=0,"Phone not found: copy it from your list",IF(AND(E927&lt;&gt;"",COUNTIFS(DESK!$F$2:$F$601,C927,DESK!$B$2:$B$601,E927)=0),"Company is not one of theirs","OK"))))))</f>
        <v/>
      </c>
    </row>
    <row r="928" spans="1:10"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time",IF(D928="NO_SLOTS",IF(COUNTIF(PARTNERS!$A$2:$A$88,E928)=0,"Write the company in column E","OK"),IF(C928="","Missing phone",IF(COUNTIF(DESK!$F$2:$F$601,C928)=0,"Phone not found: copy it from your list",IF(AND(E928&lt;&gt;"",COUNTIFS(DESK!$F$2:$F$601,C928,DESK!$B$2:$B$601,E928)=0),"Company is not one of theirs","OK"))))))</f>
        <v/>
      </c>
    </row>
    <row r="929" spans="1:10"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time",IF(D929="NO_SLOTS",IF(COUNTIF(PARTNERS!$A$2:$A$88,E929)=0,"Write the company in column E","OK"),IF(C929="","Missing phone",IF(COUNTIF(DESK!$F$2:$F$601,C929)=0,"Phone not found: copy it from your list",IF(AND(E929&lt;&gt;"",COUNTIFS(DESK!$F$2:$F$601,C929,DESK!$B$2:$B$601,E929)=0),"Company is not one of theirs","OK"))))))</f>
        <v/>
      </c>
    </row>
    <row r="930" spans="1:10"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time",IF(D930="NO_SLOTS",IF(COUNTIF(PARTNERS!$A$2:$A$88,E930)=0,"Write the company in column E","OK"),IF(C930="","Missing phone",IF(COUNTIF(DESK!$F$2:$F$601,C930)=0,"Phone not found: copy it from your list",IF(AND(E930&lt;&gt;"",COUNTIFS(DESK!$F$2:$F$601,C930,DESK!$B$2:$B$601,E930)=0),"Company is not one of theirs","OK"))))))</f>
        <v/>
      </c>
    </row>
    <row r="931" spans="1:10"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time",IF(D931="NO_SLOTS",IF(COUNTIF(PARTNERS!$A$2:$A$88,E931)=0,"Write the company in column E","OK"),IF(C931="","Missing phone",IF(COUNTIF(DESK!$F$2:$F$601,C931)=0,"Phone not found: copy it from your list",IF(AND(E931&lt;&gt;"",COUNTIFS(DESK!$F$2:$F$601,C931,DESK!$B$2:$B$601,E931)=0),"Company is not one of theirs","OK"))))))</f>
        <v/>
      </c>
    </row>
    <row r="932" spans="1:10"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time",IF(D932="NO_SLOTS",IF(COUNTIF(PARTNERS!$A$2:$A$88,E932)=0,"Write the company in column E","OK"),IF(C932="","Missing phone",IF(COUNTIF(DESK!$F$2:$F$601,C932)=0,"Phone not found: copy it from your list",IF(AND(E932&lt;&gt;"",COUNTIFS(DESK!$F$2:$F$601,C932,DESK!$B$2:$B$601,E932)=0),"Company is not one of theirs","OK"))))))</f>
        <v/>
      </c>
    </row>
    <row r="933" spans="1:10"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time",IF(D933="NO_SLOTS",IF(COUNTIF(PARTNERS!$A$2:$A$88,E933)=0,"Write the company in column E","OK"),IF(C933="","Missing phone",IF(COUNTIF(DESK!$F$2:$F$601,C933)=0,"Phone not found: copy it from your list",IF(AND(E933&lt;&gt;"",COUNTIFS(DESK!$F$2:$F$601,C933,DESK!$B$2:$B$601,E933)=0),"Company is not one of theirs","OK"))))))</f>
        <v/>
      </c>
    </row>
    <row r="934" spans="1:10"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time",IF(D934="NO_SLOTS",IF(COUNTIF(PARTNERS!$A$2:$A$88,E934)=0,"Write the company in column E","OK"),IF(C934="","Missing phone",IF(COUNTIF(DESK!$F$2:$F$601,C934)=0,"Phone not found: copy it from your list",IF(AND(E934&lt;&gt;"",COUNTIFS(DESK!$F$2:$F$601,C934,DESK!$B$2:$B$601,E934)=0),"Company is not one of theirs","OK"))))))</f>
        <v/>
      </c>
    </row>
    <row r="935" spans="1:10"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time",IF(D935="NO_SLOTS",IF(COUNTIF(PARTNERS!$A$2:$A$88,E935)=0,"Write the company in column E","OK"),IF(C935="","Missing phone",IF(COUNTIF(DESK!$F$2:$F$601,C935)=0,"Phone not found: copy it from your list",IF(AND(E935&lt;&gt;"",COUNTIFS(DESK!$F$2:$F$601,C935,DESK!$B$2:$B$601,E935)=0),"Company is not one of theirs","OK"))))))</f>
        <v/>
      </c>
    </row>
    <row r="936" spans="1:10"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time",IF(D936="NO_SLOTS",IF(COUNTIF(PARTNERS!$A$2:$A$88,E936)=0,"Write the company in column E","OK"),IF(C936="","Missing phone",IF(COUNTIF(DESK!$F$2:$F$601,C936)=0,"Phone not found: copy it from your list",IF(AND(E936&lt;&gt;"",COUNTIFS(DESK!$F$2:$F$601,C936,DESK!$B$2:$B$601,E936)=0),"Company is not one of theirs","OK"))))))</f>
        <v/>
      </c>
    </row>
    <row r="937" spans="1:10"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time",IF(D937="NO_SLOTS",IF(COUNTIF(PARTNERS!$A$2:$A$88,E937)=0,"Write the company in column E","OK"),IF(C937="","Missing phone",IF(COUNTIF(DESK!$F$2:$F$601,C937)=0,"Phone not found: copy it from your list",IF(AND(E937&lt;&gt;"",COUNTIFS(DESK!$F$2:$F$601,C937,DESK!$B$2:$B$601,E937)=0),"Company is not one of theirs","OK"))))))</f>
        <v/>
      </c>
    </row>
    <row r="938" spans="1:10"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time",IF(D938="NO_SLOTS",IF(COUNTIF(PARTNERS!$A$2:$A$88,E938)=0,"Write the company in column E","OK"),IF(C938="","Missing phone",IF(COUNTIF(DESK!$F$2:$F$601,C938)=0,"Phone not found: copy it from your list",IF(AND(E938&lt;&gt;"",COUNTIFS(DESK!$F$2:$F$601,C938,DESK!$B$2:$B$601,E938)=0),"Company is not one of theirs","OK"))))))</f>
        <v/>
      </c>
    </row>
    <row r="939" spans="1:10"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time",IF(D939="NO_SLOTS",IF(COUNTIF(PARTNERS!$A$2:$A$88,E939)=0,"Write the company in column E","OK"),IF(C939="","Missing phone",IF(COUNTIF(DESK!$F$2:$F$601,C939)=0,"Phone not found: copy it from your list",IF(AND(E939&lt;&gt;"",COUNTIFS(DESK!$F$2:$F$601,C939,DESK!$B$2:$B$601,E939)=0),"Company is not one of theirs","OK"))))))</f>
        <v/>
      </c>
    </row>
    <row r="940" spans="1:10"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time",IF(D940="NO_SLOTS",IF(COUNTIF(PARTNERS!$A$2:$A$88,E940)=0,"Write the company in column E","OK"),IF(C940="","Missing phone",IF(COUNTIF(DESK!$F$2:$F$601,C940)=0,"Phone not found: copy it from your list",IF(AND(E940&lt;&gt;"",COUNTIFS(DESK!$F$2:$F$601,C940,DESK!$B$2:$B$601,E940)=0),"Company is not one of theirs","OK"))))))</f>
        <v/>
      </c>
    </row>
    <row r="941" spans="1:10"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time",IF(D941="NO_SLOTS",IF(COUNTIF(PARTNERS!$A$2:$A$88,E941)=0,"Write the company in column E","OK"),IF(C941="","Missing phone",IF(COUNTIF(DESK!$F$2:$F$601,C941)=0,"Phone not found: copy it from your list",IF(AND(E941&lt;&gt;"",COUNTIFS(DESK!$F$2:$F$601,C941,DESK!$B$2:$B$601,E941)=0),"Company is not one of theirs","OK"))))))</f>
        <v/>
      </c>
    </row>
    <row r="942" spans="1:10"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time",IF(D942="NO_SLOTS",IF(COUNTIF(PARTNERS!$A$2:$A$88,E942)=0,"Write the company in column E","OK"),IF(C942="","Missing phone",IF(COUNTIF(DESK!$F$2:$F$601,C942)=0,"Phone not found: copy it from your list",IF(AND(E942&lt;&gt;"",COUNTIFS(DESK!$F$2:$F$601,C942,DESK!$B$2:$B$601,E942)=0),"Company is not one of theirs","OK"))))))</f>
        <v/>
      </c>
    </row>
    <row r="943" spans="1:10"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time",IF(D943="NO_SLOTS",IF(COUNTIF(PARTNERS!$A$2:$A$88,E943)=0,"Write the company in column E","OK"),IF(C943="","Missing phone",IF(COUNTIF(DESK!$F$2:$F$601,C943)=0,"Phone not found: copy it from your list",IF(AND(E943&lt;&gt;"",COUNTIFS(DESK!$F$2:$F$601,C943,DESK!$B$2:$B$601,E943)=0),"Company is not one of theirs","OK"))))))</f>
        <v/>
      </c>
    </row>
    <row r="944" spans="1:10"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time",IF(D944="NO_SLOTS",IF(COUNTIF(PARTNERS!$A$2:$A$88,E944)=0,"Write the company in column E","OK"),IF(C944="","Missing phone",IF(COUNTIF(DESK!$F$2:$F$601,C944)=0,"Phone not found: copy it from your list",IF(AND(E944&lt;&gt;"",COUNTIFS(DESK!$F$2:$F$601,C944,DESK!$B$2:$B$601,E944)=0),"Company is not one of theirs","OK"))))))</f>
        <v/>
      </c>
    </row>
    <row r="945" spans="1:10"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time",IF(D945="NO_SLOTS",IF(COUNTIF(PARTNERS!$A$2:$A$88,E945)=0,"Write the company in column E","OK"),IF(C945="","Missing phone",IF(COUNTIF(DESK!$F$2:$F$601,C945)=0,"Phone not found: copy it from your list",IF(AND(E945&lt;&gt;"",COUNTIFS(DESK!$F$2:$F$601,C945,DESK!$B$2:$B$601,E945)=0),"Company is not one of theirs","OK"))))))</f>
        <v/>
      </c>
    </row>
    <row r="946" spans="1:10"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time",IF(D946="NO_SLOTS",IF(COUNTIF(PARTNERS!$A$2:$A$88,E946)=0,"Write the company in column E","OK"),IF(C946="","Missing phone",IF(COUNTIF(DESK!$F$2:$F$601,C946)=0,"Phone not found: copy it from your list",IF(AND(E946&lt;&gt;"",COUNTIFS(DESK!$F$2:$F$601,C946,DESK!$B$2:$B$601,E946)=0),"Company is not one of theirs","OK"))))))</f>
        <v/>
      </c>
    </row>
    <row r="947" spans="1:10"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time",IF(D947="NO_SLOTS",IF(COUNTIF(PARTNERS!$A$2:$A$88,E947)=0,"Write the company in column E","OK"),IF(C947="","Missing phone",IF(COUNTIF(DESK!$F$2:$F$601,C947)=0,"Phone not found: copy it from your list",IF(AND(E947&lt;&gt;"",COUNTIFS(DESK!$F$2:$F$601,C947,DESK!$B$2:$B$601,E947)=0),"Company is not one of theirs","OK"))))))</f>
        <v/>
      </c>
    </row>
    <row r="948" spans="1:10"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time",IF(D948="NO_SLOTS",IF(COUNTIF(PARTNERS!$A$2:$A$88,E948)=0,"Write the company in column E","OK"),IF(C948="","Missing phone",IF(COUNTIF(DESK!$F$2:$F$601,C948)=0,"Phone not found: copy it from your list",IF(AND(E948&lt;&gt;"",COUNTIFS(DESK!$F$2:$F$601,C948,DESK!$B$2:$B$601,E948)=0),"Company is not one of theirs","OK"))))))</f>
        <v/>
      </c>
    </row>
    <row r="949" spans="1:10"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time",IF(D949="NO_SLOTS",IF(COUNTIF(PARTNERS!$A$2:$A$88,E949)=0,"Write the company in column E","OK"),IF(C949="","Missing phone",IF(COUNTIF(DESK!$F$2:$F$601,C949)=0,"Phone not found: copy it from your list",IF(AND(E949&lt;&gt;"",COUNTIFS(DESK!$F$2:$F$601,C949,DESK!$B$2:$B$601,E949)=0),"Company is not one of theirs","OK"))))))</f>
        <v/>
      </c>
    </row>
    <row r="950" spans="1:10"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time",IF(D950="NO_SLOTS",IF(COUNTIF(PARTNERS!$A$2:$A$88,E950)=0,"Write the company in column E","OK"),IF(C950="","Missing phone",IF(COUNTIF(DESK!$F$2:$F$601,C950)=0,"Phone not found: copy it from your list",IF(AND(E950&lt;&gt;"",COUNTIFS(DESK!$F$2:$F$601,C950,DESK!$B$2:$B$601,E950)=0),"Company is not one of theirs","OK"))))))</f>
        <v/>
      </c>
    </row>
    <row r="951" spans="1:10"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time",IF(D951="NO_SLOTS",IF(COUNTIF(PARTNERS!$A$2:$A$88,E951)=0,"Write the company in column E","OK"),IF(C951="","Missing phone",IF(COUNTIF(DESK!$F$2:$F$601,C951)=0,"Phone not found: copy it from your list",IF(AND(E951&lt;&gt;"",COUNTIFS(DESK!$F$2:$F$601,C951,DESK!$B$2:$B$601,E951)=0),"Company is not one of theirs","OK"))))))</f>
        <v/>
      </c>
    </row>
    <row r="952" spans="1:10"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time",IF(D952="NO_SLOTS",IF(COUNTIF(PARTNERS!$A$2:$A$88,E952)=0,"Write the company in column E","OK"),IF(C952="","Missing phone",IF(COUNTIF(DESK!$F$2:$F$601,C952)=0,"Phone not found: copy it from your list",IF(AND(E952&lt;&gt;"",COUNTIFS(DESK!$F$2:$F$601,C952,DESK!$B$2:$B$601,E952)=0),"Company is not one of theirs","OK"))))))</f>
        <v/>
      </c>
    </row>
    <row r="953" spans="1:10"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time",IF(D953="NO_SLOTS",IF(COUNTIF(PARTNERS!$A$2:$A$88,E953)=0,"Write the company in column E","OK"),IF(C953="","Missing phone",IF(COUNTIF(DESK!$F$2:$F$601,C953)=0,"Phone not found: copy it from your list",IF(AND(E953&lt;&gt;"",COUNTIFS(DESK!$F$2:$F$601,C953,DESK!$B$2:$B$601,E953)=0),"Company is not one of theirs","OK"))))))</f>
        <v/>
      </c>
    </row>
    <row r="954" spans="1:10"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time",IF(D954="NO_SLOTS",IF(COUNTIF(PARTNERS!$A$2:$A$88,E954)=0,"Write the company in column E","OK"),IF(C954="","Missing phone",IF(COUNTIF(DESK!$F$2:$F$601,C954)=0,"Phone not found: copy it from your list",IF(AND(E954&lt;&gt;"",COUNTIFS(DESK!$F$2:$F$601,C954,DESK!$B$2:$B$601,E954)=0),"Company is not one of theirs","OK"))))))</f>
        <v/>
      </c>
    </row>
    <row r="955" spans="1:10"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time",IF(D955="NO_SLOTS",IF(COUNTIF(PARTNERS!$A$2:$A$88,E955)=0,"Write the company in column E","OK"),IF(C955="","Missing phone",IF(COUNTIF(DESK!$F$2:$F$601,C955)=0,"Phone not found: copy it from your list",IF(AND(E955&lt;&gt;"",COUNTIFS(DESK!$F$2:$F$601,C955,DESK!$B$2:$B$601,E955)=0),"Company is not one of theirs","OK"))))))</f>
        <v/>
      </c>
    </row>
    <row r="956" spans="1:10"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time",IF(D956="NO_SLOTS",IF(COUNTIF(PARTNERS!$A$2:$A$88,E956)=0,"Write the company in column E","OK"),IF(C956="","Missing phone",IF(COUNTIF(DESK!$F$2:$F$601,C956)=0,"Phone not found: copy it from your list",IF(AND(E956&lt;&gt;"",COUNTIFS(DESK!$F$2:$F$601,C956,DESK!$B$2:$B$601,E956)=0),"Company is not one of theirs","OK"))))))</f>
        <v/>
      </c>
    </row>
    <row r="957" spans="1:10"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time",IF(D957="NO_SLOTS",IF(COUNTIF(PARTNERS!$A$2:$A$88,E957)=0,"Write the company in column E","OK"),IF(C957="","Missing phone",IF(COUNTIF(DESK!$F$2:$F$601,C957)=0,"Phone not found: copy it from your list",IF(AND(E957&lt;&gt;"",COUNTIFS(DESK!$F$2:$F$601,C957,DESK!$B$2:$B$601,E957)=0),"Company is not one of theirs","OK"))))))</f>
        <v/>
      </c>
    </row>
    <row r="958" spans="1:10"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time",IF(D958="NO_SLOTS",IF(COUNTIF(PARTNERS!$A$2:$A$88,E958)=0,"Write the company in column E","OK"),IF(C958="","Missing phone",IF(COUNTIF(DESK!$F$2:$F$601,C958)=0,"Phone not found: copy it from your list",IF(AND(E958&lt;&gt;"",COUNTIFS(DESK!$F$2:$F$601,C958,DESK!$B$2:$B$601,E958)=0),"Company is not one of theirs","OK"))))))</f>
        <v/>
      </c>
    </row>
    <row r="959" spans="1:10"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time",IF(D959="NO_SLOTS",IF(COUNTIF(PARTNERS!$A$2:$A$88,E959)=0,"Write the company in column E","OK"),IF(C959="","Missing phone",IF(COUNTIF(DESK!$F$2:$F$601,C959)=0,"Phone not found: copy it from your list",IF(AND(E959&lt;&gt;"",COUNTIFS(DESK!$F$2:$F$601,C959,DESK!$B$2:$B$601,E959)=0),"Company is not one of theirs","OK"))))))</f>
        <v/>
      </c>
    </row>
    <row r="960" spans="1:10"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time",IF(D960="NO_SLOTS",IF(COUNTIF(PARTNERS!$A$2:$A$88,E960)=0,"Write the company in column E","OK"),IF(C960="","Missing phone",IF(COUNTIF(DESK!$F$2:$F$601,C960)=0,"Phone not found: copy it from your list",IF(AND(E960&lt;&gt;"",COUNTIFS(DESK!$F$2:$F$601,C960,DESK!$B$2:$B$601,E960)=0),"Company is not one of theirs","OK"))))))</f>
        <v/>
      </c>
    </row>
    <row r="961" spans="1:10"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time",IF(D961="NO_SLOTS",IF(COUNTIF(PARTNERS!$A$2:$A$88,E961)=0,"Write the company in column E","OK"),IF(C961="","Missing phone",IF(COUNTIF(DESK!$F$2:$F$601,C961)=0,"Phone not found: copy it from your list",IF(AND(E961&lt;&gt;"",COUNTIFS(DESK!$F$2:$F$601,C961,DESK!$B$2:$B$601,E961)=0),"Company is not one of theirs","OK"))))))</f>
        <v/>
      </c>
    </row>
    <row r="962" spans="1:10"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time",IF(D962="NO_SLOTS",IF(COUNTIF(PARTNERS!$A$2:$A$88,E962)=0,"Write the company in column E","OK"),IF(C962="","Missing phone",IF(COUNTIF(DESK!$F$2:$F$601,C962)=0,"Phone not found: copy it from your list",IF(AND(E962&lt;&gt;"",COUNTIFS(DESK!$F$2:$F$601,C962,DESK!$B$2:$B$601,E962)=0),"Company is not one of theirs","OK"))))))</f>
        <v/>
      </c>
    </row>
    <row r="963" spans="1:10"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time",IF(D963="NO_SLOTS",IF(COUNTIF(PARTNERS!$A$2:$A$88,E963)=0,"Write the company in column E","OK"),IF(C963="","Missing phone",IF(COUNTIF(DESK!$F$2:$F$601,C963)=0,"Phone not found: copy it from your list",IF(AND(E963&lt;&gt;"",COUNTIFS(DESK!$F$2:$F$601,C963,DESK!$B$2:$B$601,E963)=0),"Company is not one of theirs","OK"))))))</f>
        <v/>
      </c>
    </row>
    <row r="964" spans="1:10"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time",IF(D964="NO_SLOTS",IF(COUNTIF(PARTNERS!$A$2:$A$88,E964)=0,"Write the company in column E","OK"),IF(C964="","Missing phone",IF(COUNTIF(DESK!$F$2:$F$601,C964)=0,"Phone not found: copy it from your list",IF(AND(E964&lt;&gt;"",COUNTIFS(DESK!$F$2:$F$601,C964,DESK!$B$2:$B$601,E964)=0),"Company is not one of theirs","OK"))))))</f>
        <v/>
      </c>
    </row>
    <row r="965" spans="1:10"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time",IF(D965="NO_SLOTS",IF(COUNTIF(PARTNERS!$A$2:$A$88,E965)=0,"Write the company in column E","OK"),IF(C965="","Missing phone",IF(COUNTIF(DESK!$F$2:$F$601,C965)=0,"Phone not found: copy it from your list",IF(AND(E965&lt;&gt;"",COUNTIFS(DESK!$F$2:$F$601,C965,DESK!$B$2:$B$601,E965)=0),"Company is not one of theirs","OK"))))))</f>
        <v/>
      </c>
    </row>
    <row r="966" spans="1:10"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time",IF(D966="NO_SLOTS",IF(COUNTIF(PARTNERS!$A$2:$A$88,E966)=0,"Write the company in column E","OK"),IF(C966="","Missing phone",IF(COUNTIF(DESK!$F$2:$F$601,C966)=0,"Phone not found: copy it from your list",IF(AND(E966&lt;&gt;"",COUNTIFS(DESK!$F$2:$F$601,C966,DESK!$B$2:$B$601,E966)=0),"Company is not one of theirs","OK"))))))</f>
        <v/>
      </c>
    </row>
    <row r="967" spans="1:10"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time",IF(D967="NO_SLOTS",IF(COUNTIF(PARTNERS!$A$2:$A$88,E967)=0,"Write the company in column E","OK"),IF(C967="","Missing phone",IF(COUNTIF(DESK!$F$2:$F$601,C967)=0,"Phone not found: copy it from your list",IF(AND(E967&lt;&gt;"",COUNTIFS(DESK!$F$2:$F$601,C967,DESK!$B$2:$B$601,E967)=0),"Company is not one of theirs","OK"))))))</f>
        <v/>
      </c>
    </row>
    <row r="968" spans="1:10"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time",IF(D968="NO_SLOTS",IF(COUNTIF(PARTNERS!$A$2:$A$88,E968)=0,"Write the company in column E","OK"),IF(C968="","Missing phone",IF(COUNTIF(DESK!$F$2:$F$601,C968)=0,"Phone not found: copy it from your list",IF(AND(E968&lt;&gt;"",COUNTIFS(DESK!$F$2:$F$601,C968,DESK!$B$2:$B$601,E968)=0),"Company is not one of theirs","OK"))))))</f>
        <v/>
      </c>
    </row>
    <row r="969" spans="1:10"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time",IF(D969="NO_SLOTS",IF(COUNTIF(PARTNERS!$A$2:$A$88,E969)=0,"Write the company in column E","OK"),IF(C969="","Missing phone",IF(COUNTIF(DESK!$F$2:$F$601,C969)=0,"Phone not found: copy it from your list",IF(AND(E969&lt;&gt;"",COUNTIFS(DESK!$F$2:$F$601,C969,DESK!$B$2:$B$601,E969)=0),"Company is not one of theirs","OK"))))))</f>
        <v/>
      </c>
    </row>
    <row r="970" spans="1:10"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time",IF(D970="NO_SLOTS",IF(COUNTIF(PARTNERS!$A$2:$A$88,E970)=0,"Write the company in column E","OK"),IF(C970="","Missing phone",IF(COUNTIF(DESK!$F$2:$F$601,C970)=0,"Phone not found: copy it from your list",IF(AND(E970&lt;&gt;"",COUNTIFS(DESK!$F$2:$F$601,C970,DESK!$B$2:$B$601,E970)=0),"Company is not one of theirs","OK"))))))</f>
        <v/>
      </c>
    </row>
    <row r="971" spans="1:10"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time",IF(D971="NO_SLOTS",IF(COUNTIF(PARTNERS!$A$2:$A$88,E971)=0,"Write the company in column E","OK"),IF(C971="","Missing phone",IF(COUNTIF(DESK!$F$2:$F$601,C971)=0,"Phone not found: copy it from your list",IF(AND(E971&lt;&gt;"",COUNTIFS(DESK!$F$2:$F$601,C971,DESK!$B$2:$B$601,E971)=0),"Company is not one of theirs","OK"))))))</f>
        <v/>
      </c>
    </row>
    <row r="972" spans="1:10"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time",IF(D972="NO_SLOTS",IF(COUNTIF(PARTNERS!$A$2:$A$88,E972)=0,"Write the company in column E","OK"),IF(C972="","Missing phone",IF(COUNTIF(DESK!$F$2:$F$601,C972)=0,"Phone not found: copy it from your list",IF(AND(E972&lt;&gt;"",COUNTIFS(DESK!$F$2:$F$601,C972,DESK!$B$2:$B$601,E972)=0),"Company is not one of theirs","OK"))))))</f>
        <v/>
      </c>
    </row>
    <row r="973" spans="1:10"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time",IF(D973="NO_SLOTS",IF(COUNTIF(PARTNERS!$A$2:$A$88,E973)=0,"Write the company in column E","OK"),IF(C973="","Missing phone",IF(COUNTIF(DESK!$F$2:$F$601,C973)=0,"Phone not found: copy it from your list",IF(AND(E973&lt;&gt;"",COUNTIFS(DESK!$F$2:$F$601,C973,DESK!$B$2:$B$601,E973)=0),"Company is not one of theirs","OK"))))))</f>
        <v/>
      </c>
    </row>
    <row r="974" spans="1:10"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time",IF(D974="NO_SLOTS",IF(COUNTIF(PARTNERS!$A$2:$A$88,E974)=0,"Write the company in column E","OK"),IF(C974="","Missing phone",IF(COUNTIF(DESK!$F$2:$F$601,C974)=0,"Phone not found: copy it from your list",IF(AND(E974&lt;&gt;"",COUNTIFS(DESK!$F$2:$F$601,C974,DESK!$B$2:$B$601,E974)=0),"Company is not one of theirs","OK"))))))</f>
        <v/>
      </c>
    </row>
    <row r="975" spans="1:10"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time",IF(D975="NO_SLOTS",IF(COUNTIF(PARTNERS!$A$2:$A$88,E975)=0,"Write the company in column E","OK"),IF(C975="","Missing phone",IF(COUNTIF(DESK!$F$2:$F$601,C975)=0,"Phone not found: copy it from your list",IF(AND(E975&lt;&gt;"",COUNTIFS(DESK!$F$2:$F$601,C975,DESK!$B$2:$B$601,E975)=0),"Company is not one of theirs","OK"))))))</f>
        <v/>
      </c>
    </row>
    <row r="976" spans="1:10"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time",IF(D976="NO_SLOTS",IF(COUNTIF(PARTNERS!$A$2:$A$88,E976)=0,"Write the company in column E","OK"),IF(C976="","Missing phone",IF(COUNTIF(DESK!$F$2:$F$601,C976)=0,"Phone not found: copy it from your list",IF(AND(E976&lt;&gt;"",COUNTIFS(DESK!$F$2:$F$601,C976,DESK!$B$2:$B$601,E976)=0),"Company is not one of theirs","OK"))))))</f>
        <v/>
      </c>
    </row>
    <row r="977" spans="1:10"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time",IF(D977="NO_SLOTS",IF(COUNTIF(PARTNERS!$A$2:$A$88,E977)=0,"Write the company in column E","OK"),IF(C977="","Missing phone",IF(COUNTIF(DESK!$F$2:$F$601,C977)=0,"Phone not found: copy it from your list",IF(AND(E977&lt;&gt;"",COUNTIFS(DESK!$F$2:$F$601,C977,DESK!$B$2:$B$601,E977)=0),"Company is not one of theirs","OK"))))))</f>
        <v/>
      </c>
    </row>
    <row r="978" spans="1:10"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time",IF(D978="NO_SLOTS",IF(COUNTIF(PARTNERS!$A$2:$A$88,E978)=0,"Write the company in column E","OK"),IF(C978="","Missing phone",IF(COUNTIF(DESK!$F$2:$F$601,C978)=0,"Phone not found: copy it from your list",IF(AND(E978&lt;&gt;"",COUNTIFS(DESK!$F$2:$F$601,C978,DESK!$B$2:$B$601,E978)=0),"Company is not one of theirs","OK"))))))</f>
        <v/>
      </c>
    </row>
    <row r="979" spans="1:10"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time",IF(D979="NO_SLOTS",IF(COUNTIF(PARTNERS!$A$2:$A$88,E979)=0,"Write the company in column E","OK"),IF(C979="","Missing phone",IF(COUNTIF(DESK!$F$2:$F$601,C979)=0,"Phone not found: copy it from your list",IF(AND(E979&lt;&gt;"",COUNTIFS(DESK!$F$2:$F$601,C979,DESK!$B$2:$B$601,E979)=0),"Company is not one of theirs","OK"))))))</f>
        <v/>
      </c>
    </row>
    <row r="980" spans="1:10"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time",IF(D980="NO_SLOTS",IF(COUNTIF(PARTNERS!$A$2:$A$88,E980)=0,"Write the company in column E","OK"),IF(C980="","Missing phone",IF(COUNTIF(DESK!$F$2:$F$601,C980)=0,"Phone not found: copy it from your list",IF(AND(E980&lt;&gt;"",COUNTIFS(DESK!$F$2:$F$601,C980,DESK!$B$2:$B$601,E980)=0),"Company is not one of theirs","OK"))))))</f>
        <v/>
      </c>
    </row>
    <row r="981" spans="1:10"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time",IF(D981="NO_SLOTS",IF(COUNTIF(PARTNERS!$A$2:$A$88,E981)=0,"Write the company in column E","OK"),IF(C981="","Missing phone",IF(COUNTIF(DESK!$F$2:$F$601,C981)=0,"Phone not found: copy it from your list",IF(AND(E981&lt;&gt;"",COUNTIFS(DESK!$F$2:$F$601,C981,DESK!$B$2:$B$601,E981)=0),"Company is not one of theirs","OK"))))))</f>
        <v/>
      </c>
    </row>
    <row r="982" spans="1:10"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time",IF(D982="NO_SLOTS",IF(COUNTIF(PARTNERS!$A$2:$A$88,E982)=0,"Write the company in column E","OK"),IF(C982="","Missing phone",IF(COUNTIF(DESK!$F$2:$F$601,C982)=0,"Phone not found: copy it from your list",IF(AND(E982&lt;&gt;"",COUNTIFS(DESK!$F$2:$F$601,C982,DESK!$B$2:$B$601,E982)=0),"Company is not one of theirs","OK"))))))</f>
        <v/>
      </c>
    </row>
    <row r="983" spans="1:10"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time",IF(D983="NO_SLOTS",IF(COUNTIF(PARTNERS!$A$2:$A$88,E983)=0,"Write the company in column E","OK"),IF(C983="","Missing phone",IF(COUNTIF(DESK!$F$2:$F$601,C983)=0,"Phone not found: copy it from your list",IF(AND(E983&lt;&gt;"",COUNTIFS(DESK!$F$2:$F$601,C983,DESK!$B$2:$B$601,E983)=0),"Company is not one of theirs","OK"))))))</f>
        <v/>
      </c>
    </row>
    <row r="984" spans="1:10"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time",IF(D984="NO_SLOTS",IF(COUNTIF(PARTNERS!$A$2:$A$88,E984)=0,"Write the company in column E","OK"),IF(C984="","Missing phone",IF(COUNTIF(DESK!$F$2:$F$601,C984)=0,"Phone not found: copy it from your list",IF(AND(E984&lt;&gt;"",COUNTIFS(DESK!$F$2:$F$601,C984,DESK!$B$2:$B$601,E984)=0),"Company is not one of theirs","OK"))))))</f>
        <v/>
      </c>
    </row>
    <row r="985" spans="1:10"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time",IF(D985="NO_SLOTS",IF(COUNTIF(PARTNERS!$A$2:$A$88,E985)=0,"Write the company in column E","OK"),IF(C985="","Missing phone",IF(COUNTIF(DESK!$F$2:$F$601,C985)=0,"Phone not found: copy it from your list",IF(AND(E985&lt;&gt;"",COUNTIFS(DESK!$F$2:$F$601,C985,DESK!$B$2:$B$601,E985)=0),"Company is not one of theirs","OK"))))))</f>
        <v/>
      </c>
    </row>
    <row r="986" spans="1:10"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time",IF(D986="NO_SLOTS",IF(COUNTIF(PARTNERS!$A$2:$A$88,E986)=0,"Write the company in column E","OK"),IF(C986="","Missing phone",IF(COUNTIF(DESK!$F$2:$F$601,C986)=0,"Phone not found: copy it from your list",IF(AND(E986&lt;&gt;"",COUNTIFS(DESK!$F$2:$F$601,C986,DESK!$B$2:$B$601,E986)=0),"Company is not one of theirs","OK"))))))</f>
        <v/>
      </c>
    </row>
    <row r="987" spans="1:10"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time",IF(D987="NO_SLOTS",IF(COUNTIF(PARTNERS!$A$2:$A$88,E987)=0,"Write the company in column E","OK"),IF(C987="","Missing phone",IF(COUNTIF(DESK!$F$2:$F$601,C987)=0,"Phone not found: copy it from your list",IF(AND(E987&lt;&gt;"",COUNTIFS(DESK!$F$2:$F$601,C987,DESK!$B$2:$B$601,E987)=0),"Company is not one of theirs","OK"))))))</f>
        <v/>
      </c>
    </row>
    <row r="988" spans="1:10"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time",IF(D988="NO_SLOTS",IF(COUNTIF(PARTNERS!$A$2:$A$88,E988)=0,"Write the company in column E","OK"),IF(C988="","Missing phone",IF(COUNTIF(DESK!$F$2:$F$601,C988)=0,"Phone not found: copy it from your list",IF(AND(E988&lt;&gt;"",COUNTIFS(DESK!$F$2:$F$601,C988,DESK!$B$2:$B$601,E988)=0),"Company is not one of theirs","OK"))))))</f>
        <v/>
      </c>
    </row>
    <row r="989" spans="1:10"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time",IF(D989="NO_SLOTS",IF(COUNTIF(PARTNERS!$A$2:$A$88,E989)=0,"Write the company in column E","OK"),IF(C989="","Missing phone",IF(COUNTIF(DESK!$F$2:$F$601,C989)=0,"Phone not found: copy it from your list",IF(AND(E989&lt;&gt;"",COUNTIFS(DESK!$F$2:$F$601,C989,DESK!$B$2:$B$601,E989)=0),"Company is not one of theirs","OK"))))))</f>
        <v/>
      </c>
    </row>
    <row r="990" spans="1:10"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time",IF(D990="NO_SLOTS",IF(COUNTIF(PARTNERS!$A$2:$A$88,E990)=0,"Write the company in column E","OK"),IF(C990="","Missing phone",IF(COUNTIF(DESK!$F$2:$F$601,C990)=0,"Phone not found: copy it from your list",IF(AND(E990&lt;&gt;"",COUNTIFS(DESK!$F$2:$F$601,C990,DESK!$B$2:$B$601,E990)=0),"Company is not one of theirs","OK"))))))</f>
        <v/>
      </c>
    </row>
    <row r="991" spans="1:10"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time",IF(D991="NO_SLOTS",IF(COUNTIF(PARTNERS!$A$2:$A$88,E991)=0,"Write the company in column E","OK"),IF(C991="","Missing phone",IF(COUNTIF(DESK!$F$2:$F$601,C991)=0,"Phone not found: copy it from your list",IF(AND(E991&lt;&gt;"",COUNTIFS(DESK!$F$2:$F$601,C991,DESK!$B$2:$B$601,E991)=0),"Company is not one of theirs","OK"))))))</f>
        <v/>
      </c>
    </row>
    <row r="992" spans="1:10"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time",IF(D992="NO_SLOTS",IF(COUNTIF(PARTNERS!$A$2:$A$88,E992)=0,"Write the company in column E","OK"),IF(C992="","Missing phone",IF(COUNTIF(DESK!$F$2:$F$601,C992)=0,"Phone not found: copy it from your list",IF(AND(E992&lt;&gt;"",COUNTIFS(DESK!$F$2:$F$601,C992,DESK!$B$2:$B$601,E992)=0),"Company is not one of theirs","OK"))))))</f>
        <v/>
      </c>
    </row>
    <row r="993" spans="1:10"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time",IF(D993="NO_SLOTS",IF(COUNTIF(PARTNERS!$A$2:$A$88,E993)=0,"Write the company in column E","OK"),IF(C993="","Missing phone",IF(COUNTIF(DESK!$F$2:$F$601,C993)=0,"Phone not found: copy it from your list",IF(AND(E993&lt;&gt;"",COUNTIFS(DESK!$F$2:$F$601,C993,DESK!$B$2:$B$601,E993)=0),"Company is not one of theirs","OK"))))))</f>
        <v/>
      </c>
    </row>
    <row r="994" spans="1:10"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time",IF(D994="NO_SLOTS",IF(COUNTIF(PARTNERS!$A$2:$A$88,E994)=0,"Write the company in column E","OK"),IF(C994="","Missing phone",IF(COUNTIF(DESK!$F$2:$F$601,C994)=0,"Phone not found: copy it from your list",IF(AND(E994&lt;&gt;"",COUNTIFS(DESK!$F$2:$F$601,C994,DESK!$B$2:$B$601,E994)=0),"Company is not one of theirs","OK"))))))</f>
        <v/>
      </c>
    </row>
    <row r="995" spans="1:10"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time",IF(D995="NO_SLOTS",IF(COUNTIF(PARTNERS!$A$2:$A$88,E995)=0,"Write the company in column E","OK"),IF(C995="","Missing phone",IF(COUNTIF(DESK!$F$2:$F$601,C995)=0,"Phone not found: copy it from your list",IF(AND(E995&lt;&gt;"",COUNTIFS(DESK!$F$2:$F$601,C995,DESK!$B$2:$B$601,E995)=0),"Company is not one of theirs","OK"))))))</f>
        <v/>
      </c>
    </row>
    <row r="996" spans="1:10"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time",IF(D996="NO_SLOTS",IF(COUNTIF(PARTNERS!$A$2:$A$88,E996)=0,"Write the company in column E","OK"),IF(C996="","Missing phone",IF(COUNTIF(DESK!$F$2:$F$601,C996)=0,"Phone not found: copy it from your list",IF(AND(E996&lt;&gt;"",COUNTIFS(DESK!$F$2:$F$601,C996,DESK!$B$2:$B$601,E996)=0),"Company is not one of theirs","OK"))))))</f>
        <v/>
      </c>
    </row>
    <row r="997" spans="1:10"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time",IF(D997="NO_SLOTS",IF(COUNTIF(PARTNERS!$A$2:$A$88,E997)=0,"Write the company in column E","OK"),IF(C997="","Missing phone",IF(COUNTIF(DESK!$F$2:$F$601,C997)=0,"Phone not found: copy it from your list",IF(AND(E997&lt;&gt;"",COUNTIFS(DESK!$F$2:$F$601,C997,DESK!$B$2:$B$601,E997)=0),"Company is not one of theirs","OK"))))))</f>
        <v/>
      </c>
    </row>
    <row r="998" spans="1:10"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time",IF(D998="NO_SLOTS",IF(COUNTIF(PARTNERS!$A$2:$A$88,E998)=0,"Write the company in column E","OK"),IF(C998="","Missing phone",IF(COUNTIF(DESK!$F$2:$F$601,C998)=0,"Phone not found: copy it from your list",IF(AND(E998&lt;&gt;"",COUNTIFS(DESK!$F$2:$F$601,C998,DESK!$B$2:$B$601,E998)=0),"Company is not one of theirs","OK"))))))</f>
        <v/>
      </c>
    </row>
    <row r="999" spans="1:10"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time",IF(D999="NO_SLOTS",IF(COUNTIF(PARTNERS!$A$2:$A$88,E999)=0,"Write the company in column E","OK"),IF(C999="","Missing phone",IF(COUNTIF(DESK!$F$2:$F$601,C999)=0,"Phone not found: copy it from your list",IF(AND(E999&lt;&gt;"",COUNTIFS(DESK!$F$2:$F$601,C999,DESK!$B$2:$B$601,E999)=0),"Company is not one of theirs","OK"))))))</f>
        <v/>
      </c>
    </row>
    <row r="1000" spans="1:10"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time",IF(D1000="NO_SLOTS",IF(COUNTIF(PARTNERS!$A$2:$A$88,E1000)=0,"Write the company in column E","OK"),IF(C1000="","Missing phone",IF(COUNTIF(DESK!$F$2:$F$601,C1000)=0,"Phone not found: copy it from your list",IF(AND(E1000&lt;&gt;"",COUNTIFS(DESK!$F$2:$F$601,C1000,DESK!$B$2:$B$601,E1000)=0),"Company is not one of theirs","OK"))))))</f>
        <v/>
      </c>
    </row>
    <row r="1001" spans="1:10"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time",IF(D1001="NO_SLOTS",IF(COUNTIF(PARTNERS!$A$2:$A$88,E1001)=0,"Write the company in column E","OK"),IF(C1001="","Missing phone",IF(COUNTIF(DESK!$F$2:$F$601,C1001)=0,"Phone not found: copy it from your list",IF(AND(E1001&lt;&gt;"",COUNTIFS(DESK!$F$2:$F$601,C1001,DESK!$B$2:$B$601,E1001)=0),"Company is not one of theirs","OK"))))))</f>
        <v/>
      </c>
    </row>
    <row r="1002" spans="1:10"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time",IF(D1002="NO_SLOTS",IF(COUNTIF(PARTNERS!$A$2:$A$88,E1002)=0,"Write the company in column E","OK"),IF(C1002="","Missing phone",IF(COUNTIF(DESK!$F$2:$F$601,C1002)=0,"Phone not found: copy it from your list",IF(AND(E1002&lt;&gt;"",COUNTIFS(DESK!$F$2:$F$601,C1002,DESK!$B$2:$B$601,E1002)=0),"Company is not one of theirs","OK"))))))</f>
        <v/>
      </c>
    </row>
    <row r="1003" spans="1:10"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time",IF(D1003="NO_SLOTS",IF(COUNTIF(PARTNERS!$A$2:$A$88,E1003)=0,"Write the company in column E","OK"),IF(C1003="","Missing phone",IF(COUNTIF(DESK!$F$2:$F$601,C1003)=0,"Phone not found: copy it from your list",IF(AND(E1003&lt;&gt;"",COUNTIFS(DESK!$F$2:$F$601,C1003,DESK!$B$2:$B$601,E1003)=0),"Company is not one of theirs","OK"))))))</f>
        <v/>
      </c>
    </row>
    <row r="1004" spans="1:10"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time",IF(D1004="NO_SLOTS",IF(COUNTIF(PARTNERS!$A$2:$A$88,E1004)=0,"Write the company in column E","OK"),IF(C1004="","Missing phone",IF(COUNTIF(DESK!$F$2:$F$601,C1004)=0,"Phone not found: copy it from your list",IF(AND(E1004&lt;&gt;"",COUNTIFS(DESK!$F$2:$F$601,C1004,DESK!$B$2:$B$601,E1004)=0),"Company is not one of theirs","OK"))))))</f>
        <v/>
      </c>
    </row>
    <row r="1005" spans="1:10"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time",IF(D1005="NO_SLOTS",IF(COUNTIF(PARTNERS!$A$2:$A$88,E1005)=0,"Write the company in column E","OK"),IF(C1005="","Missing phone",IF(COUNTIF(DESK!$F$2:$F$601,C1005)=0,"Phone not found: copy it from your list",IF(AND(E1005&lt;&gt;"",COUNTIFS(DESK!$F$2:$F$601,C1005,DESK!$B$2:$B$601,E1005)=0),"Company is not one of theirs","OK"))))))</f>
        <v/>
      </c>
    </row>
    <row r="1006" spans="1:10"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time",IF(D1006="NO_SLOTS",IF(COUNTIF(PARTNERS!$A$2:$A$88,E1006)=0,"Write the company in column E","OK"),IF(C1006="","Missing phone",IF(COUNTIF(DESK!$F$2:$F$601,C1006)=0,"Phone not found: copy it from your list",IF(AND(E1006&lt;&gt;"",COUNTIFS(DESK!$F$2:$F$601,C1006,DESK!$B$2:$B$601,E1006)=0),"Company is not one of theirs","OK"))))))</f>
        <v/>
      </c>
    </row>
    <row r="1007" spans="1:10"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time",IF(D1007="NO_SLOTS",IF(COUNTIF(PARTNERS!$A$2:$A$88,E1007)=0,"Write the company in column E","OK"),IF(C1007="","Missing phone",IF(COUNTIF(DESK!$F$2:$F$601,C1007)=0,"Phone not found: copy it from your list",IF(AND(E1007&lt;&gt;"",COUNTIFS(DESK!$F$2:$F$601,C1007,DESK!$B$2:$B$601,E1007)=0),"Company is not one of theirs","OK"))))))</f>
        <v/>
      </c>
    </row>
    <row r="1008" spans="1:10"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time",IF(D1008="NO_SLOTS",IF(COUNTIF(PARTNERS!$A$2:$A$88,E1008)=0,"Write the company in column E","OK"),IF(C1008="","Missing phone",IF(COUNTIF(DESK!$F$2:$F$601,C1008)=0,"Phone not found: copy it from your list",IF(AND(E1008&lt;&gt;"",COUNTIFS(DESK!$F$2:$F$601,C1008,DESK!$B$2:$B$601,E1008)=0),"Company is not one of theirs","OK"))))))</f>
        <v/>
      </c>
    </row>
    <row r="1009" spans="1:10"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time",IF(D1009="NO_SLOTS",IF(COUNTIF(PARTNERS!$A$2:$A$88,E1009)=0,"Write the company in column E","OK"),IF(C1009="","Missing phone",IF(COUNTIF(DESK!$F$2:$F$601,C1009)=0,"Phone not found: copy it from your list",IF(AND(E1009&lt;&gt;"",COUNTIFS(DESK!$F$2:$F$601,C1009,DESK!$B$2:$B$601,E1009)=0),"Company is not one of theirs","OK"))))))</f>
        <v/>
      </c>
    </row>
    <row r="1010" spans="1:10"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time",IF(D1010="NO_SLOTS",IF(COUNTIF(PARTNERS!$A$2:$A$88,E1010)=0,"Write the company in column E","OK"),IF(C1010="","Missing phone",IF(COUNTIF(DESK!$F$2:$F$601,C1010)=0,"Phone not found: copy it from your list",IF(AND(E1010&lt;&gt;"",COUNTIFS(DESK!$F$2:$F$601,C1010,DESK!$B$2:$B$601,E1010)=0),"Company is not one of theirs","OK"))))))</f>
        <v/>
      </c>
    </row>
    <row r="1011" spans="1:10"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time",IF(D1011="NO_SLOTS",IF(COUNTIF(PARTNERS!$A$2:$A$88,E1011)=0,"Write the company in column E","OK"),IF(C1011="","Missing phone",IF(COUNTIF(DESK!$F$2:$F$601,C1011)=0,"Phone not found: copy it from your list",IF(AND(E1011&lt;&gt;"",COUNTIFS(DESK!$F$2:$F$601,C1011,DESK!$B$2:$B$601,E1011)=0),"Company is not one of theirs","OK"))))))</f>
        <v/>
      </c>
    </row>
    <row r="1012" spans="1:10"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time",IF(D1012="NO_SLOTS",IF(COUNTIF(PARTNERS!$A$2:$A$88,E1012)=0,"Write the company in column E","OK"),IF(C1012="","Missing phone",IF(COUNTIF(DESK!$F$2:$F$601,C1012)=0,"Phone not found: copy it from your list",IF(AND(E1012&lt;&gt;"",COUNTIFS(DESK!$F$2:$F$601,C1012,DESK!$B$2:$B$601,E1012)=0),"Company is not one of theirs","OK"))))))</f>
        <v/>
      </c>
    </row>
    <row r="1013" spans="1:10"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time",IF(D1013="NO_SLOTS",IF(COUNTIF(PARTNERS!$A$2:$A$88,E1013)=0,"Write the company in column E","OK"),IF(C1013="","Missing phone",IF(COUNTIF(DESK!$F$2:$F$601,C1013)=0,"Phone not found: copy it from your list",IF(AND(E1013&lt;&gt;"",COUNTIFS(DESK!$F$2:$F$601,C1013,DESK!$B$2:$B$601,E1013)=0),"Company is not one of theirs","OK"))))))</f>
        <v/>
      </c>
    </row>
    <row r="1014" spans="1:10"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time",IF(D1014="NO_SLOTS",IF(COUNTIF(PARTNERS!$A$2:$A$88,E1014)=0,"Write the company in column E","OK"),IF(C1014="","Missing phone",IF(COUNTIF(DESK!$F$2:$F$601,C1014)=0,"Phone not found: copy it from your list",IF(AND(E1014&lt;&gt;"",COUNTIFS(DESK!$F$2:$F$601,C1014,DESK!$B$2:$B$601,E1014)=0),"Company is not one of theirs","OK"))))))</f>
        <v/>
      </c>
    </row>
    <row r="1015" spans="1:10"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time",IF(D1015="NO_SLOTS",IF(COUNTIF(PARTNERS!$A$2:$A$88,E1015)=0,"Write the company in column E","OK"),IF(C1015="","Missing phone",IF(COUNTIF(DESK!$F$2:$F$601,C1015)=0,"Phone not found: copy it from your list",IF(AND(E1015&lt;&gt;"",COUNTIFS(DESK!$F$2:$F$601,C1015,DESK!$B$2:$B$601,E1015)=0),"Company is not one of theirs","OK"))))))</f>
        <v/>
      </c>
    </row>
    <row r="1016" spans="1:10"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time",IF(D1016="NO_SLOTS",IF(COUNTIF(PARTNERS!$A$2:$A$88,E1016)=0,"Write the company in column E","OK"),IF(C1016="","Missing phone",IF(COUNTIF(DESK!$F$2:$F$601,C1016)=0,"Phone not found: copy it from your list",IF(AND(E1016&lt;&gt;"",COUNTIFS(DESK!$F$2:$F$601,C1016,DESK!$B$2:$B$601,E1016)=0),"Company is not one of theirs","OK"))))))</f>
        <v/>
      </c>
    </row>
    <row r="1017" spans="1:10"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time",IF(D1017="NO_SLOTS",IF(COUNTIF(PARTNERS!$A$2:$A$88,E1017)=0,"Write the company in column E","OK"),IF(C1017="","Missing phone",IF(COUNTIF(DESK!$F$2:$F$601,C1017)=0,"Phone not found: copy it from your list",IF(AND(E1017&lt;&gt;"",COUNTIFS(DESK!$F$2:$F$601,C1017,DESK!$B$2:$B$601,E1017)=0),"Company is not one of theirs","OK"))))))</f>
        <v/>
      </c>
    </row>
    <row r="1018" spans="1:10"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time",IF(D1018="NO_SLOTS",IF(COUNTIF(PARTNERS!$A$2:$A$88,E1018)=0,"Write the company in column E","OK"),IF(C1018="","Missing phone",IF(COUNTIF(DESK!$F$2:$F$601,C1018)=0,"Phone not found: copy it from your list",IF(AND(E1018&lt;&gt;"",COUNTIFS(DESK!$F$2:$F$601,C1018,DESK!$B$2:$B$601,E1018)=0),"Company is not one of theirs","OK"))))))</f>
        <v/>
      </c>
    </row>
    <row r="1019" spans="1:10"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time",IF(D1019="NO_SLOTS",IF(COUNTIF(PARTNERS!$A$2:$A$88,E1019)=0,"Write the company in column E","OK"),IF(C1019="","Missing phone",IF(COUNTIF(DESK!$F$2:$F$601,C1019)=0,"Phone not found: copy it from your list",IF(AND(E1019&lt;&gt;"",COUNTIFS(DESK!$F$2:$F$601,C1019,DESK!$B$2:$B$601,E1019)=0),"Company is not one of theirs","OK"))))))</f>
        <v/>
      </c>
    </row>
    <row r="1020" spans="1:10"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time",IF(D1020="NO_SLOTS",IF(COUNTIF(PARTNERS!$A$2:$A$88,E1020)=0,"Write the company in column E","OK"),IF(C1020="","Missing phone",IF(COUNTIF(DESK!$F$2:$F$601,C1020)=0,"Phone not found: copy it from your list",IF(AND(E1020&lt;&gt;"",COUNTIFS(DESK!$F$2:$F$601,C1020,DESK!$B$2:$B$601,E1020)=0),"Company is not one of theirs","OK"))))))</f>
        <v/>
      </c>
    </row>
    <row r="1021" spans="1:10"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time",IF(D1021="NO_SLOTS",IF(COUNTIF(PARTNERS!$A$2:$A$88,E1021)=0,"Write the company in column E","OK"),IF(C1021="","Missing phone",IF(COUNTIF(DESK!$F$2:$F$601,C1021)=0,"Phone not found: copy it from your list",IF(AND(E1021&lt;&gt;"",COUNTIFS(DESK!$F$2:$F$601,C1021,DESK!$B$2:$B$601,E1021)=0),"Company is not one of theirs","OK"))))))</f>
        <v/>
      </c>
    </row>
    <row r="1022" spans="1:10"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time",IF(D1022="NO_SLOTS",IF(COUNTIF(PARTNERS!$A$2:$A$88,E1022)=0,"Write the company in column E","OK"),IF(C1022="","Missing phone",IF(COUNTIF(DESK!$F$2:$F$601,C1022)=0,"Phone not found: copy it from your list",IF(AND(E1022&lt;&gt;"",COUNTIFS(DESK!$F$2:$F$601,C1022,DESK!$B$2:$B$601,E1022)=0),"Company is not one of theirs","OK"))))))</f>
        <v/>
      </c>
    </row>
    <row r="1023" spans="1:10"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time",IF(D1023="NO_SLOTS",IF(COUNTIF(PARTNERS!$A$2:$A$88,E1023)=0,"Write the company in column E","OK"),IF(C1023="","Missing phone",IF(COUNTIF(DESK!$F$2:$F$601,C1023)=0,"Phone not found: copy it from your list",IF(AND(E1023&lt;&gt;"",COUNTIFS(DESK!$F$2:$F$601,C1023,DESK!$B$2:$B$601,E1023)=0),"Company is not one of theirs","OK"))))))</f>
        <v/>
      </c>
    </row>
    <row r="1024" spans="1:10"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time",IF(D1024="NO_SLOTS",IF(COUNTIF(PARTNERS!$A$2:$A$88,E1024)=0,"Write the company in column E","OK"),IF(C1024="","Missing phone",IF(COUNTIF(DESK!$F$2:$F$601,C1024)=0,"Phone not found: copy it from your list",IF(AND(E1024&lt;&gt;"",COUNTIFS(DESK!$F$2:$F$601,C1024,DESK!$B$2:$B$601,E1024)=0),"Company is not one of theirs","OK"))))))</f>
        <v/>
      </c>
    </row>
    <row r="1025" spans="1:10"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time",IF(D1025="NO_SLOTS",IF(COUNTIF(PARTNERS!$A$2:$A$88,E1025)=0,"Write the company in column E","OK"),IF(C1025="","Missing phone",IF(COUNTIF(DESK!$F$2:$F$601,C1025)=0,"Phone not found: copy it from your list",IF(AND(E1025&lt;&gt;"",COUNTIFS(DESK!$F$2:$F$601,C1025,DESK!$B$2:$B$601,E1025)=0),"Company is not one of theirs","OK"))))))</f>
        <v/>
      </c>
    </row>
    <row r="1026" spans="1:10"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time",IF(D1026="NO_SLOTS",IF(COUNTIF(PARTNERS!$A$2:$A$88,E1026)=0,"Write the company in column E","OK"),IF(C1026="","Missing phone",IF(COUNTIF(DESK!$F$2:$F$601,C1026)=0,"Phone not found: copy it from your list",IF(AND(E1026&lt;&gt;"",COUNTIFS(DESK!$F$2:$F$601,C1026,DESK!$B$2:$B$601,E1026)=0),"Company is not one of theirs","OK"))))))</f>
        <v/>
      </c>
    </row>
    <row r="1027" spans="1:10"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time",IF(D1027="NO_SLOTS",IF(COUNTIF(PARTNERS!$A$2:$A$88,E1027)=0,"Write the company in column E","OK"),IF(C1027="","Missing phone",IF(COUNTIF(DESK!$F$2:$F$601,C1027)=0,"Phone not found: copy it from your list",IF(AND(E1027&lt;&gt;"",COUNTIFS(DESK!$F$2:$F$601,C1027,DESK!$B$2:$B$601,E1027)=0),"Company is not one of theirs","OK"))))))</f>
        <v/>
      </c>
    </row>
    <row r="1028" spans="1:10"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time",IF(D1028="NO_SLOTS",IF(COUNTIF(PARTNERS!$A$2:$A$88,E1028)=0,"Write the company in column E","OK"),IF(C1028="","Missing phone",IF(COUNTIF(DESK!$F$2:$F$601,C1028)=0,"Phone not found: copy it from your list",IF(AND(E1028&lt;&gt;"",COUNTIFS(DESK!$F$2:$F$601,C1028,DESK!$B$2:$B$601,E1028)=0),"Company is not one of theirs","OK"))))))</f>
        <v/>
      </c>
    </row>
    <row r="1029" spans="1:10"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time",IF(D1029="NO_SLOTS",IF(COUNTIF(PARTNERS!$A$2:$A$88,E1029)=0,"Write the company in column E","OK"),IF(C1029="","Missing phone",IF(COUNTIF(DESK!$F$2:$F$601,C1029)=0,"Phone not found: copy it from your list",IF(AND(E1029&lt;&gt;"",COUNTIFS(DESK!$F$2:$F$601,C1029,DESK!$B$2:$B$601,E1029)=0),"Company is not one of theirs","OK"))))))</f>
        <v/>
      </c>
    </row>
    <row r="1030" spans="1:10"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time",IF(D1030="NO_SLOTS",IF(COUNTIF(PARTNERS!$A$2:$A$88,E1030)=0,"Write the company in column E","OK"),IF(C1030="","Missing phone",IF(COUNTIF(DESK!$F$2:$F$601,C1030)=0,"Phone not found: copy it from your list",IF(AND(E1030&lt;&gt;"",COUNTIFS(DESK!$F$2:$F$601,C1030,DESK!$B$2:$B$601,E1030)=0),"Company is not one of theirs","OK"))))))</f>
        <v/>
      </c>
    </row>
    <row r="1031" spans="1:10"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time",IF(D1031="NO_SLOTS",IF(COUNTIF(PARTNERS!$A$2:$A$88,E1031)=0,"Write the company in column E","OK"),IF(C1031="","Missing phone",IF(COUNTIF(DESK!$F$2:$F$601,C1031)=0,"Phone not found: copy it from your list",IF(AND(E1031&lt;&gt;"",COUNTIFS(DESK!$F$2:$F$601,C1031,DESK!$B$2:$B$601,E1031)=0),"Company is not one of theirs","OK"))))))</f>
        <v/>
      </c>
    </row>
    <row r="1032" spans="1:10"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time",IF(D1032="NO_SLOTS",IF(COUNTIF(PARTNERS!$A$2:$A$88,E1032)=0,"Write the company in column E","OK"),IF(C1032="","Missing phone",IF(COUNTIF(DESK!$F$2:$F$601,C1032)=0,"Phone not found: copy it from your list",IF(AND(E1032&lt;&gt;"",COUNTIFS(DESK!$F$2:$F$601,C1032,DESK!$B$2:$B$601,E1032)=0),"Company is not one of theirs","OK"))))))</f>
        <v/>
      </c>
    </row>
    <row r="1033" spans="1:10"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time",IF(D1033="NO_SLOTS",IF(COUNTIF(PARTNERS!$A$2:$A$88,E1033)=0,"Write the company in column E","OK"),IF(C1033="","Missing phone",IF(COUNTIF(DESK!$F$2:$F$601,C1033)=0,"Phone not found: copy it from your list",IF(AND(E1033&lt;&gt;"",COUNTIFS(DESK!$F$2:$F$601,C1033,DESK!$B$2:$B$601,E1033)=0),"Company is not one of theirs","OK"))))))</f>
        <v/>
      </c>
    </row>
    <row r="1034" spans="1:10"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time",IF(D1034="NO_SLOTS",IF(COUNTIF(PARTNERS!$A$2:$A$88,E1034)=0,"Write the company in column E","OK"),IF(C1034="","Missing phone",IF(COUNTIF(DESK!$F$2:$F$601,C1034)=0,"Phone not found: copy it from your list",IF(AND(E1034&lt;&gt;"",COUNTIFS(DESK!$F$2:$F$601,C1034,DESK!$B$2:$B$601,E1034)=0),"Company is not one of theirs","OK"))))))</f>
        <v/>
      </c>
    </row>
    <row r="1035" spans="1:10"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time",IF(D1035="NO_SLOTS",IF(COUNTIF(PARTNERS!$A$2:$A$88,E1035)=0,"Write the company in column E","OK"),IF(C1035="","Missing phone",IF(COUNTIF(DESK!$F$2:$F$601,C1035)=0,"Phone not found: copy it from your list",IF(AND(E1035&lt;&gt;"",COUNTIFS(DESK!$F$2:$F$601,C1035,DESK!$B$2:$B$601,E1035)=0),"Company is not one of theirs","OK"))))))</f>
        <v/>
      </c>
    </row>
    <row r="1036" spans="1:10"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time",IF(D1036="NO_SLOTS",IF(COUNTIF(PARTNERS!$A$2:$A$88,E1036)=0,"Write the company in column E","OK"),IF(C1036="","Missing phone",IF(COUNTIF(DESK!$F$2:$F$601,C1036)=0,"Phone not found: copy it from your list",IF(AND(E1036&lt;&gt;"",COUNTIFS(DESK!$F$2:$F$601,C1036,DESK!$B$2:$B$601,E1036)=0),"Company is not one of theirs","OK"))))))</f>
        <v/>
      </c>
    </row>
    <row r="1037" spans="1:10"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time",IF(D1037="NO_SLOTS",IF(COUNTIF(PARTNERS!$A$2:$A$88,E1037)=0,"Write the company in column E","OK"),IF(C1037="","Missing phone",IF(COUNTIF(DESK!$F$2:$F$601,C1037)=0,"Phone not found: copy it from your list",IF(AND(E1037&lt;&gt;"",COUNTIFS(DESK!$F$2:$F$601,C1037,DESK!$B$2:$B$601,E1037)=0),"Company is not one of theirs","OK"))))))</f>
        <v/>
      </c>
    </row>
    <row r="1038" spans="1:10"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time",IF(D1038="NO_SLOTS",IF(COUNTIF(PARTNERS!$A$2:$A$88,E1038)=0,"Write the company in column E","OK"),IF(C1038="","Missing phone",IF(COUNTIF(DESK!$F$2:$F$601,C1038)=0,"Phone not found: copy it from your list",IF(AND(E1038&lt;&gt;"",COUNTIFS(DESK!$F$2:$F$601,C1038,DESK!$B$2:$B$601,E1038)=0),"Company is not one of theirs","OK"))))))</f>
        <v/>
      </c>
    </row>
    <row r="1039" spans="1:10"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time",IF(D1039="NO_SLOTS",IF(COUNTIF(PARTNERS!$A$2:$A$88,E1039)=0,"Write the company in column E","OK"),IF(C1039="","Missing phone",IF(COUNTIF(DESK!$F$2:$F$601,C1039)=0,"Phone not found: copy it from your list",IF(AND(E1039&lt;&gt;"",COUNTIFS(DESK!$F$2:$F$601,C1039,DESK!$B$2:$B$601,E1039)=0),"Company is not one of theirs","OK"))))))</f>
        <v/>
      </c>
    </row>
    <row r="1040" spans="1:10"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time",IF(D1040="NO_SLOTS",IF(COUNTIF(PARTNERS!$A$2:$A$88,E1040)=0,"Write the company in column E","OK"),IF(C1040="","Missing phone",IF(COUNTIF(DESK!$F$2:$F$601,C1040)=0,"Phone not found: copy it from your list",IF(AND(E1040&lt;&gt;"",COUNTIFS(DESK!$F$2:$F$601,C1040,DESK!$B$2:$B$601,E1040)=0),"Company is not one of theirs","OK"))))))</f>
        <v/>
      </c>
    </row>
    <row r="1041" spans="1:10"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time",IF(D1041="NO_SLOTS",IF(COUNTIF(PARTNERS!$A$2:$A$88,E1041)=0,"Write the company in column E","OK"),IF(C1041="","Missing phone",IF(COUNTIF(DESK!$F$2:$F$601,C1041)=0,"Phone not found: copy it from your list",IF(AND(E1041&lt;&gt;"",COUNTIFS(DESK!$F$2:$F$601,C1041,DESK!$B$2:$B$601,E1041)=0),"Company is not one of theirs","OK"))))))</f>
        <v/>
      </c>
    </row>
    <row r="1042" spans="1:10"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time",IF(D1042="NO_SLOTS",IF(COUNTIF(PARTNERS!$A$2:$A$88,E1042)=0,"Write the company in column E","OK"),IF(C1042="","Missing phone",IF(COUNTIF(DESK!$F$2:$F$601,C1042)=0,"Phone not found: copy it from your list",IF(AND(E1042&lt;&gt;"",COUNTIFS(DESK!$F$2:$F$601,C1042,DESK!$B$2:$B$601,E1042)=0),"Company is not one of theirs","OK"))))))</f>
        <v/>
      </c>
    </row>
    <row r="1043" spans="1:10"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time",IF(D1043="NO_SLOTS",IF(COUNTIF(PARTNERS!$A$2:$A$88,E1043)=0,"Write the company in column E","OK"),IF(C1043="","Missing phone",IF(COUNTIF(DESK!$F$2:$F$601,C1043)=0,"Phone not found: copy it from your list",IF(AND(E1043&lt;&gt;"",COUNTIFS(DESK!$F$2:$F$601,C1043,DESK!$B$2:$B$601,E1043)=0),"Company is not one of theirs","OK"))))))</f>
        <v/>
      </c>
    </row>
    <row r="1044" spans="1:10"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time",IF(D1044="NO_SLOTS",IF(COUNTIF(PARTNERS!$A$2:$A$88,E1044)=0,"Write the company in column E","OK"),IF(C1044="","Missing phone",IF(COUNTIF(DESK!$F$2:$F$601,C1044)=0,"Phone not found: copy it from your list",IF(AND(E1044&lt;&gt;"",COUNTIFS(DESK!$F$2:$F$601,C1044,DESK!$B$2:$B$601,E1044)=0),"Company is not one of theirs","OK"))))))</f>
        <v/>
      </c>
    </row>
    <row r="1045" spans="1:10"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time",IF(D1045="NO_SLOTS",IF(COUNTIF(PARTNERS!$A$2:$A$88,E1045)=0,"Write the company in column E","OK"),IF(C1045="","Missing phone",IF(COUNTIF(DESK!$F$2:$F$601,C1045)=0,"Phone not found: copy it from your list",IF(AND(E1045&lt;&gt;"",COUNTIFS(DESK!$F$2:$F$601,C1045,DESK!$B$2:$B$601,E1045)=0),"Company is not one of theirs","OK"))))))</f>
        <v/>
      </c>
    </row>
    <row r="1046" spans="1:10"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time",IF(D1046="NO_SLOTS",IF(COUNTIF(PARTNERS!$A$2:$A$88,E1046)=0,"Write the company in column E","OK"),IF(C1046="","Missing phone",IF(COUNTIF(DESK!$F$2:$F$601,C1046)=0,"Phone not found: copy it from your list",IF(AND(E1046&lt;&gt;"",COUNTIFS(DESK!$F$2:$F$601,C1046,DESK!$B$2:$B$601,E1046)=0),"Company is not one of theirs","OK"))))))</f>
        <v/>
      </c>
    </row>
    <row r="1047" spans="1:10"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time",IF(D1047="NO_SLOTS",IF(COUNTIF(PARTNERS!$A$2:$A$88,E1047)=0,"Write the company in column E","OK"),IF(C1047="","Missing phone",IF(COUNTIF(DESK!$F$2:$F$601,C1047)=0,"Phone not found: copy it from your list",IF(AND(E1047&lt;&gt;"",COUNTIFS(DESK!$F$2:$F$601,C1047,DESK!$B$2:$B$601,E1047)=0),"Company is not one of theirs","OK"))))))</f>
        <v/>
      </c>
    </row>
    <row r="1048" spans="1:10"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time",IF(D1048="NO_SLOTS",IF(COUNTIF(PARTNERS!$A$2:$A$88,E1048)=0,"Write the company in column E","OK"),IF(C1048="","Missing phone",IF(COUNTIF(DESK!$F$2:$F$601,C1048)=0,"Phone not found: copy it from your list",IF(AND(E1048&lt;&gt;"",COUNTIFS(DESK!$F$2:$F$601,C1048,DESK!$B$2:$B$601,E1048)=0),"Company is not one of theirs","OK"))))))</f>
        <v/>
      </c>
    </row>
    <row r="1049" spans="1:10"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time",IF(D1049="NO_SLOTS",IF(COUNTIF(PARTNERS!$A$2:$A$88,E1049)=0,"Write the company in column E","OK"),IF(C1049="","Missing phone",IF(COUNTIF(DESK!$F$2:$F$601,C1049)=0,"Phone not found: copy it from your list",IF(AND(E1049&lt;&gt;"",COUNTIFS(DESK!$F$2:$F$601,C1049,DESK!$B$2:$B$601,E1049)=0),"Company is not one of theirs","OK"))))))</f>
        <v/>
      </c>
    </row>
    <row r="1050" spans="1:10"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time",IF(D1050="NO_SLOTS",IF(COUNTIF(PARTNERS!$A$2:$A$88,E1050)=0,"Write the company in column E","OK"),IF(C1050="","Missing phone",IF(COUNTIF(DESK!$F$2:$F$601,C1050)=0,"Phone not found: copy it from your list",IF(AND(E1050&lt;&gt;"",COUNTIFS(DESK!$F$2:$F$601,C1050,DESK!$B$2:$B$601,E1050)=0),"Company is not one of theirs","OK"))))))</f>
        <v/>
      </c>
    </row>
    <row r="1051" spans="1:10"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time",IF(D1051="NO_SLOTS",IF(COUNTIF(PARTNERS!$A$2:$A$88,E1051)=0,"Write the company in column E","OK"),IF(C1051="","Missing phone",IF(COUNTIF(DESK!$F$2:$F$601,C1051)=0,"Phone not found: copy it from your list",IF(AND(E1051&lt;&gt;"",COUNTIFS(DESK!$F$2:$F$601,C1051,DESK!$B$2:$B$601,E1051)=0),"Company is not one of theirs","OK"))))))</f>
        <v/>
      </c>
    </row>
    <row r="1052" spans="1:10"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time",IF(D1052="NO_SLOTS",IF(COUNTIF(PARTNERS!$A$2:$A$88,E1052)=0,"Write the company in column E","OK"),IF(C1052="","Missing phone",IF(COUNTIF(DESK!$F$2:$F$601,C1052)=0,"Phone not found: copy it from your list",IF(AND(E1052&lt;&gt;"",COUNTIFS(DESK!$F$2:$F$601,C1052,DESK!$B$2:$B$601,E1052)=0),"Company is not one of theirs","OK"))))))</f>
        <v/>
      </c>
    </row>
    <row r="1053" spans="1:10"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time",IF(D1053="NO_SLOTS",IF(COUNTIF(PARTNERS!$A$2:$A$88,E1053)=0,"Write the company in column E","OK"),IF(C1053="","Missing phone",IF(COUNTIF(DESK!$F$2:$F$601,C1053)=0,"Phone not found: copy it from your list",IF(AND(E1053&lt;&gt;"",COUNTIFS(DESK!$F$2:$F$601,C1053,DESK!$B$2:$B$601,E1053)=0),"Company is not one of theirs","OK"))))))</f>
        <v/>
      </c>
    </row>
    <row r="1054" spans="1:10"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time",IF(D1054="NO_SLOTS",IF(COUNTIF(PARTNERS!$A$2:$A$88,E1054)=0,"Write the company in column E","OK"),IF(C1054="","Missing phone",IF(COUNTIF(DESK!$F$2:$F$601,C1054)=0,"Phone not found: copy it from your list",IF(AND(E1054&lt;&gt;"",COUNTIFS(DESK!$F$2:$F$601,C1054,DESK!$B$2:$B$601,E1054)=0),"Company is not one of theirs","OK"))))))</f>
        <v/>
      </c>
    </row>
    <row r="1055" spans="1:10"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time",IF(D1055="NO_SLOTS",IF(COUNTIF(PARTNERS!$A$2:$A$88,E1055)=0,"Write the company in column E","OK"),IF(C1055="","Missing phone",IF(COUNTIF(DESK!$F$2:$F$601,C1055)=0,"Phone not found: copy it from your list",IF(AND(E1055&lt;&gt;"",COUNTIFS(DESK!$F$2:$F$601,C1055,DESK!$B$2:$B$601,E1055)=0),"Company is not one of theirs","OK"))))))</f>
        <v/>
      </c>
    </row>
    <row r="1056" spans="1:10"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time",IF(D1056="NO_SLOTS",IF(COUNTIF(PARTNERS!$A$2:$A$88,E1056)=0,"Write the company in column E","OK"),IF(C1056="","Missing phone",IF(COUNTIF(DESK!$F$2:$F$601,C1056)=0,"Phone not found: copy it from your list",IF(AND(E1056&lt;&gt;"",COUNTIFS(DESK!$F$2:$F$601,C1056,DESK!$B$2:$B$601,E1056)=0),"Company is not one of theirs","OK"))))))</f>
        <v/>
      </c>
    </row>
    <row r="1057" spans="1:10"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time",IF(D1057="NO_SLOTS",IF(COUNTIF(PARTNERS!$A$2:$A$88,E1057)=0,"Write the company in column E","OK"),IF(C1057="","Missing phone",IF(COUNTIF(DESK!$F$2:$F$601,C1057)=0,"Phone not found: copy it from your list",IF(AND(E1057&lt;&gt;"",COUNTIFS(DESK!$F$2:$F$601,C1057,DESK!$B$2:$B$601,E1057)=0),"Company is not one of theirs","OK"))))))</f>
        <v/>
      </c>
    </row>
    <row r="1058" spans="1:10"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time",IF(D1058="NO_SLOTS",IF(COUNTIF(PARTNERS!$A$2:$A$88,E1058)=0,"Write the company in column E","OK"),IF(C1058="","Missing phone",IF(COUNTIF(DESK!$F$2:$F$601,C1058)=0,"Phone not found: copy it from your list",IF(AND(E1058&lt;&gt;"",COUNTIFS(DESK!$F$2:$F$601,C1058,DESK!$B$2:$B$601,E1058)=0),"Company is not one of theirs","OK"))))))</f>
        <v/>
      </c>
    </row>
    <row r="1059" spans="1:10"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time",IF(D1059="NO_SLOTS",IF(COUNTIF(PARTNERS!$A$2:$A$88,E1059)=0,"Write the company in column E","OK"),IF(C1059="","Missing phone",IF(COUNTIF(DESK!$F$2:$F$601,C1059)=0,"Phone not found: copy it from your list",IF(AND(E1059&lt;&gt;"",COUNTIFS(DESK!$F$2:$F$601,C1059,DESK!$B$2:$B$601,E1059)=0),"Company is not one of theirs","OK"))))))</f>
        <v/>
      </c>
    </row>
    <row r="1060" spans="1:10"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time",IF(D1060="NO_SLOTS",IF(COUNTIF(PARTNERS!$A$2:$A$88,E1060)=0,"Write the company in column E","OK"),IF(C1060="","Missing phone",IF(COUNTIF(DESK!$F$2:$F$601,C1060)=0,"Phone not found: copy it from your list",IF(AND(E1060&lt;&gt;"",COUNTIFS(DESK!$F$2:$F$601,C1060,DESK!$B$2:$B$601,E1060)=0),"Company is not one of theirs","OK"))))))</f>
        <v/>
      </c>
    </row>
    <row r="1061" spans="1:10"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time",IF(D1061="NO_SLOTS",IF(COUNTIF(PARTNERS!$A$2:$A$88,E1061)=0,"Write the company in column E","OK"),IF(C1061="","Missing phone",IF(COUNTIF(DESK!$F$2:$F$601,C1061)=0,"Phone not found: copy it from your list",IF(AND(E1061&lt;&gt;"",COUNTIFS(DESK!$F$2:$F$601,C1061,DESK!$B$2:$B$601,E1061)=0),"Company is not one of theirs","OK"))))))</f>
        <v/>
      </c>
    </row>
    <row r="1062" spans="1:10"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time",IF(D1062="NO_SLOTS",IF(COUNTIF(PARTNERS!$A$2:$A$88,E1062)=0,"Write the company in column E","OK"),IF(C1062="","Missing phone",IF(COUNTIF(DESK!$F$2:$F$601,C1062)=0,"Phone not found: copy it from your list",IF(AND(E1062&lt;&gt;"",COUNTIFS(DESK!$F$2:$F$601,C1062,DESK!$B$2:$B$601,E1062)=0),"Company is not one of theirs","OK"))))))</f>
        <v/>
      </c>
    </row>
    <row r="1063" spans="1:10"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time",IF(D1063="NO_SLOTS",IF(COUNTIF(PARTNERS!$A$2:$A$88,E1063)=0,"Write the company in column E","OK"),IF(C1063="","Missing phone",IF(COUNTIF(DESK!$F$2:$F$601,C1063)=0,"Phone not found: copy it from your list",IF(AND(E1063&lt;&gt;"",COUNTIFS(DESK!$F$2:$F$601,C1063,DESK!$B$2:$B$601,E1063)=0),"Company is not one of theirs","OK"))))))</f>
        <v/>
      </c>
    </row>
    <row r="1064" spans="1:10"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time",IF(D1064="NO_SLOTS",IF(COUNTIF(PARTNERS!$A$2:$A$88,E1064)=0,"Write the company in column E","OK"),IF(C1064="","Missing phone",IF(COUNTIF(DESK!$F$2:$F$601,C1064)=0,"Phone not found: copy it from your list",IF(AND(E1064&lt;&gt;"",COUNTIFS(DESK!$F$2:$F$601,C1064,DESK!$B$2:$B$601,E1064)=0),"Company is not one of theirs","OK"))))))</f>
        <v/>
      </c>
    </row>
    <row r="1065" spans="1:10"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time",IF(D1065="NO_SLOTS",IF(COUNTIF(PARTNERS!$A$2:$A$88,E1065)=0,"Write the company in column E","OK"),IF(C1065="","Missing phone",IF(COUNTIF(DESK!$F$2:$F$601,C1065)=0,"Phone not found: copy it from your list",IF(AND(E1065&lt;&gt;"",COUNTIFS(DESK!$F$2:$F$601,C1065,DESK!$B$2:$B$601,E1065)=0),"Company is not one of theirs","OK"))))))</f>
        <v/>
      </c>
    </row>
    <row r="1066" spans="1:10"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time",IF(D1066="NO_SLOTS",IF(COUNTIF(PARTNERS!$A$2:$A$88,E1066)=0,"Write the company in column E","OK"),IF(C1066="","Missing phone",IF(COUNTIF(DESK!$F$2:$F$601,C1066)=0,"Phone not found: copy it from your list",IF(AND(E1066&lt;&gt;"",COUNTIFS(DESK!$F$2:$F$601,C1066,DESK!$B$2:$B$601,E1066)=0),"Company is not one of theirs","OK"))))))</f>
        <v/>
      </c>
    </row>
    <row r="1067" spans="1:10"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time",IF(D1067="NO_SLOTS",IF(COUNTIF(PARTNERS!$A$2:$A$88,E1067)=0,"Write the company in column E","OK"),IF(C1067="","Missing phone",IF(COUNTIF(DESK!$F$2:$F$601,C1067)=0,"Phone not found: copy it from your list",IF(AND(E1067&lt;&gt;"",COUNTIFS(DESK!$F$2:$F$601,C1067,DESK!$B$2:$B$601,E1067)=0),"Company is not one of theirs","OK"))))))</f>
        <v/>
      </c>
    </row>
    <row r="1068" spans="1:10"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time",IF(D1068="NO_SLOTS",IF(COUNTIF(PARTNERS!$A$2:$A$88,E1068)=0,"Write the company in column E","OK"),IF(C1068="","Missing phone",IF(COUNTIF(DESK!$F$2:$F$601,C1068)=0,"Phone not found: copy it from your list",IF(AND(E1068&lt;&gt;"",COUNTIFS(DESK!$F$2:$F$601,C1068,DESK!$B$2:$B$601,E1068)=0),"Company is not one of theirs","OK"))))))</f>
        <v/>
      </c>
    </row>
    <row r="1069" spans="1:10"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time",IF(D1069="NO_SLOTS",IF(COUNTIF(PARTNERS!$A$2:$A$88,E1069)=0,"Write the company in column E","OK"),IF(C1069="","Missing phone",IF(COUNTIF(DESK!$F$2:$F$601,C1069)=0,"Phone not found: copy it from your list",IF(AND(E1069&lt;&gt;"",COUNTIFS(DESK!$F$2:$F$601,C1069,DESK!$B$2:$B$601,E1069)=0),"Company is not one of theirs","OK"))))))</f>
        <v/>
      </c>
    </row>
    <row r="1070" spans="1:10"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time",IF(D1070="NO_SLOTS",IF(COUNTIF(PARTNERS!$A$2:$A$88,E1070)=0,"Write the company in column E","OK"),IF(C1070="","Missing phone",IF(COUNTIF(DESK!$F$2:$F$601,C1070)=0,"Phone not found: copy it from your list",IF(AND(E1070&lt;&gt;"",COUNTIFS(DESK!$F$2:$F$601,C1070,DESK!$B$2:$B$601,E1070)=0),"Company is not one of theirs","OK"))))))</f>
        <v/>
      </c>
    </row>
    <row r="1071" spans="1:10"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time",IF(D1071="NO_SLOTS",IF(COUNTIF(PARTNERS!$A$2:$A$88,E1071)=0,"Write the company in column E","OK"),IF(C1071="","Missing phone",IF(COUNTIF(DESK!$F$2:$F$601,C1071)=0,"Phone not found: copy it from your list",IF(AND(E1071&lt;&gt;"",COUNTIFS(DESK!$F$2:$F$601,C1071,DESK!$B$2:$B$601,E1071)=0),"Company is not one of theirs","OK"))))))</f>
        <v/>
      </c>
    </row>
    <row r="1072" spans="1:10"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time",IF(D1072="NO_SLOTS",IF(COUNTIF(PARTNERS!$A$2:$A$88,E1072)=0,"Write the company in column E","OK"),IF(C1072="","Missing phone",IF(COUNTIF(DESK!$F$2:$F$601,C1072)=0,"Phone not found: copy it from your list",IF(AND(E1072&lt;&gt;"",COUNTIFS(DESK!$F$2:$F$601,C1072,DESK!$B$2:$B$601,E1072)=0),"Company is not one of theirs","OK"))))))</f>
        <v/>
      </c>
    </row>
    <row r="1073" spans="1:10"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time",IF(D1073="NO_SLOTS",IF(COUNTIF(PARTNERS!$A$2:$A$88,E1073)=0,"Write the company in column E","OK"),IF(C1073="","Missing phone",IF(COUNTIF(DESK!$F$2:$F$601,C1073)=0,"Phone not found: copy it from your list",IF(AND(E1073&lt;&gt;"",COUNTIFS(DESK!$F$2:$F$601,C1073,DESK!$B$2:$B$601,E1073)=0),"Company is not one of theirs","OK"))))))</f>
        <v/>
      </c>
    </row>
    <row r="1074" spans="1:10"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time",IF(D1074="NO_SLOTS",IF(COUNTIF(PARTNERS!$A$2:$A$88,E1074)=0,"Write the company in column E","OK"),IF(C1074="","Missing phone",IF(COUNTIF(DESK!$F$2:$F$601,C1074)=0,"Phone not found: copy it from your list",IF(AND(E1074&lt;&gt;"",COUNTIFS(DESK!$F$2:$F$601,C1074,DESK!$B$2:$B$601,E1074)=0),"Company is not one of theirs","OK"))))))</f>
        <v/>
      </c>
    </row>
    <row r="1075" spans="1:10"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time",IF(D1075="NO_SLOTS",IF(COUNTIF(PARTNERS!$A$2:$A$88,E1075)=0,"Write the company in column E","OK"),IF(C1075="","Missing phone",IF(COUNTIF(DESK!$F$2:$F$601,C1075)=0,"Phone not found: copy it from your list",IF(AND(E1075&lt;&gt;"",COUNTIFS(DESK!$F$2:$F$601,C1075,DESK!$B$2:$B$601,E1075)=0),"Company is not one of theirs","OK"))))))</f>
        <v/>
      </c>
    </row>
    <row r="1076" spans="1:10"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time",IF(D1076="NO_SLOTS",IF(COUNTIF(PARTNERS!$A$2:$A$88,E1076)=0,"Write the company in column E","OK"),IF(C1076="","Missing phone",IF(COUNTIF(DESK!$F$2:$F$601,C1076)=0,"Phone not found: copy it from your list",IF(AND(E1076&lt;&gt;"",COUNTIFS(DESK!$F$2:$F$601,C1076,DESK!$B$2:$B$601,E1076)=0),"Company is not one of theirs","OK"))))))</f>
        <v/>
      </c>
    </row>
    <row r="1077" spans="1:10"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time",IF(D1077="NO_SLOTS",IF(COUNTIF(PARTNERS!$A$2:$A$88,E1077)=0,"Write the company in column E","OK"),IF(C1077="","Missing phone",IF(COUNTIF(DESK!$F$2:$F$601,C1077)=0,"Phone not found: copy it from your list",IF(AND(E1077&lt;&gt;"",COUNTIFS(DESK!$F$2:$F$601,C1077,DESK!$B$2:$B$601,E1077)=0),"Company is not one of theirs","OK"))))))</f>
        <v/>
      </c>
    </row>
    <row r="1078" spans="1:10"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time",IF(D1078="NO_SLOTS",IF(COUNTIF(PARTNERS!$A$2:$A$88,E1078)=0,"Write the company in column E","OK"),IF(C1078="","Missing phone",IF(COUNTIF(DESK!$F$2:$F$601,C1078)=0,"Phone not found: copy it from your list",IF(AND(E1078&lt;&gt;"",COUNTIFS(DESK!$F$2:$F$601,C1078,DESK!$B$2:$B$601,E1078)=0),"Company is not one of theirs","OK"))))))</f>
        <v/>
      </c>
    </row>
    <row r="1079" spans="1:10"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time",IF(D1079="NO_SLOTS",IF(COUNTIF(PARTNERS!$A$2:$A$88,E1079)=0,"Write the company in column E","OK"),IF(C1079="","Missing phone",IF(COUNTIF(DESK!$F$2:$F$601,C1079)=0,"Phone not found: copy it from your list",IF(AND(E1079&lt;&gt;"",COUNTIFS(DESK!$F$2:$F$601,C1079,DESK!$B$2:$B$601,E1079)=0),"Company is not one of theirs","OK"))))))</f>
        <v/>
      </c>
    </row>
    <row r="1080" spans="1:10"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time",IF(D1080="NO_SLOTS",IF(COUNTIF(PARTNERS!$A$2:$A$88,E1080)=0,"Write the company in column E","OK"),IF(C1080="","Missing phone",IF(COUNTIF(DESK!$F$2:$F$601,C1080)=0,"Phone not found: copy it from your list",IF(AND(E1080&lt;&gt;"",COUNTIFS(DESK!$F$2:$F$601,C1080,DESK!$B$2:$B$601,E1080)=0),"Company is not one of theirs","OK"))))))</f>
        <v/>
      </c>
    </row>
    <row r="1081" spans="1:10"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time",IF(D1081="NO_SLOTS",IF(COUNTIF(PARTNERS!$A$2:$A$88,E1081)=0,"Write the company in column E","OK"),IF(C1081="","Missing phone",IF(COUNTIF(DESK!$F$2:$F$601,C1081)=0,"Phone not found: copy it from your list",IF(AND(E1081&lt;&gt;"",COUNTIFS(DESK!$F$2:$F$601,C1081,DESK!$B$2:$B$601,E1081)=0),"Company is not one of theirs","OK"))))))</f>
        <v/>
      </c>
    </row>
    <row r="1082" spans="1:10"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time",IF(D1082="NO_SLOTS",IF(COUNTIF(PARTNERS!$A$2:$A$88,E1082)=0,"Write the company in column E","OK"),IF(C1082="","Missing phone",IF(COUNTIF(DESK!$F$2:$F$601,C1082)=0,"Phone not found: copy it from your list",IF(AND(E1082&lt;&gt;"",COUNTIFS(DESK!$F$2:$F$601,C1082,DESK!$B$2:$B$601,E1082)=0),"Company is not one of theirs","OK"))))))</f>
        <v/>
      </c>
    </row>
    <row r="1083" spans="1:10"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time",IF(D1083="NO_SLOTS",IF(COUNTIF(PARTNERS!$A$2:$A$88,E1083)=0,"Write the company in column E","OK"),IF(C1083="","Missing phone",IF(COUNTIF(DESK!$F$2:$F$601,C1083)=0,"Phone not found: copy it from your list",IF(AND(E1083&lt;&gt;"",COUNTIFS(DESK!$F$2:$F$601,C1083,DESK!$B$2:$B$601,E1083)=0),"Company is not one of theirs","OK"))))))</f>
        <v/>
      </c>
    </row>
    <row r="1084" spans="1:10"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time",IF(D1084="NO_SLOTS",IF(COUNTIF(PARTNERS!$A$2:$A$88,E1084)=0,"Write the company in column E","OK"),IF(C1084="","Missing phone",IF(COUNTIF(DESK!$F$2:$F$601,C1084)=0,"Phone not found: copy it from your list",IF(AND(E1084&lt;&gt;"",COUNTIFS(DESK!$F$2:$F$601,C1084,DESK!$B$2:$B$601,E1084)=0),"Company is not one of theirs","OK"))))))</f>
        <v/>
      </c>
    </row>
    <row r="1085" spans="1:10"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time",IF(D1085="NO_SLOTS",IF(COUNTIF(PARTNERS!$A$2:$A$88,E1085)=0,"Write the company in column E","OK"),IF(C1085="","Missing phone",IF(COUNTIF(DESK!$F$2:$F$601,C1085)=0,"Phone not found: copy it from your list",IF(AND(E1085&lt;&gt;"",COUNTIFS(DESK!$F$2:$F$601,C1085,DESK!$B$2:$B$601,E1085)=0),"Company is not one of theirs","OK"))))))</f>
        <v/>
      </c>
    </row>
    <row r="1086" spans="1:10"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time",IF(D1086="NO_SLOTS",IF(COUNTIF(PARTNERS!$A$2:$A$88,E1086)=0,"Write the company in column E","OK"),IF(C1086="","Missing phone",IF(COUNTIF(DESK!$F$2:$F$601,C1086)=0,"Phone not found: copy it from your list",IF(AND(E1086&lt;&gt;"",COUNTIFS(DESK!$F$2:$F$601,C1086,DESK!$B$2:$B$601,E1086)=0),"Company is not one of theirs","OK"))))))</f>
        <v/>
      </c>
    </row>
    <row r="1087" spans="1:10"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time",IF(D1087="NO_SLOTS",IF(COUNTIF(PARTNERS!$A$2:$A$88,E1087)=0,"Write the company in column E","OK"),IF(C1087="","Missing phone",IF(COUNTIF(DESK!$F$2:$F$601,C1087)=0,"Phone not found: copy it from your list",IF(AND(E1087&lt;&gt;"",COUNTIFS(DESK!$F$2:$F$601,C1087,DESK!$B$2:$B$601,E1087)=0),"Company is not one of theirs","OK"))))))</f>
        <v/>
      </c>
    </row>
    <row r="1088" spans="1:10"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time",IF(D1088="NO_SLOTS",IF(COUNTIF(PARTNERS!$A$2:$A$88,E1088)=0,"Write the company in column E","OK"),IF(C1088="","Missing phone",IF(COUNTIF(DESK!$F$2:$F$601,C1088)=0,"Phone not found: copy it from your list",IF(AND(E1088&lt;&gt;"",COUNTIFS(DESK!$F$2:$F$601,C1088,DESK!$B$2:$B$601,E1088)=0),"Company is not one of theirs","OK"))))))</f>
        <v/>
      </c>
    </row>
    <row r="1089" spans="1:10"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time",IF(D1089="NO_SLOTS",IF(COUNTIF(PARTNERS!$A$2:$A$88,E1089)=0,"Write the company in column E","OK"),IF(C1089="","Missing phone",IF(COUNTIF(DESK!$F$2:$F$601,C1089)=0,"Phone not found: copy it from your list",IF(AND(E1089&lt;&gt;"",COUNTIFS(DESK!$F$2:$F$601,C1089,DESK!$B$2:$B$601,E1089)=0),"Company is not one of theirs","OK"))))))</f>
        <v/>
      </c>
    </row>
    <row r="1090" spans="1:10"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time",IF(D1090="NO_SLOTS",IF(COUNTIF(PARTNERS!$A$2:$A$88,E1090)=0,"Write the company in column E","OK"),IF(C1090="","Missing phone",IF(COUNTIF(DESK!$F$2:$F$601,C1090)=0,"Phone not found: copy it from your list",IF(AND(E1090&lt;&gt;"",COUNTIFS(DESK!$F$2:$F$601,C1090,DESK!$B$2:$B$601,E1090)=0),"Company is not one of theirs","OK"))))))</f>
        <v/>
      </c>
    </row>
    <row r="1091" spans="1:10"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time",IF(D1091="NO_SLOTS",IF(COUNTIF(PARTNERS!$A$2:$A$88,E1091)=0,"Write the company in column E","OK"),IF(C1091="","Missing phone",IF(COUNTIF(DESK!$F$2:$F$601,C1091)=0,"Phone not found: copy it from your list",IF(AND(E1091&lt;&gt;"",COUNTIFS(DESK!$F$2:$F$601,C1091,DESK!$B$2:$B$601,E1091)=0),"Company is not one of theirs","OK"))))))</f>
        <v/>
      </c>
    </row>
    <row r="1092" spans="1:10"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time",IF(D1092="NO_SLOTS",IF(COUNTIF(PARTNERS!$A$2:$A$88,E1092)=0,"Write the company in column E","OK"),IF(C1092="","Missing phone",IF(COUNTIF(DESK!$F$2:$F$601,C1092)=0,"Phone not found: copy it from your list",IF(AND(E1092&lt;&gt;"",COUNTIFS(DESK!$F$2:$F$601,C1092,DESK!$B$2:$B$601,E1092)=0),"Company is not one of theirs","OK"))))))</f>
        <v/>
      </c>
    </row>
    <row r="1093" spans="1:10"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time",IF(D1093="NO_SLOTS",IF(COUNTIF(PARTNERS!$A$2:$A$88,E1093)=0,"Write the company in column E","OK"),IF(C1093="","Missing phone",IF(COUNTIF(DESK!$F$2:$F$601,C1093)=0,"Phone not found: copy it from your list",IF(AND(E1093&lt;&gt;"",COUNTIFS(DESK!$F$2:$F$601,C1093,DESK!$B$2:$B$601,E1093)=0),"Company is not one of theirs","OK"))))))</f>
        <v/>
      </c>
    </row>
    <row r="1094" spans="1:10"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time",IF(D1094="NO_SLOTS",IF(COUNTIF(PARTNERS!$A$2:$A$88,E1094)=0,"Write the company in column E","OK"),IF(C1094="","Missing phone",IF(COUNTIF(DESK!$F$2:$F$601,C1094)=0,"Phone not found: copy it from your list",IF(AND(E1094&lt;&gt;"",COUNTIFS(DESK!$F$2:$F$601,C1094,DESK!$B$2:$B$601,E1094)=0),"Company is not one of theirs","OK"))))))</f>
        <v/>
      </c>
    </row>
    <row r="1095" spans="1:10"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time",IF(D1095="NO_SLOTS",IF(COUNTIF(PARTNERS!$A$2:$A$88,E1095)=0,"Write the company in column E","OK"),IF(C1095="","Missing phone",IF(COUNTIF(DESK!$F$2:$F$601,C1095)=0,"Phone not found: copy it from your list",IF(AND(E1095&lt;&gt;"",COUNTIFS(DESK!$F$2:$F$601,C1095,DESK!$B$2:$B$601,E1095)=0),"Company is not one of theirs","OK"))))))</f>
        <v/>
      </c>
    </row>
    <row r="1096" spans="1:10"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time",IF(D1096="NO_SLOTS",IF(COUNTIF(PARTNERS!$A$2:$A$88,E1096)=0,"Write the company in column E","OK"),IF(C1096="","Missing phone",IF(COUNTIF(DESK!$F$2:$F$601,C1096)=0,"Phone not found: copy it from your list",IF(AND(E1096&lt;&gt;"",COUNTIFS(DESK!$F$2:$F$601,C1096,DESK!$B$2:$B$601,E1096)=0),"Company is not one of theirs","OK"))))))</f>
        <v/>
      </c>
    </row>
    <row r="1097" spans="1:10"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time",IF(D1097="NO_SLOTS",IF(COUNTIF(PARTNERS!$A$2:$A$88,E1097)=0,"Write the company in column E","OK"),IF(C1097="","Missing phone",IF(COUNTIF(DESK!$F$2:$F$601,C1097)=0,"Phone not found: copy it from your list",IF(AND(E1097&lt;&gt;"",COUNTIFS(DESK!$F$2:$F$601,C1097,DESK!$B$2:$B$601,E1097)=0),"Company is not one of theirs","OK"))))))</f>
        <v/>
      </c>
    </row>
    <row r="1098" spans="1:10"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time",IF(D1098="NO_SLOTS",IF(COUNTIF(PARTNERS!$A$2:$A$88,E1098)=0,"Write the company in column E","OK"),IF(C1098="","Missing phone",IF(COUNTIF(DESK!$F$2:$F$601,C1098)=0,"Phone not found: copy it from your list",IF(AND(E1098&lt;&gt;"",COUNTIFS(DESK!$F$2:$F$601,C1098,DESK!$B$2:$B$601,E1098)=0),"Company is not one of theirs","OK"))))))</f>
        <v/>
      </c>
    </row>
    <row r="1099" spans="1:10"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time",IF(D1099="NO_SLOTS",IF(COUNTIF(PARTNERS!$A$2:$A$88,E1099)=0,"Write the company in column E","OK"),IF(C1099="","Missing phone",IF(COUNTIF(DESK!$F$2:$F$601,C1099)=0,"Phone not found: copy it from your list",IF(AND(E1099&lt;&gt;"",COUNTIFS(DESK!$F$2:$F$601,C1099,DESK!$B$2:$B$601,E1099)=0),"Company is not one of theirs","OK"))))))</f>
        <v/>
      </c>
    </row>
    <row r="1100" spans="1:10"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time",IF(D1100="NO_SLOTS",IF(COUNTIF(PARTNERS!$A$2:$A$88,E1100)=0,"Write the company in column E","OK"),IF(C1100="","Missing phone",IF(COUNTIF(DESK!$F$2:$F$601,C1100)=0,"Phone not found: copy it from your list",IF(AND(E1100&lt;&gt;"",COUNTIFS(DESK!$F$2:$F$601,C1100,DESK!$B$2:$B$601,E1100)=0),"Company is not one of theirs","OK"))))))</f>
        <v/>
      </c>
    </row>
    <row r="1101" spans="1:10"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time",IF(D1101="NO_SLOTS",IF(COUNTIF(PARTNERS!$A$2:$A$88,E1101)=0,"Write the company in column E","OK"),IF(C1101="","Missing phone",IF(COUNTIF(DESK!$F$2:$F$601,C1101)=0,"Phone not found: copy it from your list",IF(AND(E1101&lt;&gt;"",COUNTIFS(DESK!$F$2:$F$601,C1101,DESK!$B$2:$B$601,E1101)=0),"Company is not one of theirs","OK"))))))</f>
        <v/>
      </c>
    </row>
    <row r="1102" spans="1:10"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time",IF(D1102="NO_SLOTS",IF(COUNTIF(PARTNERS!$A$2:$A$88,E1102)=0,"Write the company in column E","OK"),IF(C1102="","Missing phone",IF(COUNTIF(DESK!$F$2:$F$601,C1102)=0,"Phone not found: copy it from your list",IF(AND(E1102&lt;&gt;"",COUNTIFS(DESK!$F$2:$F$601,C1102,DESK!$B$2:$B$601,E1102)=0),"Company is not one of theirs","OK"))))))</f>
        <v/>
      </c>
    </row>
    <row r="1103" spans="1:10"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time",IF(D1103="NO_SLOTS",IF(COUNTIF(PARTNERS!$A$2:$A$88,E1103)=0,"Write the company in column E","OK"),IF(C1103="","Missing phone",IF(COUNTIF(DESK!$F$2:$F$601,C1103)=0,"Phone not found: copy it from your list",IF(AND(E1103&lt;&gt;"",COUNTIFS(DESK!$F$2:$F$601,C1103,DESK!$B$2:$B$601,E1103)=0),"Company is not one of theirs","OK"))))))</f>
        <v/>
      </c>
    </row>
    <row r="1104" spans="1:10"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time",IF(D1104="NO_SLOTS",IF(COUNTIF(PARTNERS!$A$2:$A$88,E1104)=0,"Write the company in column E","OK"),IF(C1104="","Missing phone",IF(COUNTIF(DESK!$F$2:$F$601,C1104)=0,"Phone not found: copy it from your list",IF(AND(E1104&lt;&gt;"",COUNTIFS(DESK!$F$2:$F$601,C1104,DESK!$B$2:$B$601,E1104)=0),"Company is not one of theirs","OK"))))))</f>
        <v/>
      </c>
    </row>
    <row r="1105" spans="1:10"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time",IF(D1105="NO_SLOTS",IF(COUNTIF(PARTNERS!$A$2:$A$88,E1105)=0,"Write the company in column E","OK"),IF(C1105="","Missing phone",IF(COUNTIF(DESK!$F$2:$F$601,C1105)=0,"Phone not found: copy it from your list",IF(AND(E1105&lt;&gt;"",COUNTIFS(DESK!$F$2:$F$601,C1105,DESK!$B$2:$B$601,E1105)=0),"Company is not one of theirs","OK"))))))</f>
        <v/>
      </c>
    </row>
    <row r="1106" spans="1:10"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time",IF(D1106="NO_SLOTS",IF(COUNTIF(PARTNERS!$A$2:$A$88,E1106)=0,"Write the company in column E","OK"),IF(C1106="","Missing phone",IF(COUNTIF(DESK!$F$2:$F$601,C1106)=0,"Phone not found: copy it from your list",IF(AND(E1106&lt;&gt;"",COUNTIFS(DESK!$F$2:$F$601,C1106,DESK!$B$2:$B$601,E1106)=0),"Company is not one of theirs","OK"))))))</f>
        <v/>
      </c>
    </row>
    <row r="1107" spans="1:10"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time",IF(D1107="NO_SLOTS",IF(COUNTIF(PARTNERS!$A$2:$A$88,E1107)=0,"Write the company in column E","OK"),IF(C1107="","Missing phone",IF(COUNTIF(DESK!$F$2:$F$601,C1107)=0,"Phone not found: copy it from your list",IF(AND(E1107&lt;&gt;"",COUNTIFS(DESK!$F$2:$F$601,C1107,DESK!$B$2:$B$601,E1107)=0),"Company is not one of theirs","OK"))))))</f>
        <v/>
      </c>
    </row>
    <row r="1108" spans="1:10"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time",IF(D1108="NO_SLOTS",IF(COUNTIF(PARTNERS!$A$2:$A$88,E1108)=0,"Write the company in column E","OK"),IF(C1108="","Missing phone",IF(COUNTIF(DESK!$F$2:$F$601,C1108)=0,"Phone not found: copy it from your list",IF(AND(E1108&lt;&gt;"",COUNTIFS(DESK!$F$2:$F$601,C1108,DESK!$B$2:$B$601,E1108)=0),"Company is not one of theirs","OK"))))))</f>
        <v/>
      </c>
    </row>
    <row r="1109" spans="1:10"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time",IF(D1109="NO_SLOTS",IF(COUNTIF(PARTNERS!$A$2:$A$88,E1109)=0,"Write the company in column E","OK"),IF(C1109="","Missing phone",IF(COUNTIF(DESK!$F$2:$F$601,C1109)=0,"Phone not found: copy it from your list",IF(AND(E1109&lt;&gt;"",COUNTIFS(DESK!$F$2:$F$601,C1109,DESK!$B$2:$B$601,E1109)=0),"Company is not one of theirs","OK"))))))</f>
        <v/>
      </c>
    </row>
    <row r="1110" spans="1:10"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time",IF(D1110="NO_SLOTS",IF(COUNTIF(PARTNERS!$A$2:$A$88,E1110)=0,"Write the company in column E","OK"),IF(C1110="","Missing phone",IF(COUNTIF(DESK!$F$2:$F$601,C1110)=0,"Phone not found: copy it from your list",IF(AND(E1110&lt;&gt;"",COUNTIFS(DESK!$F$2:$F$601,C1110,DESK!$B$2:$B$601,E1110)=0),"Company is not one of theirs","OK"))))))</f>
        <v/>
      </c>
    </row>
    <row r="1111" spans="1:10"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time",IF(D1111="NO_SLOTS",IF(COUNTIF(PARTNERS!$A$2:$A$88,E1111)=0,"Write the company in column E","OK"),IF(C1111="","Missing phone",IF(COUNTIF(DESK!$F$2:$F$601,C1111)=0,"Phone not found: copy it from your list",IF(AND(E1111&lt;&gt;"",COUNTIFS(DESK!$F$2:$F$601,C1111,DESK!$B$2:$B$601,E1111)=0),"Company is not one of theirs","OK"))))))</f>
        <v/>
      </c>
    </row>
    <row r="1112" spans="1:10"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time",IF(D1112="NO_SLOTS",IF(COUNTIF(PARTNERS!$A$2:$A$88,E1112)=0,"Write the company in column E","OK"),IF(C1112="","Missing phone",IF(COUNTIF(DESK!$F$2:$F$601,C1112)=0,"Phone not found: copy it from your list",IF(AND(E1112&lt;&gt;"",COUNTIFS(DESK!$F$2:$F$601,C1112,DESK!$B$2:$B$601,E1112)=0),"Company is not one of theirs","OK"))))))</f>
        <v/>
      </c>
    </row>
    <row r="1113" spans="1:10"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time",IF(D1113="NO_SLOTS",IF(COUNTIF(PARTNERS!$A$2:$A$88,E1113)=0,"Write the company in column E","OK"),IF(C1113="","Missing phone",IF(COUNTIF(DESK!$F$2:$F$601,C1113)=0,"Phone not found: copy it from your list",IF(AND(E1113&lt;&gt;"",COUNTIFS(DESK!$F$2:$F$601,C1113,DESK!$B$2:$B$601,E1113)=0),"Company is not one of theirs","OK"))))))</f>
        <v/>
      </c>
    </row>
    <row r="1114" spans="1:10"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time",IF(D1114="NO_SLOTS",IF(COUNTIF(PARTNERS!$A$2:$A$88,E1114)=0,"Write the company in column E","OK"),IF(C1114="","Missing phone",IF(COUNTIF(DESK!$F$2:$F$601,C1114)=0,"Phone not found: copy it from your list",IF(AND(E1114&lt;&gt;"",COUNTIFS(DESK!$F$2:$F$601,C1114,DESK!$B$2:$B$601,E1114)=0),"Company is not one of theirs","OK"))))))</f>
        <v/>
      </c>
    </row>
    <row r="1115" spans="1:10"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time",IF(D1115="NO_SLOTS",IF(COUNTIF(PARTNERS!$A$2:$A$88,E1115)=0,"Write the company in column E","OK"),IF(C1115="","Missing phone",IF(COUNTIF(DESK!$F$2:$F$601,C1115)=0,"Phone not found: copy it from your list",IF(AND(E1115&lt;&gt;"",COUNTIFS(DESK!$F$2:$F$601,C1115,DESK!$B$2:$B$601,E1115)=0),"Company is not one of theirs","OK"))))))</f>
        <v/>
      </c>
    </row>
    <row r="1116" spans="1:10"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time",IF(D1116="NO_SLOTS",IF(COUNTIF(PARTNERS!$A$2:$A$88,E1116)=0,"Write the company in column E","OK"),IF(C1116="","Missing phone",IF(COUNTIF(DESK!$F$2:$F$601,C1116)=0,"Phone not found: copy it from your list",IF(AND(E1116&lt;&gt;"",COUNTIFS(DESK!$F$2:$F$601,C1116,DESK!$B$2:$B$601,E1116)=0),"Company is not one of theirs","OK"))))))</f>
        <v/>
      </c>
    </row>
    <row r="1117" spans="1:10"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time",IF(D1117="NO_SLOTS",IF(COUNTIF(PARTNERS!$A$2:$A$88,E1117)=0,"Write the company in column E","OK"),IF(C1117="","Missing phone",IF(COUNTIF(DESK!$F$2:$F$601,C1117)=0,"Phone not found: copy it from your list",IF(AND(E1117&lt;&gt;"",COUNTIFS(DESK!$F$2:$F$601,C1117,DESK!$B$2:$B$601,E1117)=0),"Company is not one of theirs","OK"))))))</f>
        <v/>
      </c>
    </row>
    <row r="1118" spans="1:10"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time",IF(D1118="NO_SLOTS",IF(COUNTIF(PARTNERS!$A$2:$A$88,E1118)=0,"Write the company in column E","OK"),IF(C1118="","Missing phone",IF(COUNTIF(DESK!$F$2:$F$601,C1118)=0,"Phone not found: copy it from your list",IF(AND(E1118&lt;&gt;"",COUNTIFS(DESK!$F$2:$F$601,C1118,DESK!$B$2:$B$601,E1118)=0),"Company is not one of theirs","OK"))))))</f>
        <v/>
      </c>
    </row>
    <row r="1119" spans="1:10"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time",IF(D1119="NO_SLOTS",IF(COUNTIF(PARTNERS!$A$2:$A$88,E1119)=0,"Write the company in column E","OK"),IF(C1119="","Missing phone",IF(COUNTIF(DESK!$F$2:$F$601,C1119)=0,"Phone not found: copy it from your list",IF(AND(E1119&lt;&gt;"",COUNTIFS(DESK!$F$2:$F$601,C1119,DESK!$B$2:$B$601,E1119)=0),"Company is not one of theirs","OK"))))))</f>
        <v/>
      </c>
    </row>
    <row r="1120" spans="1:10"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time",IF(D1120="NO_SLOTS",IF(COUNTIF(PARTNERS!$A$2:$A$88,E1120)=0,"Write the company in column E","OK"),IF(C1120="","Missing phone",IF(COUNTIF(DESK!$F$2:$F$601,C1120)=0,"Phone not found: copy it from your list",IF(AND(E1120&lt;&gt;"",COUNTIFS(DESK!$F$2:$F$601,C1120,DESK!$B$2:$B$601,E1120)=0),"Company is not one of theirs","OK"))))))</f>
        <v/>
      </c>
    </row>
    <row r="1121" spans="1:10"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time",IF(D1121="NO_SLOTS",IF(COUNTIF(PARTNERS!$A$2:$A$88,E1121)=0,"Write the company in column E","OK"),IF(C1121="","Missing phone",IF(COUNTIF(DESK!$F$2:$F$601,C1121)=0,"Phone not found: copy it from your list",IF(AND(E1121&lt;&gt;"",COUNTIFS(DESK!$F$2:$F$601,C1121,DESK!$B$2:$B$601,E1121)=0),"Company is not one of theirs","OK"))))))</f>
        <v/>
      </c>
    </row>
    <row r="1122" spans="1:10"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time",IF(D1122="NO_SLOTS",IF(COUNTIF(PARTNERS!$A$2:$A$88,E1122)=0,"Write the company in column E","OK"),IF(C1122="","Missing phone",IF(COUNTIF(DESK!$F$2:$F$601,C1122)=0,"Phone not found: copy it from your list",IF(AND(E1122&lt;&gt;"",COUNTIFS(DESK!$F$2:$F$601,C1122,DESK!$B$2:$B$601,E1122)=0),"Company is not one of theirs","OK"))))))</f>
        <v/>
      </c>
    </row>
    <row r="1123" spans="1:10"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time",IF(D1123="NO_SLOTS",IF(COUNTIF(PARTNERS!$A$2:$A$88,E1123)=0,"Write the company in column E","OK"),IF(C1123="","Missing phone",IF(COUNTIF(DESK!$F$2:$F$601,C1123)=0,"Phone not found: copy it from your list",IF(AND(E1123&lt;&gt;"",COUNTIFS(DESK!$F$2:$F$601,C1123,DESK!$B$2:$B$601,E1123)=0),"Company is not one of theirs","OK"))))))</f>
        <v/>
      </c>
    </row>
    <row r="1124" spans="1:10"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time",IF(D1124="NO_SLOTS",IF(COUNTIF(PARTNERS!$A$2:$A$88,E1124)=0,"Write the company in column E","OK"),IF(C1124="","Missing phone",IF(COUNTIF(DESK!$F$2:$F$601,C1124)=0,"Phone not found: copy it from your list",IF(AND(E1124&lt;&gt;"",COUNTIFS(DESK!$F$2:$F$601,C1124,DESK!$B$2:$B$601,E1124)=0),"Company is not one of theirs","OK"))))))</f>
        <v/>
      </c>
    </row>
    <row r="1125" spans="1:10"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time",IF(D1125="NO_SLOTS",IF(COUNTIF(PARTNERS!$A$2:$A$88,E1125)=0,"Write the company in column E","OK"),IF(C1125="","Missing phone",IF(COUNTIF(DESK!$F$2:$F$601,C1125)=0,"Phone not found: copy it from your list",IF(AND(E1125&lt;&gt;"",COUNTIFS(DESK!$F$2:$F$601,C1125,DESK!$B$2:$B$601,E1125)=0),"Company is not one of theirs","OK"))))))</f>
        <v/>
      </c>
    </row>
    <row r="1126" spans="1:10"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time",IF(D1126="NO_SLOTS",IF(COUNTIF(PARTNERS!$A$2:$A$88,E1126)=0,"Write the company in column E","OK"),IF(C1126="","Missing phone",IF(COUNTIF(DESK!$F$2:$F$601,C1126)=0,"Phone not found: copy it from your list",IF(AND(E1126&lt;&gt;"",COUNTIFS(DESK!$F$2:$F$601,C1126,DESK!$B$2:$B$601,E1126)=0),"Company is not one of theirs","OK"))))))</f>
        <v/>
      </c>
    </row>
    <row r="1127" spans="1:10"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time",IF(D1127="NO_SLOTS",IF(COUNTIF(PARTNERS!$A$2:$A$88,E1127)=0,"Write the company in column E","OK"),IF(C1127="","Missing phone",IF(COUNTIF(DESK!$F$2:$F$601,C1127)=0,"Phone not found: copy it from your list",IF(AND(E1127&lt;&gt;"",COUNTIFS(DESK!$F$2:$F$601,C1127,DESK!$B$2:$B$601,E1127)=0),"Company is not one of theirs","OK"))))))</f>
        <v/>
      </c>
    </row>
    <row r="1128" spans="1:10"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time",IF(D1128="NO_SLOTS",IF(COUNTIF(PARTNERS!$A$2:$A$88,E1128)=0,"Write the company in column E","OK"),IF(C1128="","Missing phone",IF(COUNTIF(DESK!$F$2:$F$601,C1128)=0,"Phone not found: copy it from your list",IF(AND(E1128&lt;&gt;"",COUNTIFS(DESK!$F$2:$F$601,C1128,DESK!$B$2:$B$601,E1128)=0),"Company is not one of theirs","OK"))))))</f>
        <v/>
      </c>
    </row>
    <row r="1129" spans="1:10"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time",IF(D1129="NO_SLOTS",IF(COUNTIF(PARTNERS!$A$2:$A$88,E1129)=0,"Write the company in column E","OK"),IF(C1129="","Missing phone",IF(COUNTIF(DESK!$F$2:$F$601,C1129)=0,"Phone not found: copy it from your list",IF(AND(E1129&lt;&gt;"",COUNTIFS(DESK!$F$2:$F$601,C1129,DESK!$B$2:$B$601,E1129)=0),"Company is not one of theirs","OK"))))))</f>
        <v/>
      </c>
    </row>
    <row r="1130" spans="1:10"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time",IF(D1130="NO_SLOTS",IF(COUNTIF(PARTNERS!$A$2:$A$88,E1130)=0,"Write the company in column E","OK"),IF(C1130="","Missing phone",IF(COUNTIF(DESK!$F$2:$F$601,C1130)=0,"Phone not found: copy it from your list",IF(AND(E1130&lt;&gt;"",COUNTIFS(DESK!$F$2:$F$601,C1130,DESK!$B$2:$B$601,E1130)=0),"Company is not one of theirs","OK"))))))</f>
        <v/>
      </c>
    </row>
    <row r="1131" spans="1:10"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time",IF(D1131="NO_SLOTS",IF(COUNTIF(PARTNERS!$A$2:$A$88,E1131)=0,"Write the company in column E","OK"),IF(C1131="","Missing phone",IF(COUNTIF(DESK!$F$2:$F$601,C1131)=0,"Phone not found: copy it from your list",IF(AND(E1131&lt;&gt;"",COUNTIFS(DESK!$F$2:$F$601,C1131,DESK!$B$2:$B$601,E1131)=0),"Company is not one of theirs","OK"))))))</f>
        <v/>
      </c>
    </row>
    <row r="1132" spans="1:10"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time",IF(D1132="NO_SLOTS",IF(COUNTIF(PARTNERS!$A$2:$A$88,E1132)=0,"Write the company in column E","OK"),IF(C1132="","Missing phone",IF(COUNTIF(DESK!$F$2:$F$601,C1132)=0,"Phone not found: copy it from your list",IF(AND(E1132&lt;&gt;"",COUNTIFS(DESK!$F$2:$F$601,C1132,DESK!$B$2:$B$601,E1132)=0),"Company is not one of theirs","OK"))))))</f>
        <v/>
      </c>
    </row>
    <row r="1133" spans="1:10"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time",IF(D1133="NO_SLOTS",IF(COUNTIF(PARTNERS!$A$2:$A$88,E1133)=0,"Write the company in column E","OK"),IF(C1133="","Missing phone",IF(COUNTIF(DESK!$F$2:$F$601,C1133)=0,"Phone not found: copy it from your list",IF(AND(E1133&lt;&gt;"",COUNTIFS(DESK!$F$2:$F$601,C1133,DESK!$B$2:$B$601,E1133)=0),"Company is not one of theirs","OK"))))))</f>
        <v/>
      </c>
    </row>
    <row r="1134" spans="1:10"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time",IF(D1134="NO_SLOTS",IF(COUNTIF(PARTNERS!$A$2:$A$88,E1134)=0,"Write the company in column E","OK"),IF(C1134="","Missing phone",IF(COUNTIF(DESK!$F$2:$F$601,C1134)=0,"Phone not found: copy it from your list",IF(AND(E1134&lt;&gt;"",COUNTIFS(DESK!$F$2:$F$601,C1134,DESK!$B$2:$B$601,E1134)=0),"Company is not one of theirs","OK"))))))</f>
        <v/>
      </c>
    </row>
    <row r="1135" spans="1:10"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time",IF(D1135="NO_SLOTS",IF(COUNTIF(PARTNERS!$A$2:$A$88,E1135)=0,"Write the company in column E","OK"),IF(C1135="","Missing phone",IF(COUNTIF(DESK!$F$2:$F$601,C1135)=0,"Phone not found: copy it from your list",IF(AND(E1135&lt;&gt;"",COUNTIFS(DESK!$F$2:$F$601,C1135,DESK!$B$2:$B$601,E1135)=0),"Company is not one of theirs","OK"))))))</f>
        <v/>
      </c>
    </row>
    <row r="1136" spans="1:10"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time",IF(D1136="NO_SLOTS",IF(COUNTIF(PARTNERS!$A$2:$A$88,E1136)=0,"Write the company in column E","OK"),IF(C1136="","Missing phone",IF(COUNTIF(DESK!$F$2:$F$601,C1136)=0,"Phone not found: copy it from your list",IF(AND(E1136&lt;&gt;"",COUNTIFS(DESK!$F$2:$F$601,C1136,DESK!$B$2:$B$601,E1136)=0),"Company is not one of theirs","OK"))))))</f>
        <v/>
      </c>
    </row>
    <row r="1137" spans="1:10"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time",IF(D1137="NO_SLOTS",IF(COUNTIF(PARTNERS!$A$2:$A$88,E1137)=0,"Write the company in column E","OK"),IF(C1137="","Missing phone",IF(COUNTIF(DESK!$F$2:$F$601,C1137)=0,"Phone not found: copy it from your list",IF(AND(E1137&lt;&gt;"",COUNTIFS(DESK!$F$2:$F$601,C1137,DESK!$B$2:$B$601,E1137)=0),"Company is not one of theirs","OK"))))))</f>
        <v/>
      </c>
    </row>
    <row r="1138" spans="1:10"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time",IF(D1138="NO_SLOTS",IF(COUNTIF(PARTNERS!$A$2:$A$88,E1138)=0,"Write the company in column E","OK"),IF(C1138="","Missing phone",IF(COUNTIF(DESK!$F$2:$F$601,C1138)=0,"Phone not found: copy it from your list",IF(AND(E1138&lt;&gt;"",COUNTIFS(DESK!$F$2:$F$601,C1138,DESK!$B$2:$B$601,E1138)=0),"Company is not one of theirs","OK"))))))</f>
        <v/>
      </c>
    </row>
    <row r="1139" spans="1:10"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time",IF(D1139="NO_SLOTS",IF(COUNTIF(PARTNERS!$A$2:$A$88,E1139)=0,"Write the company in column E","OK"),IF(C1139="","Missing phone",IF(COUNTIF(DESK!$F$2:$F$601,C1139)=0,"Phone not found: copy it from your list",IF(AND(E1139&lt;&gt;"",COUNTIFS(DESK!$F$2:$F$601,C1139,DESK!$B$2:$B$601,E1139)=0),"Company is not one of theirs","OK"))))))</f>
        <v/>
      </c>
    </row>
    <row r="1140" spans="1:10"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time",IF(D1140="NO_SLOTS",IF(COUNTIF(PARTNERS!$A$2:$A$88,E1140)=0,"Write the company in column E","OK"),IF(C1140="","Missing phone",IF(COUNTIF(DESK!$F$2:$F$601,C1140)=0,"Phone not found: copy it from your list",IF(AND(E1140&lt;&gt;"",COUNTIFS(DESK!$F$2:$F$601,C1140,DESK!$B$2:$B$601,E1140)=0),"Company is not one of theirs","OK"))))))</f>
        <v/>
      </c>
    </row>
    <row r="1141" spans="1:10"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time",IF(D1141="NO_SLOTS",IF(COUNTIF(PARTNERS!$A$2:$A$88,E1141)=0,"Write the company in column E","OK"),IF(C1141="","Missing phone",IF(COUNTIF(DESK!$F$2:$F$601,C1141)=0,"Phone not found: copy it from your list",IF(AND(E1141&lt;&gt;"",COUNTIFS(DESK!$F$2:$F$601,C1141,DESK!$B$2:$B$601,E1141)=0),"Company is not one of theirs","OK"))))))</f>
        <v/>
      </c>
    </row>
    <row r="1142" spans="1:10"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time",IF(D1142="NO_SLOTS",IF(COUNTIF(PARTNERS!$A$2:$A$88,E1142)=0,"Write the company in column E","OK"),IF(C1142="","Missing phone",IF(COUNTIF(DESK!$F$2:$F$601,C1142)=0,"Phone not found: copy it from your list",IF(AND(E1142&lt;&gt;"",COUNTIFS(DESK!$F$2:$F$601,C1142,DESK!$B$2:$B$601,E1142)=0),"Company is not one of theirs","OK"))))))</f>
        <v/>
      </c>
    </row>
    <row r="1143" spans="1:10"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time",IF(D1143="NO_SLOTS",IF(COUNTIF(PARTNERS!$A$2:$A$88,E1143)=0,"Write the company in column E","OK"),IF(C1143="","Missing phone",IF(COUNTIF(DESK!$F$2:$F$601,C1143)=0,"Phone not found: copy it from your list",IF(AND(E1143&lt;&gt;"",COUNTIFS(DESK!$F$2:$F$601,C1143,DESK!$B$2:$B$601,E1143)=0),"Company is not one of theirs","OK"))))))</f>
        <v/>
      </c>
    </row>
    <row r="1144" spans="1:10"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time",IF(D1144="NO_SLOTS",IF(COUNTIF(PARTNERS!$A$2:$A$88,E1144)=0,"Write the company in column E","OK"),IF(C1144="","Missing phone",IF(COUNTIF(DESK!$F$2:$F$601,C1144)=0,"Phone not found: copy it from your list",IF(AND(E1144&lt;&gt;"",COUNTIFS(DESK!$F$2:$F$601,C1144,DESK!$B$2:$B$601,E1144)=0),"Company is not one of theirs","OK"))))))</f>
        <v/>
      </c>
    </row>
    <row r="1145" spans="1:10"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time",IF(D1145="NO_SLOTS",IF(COUNTIF(PARTNERS!$A$2:$A$88,E1145)=0,"Write the company in column E","OK"),IF(C1145="","Missing phone",IF(COUNTIF(DESK!$F$2:$F$601,C1145)=0,"Phone not found: copy it from your list",IF(AND(E1145&lt;&gt;"",COUNTIFS(DESK!$F$2:$F$601,C1145,DESK!$B$2:$B$601,E1145)=0),"Company is not one of theirs","OK"))))))</f>
        <v/>
      </c>
    </row>
    <row r="1146" spans="1:10"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time",IF(D1146="NO_SLOTS",IF(COUNTIF(PARTNERS!$A$2:$A$88,E1146)=0,"Write the company in column E","OK"),IF(C1146="","Missing phone",IF(COUNTIF(DESK!$F$2:$F$601,C1146)=0,"Phone not found: copy it from your list",IF(AND(E1146&lt;&gt;"",COUNTIFS(DESK!$F$2:$F$601,C1146,DESK!$B$2:$B$601,E1146)=0),"Company is not one of theirs","OK"))))))</f>
        <v/>
      </c>
    </row>
    <row r="1147" spans="1:10"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time",IF(D1147="NO_SLOTS",IF(COUNTIF(PARTNERS!$A$2:$A$88,E1147)=0,"Write the company in column E","OK"),IF(C1147="","Missing phone",IF(COUNTIF(DESK!$F$2:$F$601,C1147)=0,"Phone not found: copy it from your list",IF(AND(E1147&lt;&gt;"",COUNTIFS(DESK!$F$2:$F$601,C1147,DESK!$B$2:$B$601,E1147)=0),"Company is not one of theirs","OK"))))))</f>
        <v/>
      </c>
    </row>
    <row r="1148" spans="1:10"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time",IF(D1148="NO_SLOTS",IF(COUNTIF(PARTNERS!$A$2:$A$88,E1148)=0,"Write the company in column E","OK"),IF(C1148="","Missing phone",IF(COUNTIF(DESK!$F$2:$F$601,C1148)=0,"Phone not found: copy it from your list",IF(AND(E1148&lt;&gt;"",COUNTIFS(DESK!$F$2:$F$601,C1148,DESK!$B$2:$B$601,E1148)=0),"Company is not one of theirs","OK"))))))</f>
        <v/>
      </c>
    </row>
    <row r="1149" spans="1:10"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time",IF(D1149="NO_SLOTS",IF(COUNTIF(PARTNERS!$A$2:$A$88,E1149)=0,"Write the company in column E","OK"),IF(C1149="","Missing phone",IF(COUNTIF(DESK!$F$2:$F$601,C1149)=0,"Phone not found: copy it from your list",IF(AND(E1149&lt;&gt;"",COUNTIFS(DESK!$F$2:$F$601,C1149,DESK!$B$2:$B$601,E1149)=0),"Company is not one of theirs","OK"))))))</f>
        <v/>
      </c>
    </row>
    <row r="1150" spans="1:10"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time",IF(D1150="NO_SLOTS",IF(COUNTIF(PARTNERS!$A$2:$A$88,E1150)=0,"Write the company in column E","OK"),IF(C1150="","Missing phone",IF(COUNTIF(DESK!$F$2:$F$601,C1150)=0,"Phone not found: copy it from your list",IF(AND(E1150&lt;&gt;"",COUNTIFS(DESK!$F$2:$F$601,C1150,DESK!$B$2:$B$601,E1150)=0),"Company is not one of theirs","OK"))))))</f>
        <v/>
      </c>
    </row>
    <row r="1151" spans="1:10"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time",IF(D1151="NO_SLOTS",IF(COUNTIF(PARTNERS!$A$2:$A$88,E1151)=0,"Write the company in column E","OK"),IF(C1151="","Missing phone",IF(COUNTIF(DESK!$F$2:$F$601,C1151)=0,"Phone not found: copy it from your list",IF(AND(E1151&lt;&gt;"",COUNTIFS(DESK!$F$2:$F$601,C1151,DESK!$B$2:$B$601,E1151)=0),"Company is not one of theirs","OK"))))))</f>
        <v/>
      </c>
    </row>
    <row r="1152" spans="1:10"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time",IF(D1152="NO_SLOTS",IF(COUNTIF(PARTNERS!$A$2:$A$88,E1152)=0,"Write the company in column E","OK"),IF(C1152="","Missing phone",IF(COUNTIF(DESK!$F$2:$F$601,C1152)=0,"Phone not found: copy it from your list",IF(AND(E1152&lt;&gt;"",COUNTIFS(DESK!$F$2:$F$601,C1152,DESK!$B$2:$B$601,E1152)=0),"Company is not one of theirs","OK"))))))</f>
        <v/>
      </c>
    </row>
    <row r="1153" spans="1:10"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time",IF(D1153="NO_SLOTS",IF(COUNTIF(PARTNERS!$A$2:$A$88,E1153)=0,"Write the company in column E","OK"),IF(C1153="","Missing phone",IF(COUNTIF(DESK!$F$2:$F$601,C1153)=0,"Phone not found: copy it from your list",IF(AND(E1153&lt;&gt;"",COUNTIFS(DESK!$F$2:$F$601,C1153,DESK!$B$2:$B$601,E1153)=0),"Company is not one of theirs","OK"))))))</f>
        <v/>
      </c>
    </row>
    <row r="1154" spans="1:10"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time",IF(D1154="NO_SLOTS",IF(COUNTIF(PARTNERS!$A$2:$A$88,E1154)=0,"Write the company in column E","OK"),IF(C1154="","Missing phone",IF(COUNTIF(DESK!$F$2:$F$601,C1154)=0,"Phone not found: copy it from your list",IF(AND(E1154&lt;&gt;"",COUNTIFS(DESK!$F$2:$F$601,C1154,DESK!$B$2:$B$601,E1154)=0),"Company is not one of theirs","OK"))))))</f>
        <v/>
      </c>
    </row>
    <row r="1155" spans="1:10"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time",IF(D1155="NO_SLOTS",IF(COUNTIF(PARTNERS!$A$2:$A$88,E1155)=0,"Write the company in column E","OK"),IF(C1155="","Missing phone",IF(COUNTIF(DESK!$F$2:$F$601,C1155)=0,"Phone not found: copy it from your list",IF(AND(E1155&lt;&gt;"",COUNTIFS(DESK!$F$2:$F$601,C1155,DESK!$B$2:$B$601,E1155)=0),"Company is not one of theirs","OK"))))))</f>
        <v/>
      </c>
    </row>
    <row r="1156" spans="1:10"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time",IF(D1156="NO_SLOTS",IF(COUNTIF(PARTNERS!$A$2:$A$88,E1156)=0,"Write the company in column E","OK"),IF(C1156="","Missing phone",IF(COUNTIF(DESK!$F$2:$F$601,C1156)=0,"Phone not found: copy it from your list",IF(AND(E1156&lt;&gt;"",COUNTIFS(DESK!$F$2:$F$601,C1156,DESK!$B$2:$B$601,E1156)=0),"Company is not one of theirs","OK"))))))</f>
        <v/>
      </c>
    </row>
    <row r="1157" spans="1:10"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time",IF(D1157="NO_SLOTS",IF(COUNTIF(PARTNERS!$A$2:$A$88,E1157)=0,"Write the company in column E","OK"),IF(C1157="","Missing phone",IF(COUNTIF(DESK!$F$2:$F$601,C1157)=0,"Phone not found: copy it from your list",IF(AND(E1157&lt;&gt;"",COUNTIFS(DESK!$F$2:$F$601,C1157,DESK!$B$2:$B$601,E1157)=0),"Company is not one of theirs","OK"))))))</f>
        <v/>
      </c>
    </row>
    <row r="1158" spans="1:10"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time",IF(D1158="NO_SLOTS",IF(COUNTIF(PARTNERS!$A$2:$A$88,E1158)=0,"Write the company in column E","OK"),IF(C1158="","Missing phone",IF(COUNTIF(DESK!$F$2:$F$601,C1158)=0,"Phone not found: copy it from your list",IF(AND(E1158&lt;&gt;"",COUNTIFS(DESK!$F$2:$F$601,C1158,DESK!$B$2:$B$601,E1158)=0),"Company is not one of theirs","OK"))))))</f>
        <v/>
      </c>
    </row>
    <row r="1159" spans="1:10"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time",IF(D1159="NO_SLOTS",IF(COUNTIF(PARTNERS!$A$2:$A$88,E1159)=0,"Write the company in column E","OK"),IF(C1159="","Missing phone",IF(COUNTIF(DESK!$F$2:$F$601,C1159)=0,"Phone not found: copy it from your list",IF(AND(E1159&lt;&gt;"",COUNTIFS(DESK!$F$2:$F$601,C1159,DESK!$B$2:$B$601,E1159)=0),"Company is not one of theirs","OK"))))))</f>
        <v/>
      </c>
    </row>
    <row r="1160" spans="1:10"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time",IF(D1160="NO_SLOTS",IF(COUNTIF(PARTNERS!$A$2:$A$88,E1160)=0,"Write the company in column E","OK"),IF(C1160="","Missing phone",IF(COUNTIF(DESK!$F$2:$F$601,C1160)=0,"Phone not found: copy it from your list",IF(AND(E1160&lt;&gt;"",COUNTIFS(DESK!$F$2:$F$601,C1160,DESK!$B$2:$B$601,E1160)=0),"Company is not one of theirs","OK"))))))</f>
        <v/>
      </c>
    </row>
    <row r="1161" spans="1:10"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time",IF(D1161="NO_SLOTS",IF(COUNTIF(PARTNERS!$A$2:$A$88,E1161)=0,"Write the company in column E","OK"),IF(C1161="","Missing phone",IF(COUNTIF(DESK!$F$2:$F$601,C1161)=0,"Phone not found: copy it from your list",IF(AND(E1161&lt;&gt;"",COUNTIFS(DESK!$F$2:$F$601,C1161,DESK!$B$2:$B$601,E1161)=0),"Company is not one of theirs","OK"))))))</f>
        <v/>
      </c>
    </row>
    <row r="1162" spans="1:10"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time",IF(D1162="NO_SLOTS",IF(COUNTIF(PARTNERS!$A$2:$A$88,E1162)=0,"Write the company in column E","OK"),IF(C1162="","Missing phone",IF(COUNTIF(DESK!$F$2:$F$601,C1162)=0,"Phone not found: copy it from your list",IF(AND(E1162&lt;&gt;"",COUNTIFS(DESK!$F$2:$F$601,C1162,DESK!$B$2:$B$601,E1162)=0),"Company is not one of theirs","OK"))))))</f>
        <v/>
      </c>
    </row>
    <row r="1163" spans="1:10"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time",IF(D1163="NO_SLOTS",IF(COUNTIF(PARTNERS!$A$2:$A$88,E1163)=0,"Write the company in column E","OK"),IF(C1163="","Missing phone",IF(COUNTIF(DESK!$F$2:$F$601,C1163)=0,"Phone not found: copy it from your list",IF(AND(E1163&lt;&gt;"",COUNTIFS(DESK!$F$2:$F$601,C1163,DESK!$B$2:$B$601,E1163)=0),"Company is not one of theirs","OK"))))))</f>
        <v/>
      </c>
    </row>
    <row r="1164" spans="1:10"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time",IF(D1164="NO_SLOTS",IF(COUNTIF(PARTNERS!$A$2:$A$88,E1164)=0,"Write the company in column E","OK"),IF(C1164="","Missing phone",IF(COUNTIF(DESK!$F$2:$F$601,C1164)=0,"Phone not found: copy it from your list",IF(AND(E1164&lt;&gt;"",COUNTIFS(DESK!$F$2:$F$601,C1164,DESK!$B$2:$B$601,E1164)=0),"Company is not one of theirs","OK"))))))</f>
        <v/>
      </c>
    </row>
    <row r="1165" spans="1:10"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time",IF(D1165="NO_SLOTS",IF(COUNTIF(PARTNERS!$A$2:$A$88,E1165)=0,"Write the company in column E","OK"),IF(C1165="","Missing phone",IF(COUNTIF(DESK!$F$2:$F$601,C1165)=0,"Phone not found: copy it from your list",IF(AND(E1165&lt;&gt;"",COUNTIFS(DESK!$F$2:$F$601,C1165,DESK!$B$2:$B$601,E1165)=0),"Company is not one of theirs","OK"))))))</f>
        <v/>
      </c>
    </row>
    <row r="1166" spans="1:10"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time",IF(D1166="NO_SLOTS",IF(COUNTIF(PARTNERS!$A$2:$A$88,E1166)=0,"Write the company in column E","OK"),IF(C1166="","Missing phone",IF(COUNTIF(DESK!$F$2:$F$601,C1166)=0,"Phone not found: copy it from your list",IF(AND(E1166&lt;&gt;"",COUNTIFS(DESK!$F$2:$F$601,C1166,DESK!$B$2:$B$601,E1166)=0),"Company is not one of theirs","OK"))))))</f>
        <v/>
      </c>
    </row>
    <row r="1167" spans="1:10"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time",IF(D1167="NO_SLOTS",IF(COUNTIF(PARTNERS!$A$2:$A$88,E1167)=0,"Write the company in column E","OK"),IF(C1167="","Missing phone",IF(COUNTIF(DESK!$F$2:$F$601,C1167)=0,"Phone not found: copy it from your list",IF(AND(E1167&lt;&gt;"",COUNTIFS(DESK!$F$2:$F$601,C1167,DESK!$B$2:$B$601,E1167)=0),"Company is not one of theirs","OK"))))))</f>
        <v/>
      </c>
    </row>
    <row r="1168" spans="1:10"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time",IF(D1168="NO_SLOTS",IF(COUNTIF(PARTNERS!$A$2:$A$88,E1168)=0,"Write the company in column E","OK"),IF(C1168="","Missing phone",IF(COUNTIF(DESK!$F$2:$F$601,C1168)=0,"Phone not found: copy it from your list",IF(AND(E1168&lt;&gt;"",COUNTIFS(DESK!$F$2:$F$601,C1168,DESK!$B$2:$B$601,E1168)=0),"Company is not one of theirs","OK"))))))</f>
        <v/>
      </c>
    </row>
    <row r="1169" spans="1:10"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time",IF(D1169="NO_SLOTS",IF(COUNTIF(PARTNERS!$A$2:$A$88,E1169)=0,"Write the company in column E","OK"),IF(C1169="","Missing phone",IF(COUNTIF(DESK!$F$2:$F$601,C1169)=0,"Phone not found: copy it from your list",IF(AND(E1169&lt;&gt;"",COUNTIFS(DESK!$F$2:$F$601,C1169,DESK!$B$2:$B$601,E1169)=0),"Company is not one of theirs","OK"))))))</f>
        <v/>
      </c>
    </row>
    <row r="1170" spans="1:10"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time",IF(D1170="NO_SLOTS",IF(COUNTIF(PARTNERS!$A$2:$A$88,E1170)=0,"Write the company in column E","OK"),IF(C1170="","Missing phone",IF(COUNTIF(DESK!$F$2:$F$601,C1170)=0,"Phone not found: copy it from your list",IF(AND(E1170&lt;&gt;"",COUNTIFS(DESK!$F$2:$F$601,C1170,DESK!$B$2:$B$601,E1170)=0),"Company is not one of theirs","OK"))))))</f>
        <v/>
      </c>
    </row>
    <row r="1171" spans="1:10"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time",IF(D1171="NO_SLOTS",IF(COUNTIF(PARTNERS!$A$2:$A$88,E1171)=0,"Write the company in column E","OK"),IF(C1171="","Missing phone",IF(COUNTIF(DESK!$F$2:$F$601,C1171)=0,"Phone not found: copy it from your list",IF(AND(E1171&lt;&gt;"",COUNTIFS(DESK!$F$2:$F$601,C1171,DESK!$B$2:$B$601,E1171)=0),"Company is not one of theirs","OK"))))))</f>
        <v/>
      </c>
    </row>
    <row r="1172" spans="1:10"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time",IF(D1172="NO_SLOTS",IF(COUNTIF(PARTNERS!$A$2:$A$88,E1172)=0,"Write the company in column E","OK"),IF(C1172="","Missing phone",IF(COUNTIF(DESK!$F$2:$F$601,C1172)=0,"Phone not found: copy it from your list",IF(AND(E1172&lt;&gt;"",COUNTIFS(DESK!$F$2:$F$601,C1172,DESK!$B$2:$B$601,E1172)=0),"Company is not one of theirs","OK"))))))</f>
        <v/>
      </c>
    </row>
    <row r="1173" spans="1:10"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time",IF(D1173="NO_SLOTS",IF(COUNTIF(PARTNERS!$A$2:$A$88,E1173)=0,"Write the company in column E","OK"),IF(C1173="","Missing phone",IF(COUNTIF(DESK!$F$2:$F$601,C1173)=0,"Phone not found: copy it from your list",IF(AND(E1173&lt;&gt;"",COUNTIFS(DESK!$F$2:$F$601,C1173,DESK!$B$2:$B$601,E1173)=0),"Company is not one of theirs","OK"))))))</f>
        <v/>
      </c>
    </row>
    <row r="1174" spans="1:10"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time",IF(D1174="NO_SLOTS",IF(COUNTIF(PARTNERS!$A$2:$A$88,E1174)=0,"Write the company in column E","OK"),IF(C1174="","Missing phone",IF(COUNTIF(DESK!$F$2:$F$601,C1174)=0,"Phone not found: copy it from your list",IF(AND(E1174&lt;&gt;"",COUNTIFS(DESK!$F$2:$F$601,C1174,DESK!$B$2:$B$601,E1174)=0),"Company is not one of theirs","OK"))))))</f>
        <v/>
      </c>
    </row>
    <row r="1175" spans="1:10"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time",IF(D1175="NO_SLOTS",IF(COUNTIF(PARTNERS!$A$2:$A$88,E1175)=0,"Write the company in column E","OK"),IF(C1175="","Missing phone",IF(COUNTIF(DESK!$F$2:$F$601,C1175)=0,"Phone not found: copy it from your list",IF(AND(E1175&lt;&gt;"",COUNTIFS(DESK!$F$2:$F$601,C1175,DESK!$B$2:$B$601,E1175)=0),"Company is not one of theirs","OK"))))))</f>
        <v/>
      </c>
    </row>
    <row r="1176" spans="1:10"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time",IF(D1176="NO_SLOTS",IF(COUNTIF(PARTNERS!$A$2:$A$88,E1176)=0,"Write the company in column E","OK"),IF(C1176="","Missing phone",IF(COUNTIF(DESK!$F$2:$F$601,C1176)=0,"Phone not found: copy it from your list",IF(AND(E1176&lt;&gt;"",COUNTIFS(DESK!$F$2:$F$601,C1176,DESK!$B$2:$B$601,E1176)=0),"Company is not one of theirs","OK"))))))</f>
        <v/>
      </c>
    </row>
    <row r="1177" spans="1:10"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time",IF(D1177="NO_SLOTS",IF(COUNTIF(PARTNERS!$A$2:$A$88,E1177)=0,"Write the company in column E","OK"),IF(C1177="","Missing phone",IF(COUNTIF(DESK!$F$2:$F$601,C1177)=0,"Phone not found: copy it from your list",IF(AND(E1177&lt;&gt;"",COUNTIFS(DESK!$F$2:$F$601,C1177,DESK!$B$2:$B$601,E1177)=0),"Company is not one of theirs","OK"))))))</f>
        <v/>
      </c>
    </row>
    <row r="1178" spans="1:10"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time",IF(D1178="NO_SLOTS",IF(COUNTIF(PARTNERS!$A$2:$A$88,E1178)=0,"Write the company in column E","OK"),IF(C1178="","Missing phone",IF(COUNTIF(DESK!$F$2:$F$601,C1178)=0,"Phone not found: copy it from your list",IF(AND(E1178&lt;&gt;"",COUNTIFS(DESK!$F$2:$F$601,C1178,DESK!$B$2:$B$601,E1178)=0),"Company is not one of theirs","OK"))))))</f>
        <v/>
      </c>
    </row>
    <row r="1179" spans="1:10"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time",IF(D1179="NO_SLOTS",IF(COUNTIF(PARTNERS!$A$2:$A$88,E1179)=0,"Write the company in column E","OK"),IF(C1179="","Missing phone",IF(COUNTIF(DESK!$F$2:$F$601,C1179)=0,"Phone not found: copy it from your list",IF(AND(E1179&lt;&gt;"",COUNTIFS(DESK!$F$2:$F$601,C1179,DESK!$B$2:$B$601,E1179)=0),"Company is not one of theirs","OK"))))))</f>
        <v/>
      </c>
    </row>
    <row r="1180" spans="1:10"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time",IF(D1180="NO_SLOTS",IF(COUNTIF(PARTNERS!$A$2:$A$88,E1180)=0,"Write the company in column E","OK"),IF(C1180="","Missing phone",IF(COUNTIF(DESK!$F$2:$F$601,C1180)=0,"Phone not found: copy it from your list",IF(AND(E1180&lt;&gt;"",COUNTIFS(DESK!$F$2:$F$601,C1180,DESK!$B$2:$B$601,E1180)=0),"Company is not one of theirs","OK"))))))</f>
        <v/>
      </c>
    </row>
    <row r="1181" spans="1:10"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time",IF(D1181="NO_SLOTS",IF(COUNTIF(PARTNERS!$A$2:$A$88,E1181)=0,"Write the company in column E","OK"),IF(C1181="","Missing phone",IF(COUNTIF(DESK!$F$2:$F$601,C1181)=0,"Phone not found: copy it from your list",IF(AND(E1181&lt;&gt;"",COUNTIFS(DESK!$F$2:$F$601,C1181,DESK!$B$2:$B$601,E1181)=0),"Company is not one of theirs","OK"))))))</f>
        <v/>
      </c>
    </row>
    <row r="1182" spans="1:10"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time",IF(D1182="NO_SLOTS",IF(COUNTIF(PARTNERS!$A$2:$A$88,E1182)=0,"Write the company in column E","OK"),IF(C1182="","Missing phone",IF(COUNTIF(DESK!$F$2:$F$601,C1182)=0,"Phone not found: copy it from your list",IF(AND(E1182&lt;&gt;"",COUNTIFS(DESK!$F$2:$F$601,C1182,DESK!$B$2:$B$601,E1182)=0),"Company is not one of theirs","OK"))))))</f>
        <v/>
      </c>
    </row>
    <row r="1183" spans="1:10"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time",IF(D1183="NO_SLOTS",IF(COUNTIF(PARTNERS!$A$2:$A$88,E1183)=0,"Write the company in column E","OK"),IF(C1183="","Missing phone",IF(COUNTIF(DESK!$F$2:$F$601,C1183)=0,"Phone not found: copy it from your list",IF(AND(E1183&lt;&gt;"",COUNTIFS(DESK!$F$2:$F$601,C1183,DESK!$B$2:$B$601,E1183)=0),"Company is not one of theirs","OK"))))))</f>
        <v/>
      </c>
    </row>
    <row r="1184" spans="1:10"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time",IF(D1184="NO_SLOTS",IF(COUNTIF(PARTNERS!$A$2:$A$88,E1184)=0,"Write the company in column E","OK"),IF(C1184="","Missing phone",IF(COUNTIF(DESK!$F$2:$F$601,C1184)=0,"Phone not found: copy it from your list",IF(AND(E1184&lt;&gt;"",COUNTIFS(DESK!$F$2:$F$601,C1184,DESK!$B$2:$B$601,E1184)=0),"Company is not one of theirs","OK"))))))</f>
        <v/>
      </c>
    </row>
    <row r="1185" spans="1:10"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time",IF(D1185="NO_SLOTS",IF(COUNTIF(PARTNERS!$A$2:$A$88,E1185)=0,"Write the company in column E","OK"),IF(C1185="","Missing phone",IF(COUNTIF(DESK!$F$2:$F$601,C1185)=0,"Phone not found: copy it from your list",IF(AND(E1185&lt;&gt;"",COUNTIFS(DESK!$F$2:$F$601,C1185,DESK!$B$2:$B$601,E1185)=0),"Company is not one of theirs","OK"))))))</f>
        <v/>
      </c>
    </row>
    <row r="1186" spans="1:10"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time",IF(D1186="NO_SLOTS",IF(COUNTIF(PARTNERS!$A$2:$A$88,E1186)=0,"Write the company in column E","OK"),IF(C1186="","Missing phone",IF(COUNTIF(DESK!$F$2:$F$601,C1186)=0,"Phone not found: copy it from your list",IF(AND(E1186&lt;&gt;"",COUNTIFS(DESK!$F$2:$F$601,C1186,DESK!$B$2:$B$601,E1186)=0),"Company is not one of theirs","OK"))))))</f>
        <v/>
      </c>
    </row>
    <row r="1187" spans="1:10"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time",IF(D1187="NO_SLOTS",IF(COUNTIF(PARTNERS!$A$2:$A$88,E1187)=0,"Write the company in column E","OK"),IF(C1187="","Missing phone",IF(COUNTIF(DESK!$F$2:$F$601,C1187)=0,"Phone not found: copy it from your list",IF(AND(E1187&lt;&gt;"",COUNTIFS(DESK!$F$2:$F$601,C1187,DESK!$B$2:$B$601,E1187)=0),"Company is not one of theirs","OK"))))))</f>
        <v/>
      </c>
    </row>
    <row r="1188" spans="1:10"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time",IF(D1188="NO_SLOTS",IF(COUNTIF(PARTNERS!$A$2:$A$88,E1188)=0,"Write the company in column E","OK"),IF(C1188="","Missing phone",IF(COUNTIF(DESK!$F$2:$F$601,C1188)=0,"Phone not found: copy it from your list",IF(AND(E1188&lt;&gt;"",COUNTIFS(DESK!$F$2:$F$601,C1188,DESK!$B$2:$B$601,E1188)=0),"Company is not one of theirs","OK"))))))</f>
        <v/>
      </c>
    </row>
    <row r="1189" spans="1:10"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time",IF(D1189="NO_SLOTS",IF(COUNTIF(PARTNERS!$A$2:$A$88,E1189)=0,"Write the company in column E","OK"),IF(C1189="","Missing phone",IF(COUNTIF(DESK!$F$2:$F$601,C1189)=0,"Phone not found: copy it from your list",IF(AND(E1189&lt;&gt;"",COUNTIFS(DESK!$F$2:$F$601,C1189,DESK!$B$2:$B$601,E1189)=0),"Company is not one of theirs","OK"))))))</f>
        <v/>
      </c>
    </row>
    <row r="1190" spans="1:10"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time",IF(D1190="NO_SLOTS",IF(COUNTIF(PARTNERS!$A$2:$A$88,E1190)=0,"Write the company in column E","OK"),IF(C1190="","Missing phone",IF(COUNTIF(DESK!$F$2:$F$601,C1190)=0,"Phone not found: copy it from your list",IF(AND(E1190&lt;&gt;"",COUNTIFS(DESK!$F$2:$F$601,C1190,DESK!$B$2:$B$601,E1190)=0),"Company is not one of theirs","OK"))))))</f>
        <v/>
      </c>
    </row>
    <row r="1191" spans="1:10"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time",IF(D1191="NO_SLOTS",IF(COUNTIF(PARTNERS!$A$2:$A$88,E1191)=0,"Write the company in column E","OK"),IF(C1191="","Missing phone",IF(COUNTIF(DESK!$F$2:$F$601,C1191)=0,"Phone not found: copy it from your list",IF(AND(E1191&lt;&gt;"",COUNTIFS(DESK!$F$2:$F$601,C1191,DESK!$B$2:$B$601,E1191)=0),"Company is not one of theirs","OK"))))))</f>
        <v/>
      </c>
    </row>
    <row r="1192" spans="1:10"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time",IF(D1192="NO_SLOTS",IF(COUNTIF(PARTNERS!$A$2:$A$88,E1192)=0,"Write the company in column E","OK"),IF(C1192="","Missing phone",IF(COUNTIF(DESK!$F$2:$F$601,C1192)=0,"Phone not found: copy it from your list",IF(AND(E1192&lt;&gt;"",COUNTIFS(DESK!$F$2:$F$601,C1192,DESK!$B$2:$B$601,E1192)=0),"Company is not one of theirs","OK"))))))</f>
        <v/>
      </c>
    </row>
    <row r="1193" spans="1:10"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time",IF(D1193="NO_SLOTS",IF(COUNTIF(PARTNERS!$A$2:$A$88,E1193)=0,"Write the company in column E","OK"),IF(C1193="","Missing phone",IF(COUNTIF(DESK!$F$2:$F$601,C1193)=0,"Phone not found: copy it from your list",IF(AND(E1193&lt;&gt;"",COUNTIFS(DESK!$F$2:$F$601,C1193,DESK!$B$2:$B$601,E1193)=0),"Company is not one of theirs","OK"))))))</f>
        <v/>
      </c>
    </row>
    <row r="1194" spans="1:10"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time",IF(D1194="NO_SLOTS",IF(COUNTIF(PARTNERS!$A$2:$A$88,E1194)=0,"Write the company in column E","OK"),IF(C1194="","Missing phone",IF(COUNTIF(DESK!$F$2:$F$601,C1194)=0,"Phone not found: copy it from your list",IF(AND(E1194&lt;&gt;"",COUNTIFS(DESK!$F$2:$F$601,C1194,DESK!$B$2:$B$601,E1194)=0),"Company is not one of theirs","OK"))))))</f>
        <v/>
      </c>
    </row>
    <row r="1195" spans="1:10"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time",IF(D1195="NO_SLOTS",IF(COUNTIF(PARTNERS!$A$2:$A$88,E1195)=0,"Write the company in column E","OK"),IF(C1195="","Missing phone",IF(COUNTIF(DESK!$F$2:$F$601,C1195)=0,"Phone not found: copy it from your list",IF(AND(E1195&lt;&gt;"",COUNTIFS(DESK!$F$2:$F$601,C1195,DESK!$B$2:$B$601,E1195)=0),"Company is not one of theirs","OK"))))))</f>
        <v/>
      </c>
    </row>
    <row r="1196" spans="1:10"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time",IF(D1196="NO_SLOTS",IF(COUNTIF(PARTNERS!$A$2:$A$88,E1196)=0,"Write the company in column E","OK"),IF(C1196="","Missing phone",IF(COUNTIF(DESK!$F$2:$F$601,C1196)=0,"Phone not found: copy it from your list",IF(AND(E1196&lt;&gt;"",COUNTIFS(DESK!$F$2:$F$601,C1196,DESK!$B$2:$B$601,E1196)=0),"Company is not one of theirs","OK"))))))</f>
        <v/>
      </c>
    </row>
    <row r="1197" spans="1:10"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time",IF(D1197="NO_SLOTS",IF(COUNTIF(PARTNERS!$A$2:$A$88,E1197)=0,"Write the company in column E","OK"),IF(C1197="","Missing phone",IF(COUNTIF(DESK!$F$2:$F$601,C1197)=0,"Phone not found: copy it from your list",IF(AND(E1197&lt;&gt;"",COUNTIFS(DESK!$F$2:$F$601,C1197,DESK!$B$2:$B$601,E1197)=0),"Company is not one of theirs","OK"))))))</f>
        <v/>
      </c>
    </row>
    <row r="1198" spans="1:10"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time",IF(D1198="NO_SLOTS",IF(COUNTIF(PARTNERS!$A$2:$A$88,E1198)=0,"Write the company in column E","OK"),IF(C1198="","Missing phone",IF(COUNTIF(DESK!$F$2:$F$601,C1198)=0,"Phone not found: copy it from your list",IF(AND(E1198&lt;&gt;"",COUNTIFS(DESK!$F$2:$F$601,C1198,DESK!$B$2:$B$601,E1198)=0),"Company is not one of theirs","OK"))))))</f>
        <v/>
      </c>
    </row>
    <row r="1199" spans="1:10"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time",IF(D1199="NO_SLOTS",IF(COUNTIF(PARTNERS!$A$2:$A$88,E1199)=0,"Write the company in column E","OK"),IF(C1199="","Missing phone",IF(COUNTIF(DESK!$F$2:$F$601,C1199)=0,"Phone not found: copy it from your list",IF(AND(E1199&lt;&gt;"",COUNTIFS(DESK!$F$2:$F$601,C1199,DESK!$B$2:$B$601,E1199)=0),"Company is not one of theirs","OK"))))))</f>
        <v/>
      </c>
    </row>
    <row r="1200" spans="1:10"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time",IF(D1200="NO_SLOTS",IF(COUNTIF(PARTNERS!$A$2:$A$88,E1200)=0,"Write the company in column E","OK"),IF(C1200="","Missing phone",IF(COUNTIF(DESK!$F$2:$F$601,C1200)=0,"Phone not found: copy it from your list",IF(AND(E1200&lt;&gt;"",COUNTIFS(DESK!$F$2:$F$601,C1200,DESK!$B$2:$B$601,E1200)=0),"Company is not one of theirs","OK"))))))</f>
        <v/>
      </c>
    </row>
    <row r="1201" spans="1:10"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time",IF(D1201="NO_SLOTS",IF(COUNTIF(PARTNERS!$A$2:$A$88,E1201)=0,"Write the company in column E","OK"),IF(C1201="","Missing phone",IF(COUNTIF(DESK!$F$2:$F$601,C1201)=0,"Phone not found: copy it from your list",IF(AND(E1201&lt;&gt;"",COUNTIFS(DESK!$F$2:$F$601,C1201,DESK!$B$2:$B$601,E1201)=0),"Company is not one of theirs","OK"))))))</f>
        <v/>
      </c>
    </row>
    <row r="1202" spans="1:10"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time",IF(D1202="NO_SLOTS",IF(COUNTIF(PARTNERS!$A$2:$A$88,E1202)=0,"Write the company in column E","OK"),IF(C1202="","Missing phone",IF(COUNTIF(DESK!$F$2:$F$601,C1202)=0,"Phone not found: copy it from your list",IF(AND(E1202&lt;&gt;"",COUNTIFS(DESK!$F$2:$F$601,C1202,DESK!$B$2:$B$601,E1202)=0),"Company is not one of theirs","OK"))))))</f>
        <v/>
      </c>
    </row>
    <row r="1203" spans="1:10"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time",IF(D1203="NO_SLOTS",IF(COUNTIF(PARTNERS!$A$2:$A$88,E1203)=0,"Write the company in column E","OK"),IF(C1203="","Missing phone",IF(COUNTIF(DESK!$F$2:$F$601,C1203)=0,"Phone not found: copy it from your list",IF(AND(E1203&lt;&gt;"",COUNTIFS(DESK!$F$2:$F$601,C1203,DESK!$B$2:$B$601,E1203)=0),"Company is not one of theirs","OK"))))))</f>
        <v/>
      </c>
    </row>
    <row r="1204" spans="1:10"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time",IF(D1204="NO_SLOTS",IF(COUNTIF(PARTNERS!$A$2:$A$88,E1204)=0,"Write the company in column E","OK"),IF(C1204="","Missing phone",IF(COUNTIF(DESK!$F$2:$F$601,C1204)=0,"Phone not found: copy it from your list",IF(AND(E1204&lt;&gt;"",COUNTIFS(DESK!$F$2:$F$601,C1204,DESK!$B$2:$B$601,E1204)=0),"Company is not one of theirs","OK"))))))</f>
        <v/>
      </c>
    </row>
    <row r="1205" spans="1:10"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time",IF(D1205="NO_SLOTS",IF(COUNTIF(PARTNERS!$A$2:$A$88,E1205)=0,"Write the company in column E","OK"),IF(C1205="","Missing phone",IF(COUNTIF(DESK!$F$2:$F$601,C1205)=0,"Phone not found: copy it from your list",IF(AND(E1205&lt;&gt;"",COUNTIFS(DESK!$F$2:$F$601,C1205,DESK!$B$2:$B$601,E1205)=0),"Company is not one of theirs","OK"))))))</f>
        <v/>
      </c>
    </row>
    <row r="1206" spans="1:10"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time",IF(D1206="NO_SLOTS",IF(COUNTIF(PARTNERS!$A$2:$A$88,E1206)=0,"Write the company in column E","OK"),IF(C1206="","Missing phone",IF(COUNTIF(DESK!$F$2:$F$601,C1206)=0,"Phone not found: copy it from your list",IF(AND(E1206&lt;&gt;"",COUNTIFS(DESK!$F$2:$F$601,C1206,DESK!$B$2:$B$601,E1206)=0),"Company is not one of theirs","OK"))))))</f>
        <v/>
      </c>
    </row>
    <row r="1207" spans="1:10"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time",IF(D1207="NO_SLOTS",IF(COUNTIF(PARTNERS!$A$2:$A$88,E1207)=0,"Write the company in column E","OK"),IF(C1207="","Missing phone",IF(COUNTIF(DESK!$F$2:$F$601,C1207)=0,"Phone not found: copy it from your list",IF(AND(E1207&lt;&gt;"",COUNTIFS(DESK!$F$2:$F$601,C1207,DESK!$B$2:$B$601,E1207)=0),"Company is not one of theirs","OK"))))))</f>
        <v/>
      </c>
    </row>
    <row r="1208" spans="1:10"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time",IF(D1208="NO_SLOTS",IF(COUNTIF(PARTNERS!$A$2:$A$88,E1208)=0,"Write the company in column E","OK"),IF(C1208="","Missing phone",IF(COUNTIF(DESK!$F$2:$F$601,C1208)=0,"Phone not found: copy it from your list",IF(AND(E1208&lt;&gt;"",COUNTIFS(DESK!$F$2:$F$601,C1208,DESK!$B$2:$B$601,E1208)=0),"Company is not one of theirs","OK"))))))</f>
        <v/>
      </c>
    </row>
    <row r="1209" spans="1:10"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time",IF(D1209="NO_SLOTS",IF(COUNTIF(PARTNERS!$A$2:$A$88,E1209)=0,"Write the company in column E","OK"),IF(C1209="","Missing phone",IF(COUNTIF(DESK!$F$2:$F$601,C1209)=0,"Phone not found: copy it from your list",IF(AND(E1209&lt;&gt;"",COUNTIFS(DESK!$F$2:$F$601,C1209,DESK!$B$2:$B$601,E1209)=0),"Company is not one of theirs","OK"))))))</f>
        <v/>
      </c>
    </row>
    <row r="1210" spans="1:10"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time",IF(D1210="NO_SLOTS",IF(COUNTIF(PARTNERS!$A$2:$A$88,E1210)=0,"Write the company in column E","OK"),IF(C1210="","Missing phone",IF(COUNTIF(DESK!$F$2:$F$601,C1210)=0,"Phone not found: copy it from your list",IF(AND(E1210&lt;&gt;"",COUNTIFS(DESK!$F$2:$F$601,C1210,DESK!$B$2:$B$601,E1210)=0),"Company is not one of theirs","OK"))))))</f>
        <v/>
      </c>
    </row>
    <row r="1211" spans="1:10"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time",IF(D1211="NO_SLOTS",IF(COUNTIF(PARTNERS!$A$2:$A$88,E1211)=0,"Write the company in column E","OK"),IF(C1211="","Missing phone",IF(COUNTIF(DESK!$F$2:$F$601,C1211)=0,"Phone not found: copy it from your list",IF(AND(E1211&lt;&gt;"",COUNTIFS(DESK!$F$2:$F$601,C1211,DESK!$B$2:$B$601,E1211)=0),"Company is not one of theirs","OK"))))))</f>
        <v/>
      </c>
    </row>
    <row r="1212" spans="1:10"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time",IF(D1212="NO_SLOTS",IF(COUNTIF(PARTNERS!$A$2:$A$88,E1212)=0,"Write the company in column E","OK"),IF(C1212="","Missing phone",IF(COUNTIF(DESK!$F$2:$F$601,C1212)=0,"Phone not found: copy it from your list",IF(AND(E1212&lt;&gt;"",COUNTIFS(DESK!$F$2:$F$601,C1212,DESK!$B$2:$B$601,E1212)=0),"Company is not one of theirs","OK"))))))</f>
        <v/>
      </c>
    </row>
    <row r="1213" spans="1:10"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time",IF(D1213="NO_SLOTS",IF(COUNTIF(PARTNERS!$A$2:$A$88,E1213)=0,"Write the company in column E","OK"),IF(C1213="","Missing phone",IF(COUNTIF(DESK!$F$2:$F$601,C1213)=0,"Phone not found: copy it from your list",IF(AND(E1213&lt;&gt;"",COUNTIFS(DESK!$F$2:$F$601,C1213,DESK!$B$2:$B$601,E1213)=0),"Company is not one of theirs","OK"))))))</f>
        <v/>
      </c>
    </row>
    <row r="1214" spans="1:10"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time",IF(D1214="NO_SLOTS",IF(COUNTIF(PARTNERS!$A$2:$A$88,E1214)=0,"Write the company in column E","OK"),IF(C1214="","Missing phone",IF(COUNTIF(DESK!$F$2:$F$601,C1214)=0,"Phone not found: copy it from your list",IF(AND(E1214&lt;&gt;"",COUNTIFS(DESK!$F$2:$F$601,C1214,DESK!$B$2:$B$601,E1214)=0),"Company is not one of theirs","OK"))))))</f>
        <v/>
      </c>
    </row>
    <row r="1215" spans="1:10"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time",IF(D1215="NO_SLOTS",IF(COUNTIF(PARTNERS!$A$2:$A$88,E1215)=0,"Write the company in column E","OK"),IF(C1215="","Missing phone",IF(COUNTIF(DESK!$F$2:$F$601,C1215)=0,"Phone not found: copy it from your list",IF(AND(E1215&lt;&gt;"",COUNTIFS(DESK!$F$2:$F$601,C1215,DESK!$B$2:$B$601,E1215)=0),"Company is not one of theirs","OK"))))))</f>
        <v/>
      </c>
    </row>
    <row r="1216" spans="1:10"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time",IF(D1216="NO_SLOTS",IF(COUNTIF(PARTNERS!$A$2:$A$88,E1216)=0,"Write the company in column E","OK"),IF(C1216="","Missing phone",IF(COUNTIF(DESK!$F$2:$F$601,C1216)=0,"Phone not found: copy it from your list",IF(AND(E1216&lt;&gt;"",COUNTIFS(DESK!$F$2:$F$601,C1216,DESK!$B$2:$B$601,E1216)=0),"Company is not one of theirs","OK"))))))</f>
        <v/>
      </c>
    </row>
    <row r="1217" spans="1:10"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time",IF(D1217="NO_SLOTS",IF(COUNTIF(PARTNERS!$A$2:$A$88,E1217)=0,"Write the company in column E","OK"),IF(C1217="","Missing phone",IF(COUNTIF(DESK!$F$2:$F$601,C1217)=0,"Phone not found: copy it from your list",IF(AND(E1217&lt;&gt;"",COUNTIFS(DESK!$F$2:$F$601,C1217,DESK!$B$2:$B$601,E1217)=0),"Company is not one of theirs","OK"))))))</f>
        <v/>
      </c>
    </row>
    <row r="1218" spans="1:10"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time",IF(D1218="NO_SLOTS",IF(COUNTIF(PARTNERS!$A$2:$A$88,E1218)=0,"Write the company in column E","OK"),IF(C1218="","Missing phone",IF(COUNTIF(DESK!$F$2:$F$601,C1218)=0,"Phone not found: copy it from your list",IF(AND(E1218&lt;&gt;"",COUNTIFS(DESK!$F$2:$F$601,C1218,DESK!$B$2:$B$601,E1218)=0),"Company is not one of theirs","OK"))))))</f>
        <v/>
      </c>
    </row>
    <row r="1219" spans="1:10"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time",IF(D1219="NO_SLOTS",IF(COUNTIF(PARTNERS!$A$2:$A$88,E1219)=0,"Write the company in column E","OK"),IF(C1219="","Missing phone",IF(COUNTIF(DESK!$F$2:$F$601,C1219)=0,"Phone not found: copy it from your list",IF(AND(E1219&lt;&gt;"",COUNTIFS(DESK!$F$2:$F$601,C1219,DESK!$B$2:$B$601,E1219)=0),"Company is not one of theirs","OK"))))))</f>
        <v/>
      </c>
    </row>
    <row r="1220" spans="1:10"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time",IF(D1220="NO_SLOTS",IF(COUNTIF(PARTNERS!$A$2:$A$88,E1220)=0,"Write the company in column E","OK"),IF(C1220="","Missing phone",IF(COUNTIF(DESK!$F$2:$F$601,C1220)=0,"Phone not found: copy it from your list",IF(AND(E1220&lt;&gt;"",COUNTIFS(DESK!$F$2:$F$601,C1220,DESK!$B$2:$B$601,E1220)=0),"Company is not one of theirs","OK"))))))</f>
        <v/>
      </c>
    </row>
    <row r="1221" spans="1:10"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time",IF(D1221="NO_SLOTS",IF(COUNTIF(PARTNERS!$A$2:$A$88,E1221)=0,"Write the company in column E","OK"),IF(C1221="","Missing phone",IF(COUNTIF(DESK!$F$2:$F$601,C1221)=0,"Phone not found: copy it from your list",IF(AND(E1221&lt;&gt;"",COUNTIFS(DESK!$F$2:$F$601,C1221,DESK!$B$2:$B$601,E1221)=0),"Company is not one of theirs","OK"))))))</f>
        <v/>
      </c>
    </row>
    <row r="1222" spans="1:10"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time",IF(D1222="NO_SLOTS",IF(COUNTIF(PARTNERS!$A$2:$A$88,E1222)=0,"Write the company in column E","OK"),IF(C1222="","Missing phone",IF(COUNTIF(DESK!$F$2:$F$601,C1222)=0,"Phone not found: copy it from your list",IF(AND(E1222&lt;&gt;"",COUNTIFS(DESK!$F$2:$F$601,C1222,DESK!$B$2:$B$601,E1222)=0),"Company is not one of theirs","OK"))))))</f>
        <v/>
      </c>
    </row>
    <row r="1223" spans="1:10"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time",IF(D1223="NO_SLOTS",IF(COUNTIF(PARTNERS!$A$2:$A$88,E1223)=0,"Write the company in column E","OK"),IF(C1223="","Missing phone",IF(COUNTIF(DESK!$F$2:$F$601,C1223)=0,"Phone not found: copy it from your list",IF(AND(E1223&lt;&gt;"",COUNTIFS(DESK!$F$2:$F$601,C1223,DESK!$B$2:$B$601,E1223)=0),"Company is not one of theirs","OK"))))))</f>
        <v/>
      </c>
    </row>
    <row r="1224" spans="1:10"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time",IF(D1224="NO_SLOTS",IF(COUNTIF(PARTNERS!$A$2:$A$88,E1224)=0,"Write the company in column E","OK"),IF(C1224="","Missing phone",IF(COUNTIF(DESK!$F$2:$F$601,C1224)=0,"Phone not found: copy it from your list",IF(AND(E1224&lt;&gt;"",COUNTIFS(DESK!$F$2:$F$601,C1224,DESK!$B$2:$B$601,E1224)=0),"Company is not one of theirs","OK"))))))</f>
        <v/>
      </c>
    </row>
    <row r="1225" spans="1:10"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time",IF(D1225="NO_SLOTS",IF(COUNTIF(PARTNERS!$A$2:$A$88,E1225)=0,"Write the company in column E","OK"),IF(C1225="","Missing phone",IF(COUNTIF(DESK!$F$2:$F$601,C1225)=0,"Phone not found: copy it from your list",IF(AND(E1225&lt;&gt;"",COUNTIFS(DESK!$F$2:$F$601,C1225,DESK!$B$2:$B$601,E1225)=0),"Company is not one of theirs","OK"))))))</f>
        <v/>
      </c>
    </row>
    <row r="1226" spans="1:10"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time",IF(D1226="NO_SLOTS",IF(COUNTIF(PARTNERS!$A$2:$A$88,E1226)=0,"Write the company in column E","OK"),IF(C1226="","Missing phone",IF(COUNTIF(DESK!$F$2:$F$601,C1226)=0,"Phone not found: copy it from your list",IF(AND(E1226&lt;&gt;"",COUNTIFS(DESK!$F$2:$F$601,C1226,DESK!$B$2:$B$601,E1226)=0),"Company is not one of theirs","OK"))))))</f>
        <v/>
      </c>
    </row>
    <row r="1227" spans="1:10"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time",IF(D1227="NO_SLOTS",IF(COUNTIF(PARTNERS!$A$2:$A$88,E1227)=0,"Write the company in column E","OK"),IF(C1227="","Missing phone",IF(COUNTIF(DESK!$F$2:$F$601,C1227)=0,"Phone not found: copy it from your list",IF(AND(E1227&lt;&gt;"",COUNTIFS(DESK!$F$2:$F$601,C1227,DESK!$B$2:$B$601,E1227)=0),"Company is not one of theirs","OK"))))))</f>
        <v/>
      </c>
    </row>
    <row r="1228" spans="1:10"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time",IF(D1228="NO_SLOTS",IF(COUNTIF(PARTNERS!$A$2:$A$88,E1228)=0,"Write the company in column E","OK"),IF(C1228="","Missing phone",IF(COUNTIF(DESK!$F$2:$F$601,C1228)=0,"Phone not found: copy it from your list",IF(AND(E1228&lt;&gt;"",COUNTIFS(DESK!$F$2:$F$601,C1228,DESK!$B$2:$B$601,E1228)=0),"Company is not one of theirs","OK"))))))</f>
        <v/>
      </c>
    </row>
    <row r="1229" spans="1:10"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time",IF(D1229="NO_SLOTS",IF(COUNTIF(PARTNERS!$A$2:$A$88,E1229)=0,"Write the company in column E","OK"),IF(C1229="","Missing phone",IF(COUNTIF(DESK!$F$2:$F$601,C1229)=0,"Phone not found: copy it from your list",IF(AND(E1229&lt;&gt;"",COUNTIFS(DESK!$F$2:$F$601,C1229,DESK!$B$2:$B$601,E1229)=0),"Company is not one of theirs","OK"))))))</f>
        <v/>
      </c>
    </row>
    <row r="1230" spans="1:10"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time",IF(D1230="NO_SLOTS",IF(COUNTIF(PARTNERS!$A$2:$A$88,E1230)=0,"Write the company in column E","OK"),IF(C1230="","Missing phone",IF(COUNTIF(DESK!$F$2:$F$601,C1230)=0,"Phone not found: copy it from your list",IF(AND(E1230&lt;&gt;"",COUNTIFS(DESK!$F$2:$F$601,C1230,DESK!$B$2:$B$601,E1230)=0),"Company is not one of theirs","OK"))))))</f>
        <v/>
      </c>
    </row>
    <row r="1231" spans="1:10"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time",IF(D1231="NO_SLOTS",IF(COUNTIF(PARTNERS!$A$2:$A$88,E1231)=0,"Write the company in column E","OK"),IF(C1231="","Missing phone",IF(COUNTIF(DESK!$F$2:$F$601,C1231)=0,"Phone not found: copy it from your list",IF(AND(E1231&lt;&gt;"",COUNTIFS(DESK!$F$2:$F$601,C1231,DESK!$B$2:$B$601,E1231)=0),"Company is not one of theirs","OK"))))))</f>
        <v/>
      </c>
    </row>
    <row r="1232" spans="1:10"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time",IF(D1232="NO_SLOTS",IF(COUNTIF(PARTNERS!$A$2:$A$88,E1232)=0,"Write the company in column E","OK"),IF(C1232="","Missing phone",IF(COUNTIF(DESK!$F$2:$F$601,C1232)=0,"Phone not found: copy it from your list",IF(AND(E1232&lt;&gt;"",COUNTIFS(DESK!$F$2:$F$601,C1232,DESK!$B$2:$B$601,E1232)=0),"Company is not one of theirs","OK"))))))</f>
        <v/>
      </c>
    </row>
    <row r="1233" spans="1:10"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time",IF(D1233="NO_SLOTS",IF(COUNTIF(PARTNERS!$A$2:$A$88,E1233)=0,"Write the company in column E","OK"),IF(C1233="","Missing phone",IF(COUNTIF(DESK!$F$2:$F$601,C1233)=0,"Phone not found: copy it from your list",IF(AND(E1233&lt;&gt;"",COUNTIFS(DESK!$F$2:$F$601,C1233,DESK!$B$2:$B$601,E1233)=0),"Company is not one of theirs","OK"))))))</f>
        <v/>
      </c>
    </row>
    <row r="1234" spans="1:10"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time",IF(D1234="NO_SLOTS",IF(COUNTIF(PARTNERS!$A$2:$A$88,E1234)=0,"Write the company in column E","OK"),IF(C1234="","Missing phone",IF(COUNTIF(DESK!$F$2:$F$601,C1234)=0,"Phone not found: copy it from your list",IF(AND(E1234&lt;&gt;"",COUNTIFS(DESK!$F$2:$F$601,C1234,DESK!$B$2:$B$601,E1234)=0),"Company is not one of theirs","OK"))))))</f>
        <v/>
      </c>
    </row>
    <row r="1235" spans="1:10"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time",IF(D1235="NO_SLOTS",IF(COUNTIF(PARTNERS!$A$2:$A$88,E1235)=0,"Write the company in column E","OK"),IF(C1235="","Missing phone",IF(COUNTIF(DESK!$F$2:$F$601,C1235)=0,"Phone not found: copy it from your list",IF(AND(E1235&lt;&gt;"",COUNTIFS(DESK!$F$2:$F$601,C1235,DESK!$B$2:$B$601,E1235)=0),"Company is not one of theirs","OK"))))))</f>
        <v/>
      </c>
    </row>
    <row r="1236" spans="1:10"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time",IF(D1236="NO_SLOTS",IF(COUNTIF(PARTNERS!$A$2:$A$88,E1236)=0,"Write the company in column E","OK"),IF(C1236="","Missing phone",IF(COUNTIF(DESK!$F$2:$F$601,C1236)=0,"Phone not found: copy it from your list",IF(AND(E1236&lt;&gt;"",COUNTIFS(DESK!$F$2:$F$601,C1236,DESK!$B$2:$B$601,E1236)=0),"Company is not one of theirs","OK"))))))</f>
        <v/>
      </c>
    </row>
    <row r="1237" spans="1:10"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time",IF(D1237="NO_SLOTS",IF(COUNTIF(PARTNERS!$A$2:$A$88,E1237)=0,"Write the company in column E","OK"),IF(C1237="","Missing phone",IF(COUNTIF(DESK!$F$2:$F$601,C1237)=0,"Phone not found: copy it from your list",IF(AND(E1237&lt;&gt;"",COUNTIFS(DESK!$F$2:$F$601,C1237,DESK!$B$2:$B$601,E1237)=0),"Company is not one of theirs","OK"))))))</f>
        <v/>
      </c>
    </row>
    <row r="1238" spans="1:10"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time",IF(D1238="NO_SLOTS",IF(COUNTIF(PARTNERS!$A$2:$A$88,E1238)=0,"Write the company in column E","OK"),IF(C1238="","Missing phone",IF(COUNTIF(DESK!$F$2:$F$601,C1238)=0,"Phone not found: copy it from your list",IF(AND(E1238&lt;&gt;"",COUNTIFS(DESK!$F$2:$F$601,C1238,DESK!$B$2:$B$601,E1238)=0),"Company is not one of theirs","OK"))))))</f>
        <v/>
      </c>
    </row>
    <row r="1239" spans="1:10"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time",IF(D1239="NO_SLOTS",IF(COUNTIF(PARTNERS!$A$2:$A$88,E1239)=0,"Write the company in column E","OK"),IF(C1239="","Missing phone",IF(COUNTIF(DESK!$F$2:$F$601,C1239)=0,"Phone not found: copy it from your list",IF(AND(E1239&lt;&gt;"",COUNTIFS(DESK!$F$2:$F$601,C1239,DESK!$B$2:$B$601,E1239)=0),"Company is not one of theirs","OK"))))))</f>
        <v/>
      </c>
    </row>
    <row r="1240" spans="1:10"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time",IF(D1240="NO_SLOTS",IF(COUNTIF(PARTNERS!$A$2:$A$88,E1240)=0,"Write the company in column E","OK"),IF(C1240="","Missing phone",IF(COUNTIF(DESK!$F$2:$F$601,C1240)=0,"Phone not found: copy it from your list",IF(AND(E1240&lt;&gt;"",COUNTIFS(DESK!$F$2:$F$601,C1240,DESK!$B$2:$B$601,E1240)=0),"Company is not one of theirs","OK"))))))</f>
        <v/>
      </c>
    </row>
    <row r="1241" spans="1:10"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time",IF(D1241="NO_SLOTS",IF(COUNTIF(PARTNERS!$A$2:$A$88,E1241)=0,"Write the company in column E","OK"),IF(C1241="","Missing phone",IF(COUNTIF(DESK!$F$2:$F$601,C1241)=0,"Phone not found: copy it from your list",IF(AND(E1241&lt;&gt;"",COUNTIFS(DESK!$F$2:$F$601,C1241,DESK!$B$2:$B$601,E1241)=0),"Company is not one of theirs","OK"))))))</f>
        <v/>
      </c>
    </row>
    <row r="1242" spans="1:10"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time",IF(D1242="NO_SLOTS",IF(COUNTIF(PARTNERS!$A$2:$A$88,E1242)=0,"Write the company in column E","OK"),IF(C1242="","Missing phone",IF(COUNTIF(DESK!$F$2:$F$601,C1242)=0,"Phone not found: copy it from your list",IF(AND(E1242&lt;&gt;"",COUNTIFS(DESK!$F$2:$F$601,C1242,DESK!$B$2:$B$601,E1242)=0),"Company is not one of theirs","OK"))))))</f>
        <v/>
      </c>
    </row>
    <row r="1243" spans="1:10"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time",IF(D1243="NO_SLOTS",IF(COUNTIF(PARTNERS!$A$2:$A$88,E1243)=0,"Write the company in column E","OK"),IF(C1243="","Missing phone",IF(COUNTIF(DESK!$F$2:$F$601,C1243)=0,"Phone not found: copy it from your list",IF(AND(E1243&lt;&gt;"",COUNTIFS(DESK!$F$2:$F$601,C1243,DESK!$B$2:$B$601,E1243)=0),"Company is not one of theirs","OK"))))))</f>
        <v/>
      </c>
    </row>
    <row r="1244" spans="1:10"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time",IF(D1244="NO_SLOTS",IF(COUNTIF(PARTNERS!$A$2:$A$88,E1244)=0,"Write the company in column E","OK"),IF(C1244="","Missing phone",IF(COUNTIF(DESK!$F$2:$F$601,C1244)=0,"Phone not found: copy it from your list",IF(AND(E1244&lt;&gt;"",COUNTIFS(DESK!$F$2:$F$601,C1244,DESK!$B$2:$B$601,E1244)=0),"Company is not one of theirs","OK"))))))</f>
        <v/>
      </c>
    </row>
    <row r="1245" spans="1:10"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time",IF(D1245="NO_SLOTS",IF(COUNTIF(PARTNERS!$A$2:$A$88,E1245)=0,"Write the company in column E","OK"),IF(C1245="","Missing phone",IF(COUNTIF(DESK!$F$2:$F$601,C1245)=0,"Phone not found: copy it from your list",IF(AND(E1245&lt;&gt;"",COUNTIFS(DESK!$F$2:$F$601,C1245,DESK!$B$2:$B$601,E1245)=0),"Company is not one of theirs","OK"))))))</f>
        <v/>
      </c>
    </row>
    <row r="1246" spans="1:10"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time",IF(D1246="NO_SLOTS",IF(COUNTIF(PARTNERS!$A$2:$A$88,E1246)=0,"Write the company in column E","OK"),IF(C1246="","Missing phone",IF(COUNTIF(DESK!$F$2:$F$601,C1246)=0,"Phone not found: copy it from your list",IF(AND(E1246&lt;&gt;"",COUNTIFS(DESK!$F$2:$F$601,C1246,DESK!$B$2:$B$601,E1246)=0),"Company is not one of theirs","OK"))))))</f>
        <v/>
      </c>
    </row>
    <row r="1247" spans="1:10"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time",IF(D1247="NO_SLOTS",IF(COUNTIF(PARTNERS!$A$2:$A$88,E1247)=0,"Write the company in column E","OK"),IF(C1247="","Missing phone",IF(COUNTIF(DESK!$F$2:$F$601,C1247)=0,"Phone not found: copy it from your list",IF(AND(E1247&lt;&gt;"",COUNTIFS(DESK!$F$2:$F$601,C1247,DESK!$B$2:$B$601,E1247)=0),"Company is not one of theirs","OK"))))))</f>
        <v/>
      </c>
    </row>
    <row r="1248" spans="1:10"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time",IF(D1248="NO_SLOTS",IF(COUNTIF(PARTNERS!$A$2:$A$88,E1248)=0,"Write the company in column E","OK"),IF(C1248="","Missing phone",IF(COUNTIF(DESK!$F$2:$F$601,C1248)=0,"Phone not found: copy it from your list",IF(AND(E1248&lt;&gt;"",COUNTIFS(DESK!$F$2:$F$601,C1248,DESK!$B$2:$B$601,E1248)=0),"Company is not one of theirs","OK"))))))</f>
        <v/>
      </c>
    </row>
    <row r="1249" spans="1:10"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time",IF(D1249="NO_SLOTS",IF(COUNTIF(PARTNERS!$A$2:$A$88,E1249)=0,"Write the company in column E","OK"),IF(C1249="","Missing phone",IF(COUNTIF(DESK!$F$2:$F$601,C1249)=0,"Phone not found: copy it from your list",IF(AND(E1249&lt;&gt;"",COUNTIFS(DESK!$F$2:$F$601,C1249,DESK!$B$2:$B$601,E1249)=0),"Company is not one of theirs","OK"))))))</f>
        <v/>
      </c>
    </row>
    <row r="1250" spans="1:10"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time",IF(D1250="NO_SLOTS",IF(COUNTIF(PARTNERS!$A$2:$A$88,E1250)=0,"Write the company in column E","OK"),IF(C1250="","Missing phone",IF(COUNTIF(DESK!$F$2:$F$601,C1250)=0,"Phone not found: copy it from your list",IF(AND(E1250&lt;&gt;"",COUNTIFS(DESK!$F$2:$F$601,C1250,DESK!$B$2:$B$601,E1250)=0),"Company is not one of theirs","OK"))))))</f>
        <v/>
      </c>
    </row>
    <row r="1251" spans="1:10"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time",IF(D1251="NO_SLOTS",IF(COUNTIF(PARTNERS!$A$2:$A$88,E1251)=0,"Write the company in column E","OK"),IF(C1251="","Missing phone",IF(COUNTIF(DESK!$F$2:$F$601,C1251)=0,"Phone not found: copy it from your list",IF(AND(E1251&lt;&gt;"",COUNTIFS(DESK!$F$2:$F$601,C1251,DESK!$B$2:$B$601,E1251)=0),"Company is not one of theirs","OK"))))))</f>
        <v/>
      </c>
    </row>
    <row r="1252" spans="1:10"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time",IF(D1252="NO_SLOTS",IF(COUNTIF(PARTNERS!$A$2:$A$88,E1252)=0,"Write the company in column E","OK"),IF(C1252="","Missing phone",IF(COUNTIF(DESK!$F$2:$F$601,C1252)=0,"Phone not found: copy it from your list",IF(AND(E1252&lt;&gt;"",COUNTIFS(DESK!$F$2:$F$601,C1252,DESK!$B$2:$B$601,E1252)=0),"Company is not one of theirs","OK"))))))</f>
        <v/>
      </c>
    </row>
    <row r="1253" spans="1:10"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time",IF(D1253="NO_SLOTS",IF(COUNTIF(PARTNERS!$A$2:$A$88,E1253)=0,"Write the company in column E","OK"),IF(C1253="","Missing phone",IF(COUNTIF(DESK!$F$2:$F$601,C1253)=0,"Phone not found: copy it from your list",IF(AND(E1253&lt;&gt;"",COUNTIFS(DESK!$F$2:$F$601,C1253,DESK!$B$2:$B$601,E1253)=0),"Company is not one of theirs","OK"))))))</f>
        <v/>
      </c>
    </row>
    <row r="1254" spans="1:10"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time",IF(D1254="NO_SLOTS",IF(COUNTIF(PARTNERS!$A$2:$A$88,E1254)=0,"Write the company in column E","OK"),IF(C1254="","Missing phone",IF(COUNTIF(DESK!$F$2:$F$601,C1254)=0,"Phone not found: copy it from your list",IF(AND(E1254&lt;&gt;"",COUNTIFS(DESK!$F$2:$F$601,C1254,DESK!$B$2:$B$601,E1254)=0),"Company is not one of theirs","OK"))))))</f>
        <v/>
      </c>
    </row>
    <row r="1255" spans="1:10"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time",IF(D1255="NO_SLOTS",IF(COUNTIF(PARTNERS!$A$2:$A$88,E1255)=0,"Write the company in column E","OK"),IF(C1255="","Missing phone",IF(COUNTIF(DESK!$F$2:$F$601,C1255)=0,"Phone not found: copy it from your list",IF(AND(E1255&lt;&gt;"",COUNTIFS(DESK!$F$2:$F$601,C1255,DESK!$B$2:$B$601,E1255)=0),"Company is not one of theirs","OK"))))))</f>
        <v/>
      </c>
    </row>
    <row r="1256" spans="1:10"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time",IF(D1256="NO_SLOTS",IF(COUNTIF(PARTNERS!$A$2:$A$88,E1256)=0,"Write the company in column E","OK"),IF(C1256="","Missing phone",IF(COUNTIF(DESK!$F$2:$F$601,C1256)=0,"Phone not found: copy it from your list",IF(AND(E1256&lt;&gt;"",COUNTIFS(DESK!$F$2:$F$601,C1256,DESK!$B$2:$B$601,E1256)=0),"Company is not one of theirs","OK"))))))</f>
        <v/>
      </c>
    </row>
    <row r="1257" spans="1:10"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time",IF(D1257="NO_SLOTS",IF(COUNTIF(PARTNERS!$A$2:$A$88,E1257)=0,"Write the company in column E","OK"),IF(C1257="","Missing phone",IF(COUNTIF(DESK!$F$2:$F$601,C1257)=0,"Phone not found: copy it from your list",IF(AND(E1257&lt;&gt;"",COUNTIFS(DESK!$F$2:$F$601,C1257,DESK!$B$2:$B$601,E1257)=0),"Company is not one of theirs","OK"))))))</f>
        <v/>
      </c>
    </row>
    <row r="1258" spans="1:10"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time",IF(D1258="NO_SLOTS",IF(COUNTIF(PARTNERS!$A$2:$A$88,E1258)=0,"Write the company in column E","OK"),IF(C1258="","Missing phone",IF(COUNTIF(DESK!$F$2:$F$601,C1258)=0,"Phone not found: copy it from your list",IF(AND(E1258&lt;&gt;"",COUNTIFS(DESK!$F$2:$F$601,C1258,DESK!$B$2:$B$601,E1258)=0),"Company is not one of theirs","OK"))))))</f>
        <v/>
      </c>
    </row>
    <row r="1259" spans="1:10"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time",IF(D1259="NO_SLOTS",IF(COUNTIF(PARTNERS!$A$2:$A$88,E1259)=0,"Write the company in column E","OK"),IF(C1259="","Missing phone",IF(COUNTIF(DESK!$F$2:$F$601,C1259)=0,"Phone not found: copy it from your list",IF(AND(E1259&lt;&gt;"",COUNTIFS(DESK!$F$2:$F$601,C1259,DESK!$B$2:$B$601,E1259)=0),"Company is not one of theirs","OK"))))))</f>
        <v/>
      </c>
    </row>
    <row r="1260" spans="1:10"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time",IF(D1260="NO_SLOTS",IF(COUNTIF(PARTNERS!$A$2:$A$88,E1260)=0,"Write the company in column E","OK"),IF(C1260="","Missing phone",IF(COUNTIF(DESK!$F$2:$F$601,C1260)=0,"Phone not found: copy it from your list",IF(AND(E1260&lt;&gt;"",COUNTIFS(DESK!$F$2:$F$601,C1260,DESK!$B$2:$B$601,E1260)=0),"Company is not one of theirs","OK"))))))</f>
        <v/>
      </c>
    </row>
    <row r="1261" spans="1:10"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time",IF(D1261="NO_SLOTS",IF(COUNTIF(PARTNERS!$A$2:$A$88,E1261)=0,"Write the company in column E","OK"),IF(C1261="","Missing phone",IF(COUNTIF(DESK!$F$2:$F$601,C1261)=0,"Phone not found: copy it from your list",IF(AND(E1261&lt;&gt;"",COUNTIFS(DESK!$F$2:$F$601,C1261,DESK!$B$2:$B$601,E1261)=0),"Company is not one of theirs","OK"))))))</f>
        <v/>
      </c>
    </row>
    <row r="1262" spans="1:10"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time",IF(D1262="NO_SLOTS",IF(COUNTIF(PARTNERS!$A$2:$A$88,E1262)=0,"Write the company in column E","OK"),IF(C1262="","Missing phone",IF(COUNTIF(DESK!$F$2:$F$601,C1262)=0,"Phone not found: copy it from your list",IF(AND(E1262&lt;&gt;"",COUNTIFS(DESK!$F$2:$F$601,C1262,DESK!$B$2:$B$601,E1262)=0),"Company is not one of theirs","OK"))))))</f>
        <v/>
      </c>
    </row>
    <row r="1263" spans="1:10"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time",IF(D1263="NO_SLOTS",IF(COUNTIF(PARTNERS!$A$2:$A$88,E1263)=0,"Write the company in column E","OK"),IF(C1263="","Missing phone",IF(COUNTIF(DESK!$F$2:$F$601,C1263)=0,"Phone not found: copy it from your list",IF(AND(E1263&lt;&gt;"",COUNTIFS(DESK!$F$2:$F$601,C1263,DESK!$B$2:$B$601,E1263)=0),"Company is not one of theirs","OK"))))))</f>
        <v/>
      </c>
    </row>
    <row r="1264" spans="1:10"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time",IF(D1264="NO_SLOTS",IF(COUNTIF(PARTNERS!$A$2:$A$88,E1264)=0,"Write the company in column E","OK"),IF(C1264="","Missing phone",IF(COUNTIF(DESK!$F$2:$F$601,C1264)=0,"Phone not found: copy it from your list",IF(AND(E1264&lt;&gt;"",COUNTIFS(DESK!$F$2:$F$601,C1264,DESK!$B$2:$B$601,E1264)=0),"Company is not one of theirs","OK"))))))</f>
        <v/>
      </c>
    </row>
    <row r="1265" spans="1:10"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time",IF(D1265="NO_SLOTS",IF(COUNTIF(PARTNERS!$A$2:$A$88,E1265)=0,"Write the company in column E","OK"),IF(C1265="","Missing phone",IF(COUNTIF(DESK!$F$2:$F$601,C1265)=0,"Phone not found: copy it from your list",IF(AND(E1265&lt;&gt;"",COUNTIFS(DESK!$F$2:$F$601,C1265,DESK!$B$2:$B$601,E1265)=0),"Company is not one of theirs","OK"))))))</f>
        <v/>
      </c>
    </row>
    <row r="1266" spans="1:10"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time",IF(D1266="NO_SLOTS",IF(COUNTIF(PARTNERS!$A$2:$A$88,E1266)=0,"Write the company in column E","OK"),IF(C1266="","Missing phone",IF(COUNTIF(DESK!$F$2:$F$601,C1266)=0,"Phone not found: copy it from your list",IF(AND(E1266&lt;&gt;"",COUNTIFS(DESK!$F$2:$F$601,C1266,DESK!$B$2:$B$601,E1266)=0),"Company is not one of theirs","OK"))))))</f>
        <v/>
      </c>
    </row>
    <row r="1267" spans="1:10"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time",IF(D1267="NO_SLOTS",IF(COUNTIF(PARTNERS!$A$2:$A$88,E1267)=0,"Write the company in column E","OK"),IF(C1267="","Missing phone",IF(COUNTIF(DESK!$F$2:$F$601,C1267)=0,"Phone not found: copy it from your list",IF(AND(E1267&lt;&gt;"",COUNTIFS(DESK!$F$2:$F$601,C1267,DESK!$B$2:$B$601,E1267)=0),"Company is not one of theirs","OK"))))))</f>
        <v/>
      </c>
    </row>
    <row r="1268" spans="1:10"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time",IF(D1268="NO_SLOTS",IF(COUNTIF(PARTNERS!$A$2:$A$88,E1268)=0,"Write the company in column E","OK"),IF(C1268="","Missing phone",IF(COUNTIF(DESK!$F$2:$F$601,C1268)=0,"Phone not found: copy it from your list",IF(AND(E1268&lt;&gt;"",COUNTIFS(DESK!$F$2:$F$601,C1268,DESK!$B$2:$B$601,E1268)=0),"Company is not one of theirs","OK"))))))</f>
        <v/>
      </c>
    </row>
    <row r="1269" spans="1:10"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time",IF(D1269="NO_SLOTS",IF(COUNTIF(PARTNERS!$A$2:$A$88,E1269)=0,"Write the company in column E","OK"),IF(C1269="","Missing phone",IF(COUNTIF(DESK!$F$2:$F$601,C1269)=0,"Phone not found: copy it from your list",IF(AND(E1269&lt;&gt;"",COUNTIFS(DESK!$F$2:$F$601,C1269,DESK!$B$2:$B$601,E1269)=0),"Company is not one of theirs","OK"))))))</f>
        <v/>
      </c>
    </row>
    <row r="1270" spans="1:10"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time",IF(D1270="NO_SLOTS",IF(COUNTIF(PARTNERS!$A$2:$A$88,E1270)=0,"Write the company in column E","OK"),IF(C1270="","Missing phone",IF(COUNTIF(DESK!$F$2:$F$601,C1270)=0,"Phone not found: copy it from your list",IF(AND(E1270&lt;&gt;"",COUNTIFS(DESK!$F$2:$F$601,C1270,DESK!$B$2:$B$601,E1270)=0),"Company is not one of theirs","OK"))))))</f>
        <v/>
      </c>
    </row>
    <row r="1271" spans="1:10"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time",IF(D1271="NO_SLOTS",IF(COUNTIF(PARTNERS!$A$2:$A$88,E1271)=0,"Write the company in column E","OK"),IF(C1271="","Missing phone",IF(COUNTIF(DESK!$F$2:$F$601,C1271)=0,"Phone not found: copy it from your list",IF(AND(E1271&lt;&gt;"",COUNTIFS(DESK!$F$2:$F$601,C1271,DESK!$B$2:$B$601,E1271)=0),"Company is not one of theirs","OK"))))))</f>
        <v/>
      </c>
    </row>
    <row r="1272" spans="1:10"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time",IF(D1272="NO_SLOTS",IF(COUNTIF(PARTNERS!$A$2:$A$88,E1272)=0,"Write the company in column E","OK"),IF(C1272="","Missing phone",IF(COUNTIF(DESK!$F$2:$F$601,C1272)=0,"Phone not found: copy it from your list",IF(AND(E1272&lt;&gt;"",COUNTIFS(DESK!$F$2:$F$601,C1272,DESK!$B$2:$B$601,E1272)=0),"Company is not one of theirs","OK"))))))</f>
        <v/>
      </c>
    </row>
    <row r="1273" spans="1:10"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time",IF(D1273="NO_SLOTS",IF(COUNTIF(PARTNERS!$A$2:$A$88,E1273)=0,"Write the company in column E","OK"),IF(C1273="","Missing phone",IF(COUNTIF(DESK!$F$2:$F$601,C1273)=0,"Phone not found: copy it from your list",IF(AND(E1273&lt;&gt;"",COUNTIFS(DESK!$F$2:$F$601,C1273,DESK!$B$2:$B$601,E1273)=0),"Company is not one of theirs","OK"))))))</f>
        <v/>
      </c>
    </row>
    <row r="1274" spans="1:10"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time",IF(D1274="NO_SLOTS",IF(COUNTIF(PARTNERS!$A$2:$A$88,E1274)=0,"Write the company in column E","OK"),IF(C1274="","Missing phone",IF(COUNTIF(DESK!$F$2:$F$601,C1274)=0,"Phone not found: copy it from your list",IF(AND(E1274&lt;&gt;"",COUNTIFS(DESK!$F$2:$F$601,C1274,DESK!$B$2:$B$601,E1274)=0),"Company is not one of theirs","OK"))))))</f>
        <v/>
      </c>
    </row>
    <row r="1275" spans="1:10"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time",IF(D1275="NO_SLOTS",IF(COUNTIF(PARTNERS!$A$2:$A$88,E1275)=0,"Write the company in column E","OK"),IF(C1275="","Missing phone",IF(COUNTIF(DESK!$F$2:$F$601,C1275)=0,"Phone not found: copy it from your list",IF(AND(E1275&lt;&gt;"",COUNTIFS(DESK!$F$2:$F$601,C1275,DESK!$B$2:$B$601,E1275)=0),"Company is not one of theirs","OK"))))))</f>
        <v/>
      </c>
    </row>
    <row r="1276" spans="1:10"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time",IF(D1276="NO_SLOTS",IF(COUNTIF(PARTNERS!$A$2:$A$88,E1276)=0,"Write the company in column E","OK"),IF(C1276="","Missing phone",IF(COUNTIF(DESK!$F$2:$F$601,C1276)=0,"Phone not found: copy it from your list",IF(AND(E1276&lt;&gt;"",COUNTIFS(DESK!$F$2:$F$601,C1276,DESK!$B$2:$B$601,E1276)=0),"Company is not one of theirs","OK"))))))</f>
        <v/>
      </c>
    </row>
    <row r="1277" spans="1:10"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time",IF(D1277="NO_SLOTS",IF(COUNTIF(PARTNERS!$A$2:$A$88,E1277)=0,"Write the company in column E","OK"),IF(C1277="","Missing phone",IF(COUNTIF(DESK!$F$2:$F$601,C1277)=0,"Phone not found: copy it from your list",IF(AND(E1277&lt;&gt;"",COUNTIFS(DESK!$F$2:$F$601,C1277,DESK!$B$2:$B$601,E1277)=0),"Company is not one of theirs","OK"))))))</f>
        <v/>
      </c>
    </row>
    <row r="1278" spans="1:10"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time",IF(D1278="NO_SLOTS",IF(COUNTIF(PARTNERS!$A$2:$A$88,E1278)=0,"Write the company in column E","OK"),IF(C1278="","Missing phone",IF(COUNTIF(DESK!$F$2:$F$601,C1278)=0,"Phone not found: copy it from your list",IF(AND(E1278&lt;&gt;"",COUNTIFS(DESK!$F$2:$F$601,C1278,DESK!$B$2:$B$601,E1278)=0),"Company is not one of theirs","OK"))))))</f>
        <v/>
      </c>
    </row>
    <row r="1279" spans="1:10"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time",IF(D1279="NO_SLOTS",IF(COUNTIF(PARTNERS!$A$2:$A$88,E1279)=0,"Write the company in column E","OK"),IF(C1279="","Missing phone",IF(COUNTIF(DESK!$F$2:$F$601,C1279)=0,"Phone not found: copy it from your list",IF(AND(E1279&lt;&gt;"",COUNTIFS(DESK!$F$2:$F$601,C1279,DESK!$B$2:$B$601,E1279)=0),"Company is not one of theirs","OK"))))))</f>
        <v/>
      </c>
    </row>
    <row r="1280" spans="1:10"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time",IF(D1280="NO_SLOTS",IF(COUNTIF(PARTNERS!$A$2:$A$88,E1280)=0,"Write the company in column E","OK"),IF(C1280="","Missing phone",IF(COUNTIF(DESK!$F$2:$F$601,C1280)=0,"Phone not found: copy it from your list",IF(AND(E1280&lt;&gt;"",COUNTIFS(DESK!$F$2:$F$601,C1280,DESK!$B$2:$B$601,E1280)=0),"Company is not one of theirs","OK"))))))</f>
        <v/>
      </c>
    </row>
    <row r="1281" spans="1:10"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time",IF(D1281="NO_SLOTS",IF(COUNTIF(PARTNERS!$A$2:$A$88,E1281)=0,"Write the company in column E","OK"),IF(C1281="","Missing phone",IF(COUNTIF(DESK!$F$2:$F$601,C1281)=0,"Phone not found: copy it from your list",IF(AND(E1281&lt;&gt;"",COUNTIFS(DESK!$F$2:$F$601,C1281,DESK!$B$2:$B$601,E1281)=0),"Company is not one of theirs","OK"))))))</f>
        <v/>
      </c>
    </row>
    <row r="1282" spans="1:10"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time",IF(D1282="NO_SLOTS",IF(COUNTIF(PARTNERS!$A$2:$A$88,E1282)=0,"Write the company in column E","OK"),IF(C1282="","Missing phone",IF(COUNTIF(DESK!$F$2:$F$601,C1282)=0,"Phone not found: copy it from your list",IF(AND(E1282&lt;&gt;"",COUNTIFS(DESK!$F$2:$F$601,C1282,DESK!$B$2:$B$601,E1282)=0),"Company is not one of theirs","OK"))))))</f>
        <v/>
      </c>
    </row>
    <row r="1283" spans="1:10"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time",IF(D1283="NO_SLOTS",IF(COUNTIF(PARTNERS!$A$2:$A$88,E1283)=0,"Write the company in column E","OK"),IF(C1283="","Missing phone",IF(COUNTIF(DESK!$F$2:$F$601,C1283)=0,"Phone not found: copy it from your list",IF(AND(E1283&lt;&gt;"",COUNTIFS(DESK!$F$2:$F$601,C1283,DESK!$B$2:$B$601,E1283)=0),"Company is not one of theirs","OK"))))))</f>
        <v/>
      </c>
    </row>
    <row r="1284" spans="1:10"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time",IF(D1284="NO_SLOTS",IF(COUNTIF(PARTNERS!$A$2:$A$88,E1284)=0,"Write the company in column E","OK"),IF(C1284="","Missing phone",IF(COUNTIF(DESK!$F$2:$F$601,C1284)=0,"Phone not found: copy it from your list",IF(AND(E1284&lt;&gt;"",COUNTIFS(DESK!$F$2:$F$601,C1284,DESK!$B$2:$B$601,E1284)=0),"Company is not one of theirs","OK"))))))</f>
        <v/>
      </c>
    </row>
    <row r="1285" spans="1:10"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time",IF(D1285="NO_SLOTS",IF(COUNTIF(PARTNERS!$A$2:$A$88,E1285)=0,"Write the company in column E","OK"),IF(C1285="","Missing phone",IF(COUNTIF(DESK!$F$2:$F$601,C1285)=0,"Phone not found: copy it from your list",IF(AND(E1285&lt;&gt;"",COUNTIFS(DESK!$F$2:$F$601,C1285,DESK!$B$2:$B$601,E1285)=0),"Company is not one of theirs","OK"))))))</f>
        <v/>
      </c>
    </row>
    <row r="1286" spans="1:10"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time",IF(D1286="NO_SLOTS",IF(COUNTIF(PARTNERS!$A$2:$A$88,E1286)=0,"Write the company in column E","OK"),IF(C1286="","Missing phone",IF(COUNTIF(DESK!$F$2:$F$601,C1286)=0,"Phone not found: copy it from your list",IF(AND(E1286&lt;&gt;"",COUNTIFS(DESK!$F$2:$F$601,C1286,DESK!$B$2:$B$601,E1286)=0),"Company is not one of theirs","OK"))))))</f>
        <v/>
      </c>
    </row>
    <row r="1287" spans="1:10"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time",IF(D1287="NO_SLOTS",IF(COUNTIF(PARTNERS!$A$2:$A$88,E1287)=0,"Write the company in column E","OK"),IF(C1287="","Missing phone",IF(COUNTIF(DESK!$F$2:$F$601,C1287)=0,"Phone not found: copy it from your list",IF(AND(E1287&lt;&gt;"",COUNTIFS(DESK!$F$2:$F$601,C1287,DESK!$B$2:$B$601,E1287)=0),"Company is not one of theirs","OK"))))))</f>
        <v/>
      </c>
    </row>
    <row r="1288" spans="1:10"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time",IF(D1288="NO_SLOTS",IF(COUNTIF(PARTNERS!$A$2:$A$88,E1288)=0,"Write the company in column E","OK"),IF(C1288="","Missing phone",IF(COUNTIF(DESK!$F$2:$F$601,C1288)=0,"Phone not found: copy it from your list",IF(AND(E1288&lt;&gt;"",COUNTIFS(DESK!$F$2:$F$601,C1288,DESK!$B$2:$B$601,E1288)=0),"Company is not one of theirs","OK"))))))</f>
        <v/>
      </c>
    </row>
    <row r="1289" spans="1:10"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time",IF(D1289="NO_SLOTS",IF(COUNTIF(PARTNERS!$A$2:$A$88,E1289)=0,"Write the company in column E","OK"),IF(C1289="","Missing phone",IF(COUNTIF(DESK!$F$2:$F$601,C1289)=0,"Phone not found: copy it from your list",IF(AND(E1289&lt;&gt;"",COUNTIFS(DESK!$F$2:$F$601,C1289,DESK!$B$2:$B$601,E1289)=0),"Company is not one of theirs","OK"))))))</f>
        <v/>
      </c>
    </row>
    <row r="1290" spans="1:10"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time",IF(D1290="NO_SLOTS",IF(COUNTIF(PARTNERS!$A$2:$A$88,E1290)=0,"Write the company in column E","OK"),IF(C1290="","Missing phone",IF(COUNTIF(DESK!$F$2:$F$601,C1290)=0,"Phone not found: copy it from your list",IF(AND(E1290&lt;&gt;"",COUNTIFS(DESK!$F$2:$F$601,C1290,DESK!$B$2:$B$601,E1290)=0),"Company is not one of theirs","OK"))))))</f>
        <v/>
      </c>
    </row>
    <row r="1291" spans="1:10"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time",IF(D1291="NO_SLOTS",IF(COUNTIF(PARTNERS!$A$2:$A$88,E1291)=0,"Write the company in column E","OK"),IF(C1291="","Missing phone",IF(COUNTIF(DESK!$F$2:$F$601,C1291)=0,"Phone not found: copy it from your list",IF(AND(E1291&lt;&gt;"",COUNTIFS(DESK!$F$2:$F$601,C1291,DESK!$B$2:$B$601,E1291)=0),"Company is not one of theirs","OK"))))))</f>
        <v/>
      </c>
    </row>
    <row r="1292" spans="1:10"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time",IF(D1292="NO_SLOTS",IF(COUNTIF(PARTNERS!$A$2:$A$88,E1292)=0,"Write the company in column E","OK"),IF(C1292="","Missing phone",IF(COUNTIF(DESK!$F$2:$F$601,C1292)=0,"Phone not found: copy it from your list",IF(AND(E1292&lt;&gt;"",COUNTIFS(DESK!$F$2:$F$601,C1292,DESK!$B$2:$B$601,E1292)=0),"Company is not one of theirs","OK"))))))</f>
        <v/>
      </c>
    </row>
    <row r="1293" spans="1:10"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time",IF(D1293="NO_SLOTS",IF(COUNTIF(PARTNERS!$A$2:$A$88,E1293)=0,"Write the company in column E","OK"),IF(C1293="","Missing phone",IF(COUNTIF(DESK!$F$2:$F$601,C1293)=0,"Phone not found: copy it from your list",IF(AND(E1293&lt;&gt;"",COUNTIFS(DESK!$F$2:$F$601,C1293,DESK!$B$2:$B$601,E1293)=0),"Company is not one of theirs","OK"))))))</f>
        <v/>
      </c>
    </row>
    <row r="1294" spans="1:10"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time",IF(D1294="NO_SLOTS",IF(COUNTIF(PARTNERS!$A$2:$A$88,E1294)=0,"Write the company in column E","OK"),IF(C1294="","Missing phone",IF(COUNTIF(DESK!$F$2:$F$601,C1294)=0,"Phone not found: copy it from your list",IF(AND(E1294&lt;&gt;"",COUNTIFS(DESK!$F$2:$F$601,C1294,DESK!$B$2:$B$601,E1294)=0),"Company is not one of theirs","OK"))))))</f>
        <v/>
      </c>
    </row>
    <row r="1295" spans="1:10"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time",IF(D1295="NO_SLOTS",IF(COUNTIF(PARTNERS!$A$2:$A$88,E1295)=0,"Write the company in column E","OK"),IF(C1295="","Missing phone",IF(COUNTIF(DESK!$F$2:$F$601,C1295)=0,"Phone not found: copy it from your list",IF(AND(E1295&lt;&gt;"",COUNTIFS(DESK!$F$2:$F$601,C1295,DESK!$B$2:$B$601,E1295)=0),"Company is not one of theirs","OK"))))))</f>
        <v/>
      </c>
    </row>
    <row r="1296" spans="1:10"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time",IF(D1296="NO_SLOTS",IF(COUNTIF(PARTNERS!$A$2:$A$88,E1296)=0,"Write the company in column E","OK"),IF(C1296="","Missing phone",IF(COUNTIF(DESK!$F$2:$F$601,C1296)=0,"Phone not found: copy it from your list",IF(AND(E1296&lt;&gt;"",COUNTIFS(DESK!$F$2:$F$601,C1296,DESK!$B$2:$B$601,E1296)=0),"Company is not one of theirs","OK"))))))</f>
        <v/>
      </c>
    </row>
    <row r="1297" spans="1:10"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time",IF(D1297="NO_SLOTS",IF(COUNTIF(PARTNERS!$A$2:$A$88,E1297)=0,"Write the company in column E","OK"),IF(C1297="","Missing phone",IF(COUNTIF(DESK!$F$2:$F$601,C1297)=0,"Phone not found: copy it from your list",IF(AND(E1297&lt;&gt;"",COUNTIFS(DESK!$F$2:$F$601,C1297,DESK!$B$2:$B$601,E1297)=0),"Company is not one of theirs","OK"))))))</f>
        <v/>
      </c>
    </row>
    <row r="1298" spans="1:10"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time",IF(D1298="NO_SLOTS",IF(COUNTIF(PARTNERS!$A$2:$A$88,E1298)=0,"Write the company in column E","OK"),IF(C1298="","Missing phone",IF(COUNTIF(DESK!$F$2:$F$601,C1298)=0,"Phone not found: copy it from your list",IF(AND(E1298&lt;&gt;"",COUNTIFS(DESK!$F$2:$F$601,C1298,DESK!$B$2:$B$601,E1298)=0),"Company is not one of theirs","OK"))))))</f>
        <v/>
      </c>
    </row>
    <row r="1299" spans="1:10"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time",IF(D1299="NO_SLOTS",IF(COUNTIF(PARTNERS!$A$2:$A$88,E1299)=0,"Write the company in column E","OK"),IF(C1299="","Missing phone",IF(COUNTIF(DESK!$F$2:$F$601,C1299)=0,"Phone not found: copy it from your list",IF(AND(E1299&lt;&gt;"",COUNTIFS(DESK!$F$2:$F$601,C1299,DESK!$B$2:$B$601,E1299)=0),"Company is not one of theirs","OK"))))))</f>
        <v/>
      </c>
    </row>
    <row r="1300" spans="1:10"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time",IF(D1300="NO_SLOTS",IF(COUNTIF(PARTNERS!$A$2:$A$88,E1300)=0,"Write the company in column E","OK"),IF(C1300="","Missing phone",IF(COUNTIF(DESK!$F$2:$F$601,C1300)=0,"Phone not found: copy it from your list",IF(AND(E1300&lt;&gt;"",COUNTIFS(DESK!$F$2:$F$601,C1300,DESK!$B$2:$B$601,E1300)=0),"Company is not one of theirs","OK"))))))</f>
        <v/>
      </c>
    </row>
    <row r="1301" spans="1:10"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time",IF(D1301="NO_SLOTS",IF(COUNTIF(PARTNERS!$A$2:$A$88,E1301)=0,"Write the company in column E","OK"),IF(C1301="","Missing phone",IF(COUNTIF(DESK!$F$2:$F$601,C1301)=0,"Phone not found: copy it from your list",IF(AND(E1301&lt;&gt;"",COUNTIFS(DESK!$F$2:$F$601,C1301,DESK!$B$2:$B$601,E1301)=0),"Company is not one of theirs","OK"))))))</f>
        <v/>
      </c>
    </row>
    <row r="1302" spans="1:10"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time",IF(D1302="NO_SLOTS",IF(COUNTIF(PARTNERS!$A$2:$A$88,E1302)=0,"Write the company in column E","OK"),IF(C1302="","Missing phone",IF(COUNTIF(DESK!$F$2:$F$601,C1302)=0,"Phone not found: copy it from your list",IF(AND(E1302&lt;&gt;"",COUNTIFS(DESK!$F$2:$F$601,C1302,DESK!$B$2:$B$601,E1302)=0),"Company is not one of theirs","OK"))))))</f>
        <v/>
      </c>
    </row>
    <row r="1303" spans="1:10"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time",IF(D1303="NO_SLOTS",IF(COUNTIF(PARTNERS!$A$2:$A$88,E1303)=0,"Write the company in column E","OK"),IF(C1303="","Missing phone",IF(COUNTIF(DESK!$F$2:$F$601,C1303)=0,"Phone not found: copy it from your list",IF(AND(E1303&lt;&gt;"",COUNTIFS(DESK!$F$2:$F$601,C1303,DESK!$B$2:$B$601,E1303)=0),"Company is not one of theirs","OK"))))))</f>
        <v/>
      </c>
    </row>
    <row r="1304" spans="1:10"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time",IF(D1304="NO_SLOTS",IF(COUNTIF(PARTNERS!$A$2:$A$88,E1304)=0,"Write the company in column E","OK"),IF(C1304="","Missing phone",IF(COUNTIF(DESK!$F$2:$F$601,C1304)=0,"Phone not found: copy it from your list",IF(AND(E1304&lt;&gt;"",COUNTIFS(DESK!$F$2:$F$601,C1304,DESK!$B$2:$B$601,E1304)=0),"Company is not one of theirs","OK"))))))</f>
        <v/>
      </c>
    </row>
    <row r="1305" spans="1:10"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time",IF(D1305="NO_SLOTS",IF(COUNTIF(PARTNERS!$A$2:$A$88,E1305)=0,"Write the company in column E","OK"),IF(C1305="","Missing phone",IF(COUNTIF(DESK!$F$2:$F$601,C1305)=0,"Phone not found: copy it from your list",IF(AND(E1305&lt;&gt;"",COUNTIFS(DESK!$F$2:$F$601,C1305,DESK!$B$2:$B$601,E1305)=0),"Company is not one of theirs","OK"))))))</f>
        <v/>
      </c>
    </row>
    <row r="1306" spans="1:10"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time",IF(D1306="NO_SLOTS",IF(COUNTIF(PARTNERS!$A$2:$A$88,E1306)=0,"Write the company in column E","OK"),IF(C1306="","Missing phone",IF(COUNTIF(DESK!$F$2:$F$601,C1306)=0,"Phone not found: copy it from your list",IF(AND(E1306&lt;&gt;"",COUNTIFS(DESK!$F$2:$F$601,C1306,DESK!$B$2:$B$601,E1306)=0),"Company is not one of theirs","OK"))))))</f>
        <v/>
      </c>
    </row>
    <row r="1307" spans="1:10"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time",IF(D1307="NO_SLOTS",IF(COUNTIF(PARTNERS!$A$2:$A$88,E1307)=0,"Write the company in column E","OK"),IF(C1307="","Missing phone",IF(COUNTIF(DESK!$F$2:$F$601,C1307)=0,"Phone not found: copy it from your list",IF(AND(E1307&lt;&gt;"",COUNTIFS(DESK!$F$2:$F$601,C1307,DESK!$B$2:$B$601,E1307)=0),"Company is not one of theirs","OK"))))))</f>
        <v/>
      </c>
    </row>
    <row r="1308" spans="1:10"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time",IF(D1308="NO_SLOTS",IF(COUNTIF(PARTNERS!$A$2:$A$88,E1308)=0,"Write the company in column E","OK"),IF(C1308="","Missing phone",IF(COUNTIF(DESK!$F$2:$F$601,C1308)=0,"Phone not found: copy it from your list",IF(AND(E1308&lt;&gt;"",COUNTIFS(DESK!$F$2:$F$601,C1308,DESK!$B$2:$B$601,E1308)=0),"Company is not one of theirs","OK"))))))</f>
        <v/>
      </c>
    </row>
    <row r="1309" spans="1:10"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time",IF(D1309="NO_SLOTS",IF(COUNTIF(PARTNERS!$A$2:$A$88,E1309)=0,"Write the company in column E","OK"),IF(C1309="","Missing phone",IF(COUNTIF(DESK!$F$2:$F$601,C1309)=0,"Phone not found: copy it from your list",IF(AND(E1309&lt;&gt;"",COUNTIFS(DESK!$F$2:$F$601,C1309,DESK!$B$2:$B$601,E1309)=0),"Company is not one of theirs","OK"))))))</f>
        <v/>
      </c>
    </row>
    <row r="1310" spans="1:10"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time",IF(D1310="NO_SLOTS",IF(COUNTIF(PARTNERS!$A$2:$A$88,E1310)=0,"Write the company in column E","OK"),IF(C1310="","Missing phone",IF(COUNTIF(DESK!$F$2:$F$601,C1310)=0,"Phone not found: copy it from your list",IF(AND(E1310&lt;&gt;"",COUNTIFS(DESK!$F$2:$F$601,C1310,DESK!$B$2:$B$601,E1310)=0),"Company is not one of theirs","OK"))))))</f>
        <v/>
      </c>
    </row>
    <row r="1311" spans="1:10"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time",IF(D1311="NO_SLOTS",IF(COUNTIF(PARTNERS!$A$2:$A$88,E1311)=0,"Write the company in column E","OK"),IF(C1311="","Missing phone",IF(COUNTIF(DESK!$F$2:$F$601,C1311)=0,"Phone not found: copy it from your list",IF(AND(E1311&lt;&gt;"",COUNTIFS(DESK!$F$2:$F$601,C1311,DESK!$B$2:$B$601,E1311)=0),"Company is not one of theirs","OK"))))))</f>
        <v/>
      </c>
    </row>
    <row r="1312" spans="1:10"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time",IF(D1312="NO_SLOTS",IF(COUNTIF(PARTNERS!$A$2:$A$88,E1312)=0,"Write the company in column E","OK"),IF(C1312="","Missing phone",IF(COUNTIF(DESK!$F$2:$F$601,C1312)=0,"Phone not found: copy it from your list",IF(AND(E1312&lt;&gt;"",COUNTIFS(DESK!$F$2:$F$601,C1312,DESK!$B$2:$B$601,E1312)=0),"Company is not one of theirs","OK"))))))</f>
        <v/>
      </c>
    </row>
    <row r="1313" spans="1:10"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time",IF(D1313="NO_SLOTS",IF(COUNTIF(PARTNERS!$A$2:$A$88,E1313)=0,"Write the company in column E","OK"),IF(C1313="","Missing phone",IF(COUNTIF(DESK!$F$2:$F$601,C1313)=0,"Phone not found: copy it from your list",IF(AND(E1313&lt;&gt;"",COUNTIFS(DESK!$F$2:$F$601,C1313,DESK!$B$2:$B$601,E1313)=0),"Company is not one of theirs","OK"))))))</f>
        <v/>
      </c>
    </row>
    <row r="1314" spans="1:10"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time",IF(D1314="NO_SLOTS",IF(COUNTIF(PARTNERS!$A$2:$A$88,E1314)=0,"Write the company in column E","OK"),IF(C1314="","Missing phone",IF(COUNTIF(DESK!$F$2:$F$601,C1314)=0,"Phone not found: copy it from your list",IF(AND(E1314&lt;&gt;"",COUNTIFS(DESK!$F$2:$F$601,C1314,DESK!$B$2:$B$601,E1314)=0),"Company is not one of theirs","OK"))))))</f>
        <v/>
      </c>
    </row>
    <row r="1315" spans="1:10"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time",IF(D1315="NO_SLOTS",IF(COUNTIF(PARTNERS!$A$2:$A$88,E1315)=0,"Write the company in column E","OK"),IF(C1315="","Missing phone",IF(COUNTIF(DESK!$F$2:$F$601,C1315)=0,"Phone not found: copy it from your list",IF(AND(E1315&lt;&gt;"",COUNTIFS(DESK!$F$2:$F$601,C1315,DESK!$B$2:$B$601,E1315)=0),"Company is not one of theirs","OK"))))))</f>
        <v/>
      </c>
    </row>
    <row r="1316" spans="1:10"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time",IF(D1316="NO_SLOTS",IF(COUNTIF(PARTNERS!$A$2:$A$88,E1316)=0,"Write the company in column E","OK"),IF(C1316="","Missing phone",IF(COUNTIF(DESK!$F$2:$F$601,C1316)=0,"Phone not found: copy it from your list",IF(AND(E1316&lt;&gt;"",COUNTIFS(DESK!$F$2:$F$601,C1316,DESK!$B$2:$B$601,E1316)=0),"Company is not one of theirs","OK"))))))</f>
        <v/>
      </c>
    </row>
    <row r="1317" spans="1:10"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time",IF(D1317="NO_SLOTS",IF(COUNTIF(PARTNERS!$A$2:$A$88,E1317)=0,"Write the company in column E","OK"),IF(C1317="","Missing phone",IF(COUNTIF(DESK!$F$2:$F$601,C1317)=0,"Phone not found: copy it from your list",IF(AND(E1317&lt;&gt;"",COUNTIFS(DESK!$F$2:$F$601,C1317,DESK!$B$2:$B$601,E1317)=0),"Company is not one of theirs","OK"))))))</f>
        <v/>
      </c>
    </row>
    <row r="1318" spans="1:10"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time",IF(D1318="NO_SLOTS",IF(COUNTIF(PARTNERS!$A$2:$A$88,E1318)=0,"Write the company in column E","OK"),IF(C1318="","Missing phone",IF(COUNTIF(DESK!$F$2:$F$601,C1318)=0,"Phone not found: copy it from your list",IF(AND(E1318&lt;&gt;"",COUNTIFS(DESK!$F$2:$F$601,C1318,DESK!$B$2:$B$601,E1318)=0),"Company is not one of theirs","OK"))))))</f>
        <v/>
      </c>
    </row>
    <row r="1319" spans="1:10"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time",IF(D1319="NO_SLOTS",IF(COUNTIF(PARTNERS!$A$2:$A$88,E1319)=0,"Write the company in column E","OK"),IF(C1319="","Missing phone",IF(COUNTIF(DESK!$F$2:$F$601,C1319)=0,"Phone not found: copy it from your list",IF(AND(E1319&lt;&gt;"",COUNTIFS(DESK!$F$2:$F$601,C1319,DESK!$B$2:$B$601,E1319)=0),"Company is not one of theirs","OK"))))))</f>
        <v/>
      </c>
    </row>
    <row r="1320" spans="1:10"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time",IF(D1320="NO_SLOTS",IF(COUNTIF(PARTNERS!$A$2:$A$88,E1320)=0,"Write the company in column E","OK"),IF(C1320="","Missing phone",IF(COUNTIF(DESK!$F$2:$F$601,C1320)=0,"Phone not found: copy it from your list",IF(AND(E1320&lt;&gt;"",COUNTIFS(DESK!$F$2:$F$601,C1320,DESK!$B$2:$B$601,E1320)=0),"Company is not one of theirs","OK"))))))</f>
        <v/>
      </c>
    </row>
    <row r="1321" spans="1:10"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time",IF(D1321="NO_SLOTS",IF(COUNTIF(PARTNERS!$A$2:$A$88,E1321)=0,"Write the company in column E","OK"),IF(C1321="","Missing phone",IF(COUNTIF(DESK!$F$2:$F$601,C1321)=0,"Phone not found: copy it from your list",IF(AND(E1321&lt;&gt;"",COUNTIFS(DESK!$F$2:$F$601,C1321,DESK!$B$2:$B$601,E1321)=0),"Company is not one of theirs","OK"))))))</f>
        <v/>
      </c>
    </row>
    <row r="1322" spans="1:10"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time",IF(D1322="NO_SLOTS",IF(COUNTIF(PARTNERS!$A$2:$A$88,E1322)=0,"Write the company in column E","OK"),IF(C1322="","Missing phone",IF(COUNTIF(DESK!$F$2:$F$601,C1322)=0,"Phone not found: copy it from your list",IF(AND(E1322&lt;&gt;"",COUNTIFS(DESK!$F$2:$F$601,C1322,DESK!$B$2:$B$601,E1322)=0),"Company is not one of theirs","OK"))))))</f>
        <v/>
      </c>
    </row>
    <row r="1323" spans="1:10"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time",IF(D1323="NO_SLOTS",IF(COUNTIF(PARTNERS!$A$2:$A$88,E1323)=0,"Write the company in column E","OK"),IF(C1323="","Missing phone",IF(COUNTIF(DESK!$F$2:$F$601,C1323)=0,"Phone not found: copy it from your list",IF(AND(E1323&lt;&gt;"",COUNTIFS(DESK!$F$2:$F$601,C1323,DESK!$B$2:$B$601,E1323)=0),"Company is not one of theirs","OK"))))))</f>
        <v/>
      </c>
    </row>
    <row r="1324" spans="1:10"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time",IF(D1324="NO_SLOTS",IF(COUNTIF(PARTNERS!$A$2:$A$88,E1324)=0,"Write the company in column E","OK"),IF(C1324="","Missing phone",IF(COUNTIF(DESK!$F$2:$F$601,C1324)=0,"Phone not found: copy it from your list",IF(AND(E1324&lt;&gt;"",COUNTIFS(DESK!$F$2:$F$601,C1324,DESK!$B$2:$B$601,E1324)=0),"Company is not one of theirs","OK"))))))</f>
        <v/>
      </c>
    </row>
    <row r="1325" spans="1:10"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time",IF(D1325="NO_SLOTS",IF(COUNTIF(PARTNERS!$A$2:$A$88,E1325)=0,"Write the company in column E","OK"),IF(C1325="","Missing phone",IF(COUNTIF(DESK!$F$2:$F$601,C1325)=0,"Phone not found: copy it from your list",IF(AND(E1325&lt;&gt;"",COUNTIFS(DESK!$F$2:$F$601,C1325,DESK!$B$2:$B$601,E1325)=0),"Company is not one of theirs","OK"))))))</f>
        <v/>
      </c>
    </row>
    <row r="1326" spans="1:10"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time",IF(D1326="NO_SLOTS",IF(COUNTIF(PARTNERS!$A$2:$A$88,E1326)=0,"Write the company in column E","OK"),IF(C1326="","Missing phone",IF(COUNTIF(DESK!$F$2:$F$601,C1326)=0,"Phone not found: copy it from your list",IF(AND(E1326&lt;&gt;"",COUNTIFS(DESK!$F$2:$F$601,C1326,DESK!$B$2:$B$601,E1326)=0),"Company is not one of theirs","OK"))))))</f>
        <v/>
      </c>
    </row>
    <row r="1327" spans="1:10"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time",IF(D1327="NO_SLOTS",IF(COUNTIF(PARTNERS!$A$2:$A$88,E1327)=0,"Write the company in column E","OK"),IF(C1327="","Missing phone",IF(COUNTIF(DESK!$F$2:$F$601,C1327)=0,"Phone not found: copy it from your list",IF(AND(E1327&lt;&gt;"",COUNTIFS(DESK!$F$2:$F$601,C1327,DESK!$B$2:$B$601,E1327)=0),"Company is not one of theirs","OK"))))))</f>
        <v/>
      </c>
    </row>
    <row r="1328" spans="1:10"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time",IF(D1328="NO_SLOTS",IF(COUNTIF(PARTNERS!$A$2:$A$88,E1328)=0,"Write the company in column E","OK"),IF(C1328="","Missing phone",IF(COUNTIF(DESK!$F$2:$F$601,C1328)=0,"Phone not found: copy it from your list",IF(AND(E1328&lt;&gt;"",COUNTIFS(DESK!$F$2:$F$601,C1328,DESK!$B$2:$B$601,E1328)=0),"Company is not one of theirs","OK"))))))</f>
        <v/>
      </c>
    </row>
    <row r="1329" spans="1:10"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time",IF(D1329="NO_SLOTS",IF(COUNTIF(PARTNERS!$A$2:$A$88,E1329)=0,"Write the company in column E","OK"),IF(C1329="","Missing phone",IF(COUNTIF(DESK!$F$2:$F$601,C1329)=0,"Phone not found: copy it from your list",IF(AND(E1329&lt;&gt;"",COUNTIFS(DESK!$F$2:$F$601,C1329,DESK!$B$2:$B$601,E1329)=0),"Company is not one of theirs","OK"))))))</f>
        <v/>
      </c>
    </row>
    <row r="1330" spans="1:10"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time",IF(D1330="NO_SLOTS",IF(COUNTIF(PARTNERS!$A$2:$A$88,E1330)=0,"Write the company in column E","OK"),IF(C1330="","Missing phone",IF(COUNTIF(DESK!$F$2:$F$601,C1330)=0,"Phone not found: copy it from your list",IF(AND(E1330&lt;&gt;"",COUNTIFS(DESK!$F$2:$F$601,C1330,DESK!$B$2:$B$601,E1330)=0),"Company is not one of theirs","OK"))))))</f>
        <v/>
      </c>
    </row>
    <row r="1331" spans="1:10"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time",IF(D1331="NO_SLOTS",IF(COUNTIF(PARTNERS!$A$2:$A$88,E1331)=0,"Write the company in column E","OK"),IF(C1331="","Missing phone",IF(COUNTIF(DESK!$F$2:$F$601,C1331)=0,"Phone not found: copy it from your list",IF(AND(E1331&lt;&gt;"",COUNTIFS(DESK!$F$2:$F$601,C1331,DESK!$B$2:$B$601,E1331)=0),"Company is not one of theirs","OK"))))))</f>
        <v/>
      </c>
    </row>
    <row r="1332" spans="1:10"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time",IF(D1332="NO_SLOTS",IF(COUNTIF(PARTNERS!$A$2:$A$88,E1332)=0,"Write the company in column E","OK"),IF(C1332="","Missing phone",IF(COUNTIF(DESK!$F$2:$F$601,C1332)=0,"Phone not found: copy it from your list",IF(AND(E1332&lt;&gt;"",COUNTIFS(DESK!$F$2:$F$601,C1332,DESK!$B$2:$B$601,E1332)=0),"Company is not one of theirs","OK"))))))</f>
        <v/>
      </c>
    </row>
    <row r="1333" spans="1:10"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time",IF(D1333="NO_SLOTS",IF(COUNTIF(PARTNERS!$A$2:$A$88,E1333)=0,"Write the company in column E","OK"),IF(C1333="","Missing phone",IF(COUNTIF(DESK!$F$2:$F$601,C1333)=0,"Phone not found: copy it from your list",IF(AND(E1333&lt;&gt;"",COUNTIFS(DESK!$F$2:$F$601,C1333,DESK!$B$2:$B$601,E1333)=0),"Company is not one of theirs","OK"))))))</f>
        <v/>
      </c>
    </row>
    <row r="1334" spans="1:10"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time",IF(D1334="NO_SLOTS",IF(COUNTIF(PARTNERS!$A$2:$A$88,E1334)=0,"Write the company in column E","OK"),IF(C1334="","Missing phone",IF(COUNTIF(DESK!$F$2:$F$601,C1334)=0,"Phone not found: copy it from your list",IF(AND(E1334&lt;&gt;"",COUNTIFS(DESK!$F$2:$F$601,C1334,DESK!$B$2:$B$601,E1334)=0),"Company is not one of theirs","OK"))))))</f>
        <v/>
      </c>
    </row>
    <row r="1335" spans="1:10"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time",IF(D1335="NO_SLOTS",IF(COUNTIF(PARTNERS!$A$2:$A$88,E1335)=0,"Write the company in column E","OK"),IF(C1335="","Missing phone",IF(COUNTIF(DESK!$F$2:$F$601,C1335)=0,"Phone not found: copy it from your list",IF(AND(E1335&lt;&gt;"",COUNTIFS(DESK!$F$2:$F$601,C1335,DESK!$B$2:$B$601,E1335)=0),"Company is not one of theirs","OK"))))))</f>
        <v/>
      </c>
    </row>
    <row r="1336" spans="1:10"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time",IF(D1336="NO_SLOTS",IF(COUNTIF(PARTNERS!$A$2:$A$88,E1336)=0,"Write the company in column E","OK"),IF(C1336="","Missing phone",IF(COUNTIF(DESK!$F$2:$F$601,C1336)=0,"Phone not found: copy it from your list",IF(AND(E1336&lt;&gt;"",COUNTIFS(DESK!$F$2:$F$601,C1336,DESK!$B$2:$B$601,E1336)=0),"Company is not one of theirs","OK"))))))</f>
        <v/>
      </c>
    </row>
    <row r="1337" spans="1:10"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time",IF(D1337="NO_SLOTS",IF(COUNTIF(PARTNERS!$A$2:$A$88,E1337)=0,"Write the company in column E","OK"),IF(C1337="","Missing phone",IF(COUNTIF(DESK!$F$2:$F$601,C1337)=0,"Phone not found: copy it from your list",IF(AND(E1337&lt;&gt;"",COUNTIFS(DESK!$F$2:$F$601,C1337,DESK!$B$2:$B$601,E1337)=0),"Company is not one of theirs","OK"))))))</f>
        <v/>
      </c>
    </row>
    <row r="1338" spans="1:10"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time",IF(D1338="NO_SLOTS",IF(COUNTIF(PARTNERS!$A$2:$A$88,E1338)=0,"Write the company in column E","OK"),IF(C1338="","Missing phone",IF(COUNTIF(DESK!$F$2:$F$601,C1338)=0,"Phone not found: copy it from your list",IF(AND(E1338&lt;&gt;"",COUNTIFS(DESK!$F$2:$F$601,C1338,DESK!$B$2:$B$601,E1338)=0),"Company is not one of theirs","OK"))))))</f>
        <v/>
      </c>
    </row>
    <row r="1339" spans="1:10"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time",IF(D1339="NO_SLOTS",IF(COUNTIF(PARTNERS!$A$2:$A$88,E1339)=0,"Write the company in column E","OK"),IF(C1339="","Missing phone",IF(COUNTIF(DESK!$F$2:$F$601,C1339)=0,"Phone not found: copy it from your list",IF(AND(E1339&lt;&gt;"",COUNTIFS(DESK!$F$2:$F$601,C1339,DESK!$B$2:$B$601,E1339)=0),"Company is not one of theirs","OK"))))))</f>
        <v/>
      </c>
    </row>
    <row r="1340" spans="1:10"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time",IF(D1340="NO_SLOTS",IF(COUNTIF(PARTNERS!$A$2:$A$88,E1340)=0,"Write the company in column E","OK"),IF(C1340="","Missing phone",IF(COUNTIF(DESK!$F$2:$F$601,C1340)=0,"Phone not found: copy it from your list",IF(AND(E1340&lt;&gt;"",COUNTIFS(DESK!$F$2:$F$601,C1340,DESK!$B$2:$B$601,E1340)=0),"Company is not one of theirs","OK"))))))</f>
        <v/>
      </c>
    </row>
    <row r="1341" spans="1:10"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time",IF(D1341="NO_SLOTS",IF(COUNTIF(PARTNERS!$A$2:$A$88,E1341)=0,"Write the company in column E","OK"),IF(C1341="","Missing phone",IF(COUNTIF(DESK!$F$2:$F$601,C1341)=0,"Phone not found: copy it from your list",IF(AND(E1341&lt;&gt;"",COUNTIFS(DESK!$F$2:$F$601,C1341,DESK!$B$2:$B$601,E1341)=0),"Company is not one of theirs","OK"))))))</f>
        <v/>
      </c>
    </row>
    <row r="1342" spans="1:10"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time",IF(D1342="NO_SLOTS",IF(COUNTIF(PARTNERS!$A$2:$A$88,E1342)=0,"Write the company in column E","OK"),IF(C1342="","Missing phone",IF(COUNTIF(DESK!$F$2:$F$601,C1342)=0,"Phone not found: copy it from your list",IF(AND(E1342&lt;&gt;"",COUNTIFS(DESK!$F$2:$F$601,C1342,DESK!$B$2:$B$601,E1342)=0),"Company is not one of theirs","OK"))))))</f>
        <v/>
      </c>
    </row>
    <row r="1343" spans="1:10"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time",IF(D1343="NO_SLOTS",IF(COUNTIF(PARTNERS!$A$2:$A$88,E1343)=0,"Write the company in column E","OK"),IF(C1343="","Missing phone",IF(COUNTIF(DESK!$F$2:$F$601,C1343)=0,"Phone not found: copy it from your list",IF(AND(E1343&lt;&gt;"",COUNTIFS(DESK!$F$2:$F$601,C1343,DESK!$B$2:$B$601,E1343)=0),"Company is not one of theirs","OK"))))))</f>
        <v/>
      </c>
    </row>
    <row r="1344" spans="1:10"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time",IF(D1344="NO_SLOTS",IF(COUNTIF(PARTNERS!$A$2:$A$88,E1344)=0,"Write the company in column E","OK"),IF(C1344="","Missing phone",IF(COUNTIF(DESK!$F$2:$F$601,C1344)=0,"Phone not found: copy it from your list",IF(AND(E1344&lt;&gt;"",COUNTIFS(DESK!$F$2:$F$601,C1344,DESK!$B$2:$B$601,E1344)=0),"Company is not one of theirs","OK"))))))</f>
        <v/>
      </c>
    </row>
    <row r="1345" spans="1:10"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time",IF(D1345="NO_SLOTS",IF(COUNTIF(PARTNERS!$A$2:$A$88,E1345)=0,"Write the company in column E","OK"),IF(C1345="","Missing phone",IF(COUNTIF(DESK!$F$2:$F$601,C1345)=0,"Phone not found: copy it from your list",IF(AND(E1345&lt;&gt;"",COUNTIFS(DESK!$F$2:$F$601,C1345,DESK!$B$2:$B$601,E1345)=0),"Company is not one of theirs","OK"))))))</f>
        <v/>
      </c>
    </row>
    <row r="1346" spans="1:10"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time",IF(D1346="NO_SLOTS",IF(COUNTIF(PARTNERS!$A$2:$A$88,E1346)=0,"Write the company in column E","OK"),IF(C1346="","Missing phone",IF(COUNTIF(DESK!$F$2:$F$601,C1346)=0,"Phone not found: copy it from your list",IF(AND(E1346&lt;&gt;"",COUNTIFS(DESK!$F$2:$F$601,C1346,DESK!$B$2:$B$601,E1346)=0),"Company is not one of theirs","OK"))))))</f>
        <v/>
      </c>
    </row>
    <row r="1347" spans="1:10"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time",IF(D1347="NO_SLOTS",IF(COUNTIF(PARTNERS!$A$2:$A$88,E1347)=0,"Write the company in column E","OK"),IF(C1347="","Missing phone",IF(COUNTIF(DESK!$F$2:$F$601,C1347)=0,"Phone not found: copy it from your list",IF(AND(E1347&lt;&gt;"",COUNTIFS(DESK!$F$2:$F$601,C1347,DESK!$B$2:$B$601,E1347)=0),"Company is not one of theirs","OK"))))))</f>
        <v/>
      </c>
    </row>
    <row r="1348" spans="1:10"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time",IF(D1348="NO_SLOTS",IF(COUNTIF(PARTNERS!$A$2:$A$88,E1348)=0,"Write the company in column E","OK"),IF(C1348="","Missing phone",IF(COUNTIF(DESK!$F$2:$F$601,C1348)=0,"Phone not found: copy it from your list",IF(AND(E1348&lt;&gt;"",COUNTIFS(DESK!$F$2:$F$601,C1348,DESK!$B$2:$B$601,E1348)=0),"Company is not one of theirs","OK"))))))</f>
        <v/>
      </c>
    </row>
    <row r="1349" spans="1:10"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time",IF(D1349="NO_SLOTS",IF(COUNTIF(PARTNERS!$A$2:$A$88,E1349)=0,"Write the company in column E","OK"),IF(C1349="","Missing phone",IF(COUNTIF(DESK!$F$2:$F$601,C1349)=0,"Phone not found: copy it from your list",IF(AND(E1349&lt;&gt;"",COUNTIFS(DESK!$F$2:$F$601,C1349,DESK!$B$2:$B$601,E1349)=0),"Company is not one of theirs","OK"))))))</f>
        <v/>
      </c>
    </row>
    <row r="1350" spans="1:10"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time",IF(D1350="NO_SLOTS",IF(COUNTIF(PARTNERS!$A$2:$A$88,E1350)=0,"Write the company in column E","OK"),IF(C1350="","Missing phone",IF(COUNTIF(DESK!$F$2:$F$601,C1350)=0,"Phone not found: copy it from your list",IF(AND(E1350&lt;&gt;"",COUNTIFS(DESK!$F$2:$F$601,C1350,DESK!$B$2:$B$601,E1350)=0),"Company is not one of theirs","OK"))))))</f>
        <v/>
      </c>
    </row>
    <row r="1351" spans="1:10"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time",IF(D1351="NO_SLOTS",IF(COUNTIF(PARTNERS!$A$2:$A$88,E1351)=0,"Write the company in column E","OK"),IF(C1351="","Missing phone",IF(COUNTIF(DESK!$F$2:$F$601,C1351)=0,"Phone not found: copy it from your list",IF(AND(E1351&lt;&gt;"",COUNTIFS(DESK!$F$2:$F$601,C1351,DESK!$B$2:$B$601,E1351)=0),"Company is not one of theirs","OK"))))))</f>
        <v/>
      </c>
    </row>
    <row r="1352" spans="1:10"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time",IF(D1352="NO_SLOTS",IF(COUNTIF(PARTNERS!$A$2:$A$88,E1352)=0,"Write the company in column E","OK"),IF(C1352="","Missing phone",IF(COUNTIF(DESK!$F$2:$F$601,C1352)=0,"Phone not found: copy it from your list",IF(AND(E1352&lt;&gt;"",COUNTIFS(DESK!$F$2:$F$601,C1352,DESK!$B$2:$B$601,E1352)=0),"Company is not one of theirs","OK"))))))</f>
        <v/>
      </c>
    </row>
    <row r="1353" spans="1:10"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time",IF(D1353="NO_SLOTS",IF(COUNTIF(PARTNERS!$A$2:$A$88,E1353)=0,"Write the company in column E","OK"),IF(C1353="","Missing phone",IF(COUNTIF(DESK!$F$2:$F$601,C1353)=0,"Phone not found: copy it from your list",IF(AND(E1353&lt;&gt;"",COUNTIFS(DESK!$F$2:$F$601,C1353,DESK!$B$2:$B$601,E1353)=0),"Company is not one of theirs","OK"))))))</f>
        <v/>
      </c>
    </row>
    <row r="1354" spans="1:10"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time",IF(D1354="NO_SLOTS",IF(COUNTIF(PARTNERS!$A$2:$A$88,E1354)=0,"Write the company in column E","OK"),IF(C1354="","Missing phone",IF(COUNTIF(DESK!$F$2:$F$601,C1354)=0,"Phone not found: copy it from your list",IF(AND(E1354&lt;&gt;"",COUNTIFS(DESK!$F$2:$F$601,C1354,DESK!$B$2:$B$601,E1354)=0),"Company is not one of theirs","OK"))))))</f>
        <v/>
      </c>
    </row>
    <row r="1355" spans="1:10"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time",IF(D1355="NO_SLOTS",IF(COUNTIF(PARTNERS!$A$2:$A$88,E1355)=0,"Write the company in column E","OK"),IF(C1355="","Missing phone",IF(COUNTIF(DESK!$F$2:$F$601,C1355)=0,"Phone not found: copy it from your list",IF(AND(E1355&lt;&gt;"",COUNTIFS(DESK!$F$2:$F$601,C1355,DESK!$B$2:$B$601,E1355)=0),"Company is not one of theirs","OK"))))))</f>
        <v/>
      </c>
    </row>
    <row r="1356" spans="1:10"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time",IF(D1356="NO_SLOTS",IF(COUNTIF(PARTNERS!$A$2:$A$88,E1356)=0,"Write the company in column E","OK"),IF(C1356="","Missing phone",IF(COUNTIF(DESK!$F$2:$F$601,C1356)=0,"Phone not found: copy it from your list",IF(AND(E1356&lt;&gt;"",COUNTIFS(DESK!$F$2:$F$601,C1356,DESK!$B$2:$B$601,E1356)=0),"Company is not one of theirs","OK"))))))</f>
        <v/>
      </c>
    </row>
    <row r="1357" spans="1:10"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time",IF(D1357="NO_SLOTS",IF(COUNTIF(PARTNERS!$A$2:$A$88,E1357)=0,"Write the company in column E","OK"),IF(C1357="","Missing phone",IF(COUNTIF(DESK!$F$2:$F$601,C1357)=0,"Phone not found: copy it from your list",IF(AND(E1357&lt;&gt;"",COUNTIFS(DESK!$F$2:$F$601,C1357,DESK!$B$2:$B$601,E1357)=0),"Company is not one of theirs","OK"))))))</f>
        <v/>
      </c>
    </row>
    <row r="1358" spans="1:10"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time",IF(D1358="NO_SLOTS",IF(COUNTIF(PARTNERS!$A$2:$A$88,E1358)=0,"Write the company in column E","OK"),IF(C1358="","Missing phone",IF(COUNTIF(DESK!$F$2:$F$601,C1358)=0,"Phone not found: copy it from your list",IF(AND(E1358&lt;&gt;"",COUNTIFS(DESK!$F$2:$F$601,C1358,DESK!$B$2:$B$601,E1358)=0),"Company is not one of theirs","OK"))))))</f>
        <v/>
      </c>
    </row>
    <row r="1359" spans="1:10"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time",IF(D1359="NO_SLOTS",IF(COUNTIF(PARTNERS!$A$2:$A$88,E1359)=0,"Write the company in column E","OK"),IF(C1359="","Missing phone",IF(COUNTIF(DESK!$F$2:$F$601,C1359)=0,"Phone not found: copy it from your list",IF(AND(E1359&lt;&gt;"",COUNTIFS(DESK!$F$2:$F$601,C1359,DESK!$B$2:$B$601,E1359)=0),"Company is not one of theirs","OK"))))))</f>
        <v/>
      </c>
    </row>
    <row r="1360" spans="1:10"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time",IF(D1360="NO_SLOTS",IF(COUNTIF(PARTNERS!$A$2:$A$88,E1360)=0,"Write the company in column E","OK"),IF(C1360="","Missing phone",IF(COUNTIF(DESK!$F$2:$F$601,C1360)=0,"Phone not found: copy it from your list",IF(AND(E1360&lt;&gt;"",COUNTIFS(DESK!$F$2:$F$601,C1360,DESK!$B$2:$B$601,E1360)=0),"Company is not one of theirs","OK"))))))</f>
        <v/>
      </c>
    </row>
    <row r="1361" spans="1:10"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time",IF(D1361="NO_SLOTS",IF(COUNTIF(PARTNERS!$A$2:$A$88,E1361)=0,"Write the company in column E","OK"),IF(C1361="","Missing phone",IF(COUNTIF(DESK!$F$2:$F$601,C1361)=0,"Phone not found: copy it from your list",IF(AND(E1361&lt;&gt;"",COUNTIFS(DESK!$F$2:$F$601,C1361,DESK!$B$2:$B$601,E1361)=0),"Company is not one of theirs","OK"))))))</f>
        <v/>
      </c>
    </row>
    <row r="1362" spans="1:10"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time",IF(D1362="NO_SLOTS",IF(COUNTIF(PARTNERS!$A$2:$A$88,E1362)=0,"Write the company in column E","OK"),IF(C1362="","Missing phone",IF(COUNTIF(DESK!$F$2:$F$601,C1362)=0,"Phone not found: copy it from your list",IF(AND(E1362&lt;&gt;"",COUNTIFS(DESK!$F$2:$F$601,C1362,DESK!$B$2:$B$601,E1362)=0),"Company is not one of theirs","OK"))))))</f>
        <v/>
      </c>
    </row>
    <row r="1363" spans="1:10"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time",IF(D1363="NO_SLOTS",IF(COUNTIF(PARTNERS!$A$2:$A$88,E1363)=0,"Write the company in column E","OK"),IF(C1363="","Missing phone",IF(COUNTIF(DESK!$F$2:$F$601,C1363)=0,"Phone not found: copy it from your list",IF(AND(E1363&lt;&gt;"",COUNTIFS(DESK!$F$2:$F$601,C1363,DESK!$B$2:$B$601,E1363)=0),"Company is not one of theirs","OK"))))))</f>
        <v/>
      </c>
    </row>
    <row r="1364" spans="1:10"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time",IF(D1364="NO_SLOTS",IF(COUNTIF(PARTNERS!$A$2:$A$88,E1364)=0,"Write the company in column E","OK"),IF(C1364="","Missing phone",IF(COUNTIF(DESK!$F$2:$F$601,C1364)=0,"Phone not found: copy it from your list",IF(AND(E1364&lt;&gt;"",COUNTIFS(DESK!$F$2:$F$601,C1364,DESK!$B$2:$B$601,E1364)=0),"Company is not one of theirs","OK"))))))</f>
        <v/>
      </c>
    </row>
    <row r="1365" spans="1:10"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time",IF(D1365="NO_SLOTS",IF(COUNTIF(PARTNERS!$A$2:$A$88,E1365)=0,"Write the company in column E","OK"),IF(C1365="","Missing phone",IF(COUNTIF(DESK!$F$2:$F$601,C1365)=0,"Phone not found: copy it from your list",IF(AND(E1365&lt;&gt;"",COUNTIFS(DESK!$F$2:$F$601,C1365,DESK!$B$2:$B$601,E1365)=0),"Company is not one of theirs","OK"))))))</f>
        <v/>
      </c>
    </row>
    <row r="1366" spans="1:10"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time",IF(D1366="NO_SLOTS",IF(COUNTIF(PARTNERS!$A$2:$A$88,E1366)=0,"Write the company in column E","OK"),IF(C1366="","Missing phone",IF(COUNTIF(DESK!$F$2:$F$601,C1366)=0,"Phone not found: copy it from your list",IF(AND(E1366&lt;&gt;"",COUNTIFS(DESK!$F$2:$F$601,C1366,DESK!$B$2:$B$601,E1366)=0),"Company is not one of theirs","OK"))))))</f>
        <v/>
      </c>
    </row>
    <row r="1367" spans="1:10"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time",IF(D1367="NO_SLOTS",IF(COUNTIF(PARTNERS!$A$2:$A$88,E1367)=0,"Write the company in column E","OK"),IF(C1367="","Missing phone",IF(COUNTIF(DESK!$F$2:$F$601,C1367)=0,"Phone not found: copy it from your list",IF(AND(E1367&lt;&gt;"",COUNTIFS(DESK!$F$2:$F$601,C1367,DESK!$B$2:$B$601,E1367)=0),"Company is not one of theirs","OK"))))))</f>
        <v/>
      </c>
    </row>
    <row r="1368" spans="1:10"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time",IF(D1368="NO_SLOTS",IF(COUNTIF(PARTNERS!$A$2:$A$88,E1368)=0,"Write the company in column E","OK"),IF(C1368="","Missing phone",IF(COUNTIF(DESK!$F$2:$F$601,C1368)=0,"Phone not found: copy it from your list",IF(AND(E1368&lt;&gt;"",COUNTIFS(DESK!$F$2:$F$601,C1368,DESK!$B$2:$B$601,E1368)=0),"Company is not one of theirs","OK"))))))</f>
        <v/>
      </c>
    </row>
    <row r="1369" spans="1:10"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time",IF(D1369="NO_SLOTS",IF(COUNTIF(PARTNERS!$A$2:$A$88,E1369)=0,"Write the company in column E","OK"),IF(C1369="","Missing phone",IF(COUNTIF(DESK!$F$2:$F$601,C1369)=0,"Phone not found: copy it from your list",IF(AND(E1369&lt;&gt;"",COUNTIFS(DESK!$F$2:$F$601,C1369,DESK!$B$2:$B$601,E1369)=0),"Company is not one of theirs","OK"))))))</f>
        <v/>
      </c>
    </row>
    <row r="1370" spans="1:10"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time",IF(D1370="NO_SLOTS",IF(COUNTIF(PARTNERS!$A$2:$A$88,E1370)=0,"Write the company in column E","OK"),IF(C1370="","Missing phone",IF(COUNTIF(DESK!$F$2:$F$601,C1370)=0,"Phone not found: copy it from your list",IF(AND(E1370&lt;&gt;"",COUNTIFS(DESK!$F$2:$F$601,C1370,DESK!$B$2:$B$601,E1370)=0),"Company is not one of theirs","OK"))))))</f>
        <v/>
      </c>
    </row>
    <row r="1371" spans="1:10"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time",IF(D1371="NO_SLOTS",IF(COUNTIF(PARTNERS!$A$2:$A$88,E1371)=0,"Write the company in column E","OK"),IF(C1371="","Missing phone",IF(COUNTIF(DESK!$F$2:$F$601,C1371)=0,"Phone not found: copy it from your list",IF(AND(E1371&lt;&gt;"",COUNTIFS(DESK!$F$2:$F$601,C1371,DESK!$B$2:$B$601,E1371)=0),"Company is not one of theirs","OK"))))))</f>
        <v/>
      </c>
    </row>
    <row r="1372" spans="1:10"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time",IF(D1372="NO_SLOTS",IF(COUNTIF(PARTNERS!$A$2:$A$88,E1372)=0,"Write the company in column E","OK"),IF(C1372="","Missing phone",IF(COUNTIF(DESK!$F$2:$F$601,C1372)=0,"Phone not found: copy it from your list",IF(AND(E1372&lt;&gt;"",COUNTIFS(DESK!$F$2:$F$601,C1372,DESK!$B$2:$B$601,E1372)=0),"Company is not one of theirs","OK"))))))</f>
        <v/>
      </c>
    </row>
    <row r="1373" spans="1:10"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time",IF(D1373="NO_SLOTS",IF(COUNTIF(PARTNERS!$A$2:$A$88,E1373)=0,"Write the company in column E","OK"),IF(C1373="","Missing phone",IF(COUNTIF(DESK!$F$2:$F$601,C1373)=0,"Phone not found: copy it from your list",IF(AND(E1373&lt;&gt;"",COUNTIFS(DESK!$F$2:$F$601,C1373,DESK!$B$2:$B$601,E1373)=0),"Company is not one of theirs","OK"))))))</f>
        <v/>
      </c>
    </row>
    <row r="1374" spans="1:10"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time",IF(D1374="NO_SLOTS",IF(COUNTIF(PARTNERS!$A$2:$A$88,E1374)=0,"Write the company in column E","OK"),IF(C1374="","Missing phone",IF(COUNTIF(DESK!$F$2:$F$601,C1374)=0,"Phone not found: copy it from your list",IF(AND(E1374&lt;&gt;"",COUNTIFS(DESK!$F$2:$F$601,C1374,DESK!$B$2:$B$601,E1374)=0),"Company is not one of theirs","OK"))))))</f>
        <v/>
      </c>
    </row>
    <row r="1375" spans="1:10"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time",IF(D1375="NO_SLOTS",IF(COUNTIF(PARTNERS!$A$2:$A$88,E1375)=0,"Write the company in column E","OK"),IF(C1375="","Missing phone",IF(COUNTIF(DESK!$F$2:$F$601,C1375)=0,"Phone not found: copy it from your list",IF(AND(E1375&lt;&gt;"",COUNTIFS(DESK!$F$2:$F$601,C1375,DESK!$B$2:$B$601,E1375)=0),"Company is not one of theirs","OK"))))))</f>
        <v/>
      </c>
    </row>
    <row r="1376" spans="1:10"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time",IF(D1376="NO_SLOTS",IF(COUNTIF(PARTNERS!$A$2:$A$88,E1376)=0,"Write the company in column E","OK"),IF(C1376="","Missing phone",IF(COUNTIF(DESK!$F$2:$F$601,C1376)=0,"Phone not found: copy it from your list",IF(AND(E1376&lt;&gt;"",COUNTIFS(DESK!$F$2:$F$601,C1376,DESK!$B$2:$B$601,E1376)=0),"Company is not one of theirs","OK"))))))</f>
        <v/>
      </c>
    </row>
    <row r="1377" spans="1:10"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time",IF(D1377="NO_SLOTS",IF(COUNTIF(PARTNERS!$A$2:$A$88,E1377)=0,"Write the company in column E","OK"),IF(C1377="","Missing phone",IF(COUNTIF(DESK!$F$2:$F$601,C1377)=0,"Phone not found: copy it from your list",IF(AND(E1377&lt;&gt;"",COUNTIFS(DESK!$F$2:$F$601,C1377,DESK!$B$2:$B$601,E1377)=0),"Company is not one of theirs","OK"))))))</f>
        <v/>
      </c>
    </row>
    <row r="1378" spans="1:10"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time",IF(D1378="NO_SLOTS",IF(COUNTIF(PARTNERS!$A$2:$A$88,E1378)=0,"Write the company in column E","OK"),IF(C1378="","Missing phone",IF(COUNTIF(DESK!$F$2:$F$601,C1378)=0,"Phone not found: copy it from your list",IF(AND(E1378&lt;&gt;"",COUNTIFS(DESK!$F$2:$F$601,C1378,DESK!$B$2:$B$601,E1378)=0),"Company is not one of theirs","OK"))))))</f>
        <v/>
      </c>
    </row>
    <row r="1379" spans="1:10"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time",IF(D1379="NO_SLOTS",IF(COUNTIF(PARTNERS!$A$2:$A$88,E1379)=0,"Write the company in column E","OK"),IF(C1379="","Missing phone",IF(COUNTIF(DESK!$F$2:$F$601,C1379)=0,"Phone not found: copy it from your list",IF(AND(E1379&lt;&gt;"",COUNTIFS(DESK!$F$2:$F$601,C1379,DESK!$B$2:$B$601,E1379)=0),"Company is not one of theirs","OK"))))))</f>
        <v/>
      </c>
    </row>
    <row r="1380" spans="1:10"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time",IF(D1380="NO_SLOTS",IF(COUNTIF(PARTNERS!$A$2:$A$88,E1380)=0,"Write the company in column E","OK"),IF(C1380="","Missing phone",IF(COUNTIF(DESK!$F$2:$F$601,C1380)=0,"Phone not found: copy it from your list",IF(AND(E1380&lt;&gt;"",COUNTIFS(DESK!$F$2:$F$601,C1380,DESK!$B$2:$B$601,E1380)=0),"Company is not one of theirs","OK"))))))</f>
        <v/>
      </c>
    </row>
    <row r="1381" spans="1:10"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time",IF(D1381="NO_SLOTS",IF(COUNTIF(PARTNERS!$A$2:$A$88,E1381)=0,"Write the company in column E","OK"),IF(C1381="","Missing phone",IF(COUNTIF(DESK!$F$2:$F$601,C1381)=0,"Phone not found: copy it from your list",IF(AND(E1381&lt;&gt;"",COUNTIFS(DESK!$F$2:$F$601,C1381,DESK!$B$2:$B$601,E1381)=0),"Company is not one of theirs","OK"))))))</f>
        <v/>
      </c>
    </row>
    <row r="1382" spans="1:10"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time",IF(D1382="NO_SLOTS",IF(COUNTIF(PARTNERS!$A$2:$A$88,E1382)=0,"Write the company in column E","OK"),IF(C1382="","Missing phone",IF(COUNTIF(DESK!$F$2:$F$601,C1382)=0,"Phone not found: copy it from your list",IF(AND(E1382&lt;&gt;"",COUNTIFS(DESK!$F$2:$F$601,C1382,DESK!$B$2:$B$601,E1382)=0),"Company is not one of theirs","OK"))))))</f>
        <v/>
      </c>
    </row>
    <row r="1383" spans="1:10"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time",IF(D1383="NO_SLOTS",IF(COUNTIF(PARTNERS!$A$2:$A$88,E1383)=0,"Write the company in column E","OK"),IF(C1383="","Missing phone",IF(COUNTIF(DESK!$F$2:$F$601,C1383)=0,"Phone not found: copy it from your list",IF(AND(E1383&lt;&gt;"",COUNTIFS(DESK!$F$2:$F$601,C1383,DESK!$B$2:$B$601,E1383)=0),"Company is not one of theirs","OK"))))))</f>
        <v/>
      </c>
    </row>
    <row r="1384" spans="1:10"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time",IF(D1384="NO_SLOTS",IF(COUNTIF(PARTNERS!$A$2:$A$88,E1384)=0,"Write the company in column E","OK"),IF(C1384="","Missing phone",IF(COUNTIF(DESK!$F$2:$F$601,C1384)=0,"Phone not found: copy it from your list",IF(AND(E1384&lt;&gt;"",COUNTIFS(DESK!$F$2:$F$601,C1384,DESK!$B$2:$B$601,E1384)=0),"Company is not one of theirs","OK"))))))</f>
        <v/>
      </c>
    </row>
    <row r="1385" spans="1:10"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time",IF(D1385="NO_SLOTS",IF(COUNTIF(PARTNERS!$A$2:$A$88,E1385)=0,"Write the company in column E","OK"),IF(C1385="","Missing phone",IF(COUNTIF(DESK!$F$2:$F$601,C1385)=0,"Phone not found: copy it from your list",IF(AND(E1385&lt;&gt;"",COUNTIFS(DESK!$F$2:$F$601,C1385,DESK!$B$2:$B$601,E1385)=0),"Company is not one of theirs","OK"))))))</f>
        <v/>
      </c>
    </row>
    <row r="1386" spans="1:10"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time",IF(D1386="NO_SLOTS",IF(COUNTIF(PARTNERS!$A$2:$A$88,E1386)=0,"Write the company in column E","OK"),IF(C1386="","Missing phone",IF(COUNTIF(DESK!$F$2:$F$601,C1386)=0,"Phone not found: copy it from your list",IF(AND(E1386&lt;&gt;"",COUNTIFS(DESK!$F$2:$F$601,C1386,DESK!$B$2:$B$601,E1386)=0),"Company is not one of theirs","OK"))))))</f>
        <v/>
      </c>
    </row>
    <row r="1387" spans="1:10"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time",IF(D1387="NO_SLOTS",IF(COUNTIF(PARTNERS!$A$2:$A$88,E1387)=0,"Write the company in column E","OK"),IF(C1387="","Missing phone",IF(COUNTIF(DESK!$F$2:$F$601,C1387)=0,"Phone not found: copy it from your list",IF(AND(E1387&lt;&gt;"",COUNTIFS(DESK!$F$2:$F$601,C1387,DESK!$B$2:$B$601,E1387)=0),"Company is not one of theirs","OK"))))))</f>
        <v/>
      </c>
    </row>
    <row r="1388" spans="1:10"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time",IF(D1388="NO_SLOTS",IF(COUNTIF(PARTNERS!$A$2:$A$88,E1388)=0,"Write the company in column E","OK"),IF(C1388="","Missing phone",IF(COUNTIF(DESK!$F$2:$F$601,C1388)=0,"Phone not found: copy it from your list",IF(AND(E1388&lt;&gt;"",COUNTIFS(DESK!$F$2:$F$601,C1388,DESK!$B$2:$B$601,E1388)=0),"Company is not one of theirs","OK"))))))</f>
        <v/>
      </c>
    </row>
    <row r="1389" spans="1:10"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time",IF(D1389="NO_SLOTS",IF(COUNTIF(PARTNERS!$A$2:$A$88,E1389)=0,"Write the company in column E","OK"),IF(C1389="","Missing phone",IF(COUNTIF(DESK!$F$2:$F$601,C1389)=0,"Phone not found: copy it from your list",IF(AND(E1389&lt;&gt;"",COUNTIFS(DESK!$F$2:$F$601,C1389,DESK!$B$2:$B$601,E1389)=0),"Company is not one of theirs","OK"))))))</f>
        <v/>
      </c>
    </row>
    <row r="1390" spans="1:10"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time",IF(D1390="NO_SLOTS",IF(COUNTIF(PARTNERS!$A$2:$A$88,E1390)=0,"Write the company in column E","OK"),IF(C1390="","Missing phone",IF(COUNTIF(DESK!$F$2:$F$601,C1390)=0,"Phone not found: copy it from your list",IF(AND(E1390&lt;&gt;"",COUNTIFS(DESK!$F$2:$F$601,C1390,DESK!$B$2:$B$601,E1390)=0),"Company is not one of theirs","OK"))))))</f>
        <v/>
      </c>
    </row>
    <row r="1391" spans="1:10"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time",IF(D1391="NO_SLOTS",IF(COUNTIF(PARTNERS!$A$2:$A$88,E1391)=0,"Write the company in column E","OK"),IF(C1391="","Missing phone",IF(COUNTIF(DESK!$F$2:$F$601,C1391)=0,"Phone not found: copy it from your list",IF(AND(E1391&lt;&gt;"",COUNTIFS(DESK!$F$2:$F$601,C1391,DESK!$B$2:$B$601,E1391)=0),"Company is not one of theirs","OK"))))))</f>
        <v/>
      </c>
    </row>
    <row r="1392" spans="1:10"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time",IF(D1392="NO_SLOTS",IF(COUNTIF(PARTNERS!$A$2:$A$88,E1392)=0,"Write the company in column E","OK"),IF(C1392="","Missing phone",IF(COUNTIF(DESK!$F$2:$F$601,C1392)=0,"Phone not found: copy it from your list",IF(AND(E1392&lt;&gt;"",COUNTIFS(DESK!$F$2:$F$601,C1392,DESK!$B$2:$B$601,E1392)=0),"Company is not one of theirs","OK"))))))</f>
        <v/>
      </c>
    </row>
    <row r="1393" spans="1:10"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time",IF(D1393="NO_SLOTS",IF(COUNTIF(PARTNERS!$A$2:$A$88,E1393)=0,"Write the company in column E","OK"),IF(C1393="","Missing phone",IF(COUNTIF(DESK!$F$2:$F$601,C1393)=0,"Phone not found: copy it from your list",IF(AND(E1393&lt;&gt;"",COUNTIFS(DESK!$F$2:$F$601,C1393,DESK!$B$2:$B$601,E1393)=0),"Company is not one of theirs","OK"))))))</f>
        <v/>
      </c>
    </row>
    <row r="1394" spans="1:10"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time",IF(D1394="NO_SLOTS",IF(COUNTIF(PARTNERS!$A$2:$A$88,E1394)=0,"Write the company in column E","OK"),IF(C1394="","Missing phone",IF(COUNTIF(DESK!$F$2:$F$601,C1394)=0,"Phone not found: copy it from your list",IF(AND(E1394&lt;&gt;"",COUNTIFS(DESK!$F$2:$F$601,C1394,DESK!$B$2:$B$601,E1394)=0),"Company is not one of theirs","OK"))))))</f>
        <v/>
      </c>
    </row>
    <row r="1395" spans="1:10"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time",IF(D1395="NO_SLOTS",IF(COUNTIF(PARTNERS!$A$2:$A$88,E1395)=0,"Write the company in column E","OK"),IF(C1395="","Missing phone",IF(COUNTIF(DESK!$F$2:$F$601,C1395)=0,"Phone not found: copy it from your list",IF(AND(E1395&lt;&gt;"",COUNTIFS(DESK!$F$2:$F$601,C1395,DESK!$B$2:$B$601,E1395)=0),"Company is not one of theirs","OK"))))))</f>
        <v/>
      </c>
    </row>
    <row r="1396" spans="1:10"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time",IF(D1396="NO_SLOTS",IF(COUNTIF(PARTNERS!$A$2:$A$88,E1396)=0,"Write the company in column E","OK"),IF(C1396="","Missing phone",IF(COUNTIF(DESK!$F$2:$F$601,C1396)=0,"Phone not found: copy it from your list",IF(AND(E1396&lt;&gt;"",COUNTIFS(DESK!$F$2:$F$601,C1396,DESK!$B$2:$B$601,E1396)=0),"Company is not one of theirs","OK"))))))</f>
        <v/>
      </c>
    </row>
    <row r="1397" spans="1:10"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time",IF(D1397="NO_SLOTS",IF(COUNTIF(PARTNERS!$A$2:$A$88,E1397)=0,"Write the company in column E","OK"),IF(C1397="","Missing phone",IF(COUNTIF(DESK!$F$2:$F$601,C1397)=0,"Phone not found: copy it from your list",IF(AND(E1397&lt;&gt;"",COUNTIFS(DESK!$F$2:$F$601,C1397,DESK!$B$2:$B$601,E1397)=0),"Company is not one of theirs","OK"))))))</f>
        <v/>
      </c>
    </row>
    <row r="1398" spans="1:10"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time",IF(D1398="NO_SLOTS",IF(COUNTIF(PARTNERS!$A$2:$A$88,E1398)=0,"Write the company in column E","OK"),IF(C1398="","Missing phone",IF(COUNTIF(DESK!$F$2:$F$601,C1398)=0,"Phone not found: copy it from your list",IF(AND(E1398&lt;&gt;"",COUNTIFS(DESK!$F$2:$F$601,C1398,DESK!$B$2:$B$601,E1398)=0),"Company is not one of theirs","OK"))))))</f>
        <v/>
      </c>
    </row>
    <row r="1399" spans="1:10"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time",IF(D1399="NO_SLOTS",IF(COUNTIF(PARTNERS!$A$2:$A$88,E1399)=0,"Write the company in column E","OK"),IF(C1399="","Missing phone",IF(COUNTIF(DESK!$F$2:$F$601,C1399)=0,"Phone not found: copy it from your list",IF(AND(E1399&lt;&gt;"",COUNTIFS(DESK!$F$2:$F$601,C1399,DESK!$B$2:$B$601,E1399)=0),"Company is not one of theirs","OK"))))))</f>
        <v/>
      </c>
    </row>
    <row r="1400" spans="1:10"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time",IF(D1400="NO_SLOTS",IF(COUNTIF(PARTNERS!$A$2:$A$88,E1400)=0,"Write the company in column E","OK"),IF(C1400="","Missing phone",IF(COUNTIF(DESK!$F$2:$F$601,C1400)=0,"Phone not found: copy it from your list",IF(AND(E1400&lt;&gt;"",COUNTIFS(DESK!$F$2:$F$601,C1400,DESK!$B$2:$B$601,E1400)=0),"Company is not one of theirs","OK"))))))</f>
        <v/>
      </c>
    </row>
    <row r="1401" spans="1:10"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time",IF(D1401="NO_SLOTS",IF(COUNTIF(PARTNERS!$A$2:$A$88,E1401)=0,"Write the company in column E","OK"),IF(C1401="","Missing phone",IF(COUNTIF(DESK!$F$2:$F$601,C1401)=0,"Phone not found: copy it from your list",IF(AND(E1401&lt;&gt;"",COUNTIFS(DESK!$F$2:$F$601,C1401,DESK!$B$2:$B$601,E1401)=0),"Company is not one of theirs","OK"))))))</f>
        <v/>
      </c>
    </row>
    <row r="1402" spans="1:10"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time",IF(D1402="NO_SLOTS",IF(COUNTIF(PARTNERS!$A$2:$A$88,E1402)=0,"Write the company in column E","OK"),IF(C1402="","Missing phone",IF(COUNTIF(DESK!$F$2:$F$601,C1402)=0,"Phone not found: copy it from your list",IF(AND(E1402&lt;&gt;"",COUNTIFS(DESK!$F$2:$F$601,C1402,DESK!$B$2:$B$601,E1402)=0),"Company is not one of theirs","OK"))))))</f>
        <v/>
      </c>
    </row>
    <row r="1403" spans="1:10"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time",IF(D1403="NO_SLOTS",IF(COUNTIF(PARTNERS!$A$2:$A$88,E1403)=0,"Write the company in column E","OK"),IF(C1403="","Missing phone",IF(COUNTIF(DESK!$F$2:$F$601,C1403)=0,"Phone not found: copy it from your list",IF(AND(E1403&lt;&gt;"",COUNTIFS(DESK!$F$2:$F$601,C1403,DESK!$B$2:$B$601,E1403)=0),"Company is not one of theirs","OK"))))))</f>
        <v/>
      </c>
    </row>
    <row r="1404" spans="1:10"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time",IF(D1404="NO_SLOTS",IF(COUNTIF(PARTNERS!$A$2:$A$88,E1404)=0,"Write the company in column E","OK"),IF(C1404="","Missing phone",IF(COUNTIF(DESK!$F$2:$F$601,C1404)=0,"Phone not found: copy it from your list",IF(AND(E1404&lt;&gt;"",COUNTIFS(DESK!$F$2:$F$601,C1404,DESK!$B$2:$B$601,E1404)=0),"Company is not one of theirs","OK"))))))</f>
        <v/>
      </c>
    </row>
    <row r="1405" spans="1:10"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time",IF(D1405="NO_SLOTS",IF(COUNTIF(PARTNERS!$A$2:$A$88,E1405)=0,"Write the company in column E","OK"),IF(C1405="","Missing phone",IF(COUNTIF(DESK!$F$2:$F$601,C1405)=0,"Phone not found: copy it from your list",IF(AND(E1405&lt;&gt;"",COUNTIFS(DESK!$F$2:$F$601,C1405,DESK!$B$2:$B$601,E1405)=0),"Company is not one of theirs","OK"))))))</f>
        <v/>
      </c>
    </row>
    <row r="1406" spans="1:10"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time",IF(D1406="NO_SLOTS",IF(COUNTIF(PARTNERS!$A$2:$A$88,E1406)=0,"Write the company in column E","OK"),IF(C1406="","Missing phone",IF(COUNTIF(DESK!$F$2:$F$601,C1406)=0,"Phone not found: copy it from your list",IF(AND(E1406&lt;&gt;"",COUNTIFS(DESK!$F$2:$F$601,C1406,DESK!$B$2:$B$601,E1406)=0),"Company is not one of theirs","OK"))))))</f>
        <v/>
      </c>
    </row>
    <row r="1407" spans="1:10"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time",IF(D1407="NO_SLOTS",IF(COUNTIF(PARTNERS!$A$2:$A$88,E1407)=0,"Write the company in column E","OK"),IF(C1407="","Missing phone",IF(COUNTIF(DESK!$F$2:$F$601,C1407)=0,"Phone not found: copy it from your list",IF(AND(E1407&lt;&gt;"",COUNTIFS(DESK!$F$2:$F$601,C1407,DESK!$B$2:$B$601,E1407)=0),"Company is not one of theirs","OK"))))))</f>
        <v/>
      </c>
    </row>
    <row r="1408" spans="1:10"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time",IF(D1408="NO_SLOTS",IF(COUNTIF(PARTNERS!$A$2:$A$88,E1408)=0,"Write the company in column E","OK"),IF(C1408="","Missing phone",IF(COUNTIF(DESK!$F$2:$F$601,C1408)=0,"Phone not found: copy it from your list",IF(AND(E1408&lt;&gt;"",COUNTIFS(DESK!$F$2:$F$601,C1408,DESK!$B$2:$B$601,E1408)=0),"Company is not one of theirs","OK"))))))</f>
        <v/>
      </c>
    </row>
    <row r="1409" spans="1:10"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time",IF(D1409="NO_SLOTS",IF(COUNTIF(PARTNERS!$A$2:$A$88,E1409)=0,"Write the company in column E","OK"),IF(C1409="","Missing phone",IF(COUNTIF(DESK!$F$2:$F$601,C1409)=0,"Phone not found: copy it from your list",IF(AND(E1409&lt;&gt;"",COUNTIFS(DESK!$F$2:$F$601,C1409,DESK!$B$2:$B$601,E1409)=0),"Company is not one of theirs","OK"))))))</f>
        <v/>
      </c>
    </row>
    <row r="1410" spans="1:10"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time",IF(D1410="NO_SLOTS",IF(COUNTIF(PARTNERS!$A$2:$A$88,E1410)=0,"Write the company in column E","OK"),IF(C1410="","Missing phone",IF(COUNTIF(DESK!$F$2:$F$601,C1410)=0,"Phone not found: copy it from your list",IF(AND(E1410&lt;&gt;"",COUNTIFS(DESK!$F$2:$F$601,C1410,DESK!$B$2:$B$601,E1410)=0),"Company is not one of theirs","OK"))))))</f>
        <v/>
      </c>
    </row>
    <row r="1411" spans="1:10"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time",IF(D1411="NO_SLOTS",IF(COUNTIF(PARTNERS!$A$2:$A$88,E1411)=0,"Write the company in column E","OK"),IF(C1411="","Missing phone",IF(COUNTIF(DESK!$F$2:$F$601,C1411)=0,"Phone not found: copy it from your list",IF(AND(E1411&lt;&gt;"",COUNTIFS(DESK!$F$2:$F$601,C1411,DESK!$B$2:$B$601,E1411)=0),"Company is not one of theirs","OK"))))))</f>
        <v/>
      </c>
    </row>
    <row r="1412" spans="1:10"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time",IF(D1412="NO_SLOTS",IF(COUNTIF(PARTNERS!$A$2:$A$88,E1412)=0,"Write the company in column E","OK"),IF(C1412="","Missing phone",IF(COUNTIF(DESK!$F$2:$F$601,C1412)=0,"Phone not found: copy it from your list",IF(AND(E1412&lt;&gt;"",COUNTIFS(DESK!$F$2:$F$601,C1412,DESK!$B$2:$B$601,E1412)=0),"Company is not one of theirs","OK"))))))</f>
        <v/>
      </c>
    </row>
    <row r="1413" spans="1:10"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time",IF(D1413="NO_SLOTS",IF(COUNTIF(PARTNERS!$A$2:$A$88,E1413)=0,"Write the company in column E","OK"),IF(C1413="","Missing phone",IF(COUNTIF(DESK!$F$2:$F$601,C1413)=0,"Phone not found: copy it from your list",IF(AND(E1413&lt;&gt;"",COUNTIFS(DESK!$F$2:$F$601,C1413,DESK!$B$2:$B$601,E1413)=0),"Company is not one of theirs","OK"))))))</f>
        <v/>
      </c>
    </row>
    <row r="1414" spans="1:10"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time",IF(D1414="NO_SLOTS",IF(COUNTIF(PARTNERS!$A$2:$A$88,E1414)=0,"Write the company in column E","OK"),IF(C1414="","Missing phone",IF(COUNTIF(DESK!$F$2:$F$601,C1414)=0,"Phone not found: copy it from your list",IF(AND(E1414&lt;&gt;"",COUNTIFS(DESK!$F$2:$F$601,C1414,DESK!$B$2:$B$601,E1414)=0),"Company is not one of theirs","OK"))))))</f>
        <v/>
      </c>
    </row>
    <row r="1415" spans="1:10"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time",IF(D1415="NO_SLOTS",IF(COUNTIF(PARTNERS!$A$2:$A$88,E1415)=0,"Write the company in column E","OK"),IF(C1415="","Missing phone",IF(COUNTIF(DESK!$F$2:$F$601,C1415)=0,"Phone not found: copy it from your list",IF(AND(E1415&lt;&gt;"",COUNTIFS(DESK!$F$2:$F$601,C1415,DESK!$B$2:$B$601,E1415)=0),"Company is not one of theirs","OK"))))))</f>
        <v/>
      </c>
    </row>
    <row r="1416" spans="1:10"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time",IF(D1416="NO_SLOTS",IF(COUNTIF(PARTNERS!$A$2:$A$88,E1416)=0,"Write the company in column E","OK"),IF(C1416="","Missing phone",IF(COUNTIF(DESK!$F$2:$F$601,C1416)=0,"Phone not found: copy it from your list",IF(AND(E1416&lt;&gt;"",COUNTIFS(DESK!$F$2:$F$601,C1416,DESK!$B$2:$B$601,E1416)=0),"Company is not one of theirs","OK"))))))</f>
        <v/>
      </c>
    </row>
    <row r="1417" spans="1:10"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time",IF(D1417="NO_SLOTS",IF(COUNTIF(PARTNERS!$A$2:$A$88,E1417)=0,"Write the company in column E","OK"),IF(C1417="","Missing phone",IF(COUNTIF(DESK!$F$2:$F$601,C1417)=0,"Phone not found: copy it from your list",IF(AND(E1417&lt;&gt;"",COUNTIFS(DESK!$F$2:$F$601,C1417,DESK!$B$2:$B$601,E1417)=0),"Company is not one of theirs","OK"))))))</f>
        <v/>
      </c>
    </row>
    <row r="1418" spans="1:10"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time",IF(D1418="NO_SLOTS",IF(COUNTIF(PARTNERS!$A$2:$A$88,E1418)=0,"Write the company in column E","OK"),IF(C1418="","Missing phone",IF(COUNTIF(DESK!$F$2:$F$601,C1418)=0,"Phone not found: copy it from your list",IF(AND(E1418&lt;&gt;"",COUNTIFS(DESK!$F$2:$F$601,C1418,DESK!$B$2:$B$601,E1418)=0),"Company is not one of theirs","OK"))))))</f>
        <v/>
      </c>
    </row>
    <row r="1419" spans="1:10"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time",IF(D1419="NO_SLOTS",IF(COUNTIF(PARTNERS!$A$2:$A$88,E1419)=0,"Write the company in column E","OK"),IF(C1419="","Missing phone",IF(COUNTIF(DESK!$F$2:$F$601,C1419)=0,"Phone not found: copy it from your list",IF(AND(E1419&lt;&gt;"",COUNTIFS(DESK!$F$2:$F$601,C1419,DESK!$B$2:$B$601,E1419)=0),"Company is not one of theirs","OK"))))))</f>
        <v/>
      </c>
    </row>
    <row r="1420" spans="1:10"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time",IF(D1420="NO_SLOTS",IF(COUNTIF(PARTNERS!$A$2:$A$88,E1420)=0,"Write the company in column E","OK"),IF(C1420="","Missing phone",IF(COUNTIF(DESK!$F$2:$F$601,C1420)=0,"Phone not found: copy it from your list",IF(AND(E1420&lt;&gt;"",COUNTIFS(DESK!$F$2:$F$601,C1420,DESK!$B$2:$B$601,E1420)=0),"Company is not one of theirs","OK"))))))</f>
        <v/>
      </c>
    </row>
    <row r="1421" spans="1:10"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time",IF(D1421="NO_SLOTS",IF(COUNTIF(PARTNERS!$A$2:$A$88,E1421)=0,"Write the company in column E","OK"),IF(C1421="","Missing phone",IF(COUNTIF(DESK!$F$2:$F$601,C1421)=0,"Phone not found: copy it from your list",IF(AND(E1421&lt;&gt;"",COUNTIFS(DESK!$F$2:$F$601,C1421,DESK!$B$2:$B$601,E1421)=0),"Company is not one of theirs","OK"))))))</f>
        <v/>
      </c>
    </row>
    <row r="1422" spans="1:10"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time",IF(D1422="NO_SLOTS",IF(COUNTIF(PARTNERS!$A$2:$A$88,E1422)=0,"Write the company in column E","OK"),IF(C1422="","Missing phone",IF(COUNTIF(DESK!$F$2:$F$601,C1422)=0,"Phone not found: copy it from your list",IF(AND(E1422&lt;&gt;"",COUNTIFS(DESK!$F$2:$F$601,C1422,DESK!$B$2:$B$601,E1422)=0),"Company is not one of theirs","OK"))))))</f>
        <v/>
      </c>
    </row>
    <row r="1423" spans="1:10"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time",IF(D1423="NO_SLOTS",IF(COUNTIF(PARTNERS!$A$2:$A$88,E1423)=0,"Write the company in column E","OK"),IF(C1423="","Missing phone",IF(COUNTIF(DESK!$F$2:$F$601,C1423)=0,"Phone not found: copy it from your list",IF(AND(E1423&lt;&gt;"",COUNTIFS(DESK!$F$2:$F$601,C1423,DESK!$B$2:$B$601,E1423)=0),"Company is not one of theirs","OK"))))))</f>
        <v/>
      </c>
    </row>
    <row r="1424" spans="1:10"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time",IF(D1424="NO_SLOTS",IF(COUNTIF(PARTNERS!$A$2:$A$88,E1424)=0,"Write the company in column E","OK"),IF(C1424="","Missing phone",IF(COUNTIF(DESK!$F$2:$F$601,C1424)=0,"Phone not found: copy it from your list",IF(AND(E1424&lt;&gt;"",COUNTIFS(DESK!$F$2:$F$601,C1424,DESK!$B$2:$B$601,E1424)=0),"Company is not one of theirs","OK"))))))</f>
        <v/>
      </c>
    </row>
    <row r="1425" spans="1:10"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time",IF(D1425="NO_SLOTS",IF(COUNTIF(PARTNERS!$A$2:$A$88,E1425)=0,"Write the company in column E","OK"),IF(C1425="","Missing phone",IF(COUNTIF(DESK!$F$2:$F$601,C1425)=0,"Phone not found: copy it from your list",IF(AND(E1425&lt;&gt;"",COUNTIFS(DESK!$F$2:$F$601,C1425,DESK!$B$2:$B$601,E1425)=0),"Company is not one of theirs","OK"))))))</f>
        <v/>
      </c>
    </row>
    <row r="1426" spans="1:10"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time",IF(D1426="NO_SLOTS",IF(COUNTIF(PARTNERS!$A$2:$A$88,E1426)=0,"Write the company in column E","OK"),IF(C1426="","Missing phone",IF(COUNTIF(DESK!$F$2:$F$601,C1426)=0,"Phone not found: copy it from your list",IF(AND(E1426&lt;&gt;"",COUNTIFS(DESK!$F$2:$F$601,C1426,DESK!$B$2:$B$601,E1426)=0),"Company is not one of theirs","OK"))))))</f>
        <v/>
      </c>
    </row>
    <row r="1427" spans="1:10"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time",IF(D1427="NO_SLOTS",IF(COUNTIF(PARTNERS!$A$2:$A$88,E1427)=0,"Write the company in column E","OK"),IF(C1427="","Missing phone",IF(COUNTIF(DESK!$F$2:$F$601,C1427)=0,"Phone not found: copy it from your list",IF(AND(E1427&lt;&gt;"",COUNTIFS(DESK!$F$2:$F$601,C1427,DESK!$B$2:$B$601,E1427)=0),"Company is not one of theirs","OK"))))))</f>
        <v/>
      </c>
    </row>
    <row r="1428" spans="1:10"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time",IF(D1428="NO_SLOTS",IF(COUNTIF(PARTNERS!$A$2:$A$88,E1428)=0,"Write the company in column E","OK"),IF(C1428="","Missing phone",IF(COUNTIF(DESK!$F$2:$F$601,C1428)=0,"Phone not found: copy it from your list",IF(AND(E1428&lt;&gt;"",COUNTIFS(DESK!$F$2:$F$601,C1428,DESK!$B$2:$B$601,E1428)=0),"Company is not one of theirs","OK"))))))</f>
        <v/>
      </c>
    </row>
    <row r="1429" spans="1:10"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time",IF(D1429="NO_SLOTS",IF(COUNTIF(PARTNERS!$A$2:$A$88,E1429)=0,"Write the company in column E","OK"),IF(C1429="","Missing phone",IF(COUNTIF(DESK!$F$2:$F$601,C1429)=0,"Phone not found: copy it from your list",IF(AND(E1429&lt;&gt;"",COUNTIFS(DESK!$F$2:$F$601,C1429,DESK!$B$2:$B$601,E1429)=0),"Company is not one of theirs","OK"))))))</f>
        <v/>
      </c>
    </row>
    <row r="1430" spans="1:10"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time",IF(D1430="NO_SLOTS",IF(COUNTIF(PARTNERS!$A$2:$A$88,E1430)=0,"Write the company in column E","OK"),IF(C1430="","Missing phone",IF(COUNTIF(DESK!$F$2:$F$601,C1430)=0,"Phone not found: copy it from your list",IF(AND(E1430&lt;&gt;"",COUNTIFS(DESK!$F$2:$F$601,C1430,DESK!$B$2:$B$601,E1430)=0),"Company is not one of theirs","OK"))))))</f>
        <v/>
      </c>
    </row>
    <row r="1431" spans="1:10"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time",IF(D1431="NO_SLOTS",IF(COUNTIF(PARTNERS!$A$2:$A$88,E1431)=0,"Write the company in column E","OK"),IF(C1431="","Missing phone",IF(COUNTIF(DESK!$F$2:$F$601,C1431)=0,"Phone not found: copy it from your list",IF(AND(E1431&lt;&gt;"",COUNTIFS(DESK!$F$2:$F$601,C1431,DESK!$B$2:$B$601,E1431)=0),"Company is not one of theirs","OK"))))))</f>
        <v/>
      </c>
    </row>
    <row r="1432" spans="1:10"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time",IF(D1432="NO_SLOTS",IF(COUNTIF(PARTNERS!$A$2:$A$88,E1432)=0,"Write the company in column E","OK"),IF(C1432="","Missing phone",IF(COUNTIF(DESK!$F$2:$F$601,C1432)=0,"Phone not found: copy it from your list",IF(AND(E1432&lt;&gt;"",COUNTIFS(DESK!$F$2:$F$601,C1432,DESK!$B$2:$B$601,E1432)=0),"Company is not one of theirs","OK"))))))</f>
        <v/>
      </c>
    </row>
    <row r="1433" spans="1:10"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time",IF(D1433="NO_SLOTS",IF(COUNTIF(PARTNERS!$A$2:$A$88,E1433)=0,"Write the company in column E","OK"),IF(C1433="","Missing phone",IF(COUNTIF(DESK!$F$2:$F$601,C1433)=0,"Phone not found: copy it from your list",IF(AND(E1433&lt;&gt;"",COUNTIFS(DESK!$F$2:$F$601,C1433,DESK!$B$2:$B$601,E1433)=0),"Company is not one of theirs","OK"))))))</f>
        <v/>
      </c>
    </row>
    <row r="1434" spans="1:10"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time",IF(D1434="NO_SLOTS",IF(COUNTIF(PARTNERS!$A$2:$A$88,E1434)=0,"Write the company in column E","OK"),IF(C1434="","Missing phone",IF(COUNTIF(DESK!$F$2:$F$601,C1434)=0,"Phone not found: copy it from your list",IF(AND(E1434&lt;&gt;"",COUNTIFS(DESK!$F$2:$F$601,C1434,DESK!$B$2:$B$601,E1434)=0),"Company is not one of theirs","OK"))))))</f>
        <v/>
      </c>
    </row>
    <row r="1435" spans="1:10"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time",IF(D1435="NO_SLOTS",IF(COUNTIF(PARTNERS!$A$2:$A$88,E1435)=0,"Write the company in column E","OK"),IF(C1435="","Missing phone",IF(COUNTIF(DESK!$F$2:$F$601,C1435)=0,"Phone not found: copy it from your list",IF(AND(E1435&lt;&gt;"",COUNTIFS(DESK!$F$2:$F$601,C1435,DESK!$B$2:$B$601,E1435)=0),"Company is not one of theirs","OK"))))))</f>
        <v/>
      </c>
    </row>
    <row r="1436" spans="1:10"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time",IF(D1436="NO_SLOTS",IF(COUNTIF(PARTNERS!$A$2:$A$88,E1436)=0,"Write the company in column E","OK"),IF(C1436="","Missing phone",IF(COUNTIF(DESK!$F$2:$F$601,C1436)=0,"Phone not found: copy it from your list",IF(AND(E1436&lt;&gt;"",COUNTIFS(DESK!$F$2:$F$601,C1436,DESK!$B$2:$B$601,E1436)=0),"Company is not one of theirs","OK"))))))</f>
        <v/>
      </c>
    </row>
    <row r="1437" spans="1:10"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time",IF(D1437="NO_SLOTS",IF(COUNTIF(PARTNERS!$A$2:$A$88,E1437)=0,"Write the company in column E","OK"),IF(C1437="","Missing phone",IF(COUNTIF(DESK!$F$2:$F$601,C1437)=0,"Phone not found: copy it from your list",IF(AND(E1437&lt;&gt;"",COUNTIFS(DESK!$F$2:$F$601,C1437,DESK!$B$2:$B$601,E1437)=0),"Company is not one of theirs","OK"))))))</f>
        <v/>
      </c>
    </row>
    <row r="1438" spans="1:10"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time",IF(D1438="NO_SLOTS",IF(COUNTIF(PARTNERS!$A$2:$A$88,E1438)=0,"Write the company in column E","OK"),IF(C1438="","Missing phone",IF(COUNTIF(DESK!$F$2:$F$601,C1438)=0,"Phone not found: copy it from your list",IF(AND(E1438&lt;&gt;"",COUNTIFS(DESK!$F$2:$F$601,C1438,DESK!$B$2:$B$601,E1438)=0),"Company is not one of theirs","OK"))))))</f>
        <v/>
      </c>
    </row>
    <row r="1439" spans="1:10"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time",IF(D1439="NO_SLOTS",IF(COUNTIF(PARTNERS!$A$2:$A$88,E1439)=0,"Write the company in column E","OK"),IF(C1439="","Missing phone",IF(COUNTIF(DESK!$F$2:$F$601,C1439)=0,"Phone not found: copy it from your list",IF(AND(E1439&lt;&gt;"",COUNTIFS(DESK!$F$2:$F$601,C1439,DESK!$B$2:$B$601,E1439)=0),"Company is not one of theirs","OK"))))))</f>
        <v/>
      </c>
    </row>
    <row r="1440" spans="1:10"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time",IF(D1440="NO_SLOTS",IF(COUNTIF(PARTNERS!$A$2:$A$88,E1440)=0,"Write the company in column E","OK"),IF(C1440="","Missing phone",IF(COUNTIF(DESK!$F$2:$F$601,C1440)=0,"Phone not found: copy it from your list",IF(AND(E1440&lt;&gt;"",COUNTIFS(DESK!$F$2:$F$601,C1440,DESK!$B$2:$B$601,E1440)=0),"Company is not one of theirs","OK"))))))</f>
        <v/>
      </c>
    </row>
    <row r="1441" spans="1:10"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time",IF(D1441="NO_SLOTS",IF(COUNTIF(PARTNERS!$A$2:$A$88,E1441)=0,"Write the company in column E","OK"),IF(C1441="","Missing phone",IF(COUNTIF(DESK!$F$2:$F$601,C1441)=0,"Phone not found: copy it from your list",IF(AND(E1441&lt;&gt;"",COUNTIFS(DESK!$F$2:$F$601,C1441,DESK!$B$2:$B$601,E1441)=0),"Company is not one of theirs","OK"))))))</f>
        <v/>
      </c>
    </row>
    <row r="1442" spans="1:10"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time",IF(D1442="NO_SLOTS",IF(COUNTIF(PARTNERS!$A$2:$A$88,E1442)=0,"Write the company in column E","OK"),IF(C1442="","Missing phone",IF(COUNTIF(DESK!$F$2:$F$601,C1442)=0,"Phone not found: copy it from your list",IF(AND(E1442&lt;&gt;"",COUNTIFS(DESK!$F$2:$F$601,C1442,DESK!$B$2:$B$601,E1442)=0),"Company is not one of theirs","OK"))))))</f>
        <v/>
      </c>
    </row>
    <row r="1443" spans="1:10"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time",IF(D1443="NO_SLOTS",IF(COUNTIF(PARTNERS!$A$2:$A$88,E1443)=0,"Write the company in column E","OK"),IF(C1443="","Missing phone",IF(COUNTIF(DESK!$F$2:$F$601,C1443)=0,"Phone not found: copy it from your list",IF(AND(E1443&lt;&gt;"",COUNTIFS(DESK!$F$2:$F$601,C1443,DESK!$B$2:$B$601,E1443)=0),"Company is not one of theirs","OK"))))))</f>
        <v/>
      </c>
    </row>
    <row r="1444" spans="1:10"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time",IF(D1444="NO_SLOTS",IF(COUNTIF(PARTNERS!$A$2:$A$88,E1444)=0,"Write the company in column E","OK"),IF(C1444="","Missing phone",IF(COUNTIF(DESK!$F$2:$F$601,C1444)=0,"Phone not found: copy it from your list",IF(AND(E1444&lt;&gt;"",COUNTIFS(DESK!$F$2:$F$601,C1444,DESK!$B$2:$B$601,E1444)=0),"Company is not one of theirs","OK"))))))</f>
        <v/>
      </c>
    </row>
    <row r="1445" spans="1:10"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time",IF(D1445="NO_SLOTS",IF(COUNTIF(PARTNERS!$A$2:$A$88,E1445)=0,"Write the company in column E","OK"),IF(C1445="","Missing phone",IF(COUNTIF(DESK!$F$2:$F$601,C1445)=0,"Phone not found: copy it from your list",IF(AND(E1445&lt;&gt;"",COUNTIFS(DESK!$F$2:$F$601,C1445,DESK!$B$2:$B$601,E1445)=0),"Company is not one of theirs","OK"))))))</f>
        <v/>
      </c>
    </row>
    <row r="1446" spans="1:10"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time",IF(D1446="NO_SLOTS",IF(COUNTIF(PARTNERS!$A$2:$A$88,E1446)=0,"Write the company in column E","OK"),IF(C1446="","Missing phone",IF(COUNTIF(DESK!$F$2:$F$601,C1446)=0,"Phone not found: copy it from your list",IF(AND(E1446&lt;&gt;"",COUNTIFS(DESK!$F$2:$F$601,C1446,DESK!$B$2:$B$601,E1446)=0),"Company is not one of theirs","OK"))))))</f>
        <v/>
      </c>
    </row>
    <row r="1447" spans="1:10"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time",IF(D1447="NO_SLOTS",IF(COUNTIF(PARTNERS!$A$2:$A$88,E1447)=0,"Write the company in column E","OK"),IF(C1447="","Missing phone",IF(COUNTIF(DESK!$F$2:$F$601,C1447)=0,"Phone not found: copy it from your list",IF(AND(E1447&lt;&gt;"",COUNTIFS(DESK!$F$2:$F$601,C1447,DESK!$B$2:$B$601,E1447)=0),"Company is not one of theirs","OK"))))))</f>
        <v/>
      </c>
    </row>
    <row r="1448" spans="1:10"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time",IF(D1448="NO_SLOTS",IF(COUNTIF(PARTNERS!$A$2:$A$88,E1448)=0,"Write the company in column E","OK"),IF(C1448="","Missing phone",IF(COUNTIF(DESK!$F$2:$F$601,C1448)=0,"Phone not found: copy it from your list",IF(AND(E1448&lt;&gt;"",COUNTIFS(DESK!$F$2:$F$601,C1448,DESK!$B$2:$B$601,E1448)=0),"Company is not one of theirs","OK"))))))</f>
        <v/>
      </c>
    </row>
    <row r="1449" spans="1:10"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time",IF(D1449="NO_SLOTS",IF(COUNTIF(PARTNERS!$A$2:$A$88,E1449)=0,"Write the company in column E","OK"),IF(C1449="","Missing phone",IF(COUNTIF(DESK!$F$2:$F$601,C1449)=0,"Phone not found: copy it from your list",IF(AND(E1449&lt;&gt;"",COUNTIFS(DESK!$F$2:$F$601,C1449,DESK!$B$2:$B$601,E1449)=0),"Company is not one of theirs","OK"))))))</f>
        <v/>
      </c>
    </row>
    <row r="1450" spans="1:10"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time",IF(D1450="NO_SLOTS",IF(COUNTIF(PARTNERS!$A$2:$A$88,E1450)=0,"Write the company in column E","OK"),IF(C1450="","Missing phone",IF(COUNTIF(DESK!$F$2:$F$601,C1450)=0,"Phone not found: copy it from your list",IF(AND(E1450&lt;&gt;"",COUNTIFS(DESK!$F$2:$F$601,C1450,DESK!$B$2:$B$601,E1450)=0),"Company is not one of theirs","OK"))))))</f>
        <v/>
      </c>
    </row>
    <row r="1451" spans="1:10"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time",IF(D1451="NO_SLOTS",IF(COUNTIF(PARTNERS!$A$2:$A$88,E1451)=0,"Write the company in column E","OK"),IF(C1451="","Missing phone",IF(COUNTIF(DESK!$F$2:$F$601,C1451)=0,"Phone not found: copy it from your list",IF(AND(E1451&lt;&gt;"",COUNTIFS(DESK!$F$2:$F$601,C1451,DESK!$B$2:$B$601,E1451)=0),"Company is not one of theirs","OK"))))))</f>
        <v/>
      </c>
    </row>
    <row r="1452" spans="1:10"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time",IF(D1452="NO_SLOTS",IF(COUNTIF(PARTNERS!$A$2:$A$88,E1452)=0,"Write the company in column E","OK"),IF(C1452="","Missing phone",IF(COUNTIF(DESK!$F$2:$F$601,C1452)=0,"Phone not found: copy it from your list",IF(AND(E1452&lt;&gt;"",COUNTIFS(DESK!$F$2:$F$601,C1452,DESK!$B$2:$B$601,E1452)=0),"Company is not one of theirs","OK"))))))</f>
        <v/>
      </c>
    </row>
    <row r="1453" spans="1:10"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time",IF(D1453="NO_SLOTS",IF(COUNTIF(PARTNERS!$A$2:$A$88,E1453)=0,"Write the company in column E","OK"),IF(C1453="","Missing phone",IF(COUNTIF(DESK!$F$2:$F$601,C1453)=0,"Phone not found: copy it from your list",IF(AND(E1453&lt;&gt;"",COUNTIFS(DESK!$F$2:$F$601,C1453,DESK!$B$2:$B$601,E1453)=0),"Company is not one of theirs","OK"))))))</f>
        <v/>
      </c>
    </row>
    <row r="1454" spans="1:10"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time",IF(D1454="NO_SLOTS",IF(COUNTIF(PARTNERS!$A$2:$A$88,E1454)=0,"Write the company in column E","OK"),IF(C1454="","Missing phone",IF(COUNTIF(DESK!$F$2:$F$601,C1454)=0,"Phone not found: copy it from your list",IF(AND(E1454&lt;&gt;"",COUNTIFS(DESK!$F$2:$F$601,C1454,DESK!$B$2:$B$601,E1454)=0),"Company is not one of theirs","OK"))))))</f>
        <v/>
      </c>
    </row>
    <row r="1455" spans="1:10"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time",IF(D1455="NO_SLOTS",IF(COUNTIF(PARTNERS!$A$2:$A$88,E1455)=0,"Write the company in column E","OK"),IF(C1455="","Missing phone",IF(COUNTIF(DESK!$F$2:$F$601,C1455)=0,"Phone not found: copy it from your list",IF(AND(E1455&lt;&gt;"",COUNTIFS(DESK!$F$2:$F$601,C1455,DESK!$B$2:$B$601,E1455)=0),"Company is not one of theirs","OK"))))))</f>
        <v/>
      </c>
    </row>
    <row r="1456" spans="1:10"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time",IF(D1456="NO_SLOTS",IF(COUNTIF(PARTNERS!$A$2:$A$88,E1456)=0,"Write the company in column E","OK"),IF(C1456="","Missing phone",IF(COUNTIF(DESK!$F$2:$F$601,C1456)=0,"Phone not found: copy it from your list",IF(AND(E1456&lt;&gt;"",COUNTIFS(DESK!$F$2:$F$601,C1456,DESK!$B$2:$B$601,E1456)=0),"Company is not one of theirs","OK"))))))</f>
        <v/>
      </c>
    </row>
    <row r="1457" spans="1:10"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time",IF(D1457="NO_SLOTS",IF(COUNTIF(PARTNERS!$A$2:$A$88,E1457)=0,"Write the company in column E","OK"),IF(C1457="","Missing phone",IF(COUNTIF(DESK!$F$2:$F$601,C1457)=0,"Phone not found: copy it from your list",IF(AND(E1457&lt;&gt;"",COUNTIFS(DESK!$F$2:$F$601,C1457,DESK!$B$2:$B$601,E1457)=0),"Company is not one of theirs","OK"))))))</f>
        <v/>
      </c>
    </row>
    <row r="1458" spans="1:10"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time",IF(D1458="NO_SLOTS",IF(COUNTIF(PARTNERS!$A$2:$A$88,E1458)=0,"Write the company in column E","OK"),IF(C1458="","Missing phone",IF(COUNTIF(DESK!$F$2:$F$601,C1458)=0,"Phone not found: copy it from your list",IF(AND(E1458&lt;&gt;"",COUNTIFS(DESK!$F$2:$F$601,C1458,DESK!$B$2:$B$601,E1458)=0),"Company is not one of theirs","OK"))))))</f>
        <v/>
      </c>
    </row>
    <row r="1459" spans="1:10"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time",IF(D1459="NO_SLOTS",IF(COUNTIF(PARTNERS!$A$2:$A$88,E1459)=0,"Write the company in column E","OK"),IF(C1459="","Missing phone",IF(COUNTIF(DESK!$F$2:$F$601,C1459)=0,"Phone not found: copy it from your list",IF(AND(E1459&lt;&gt;"",COUNTIFS(DESK!$F$2:$F$601,C1459,DESK!$B$2:$B$601,E1459)=0),"Company is not one of theirs","OK"))))))</f>
        <v/>
      </c>
    </row>
    <row r="1460" spans="1:10"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time",IF(D1460="NO_SLOTS",IF(COUNTIF(PARTNERS!$A$2:$A$88,E1460)=0,"Write the company in column E","OK"),IF(C1460="","Missing phone",IF(COUNTIF(DESK!$F$2:$F$601,C1460)=0,"Phone not found: copy it from your list",IF(AND(E1460&lt;&gt;"",COUNTIFS(DESK!$F$2:$F$601,C1460,DESK!$B$2:$B$601,E1460)=0),"Company is not one of theirs","OK"))))))</f>
        <v/>
      </c>
    </row>
    <row r="1461" spans="1:10"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time",IF(D1461="NO_SLOTS",IF(COUNTIF(PARTNERS!$A$2:$A$88,E1461)=0,"Write the company in column E","OK"),IF(C1461="","Missing phone",IF(COUNTIF(DESK!$F$2:$F$601,C1461)=0,"Phone not found: copy it from your list",IF(AND(E1461&lt;&gt;"",COUNTIFS(DESK!$F$2:$F$601,C1461,DESK!$B$2:$B$601,E1461)=0),"Company is not one of theirs","OK"))))))</f>
        <v/>
      </c>
    </row>
    <row r="1462" spans="1:10"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time",IF(D1462="NO_SLOTS",IF(COUNTIF(PARTNERS!$A$2:$A$88,E1462)=0,"Write the company in column E","OK"),IF(C1462="","Missing phone",IF(COUNTIF(DESK!$F$2:$F$601,C1462)=0,"Phone not found: copy it from your list",IF(AND(E1462&lt;&gt;"",COUNTIFS(DESK!$F$2:$F$601,C1462,DESK!$B$2:$B$601,E1462)=0),"Company is not one of theirs","OK"))))))</f>
        <v/>
      </c>
    </row>
    <row r="1463" spans="1:10"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time",IF(D1463="NO_SLOTS",IF(COUNTIF(PARTNERS!$A$2:$A$88,E1463)=0,"Write the company in column E","OK"),IF(C1463="","Missing phone",IF(COUNTIF(DESK!$F$2:$F$601,C1463)=0,"Phone not found: copy it from your list",IF(AND(E1463&lt;&gt;"",COUNTIFS(DESK!$F$2:$F$601,C1463,DESK!$B$2:$B$601,E1463)=0),"Company is not one of theirs","OK"))))))</f>
        <v/>
      </c>
    </row>
    <row r="1464" spans="1:10"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time",IF(D1464="NO_SLOTS",IF(COUNTIF(PARTNERS!$A$2:$A$88,E1464)=0,"Write the company in column E","OK"),IF(C1464="","Missing phone",IF(COUNTIF(DESK!$F$2:$F$601,C1464)=0,"Phone not found: copy it from your list",IF(AND(E1464&lt;&gt;"",COUNTIFS(DESK!$F$2:$F$601,C1464,DESK!$B$2:$B$601,E1464)=0),"Company is not one of theirs","OK"))))))</f>
        <v/>
      </c>
    </row>
    <row r="1465" spans="1:10"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time",IF(D1465="NO_SLOTS",IF(COUNTIF(PARTNERS!$A$2:$A$88,E1465)=0,"Write the company in column E","OK"),IF(C1465="","Missing phone",IF(COUNTIF(DESK!$F$2:$F$601,C1465)=0,"Phone not found: copy it from your list",IF(AND(E1465&lt;&gt;"",COUNTIFS(DESK!$F$2:$F$601,C1465,DESK!$B$2:$B$601,E1465)=0),"Company is not one of theirs","OK"))))))</f>
        <v/>
      </c>
    </row>
    <row r="1466" spans="1:10"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time",IF(D1466="NO_SLOTS",IF(COUNTIF(PARTNERS!$A$2:$A$88,E1466)=0,"Write the company in column E","OK"),IF(C1466="","Missing phone",IF(COUNTIF(DESK!$F$2:$F$601,C1466)=0,"Phone not found: copy it from your list",IF(AND(E1466&lt;&gt;"",COUNTIFS(DESK!$F$2:$F$601,C1466,DESK!$B$2:$B$601,E1466)=0),"Company is not one of theirs","OK"))))))</f>
        <v/>
      </c>
    </row>
    <row r="1467" spans="1:10"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time",IF(D1467="NO_SLOTS",IF(COUNTIF(PARTNERS!$A$2:$A$88,E1467)=0,"Write the company in column E","OK"),IF(C1467="","Missing phone",IF(COUNTIF(DESK!$F$2:$F$601,C1467)=0,"Phone not found: copy it from your list",IF(AND(E1467&lt;&gt;"",COUNTIFS(DESK!$F$2:$F$601,C1467,DESK!$B$2:$B$601,E1467)=0),"Company is not one of theirs","OK"))))))</f>
        <v/>
      </c>
    </row>
    <row r="1468" spans="1:10"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time",IF(D1468="NO_SLOTS",IF(COUNTIF(PARTNERS!$A$2:$A$88,E1468)=0,"Write the company in column E","OK"),IF(C1468="","Missing phone",IF(COUNTIF(DESK!$F$2:$F$601,C1468)=0,"Phone not found: copy it from your list",IF(AND(E1468&lt;&gt;"",COUNTIFS(DESK!$F$2:$F$601,C1468,DESK!$B$2:$B$601,E1468)=0),"Company is not one of theirs","OK"))))))</f>
        <v/>
      </c>
    </row>
    <row r="1469" spans="1:10"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time",IF(D1469="NO_SLOTS",IF(COUNTIF(PARTNERS!$A$2:$A$88,E1469)=0,"Write the company in column E","OK"),IF(C1469="","Missing phone",IF(COUNTIF(DESK!$F$2:$F$601,C1469)=0,"Phone not found: copy it from your list",IF(AND(E1469&lt;&gt;"",COUNTIFS(DESK!$F$2:$F$601,C1469,DESK!$B$2:$B$601,E1469)=0),"Company is not one of theirs","OK"))))))</f>
        <v/>
      </c>
    </row>
    <row r="1470" spans="1:10"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time",IF(D1470="NO_SLOTS",IF(COUNTIF(PARTNERS!$A$2:$A$88,E1470)=0,"Write the company in column E","OK"),IF(C1470="","Missing phone",IF(COUNTIF(DESK!$F$2:$F$601,C1470)=0,"Phone not found: copy it from your list",IF(AND(E1470&lt;&gt;"",COUNTIFS(DESK!$F$2:$F$601,C1470,DESK!$B$2:$B$601,E1470)=0),"Company is not one of theirs","OK"))))))</f>
        <v/>
      </c>
    </row>
    <row r="1471" spans="1:10"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time",IF(D1471="NO_SLOTS",IF(COUNTIF(PARTNERS!$A$2:$A$88,E1471)=0,"Write the company in column E","OK"),IF(C1471="","Missing phone",IF(COUNTIF(DESK!$F$2:$F$601,C1471)=0,"Phone not found: copy it from your list",IF(AND(E1471&lt;&gt;"",COUNTIFS(DESK!$F$2:$F$601,C1471,DESK!$B$2:$B$601,E1471)=0),"Company is not one of theirs","OK"))))))</f>
        <v/>
      </c>
    </row>
    <row r="1472" spans="1:10"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time",IF(D1472="NO_SLOTS",IF(COUNTIF(PARTNERS!$A$2:$A$88,E1472)=0,"Write the company in column E","OK"),IF(C1472="","Missing phone",IF(COUNTIF(DESK!$F$2:$F$601,C1472)=0,"Phone not found: copy it from your list",IF(AND(E1472&lt;&gt;"",COUNTIFS(DESK!$F$2:$F$601,C1472,DESK!$B$2:$B$601,E1472)=0),"Company is not one of theirs","OK"))))))</f>
        <v/>
      </c>
    </row>
    <row r="1473" spans="1:10"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time",IF(D1473="NO_SLOTS",IF(COUNTIF(PARTNERS!$A$2:$A$88,E1473)=0,"Write the company in column E","OK"),IF(C1473="","Missing phone",IF(COUNTIF(DESK!$F$2:$F$601,C1473)=0,"Phone not found: copy it from your list",IF(AND(E1473&lt;&gt;"",COUNTIFS(DESK!$F$2:$F$601,C1473,DESK!$B$2:$B$601,E1473)=0),"Company is not one of theirs","OK"))))))</f>
        <v/>
      </c>
    </row>
    <row r="1474" spans="1:10"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time",IF(D1474="NO_SLOTS",IF(COUNTIF(PARTNERS!$A$2:$A$88,E1474)=0,"Write the company in column E","OK"),IF(C1474="","Missing phone",IF(COUNTIF(DESK!$F$2:$F$601,C1474)=0,"Phone not found: copy it from your list",IF(AND(E1474&lt;&gt;"",COUNTIFS(DESK!$F$2:$F$601,C1474,DESK!$B$2:$B$601,E1474)=0),"Company is not one of theirs","OK"))))))</f>
        <v/>
      </c>
    </row>
    <row r="1475" spans="1:10"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time",IF(D1475="NO_SLOTS",IF(COUNTIF(PARTNERS!$A$2:$A$88,E1475)=0,"Write the company in column E","OK"),IF(C1475="","Missing phone",IF(COUNTIF(DESK!$F$2:$F$601,C1475)=0,"Phone not found: copy it from your list",IF(AND(E1475&lt;&gt;"",COUNTIFS(DESK!$F$2:$F$601,C1475,DESK!$B$2:$B$601,E1475)=0),"Company is not one of theirs","OK"))))))</f>
        <v/>
      </c>
    </row>
    <row r="1476" spans="1:10"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time",IF(D1476="NO_SLOTS",IF(COUNTIF(PARTNERS!$A$2:$A$88,E1476)=0,"Write the company in column E","OK"),IF(C1476="","Missing phone",IF(COUNTIF(DESK!$F$2:$F$601,C1476)=0,"Phone not found: copy it from your list",IF(AND(E1476&lt;&gt;"",COUNTIFS(DESK!$F$2:$F$601,C1476,DESK!$B$2:$B$601,E1476)=0),"Company is not one of theirs","OK"))))))</f>
        <v/>
      </c>
    </row>
    <row r="1477" spans="1:10"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time",IF(D1477="NO_SLOTS",IF(COUNTIF(PARTNERS!$A$2:$A$88,E1477)=0,"Write the company in column E","OK"),IF(C1477="","Missing phone",IF(COUNTIF(DESK!$F$2:$F$601,C1477)=0,"Phone not found: copy it from your list",IF(AND(E1477&lt;&gt;"",COUNTIFS(DESK!$F$2:$F$601,C1477,DESK!$B$2:$B$601,E1477)=0),"Company is not one of theirs","OK"))))))</f>
        <v/>
      </c>
    </row>
    <row r="1478" spans="1:10"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time",IF(D1478="NO_SLOTS",IF(COUNTIF(PARTNERS!$A$2:$A$88,E1478)=0,"Write the company in column E","OK"),IF(C1478="","Missing phone",IF(COUNTIF(DESK!$F$2:$F$601,C1478)=0,"Phone not found: copy it from your list",IF(AND(E1478&lt;&gt;"",COUNTIFS(DESK!$F$2:$F$601,C1478,DESK!$B$2:$B$601,E1478)=0),"Company is not one of theirs","OK"))))))</f>
        <v/>
      </c>
    </row>
    <row r="1479" spans="1:10"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time",IF(D1479="NO_SLOTS",IF(COUNTIF(PARTNERS!$A$2:$A$88,E1479)=0,"Write the company in column E","OK"),IF(C1479="","Missing phone",IF(COUNTIF(DESK!$F$2:$F$601,C1479)=0,"Phone not found: copy it from your list",IF(AND(E1479&lt;&gt;"",COUNTIFS(DESK!$F$2:$F$601,C1479,DESK!$B$2:$B$601,E1479)=0),"Company is not one of theirs","OK"))))))</f>
        <v/>
      </c>
    </row>
    <row r="1480" spans="1:10"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time",IF(D1480="NO_SLOTS",IF(COUNTIF(PARTNERS!$A$2:$A$88,E1480)=0,"Write the company in column E","OK"),IF(C1480="","Missing phone",IF(COUNTIF(DESK!$F$2:$F$601,C1480)=0,"Phone not found: copy it from your list",IF(AND(E1480&lt;&gt;"",COUNTIFS(DESK!$F$2:$F$601,C1480,DESK!$B$2:$B$601,E1480)=0),"Company is not one of theirs","OK"))))))</f>
        <v/>
      </c>
    </row>
    <row r="1481" spans="1:10"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time",IF(D1481="NO_SLOTS",IF(COUNTIF(PARTNERS!$A$2:$A$88,E1481)=0,"Write the company in column E","OK"),IF(C1481="","Missing phone",IF(COUNTIF(DESK!$F$2:$F$601,C1481)=0,"Phone not found: copy it from your list",IF(AND(E1481&lt;&gt;"",COUNTIFS(DESK!$F$2:$F$601,C1481,DESK!$B$2:$B$601,E1481)=0),"Company is not one of theirs","OK"))))))</f>
        <v/>
      </c>
    </row>
    <row r="1482" spans="1:10"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time",IF(D1482="NO_SLOTS",IF(COUNTIF(PARTNERS!$A$2:$A$88,E1482)=0,"Write the company in column E","OK"),IF(C1482="","Missing phone",IF(COUNTIF(DESK!$F$2:$F$601,C1482)=0,"Phone not found: copy it from your list",IF(AND(E1482&lt;&gt;"",COUNTIFS(DESK!$F$2:$F$601,C1482,DESK!$B$2:$B$601,E1482)=0),"Company is not one of theirs","OK"))))))</f>
        <v/>
      </c>
    </row>
    <row r="1483" spans="1:10"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time",IF(D1483="NO_SLOTS",IF(COUNTIF(PARTNERS!$A$2:$A$88,E1483)=0,"Write the company in column E","OK"),IF(C1483="","Missing phone",IF(COUNTIF(DESK!$F$2:$F$601,C1483)=0,"Phone not found: copy it from your list",IF(AND(E1483&lt;&gt;"",COUNTIFS(DESK!$F$2:$F$601,C1483,DESK!$B$2:$B$601,E1483)=0),"Company is not one of theirs","OK"))))))</f>
        <v/>
      </c>
    </row>
    <row r="1484" spans="1:10"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time",IF(D1484="NO_SLOTS",IF(COUNTIF(PARTNERS!$A$2:$A$88,E1484)=0,"Write the company in column E","OK"),IF(C1484="","Missing phone",IF(COUNTIF(DESK!$F$2:$F$601,C1484)=0,"Phone not found: copy it from your list",IF(AND(E1484&lt;&gt;"",COUNTIFS(DESK!$F$2:$F$601,C1484,DESK!$B$2:$B$601,E1484)=0),"Company is not one of theirs","OK"))))))</f>
        <v/>
      </c>
    </row>
    <row r="1485" spans="1:10"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time",IF(D1485="NO_SLOTS",IF(COUNTIF(PARTNERS!$A$2:$A$88,E1485)=0,"Write the company in column E","OK"),IF(C1485="","Missing phone",IF(COUNTIF(DESK!$F$2:$F$601,C1485)=0,"Phone not found: copy it from your list",IF(AND(E1485&lt;&gt;"",COUNTIFS(DESK!$F$2:$F$601,C1485,DESK!$B$2:$B$601,E1485)=0),"Company is not one of theirs","OK"))))))</f>
        <v/>
      </c>
    </row>
    <row r="1486" spans="1:10"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time",IF(D1486="NO_SLOTS",IF(COUNTIF(PARTNERS!$A$2:$A$88,E1486)=0,"Write the company in column E","OK"),IF(C1486="","Missing phone",IF(COUNTIF(DESK!$F$2:$F$601,C1486)=0,"Phone not found: copy it from your list",IF(AND(E1486&lt;&gt;"",COUNTIFS(DESK!$F$2:$F$601,C1486,DESK!$B$2:$B$601,E1486)=0),"Company is not one of theirs","OK"))))))</f>
        <v/>
      </c>
    </row>
    <row r="1487" spans="1:10"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time",IF(D1487="NO_SLOTS",IF(COUNTIF(PARTNERS!$A$2:$A$88,E1487)=0,"Write the company in column E","OK"),IF(C1487="","Missing phone",IF(COUNTIF(DESK!$F$2:$F$601,C1487)=0,"Phone not found: copy it from your list",IF(AND(E1487&lt;&gt;"",COUNTIFS(DESK!$F$2:$F$601,C1487,DESK!$B$2:$B$601,E1487)=0),"Company is not one of theirs","OK"))))))</f>
        <v/>
      </c>
    </row>
    <row r="1488" spans="1:10"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time",IF(D1488="NO_SLOTS",IF(COUNTIF(PARTNERS!$A$2:$A$88,E1488)=0,"Write the company in column E","OK"),IF(C1488="","Missing phone",IF(COUNTIF(DESK!$F$2:$F$601,C1488)=0,"Phone not found: copy it from your list",IF(AND(E1488&lt;&gt;"",COUNTIFS(DESK!$F$2:$F$601,C1488,DESK!$B$2:$B$601,E1488)=0),"Company is not one of theirs","OK"))))))</f>
        <v/>
      </c>
    </row>
    <row r="1489" spans="1:10"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time",IF(D1489="NO_SLOTS",IF(COUNTIF(PARTNERS!$A$2:$A$88,E1489)=0,"Write the company in column E","OK"),IF(C1489="","Missing phone",IF(COUNTIF(DESK!$F$2:$F$601,C1489)=0,"Phone not found: copy it from your list",IF(AND(E1489&lt;&gt;"",COUNTIFS(DESK!$F$2:$F$601,C1489,DESK!$B$2:$B$601,E1489)=0),"Company is not one of theirs","OK"))))))</f>
        <v/>
      </c>
    </row>
    <row r="1490" spans="1:10"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time",IF(D1490="NO_SLOTS",IF(COUNTIF(PARTNERS!$A$2:$A$88,E1490)=0,"Write the company in column E","OK"),IF(C1490="","Missing phone",IF(COUNTIF(DESK!$F$2:$F$601,C1490)=0,"Phone not found: copy it from your list",IF(AND(E1490&lt;&gt;"",COUNTIFS(DESK!$F$2:$F$601,C1490,DESK!$B$2:$B$601,E1490)=0),"Company is not one of theirs","OK"))))))</f>
        <v/>
      </c>
    </row>
    <row r="1491" spans="1:10"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time",IF(D1491="NO_SLOTS",IF(COUNTIF(PARTNERS!$A$2:$A$88,E1491)=0,"Write the company in column E","OK"),IF(C1491="","Missing phone",IF(COUNTIF(DESK!$F$2:$F$601,C1491)=0,"Phone not found: copy it from your list",IF(AND(E1491&lt;&gt;"",COUNTIFS(DESK!$F$2:$F$601,C1491,DESK!$B$2:$B$601,E1491)=0),"Company is not one of theirs","OK"))))))</f>
        <v/>
      </c>
    </row>
    <row r="1492" spans="1:10"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time",IF(D1492="NO_SLOTS",IF(COUNTIF(PARTNERS!$A$2:$A$88,E1492)=0,"Write the company in column E","OK"),IF(C1492="","Missing phone",IF(COUNTIF(DESK!$F$2:$F$601,C1492)=0,"Phone not found: copy it from your list",IF(AND(E1492&lt;&gt;"",COUNTIFS(DESK!$F$2:$F$601,C1492,DESK!$B$2:$B$601,E1492)=0),"Company is not one of theirs","OK"))))))</f>
        <v/>
      </c>
    </row>
    <row r="1493" spans="1:10"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time",IF(D1493="NO_SLOTS",IF(COUNTIF(PARTNERS!$A$2:$A$88,E1493)=0,"Write the company in column E","OK"),IF(C1493="","Missing phone",IF(COUNTIF(DESK!$F$2:$F$601,C1493)=0,"Phone not found: copy it from your list",IF(AND(E1493&lt;&gt;"",COUNTIFS(DESK!$F$2:$F$601,C1493,DESK!$B$2:$B$601,E1493)=0),"Company is not one of theirs","OK"))))))</f>
        <v/>
      </c>
    </row>
    <row r="1494" spans="1:10"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time",IF(D1494="NO_SLOTS",IF(COUNTIF(PARTNERS!$A$2:$A$88,E1494)=0,"Write the company in column E","OK"),IF(C1494="","Missing phone",IF(COUNTIF(DESK!$F$2:$F$601,C1494)=0,"Phone not found: copy it from your list",IF(AND(E1494&lt;&gt;"",COUNTIFS(DESK!$F$2:$F$601,C1494,DESK!$B$2:$B$601,E1494)=0),"Company is not one of theirs","OK"))))))</f>
        <v/>
      </c>
    </row>
    <row r="1495" spans="1:10"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time",IF(D1495="NO_SLOTS",IF(COUNTIF(PARTNERS!$A$2:$A$88,E1495)=0,"Write the company in column E","OK"),IF(C1495="","Missing phone",IF(COUNTIF(DESK!$F$2:$F$601,C1495)=0,"Phone not found: copy it from your list",IF(AND(E1495&lt;&gt;"",COUNTIFS(DESK!$F$2:$F$601,C1495,DESK!$B$2:$B$601,E1495)=0),"Company is not one of theirs","OK"))))))</f>
        <v/>
      </c>
    </row>
    <row r="1496" spans="1:10"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time",IF(D1496="NO_SLOTS",IF(COUNTIF(PARTNERS!$A$2:$A$88,E1496)=0,"Write the company in column E","OK"),IF(C1496="","Missing phone",IF(COUNTIF(DESK!$F$2:$F$601,C1496)=0,"Phone not found: copy it from your list",IF(AND(E1496&lt;&gt;"",COUNTIFS(DESK!$F$2:$F$601,C1496,DESK!$B$2:$B$601,E1496)=0),"Company is not one of theirs","OK"))))))</f>
        <v/>
      </c>
    </row>
    <row r="1497" spans="1:10"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time",IF(D1497="NO_SLOTS",IF(COUNTIF(PARTNERS!$A$2:$A$88,E1497)=0,"Write the company in column E","OK"),IF(C1497="","Missing phone",IF(COUNTIF(DESK!$F$2:$F$601,C1497)=0,"Phone not found: copy it from your list",IF(AND(E1497&lt;&gt;"",COUNTIFS(DESK!$F$2:$F$601,C1497,DESK!$B$2:$B$601,E1497)=0),"Company is not one of theirs","OK"))))))</f>
        <v/>
      </c>
    </row>
    <row r="1498" spans="1:10"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time",IF(D1498="NO_SLOTS",IF(COUNTIF(PARTNERS!$A$2:$A$88,E1498)=0,"Write the company in column E","OK"),IF(C1498="","Missing phone",IF(COUNTIF(DESK!$F$2:$F$601,C1498)=0,"Phone not found: copy it from your list",IF(AND(E1498&lt;&gt;"",COUNTIFS(DESK!$F$2:$F$601,C1498,DESK!$B$2:$B$601,E1498)=0),"Company is not one of theirs","OK"))))))</f>
        <v/>
      </c>
    </row>
    <row r="1499" spans="1:10"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time",IF(D1499="NO_SLOTS",IF(COUNTIF(PARTNERS!$A$2:$A$88,E1499)=0,"Write the company in column E","OK"),IF(C1499="","Missing phone",IF(COUNTIF(DESK!$F$2:$F$601,C1499)=0,"Phone not found: copy it from your list",IF(AND(E1499&lt;&gt;"",COUNTIFS(DESK!$F$2:$F$601,C1499,DESK!$B$2:$B$601,E1499)=0),"Company is not one of theirs","OK"))))))</f>
        <v/>
      </c>
    </row>
    <row r="1500" spans="1:10"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time",IF(D1500="NO_SLOTS",IF(COUNTIF(PARTNERS!$A$2:$A$88,E1500)=0,"Write the company in column E","OK"),IF(C1500="","Missing phone",IF(COUNTIF(DESK!$F$2:$F$601,C1500)=0,"Phone not found: copy it from your list",IF(AND(E1500&lt;&gt;"",COUNTIFS(DESK!$F$2:$F$601,C1500,DESK!$B$2:$B$601,E1500)=0),"Company is not one of theirs","OK"))))))</f>
        <v/>
      </c>
    </row>
    <row r="1501" spans="1:10"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time",IF(D1501="NO_SLOTS",IF(COUNTIF(PARTNERS!$A$2:$A$88,E1501)=0,"Write the company in column E","OK"),IF(C1501="","Missing phone",IF(COUNTIF(DESK!$F$2:$F$601,C1501)=0,"Phone not found: copy it from your list",IF(AND(E1501&lt;&gt;"",COUNTIFS(DESK!$F$2:$F$601,C1501,DESK!$B$2:$B$601,E1501)=0),"Company is not one of theirs","OK"))))))</f>
        <v/>
      </c>
    </row>
    <row r="1502" spans="1:10"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time",IF(D1502="NO_SLOTS",IF(COUNTIF(PARTNERS!$A$2:$A$88,E1502)=0,"Write the company in column E","OK"),IF(C1502="","Missing phone",IF(COUNTIF(DESK!$F$2:$F$601,C1502)=0,"Phone not found: copy it from your list",IF(AND(E1502&lt;&gt;"",COUNTIFS(DESK!$F$2:$F$601,C1502,DESK!$B$2:$B$601,E1502)=0),"Company is not one of theirs","OK"))))))</f>
        <v/>
      </c>
    </row>
    <row r="1503" spans="1:10"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time",IF(D1503="NO_SLOTS",IF(COUNTIF(PARTNERS!$A$2:$A$88,E1503)=0,"Write the company in column E","OK"),IF(C1503="","Missing phone",IF(COUNTIF(DESK!$F$2:$F$601,C1503)=0,"Phone not found: copy it from your list",IF(AND(E1503&lt;&gt;"",COUNTIFS(DESK!$F$2:$F$601,C1503,DESK!$B$2:$B$601,E1503)=0),"Company is not one of theirs","OK"))))))</f>
        <v/>
      </c>
    </row>
    <row r="1504" spans="1:10"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time",IF(D1504="NO_SLOTS",IF(COUNTIF(PARTNERS!$A$2:$A$88,E1504)=0,"Write the company in column E","OK"),IF(C1504="","Missing phone",IF(COUNTIF(DESK!$F$2:$F$601,C1504)=0,"Phone not found: copy it from your list",IF(AND(E1504&lt;&gt;"",COUNTIFS(DESK!$F$2:$F$601,C1504,DESK!$B$2:$B$601,E1504)=0),"Company is not one of theirs","OK"))))))</f>
        <v/>
      </c>
    </row>
    <row r="1505" spans="1:10"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time",IF(D1505="NO_SLOTS",IF(COUNTIF(PARTNERS!$A$2:$A$88,E1505)=0,"Write the company in column E","OK"),IF(C1505="","Missing phone",IF(COUNTIF(DESK!$F$2:$F$601,C1505)=0,"Phone not found: copy it from your list",IF(AND(E1505&lt;&gt;"",COUNTIFS(DESK!$F$2:$F$601,C1505,DESK!$B$2:$B$601,E1505)=0),"Company is not one of theirs","OK"))))))</f>
        <v/>
      </c>
    </row>
    <row r="1506" spans="1:10"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time",IF(D1506="NO_SLOTS",IF(COUNTIF(PARTNERS!$A$2:$A$88,E1506)=0,"Write the company in column E","OK"),IF(C1506="","Missing phone",IF(COUNTIF(DESK!$F$2:$F$601,C1506)=0,"Phone not found: copy it from your list",IF(AND(E1506&lt;&gt;"",COUNTIFS(DESK!$F$2:$F$601,C1506,DESK!$B$2:$B$601,E1506)=0),"Company is not one of theirs","OK"))))))</f>
        <v/>
      </c>
    </row>
    <row r="1507" spans="1:10"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time",IF(D1507="NO_SLOTS",IF(COUNTIF(PARTNERS!$A$2:$A$88,E1507)=0,"Write the company in column E","OK"),IF(C1507="","Missing phone",IF(COUNTIF(DESK!$F$2:$F$601,C1507)=0,"Phone not found: copy it from your list",IF(AND(E1507&lt;&gt;"",COUNTIFS(DESK!$F$2:$F$601,C1507,DESK!$B$2:$B$601,E1507)=0),"Company is not one of theirs","OK"))))))</f>
        <v/>
      </c>
    </row>
    <row r="1508" spans="1:10"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time",IF(D1508="NO_SLOTS",IF(COUNTIF(PARTNERS!$A$2:$A$88,E1508)=0,"Write the company in column E","OK"),IF(C1508="","Missing phone",IF(COUNTIF(DESK!$F$2:$F$601,C1508)=0,"Phone not found: copy it from your list",IF(AND(E1508&lt;&gt;"",COUNTIFS(DESK!$F$2:$F$601,C1508,DESK!$B$2:$B$601,E1508)=0),"Company is not one of theirs","OK"))))))</f>
        <v/>
      </c>
    </row>
    <row r="1509" spans="1:10"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time",IF(D1509="NO_SLOTS",IF(COUNTIF(PARTNERS!$A$2:$A$88,E1509)=0,"Write the company in column E","OK"),IF(C1509="","Missing phone",IF(COUNTIF(DESK!$F$2:$F$601,C1509)=0,"Phone not found: copy it from your list",IF(AND(E1509&lt;&gt;"",COUNTIFS(DESK!$F$2:$F$601,C1509,DESK!$B$2:$B$601,E1509)=0),"Company is not one of theirs","OK"))))))</f>
        <v/>
      </c>
    </row>
    <row r="1510" spans="1:10"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time",IF(D1510="NO_SLOTS",IF(COUNTIF(PARTNERS!$A$2:$A$88,E1510)=0,"Write the company in column E","OK"),IF(C1510="","Missing phone",IF(COUNTIF(DESK!$F$2:$F$601,C1510)=0,"Phone not found: copy it from your list",IF(AND(E1510&lt;&gt;"",COUNTIFS(DESK!$F$2:$F$601,C1510,DESK!$B$2:$B$601,E1510)=0),"Company is not one of theirs","OK"))))))</f>
        <v/>
      </c>
    </row>
    <row r="1511" spans="1:10"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time",IF(D1511="NO_SLOTS",IF(COUNTIF(PARTNERS!$A$2:$A$88,E1511)=0,"Write the company in column E","OK"),IF(C1511="","Missing phone",IF(COUNTIF(DESK!$F$2:$F$601,C1511)=0,"Phone not found: copy it from your list",IF(AND(E1511&lt;&gt;"",COUNTIFS(DESK!$F$2:$F$601,C1511,DESK!$B$2:$B$601,E1511)=0),"Company is not one of theirs","OK"))))))</f>
        <v/>
      </c>
    </row>
    <row r="1512" spans="1:10"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time",IF(D1512="NO_SLOTS",IF(COUNTIF(PARTNERS!$A$2:$A$88,E1512)=0,"Write the company in column E","OK"),IF(C1512="","Missing phone",IF(COUNTIF(DESK!$F$2:$F$601,C1512)=0,"Phone not found: copy it from your list",IF(AND(E1512&lt;&gt;"",COUNTIFS(DESK!$F$2:$F$601,C1512,DESK!$B$2:$B$601,E1512)=0),"Company is not one of theirs","OK"))))))</f>
        <v/>
      </c>
    </row>
    <row r="1513" spans="1:10"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time",IF(D1513="NO_SLOTS",IF(COUNTIF(PARTNERS!$A$2:$A$88,E1513)=0,"Write the company in column E","OK"),IF(C1513="","Missing phone",IF(COUNTIF(DESK!$F$2:$F$601,C1513)=0,"Phone not found: copy it from your list",IF(AND(E1513&lt;&gt;"",COUNTIFS(DESK!$F$2:$F$601,C1513,DESK!$B$2:$B$601,E1513)=0),"Company is not one of theirs","OK"))))))</f>
        <v/>
      </c>
    </row>
    <row r="1514" spans="1:10"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time",IF(D1514="NO_SLOTS",IF(COUNTIF(PARTNERS!$A$2:$A$88,E1514)=0,"Write the company in column E","OK"),IF(C1514="","Missing phone",IF(COUNTIF(DESK!$F$2:$F$601,C1514)=0,"Phone not found: copy it from your list",IF(AND(E1514&lt;&gt;"",COUNTIFS(DESK!$F$2:$F$601,C1514,DESK!$B$2:$B$601,E1514)=0),"Company is not one of theirs","OK"))))))</f>
        <v/>
      </c>
    </row>
    <row r="1515" spans="1:10"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time",IF(D1515="NO_SLOTS",IF(COUNTIF(PARTNERS!$A$2:$A$88,E1515)=0,"Write the company in column E","OK"),IF(C1515="","Missing phone",IF(COUNTIF(DESK!$F$2:$F$601,C1515)=0,"Phone not found: copy it from your list",IF(AND(E1515&lt;&gt;"",COUNTIFS(DESK!$F$2:$F$601,C1515,DESK!$B$2:$B$601,E1515)=0),"Company is not one of theirs","OK"))))))</f>
        <v/>
      </c>
    </row>
    <row r="1516" spans="1:10"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time",IF(D1516="NO_SLOTS",IF(COUNTIF(PARTNERS!$A$2:$A$88,E1516)=0,"Write the company in column E","OK"),IF(C1516="","Missing phone",IF(COUNTIF(DESK!$F$2:$F$601,C1516)=0,"Phone not found: copy it from your list",IF(AND(E1516&lt;&gt;"",COUNTIFS(DESK!$F$2:$F$601,C1516,DESK!$B$2:$B$601,E1516)=0),"Company is not one of theirs","OK"))))))</f>
        <v/>
      </c>
    </row>
    <row r="1517" spans="1:10"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time",IF(D1517="NO_SLOTS",IF(COUNTIF(PARTNERS!$A$2:$A$88,E1517)=0,"Write the company in column E","OK"),IF(C1517="","Missing phone",IF(COUNTIF(DESK!$F$2:$F$601,C1517)=0,"Phone not found: copy it from your list",IF(AND(E1517&lt;&gt;"",COUNTIFS(DESK!$F$2:$F$601,C1517,DESK!$B$2:$B$601,E1517)=0),"Company is not one of theirs","OK"))))))</f>
        <v/>
      </c>
    </row>
    <row r="1518" spans="1:10"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time",IF(D1518="NO_SLOTS",IF(COUNTIF(PARTNERS!$A$2:$A$88,E1518)=0,"Write the company in column E","OK"),IF(C1518="","Missing phone",IF(COUNTIF(DESK!$F$2:$F$601,C1518)=0,"Phone not found: copy it from your list",IF(AND(E1518&lt;&gt;"",COUNTIFS(DESK!$F$2:$F$601,C1518,DESK!$B$2:$B$601,E1518)=0),"Company is not one of theirs","OK"))))))</f>
        <v/>
      </c>
    </row>
    <row r="1519" spans="1:10"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time",IF(D1519="NO_SLOTS",IF(COUNTIF(PARTNERS!$A$2:$A$88,E1519)=0,"Write the company in column E","OK"),IF(C1519="","Missing phone",IF(COUNTIF(DESK!$F$2:$F$601,C1519)=0,"Phone not found: copy it from your list",IF(AND(E1519&lt;&gt;"",COUNTIFS(DESK!$F$2:$F$601,C1519,DESK!$B$2:$B$601,E1519)=0),"Company is not one of theirs","OK"))))))</f>
        <v/>
      </c>
    </row>
    <row r="1520" spans="1:10"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time",IF(D1520="NO_SLOTS",IF(COUNTIF(PARTNERS!$A$2:$A$88,E1520)=0,"Write the company in column E","OK"),IF(C1520="","Missing phone",IF(COUNTIF(DESK!$F$2:$F$601,C1520)=0,"Phone not found: copy it from your list",IF(AND(E1520&lt;&gt;"",COUNTIFS(DESK!$F$2:$F$601,C1520,DESK!$B$2:$B$601,E1520)=0),"Company is not one of theirs","OK"))))))</f>
        <v/>
      </c>
    </row>
    <row r="1521" spans="1:10"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time",IF(D1521="NO_SLOTS",IF(COUNTIF(PARTNERS!$A$2:$A$88,E1521)=0,"Write the company in column E","OK"),IF(C1521="","Missing phone",IF(COUNTIF(DESK!$F$2:$F$601,C1521)=0,"Phone not found: copy it from your list",IF(AND(E1521&lt;&gt;"",COUNTIFS(DESK!$F$2:$F$601,C1521,DESK!$B$2:$B$601,E1521)=0),"Company is not one of theirs","OK"))))))</f>
        <v/>
      </c>
    </row>
    <row r="1522" spans="1:10"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time",IF(D1522="NO_SLOTS",IF(COUNTIF(PARTNERS!$A$2:$A$88,E1522)=0,"Write the company in column E","OK"),IF(C1522="","Missing phone",IF(COUNTIF(DESK!$F$2:$F$601,C1522)=0,"Phone not found: copy it from your list",IF(AND(E1522&lt;&gt;"",COUNTIFS(DESK!$F$2:$F$601,C1522,DESK!$B$2:$B$601,E1522)=0),"Company is not one of theirs","OK"))))))</f>
        <v/>
      </c>
    </row>
    <row r="1523" spans="1:10"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time",IF(D1523="NO_SLOTS",IF(COUNTIF(PARTNERS!$A$2:$A$88,E1523)=0,"Write the company in column E","OK"),IF(C1523="","Missing phone",IF(COUNTIF(DESK!$F$2:$F$601,C1523)=0,"Phone not found: copy it from your list",IF(AND(E1523&lt;&gt;"",COUNTIFS(DESK!$F$2:$F$601,C1523,DESK!$B$2:$B$601,E1523)=0),"Company is not one of theirs","OK"))))))</f>
        <v/>
      </c>
    </row>
    <row r="1524" spans="1:10"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time",IF(D1524="NO_SLOTS",IF(COUNTIF(PARTNERS!$A$2:$A$88,E1524)=0,"Write the company in column E","OK"),IF(C1524="","Missing phone",IF(COUNTIF(DESK!$F$2:$F$601,C1524)=0,"Phone not found: copy it from your list",IF(AND(E1524&lt;&gt;"",COUNTIFS(DESK!$F$2:$F$601,C1524,DESK!$B$2:$B$601,E1524)=0),"Company is not one of theirs","OK"))))))</f>
        <v/>
      </c>
    </row>
    <row r="1525" spans="1:10"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time",IF(D1525="NO_SLOTS",IF(COUNTIF(PARTNERS!$A$2:$A$88,E1525)=0,"Write the company in column E","OK"),IF(C1525="","Missing phone",IF(COUNTIF(DESK!$F$2:$F$601,C1525)=0,"Phone not found: copy it from your list",IF(AND(E1525&lt;&gt;"",COUNTIFS(DESK!$F$2:$F$601,C1525,DESK!$B$2:$B$601,E1525)=0),"Company is not one of theirs","OK"))))))</f>
        <v/>
      </c>
    </row>
    <row r="1526" spans="1:10"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time",IF(D1526="NO_SLOTS",IF(COUNTIF(PARTNERS!$A$2:$A$88,E1526)=0,"Write the company in column E","OK"),IF(C1526="","Missing phone",IF(COUNTIF(DESK!$F$2:$F$601,C1526)=0,"Phone not found: copy it from your list",IF(AND(E1526&lt;&gt;"",COUNTIFS(DESK!$F$2:$F$601,C1526,DESK!$B$2:$B$601,E1526)=0),"Company is not one of theirs","OK"))))))</f>
        <v/>
      </c>
    </row>
    <row r="1527" spans="1:10"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time",IF(D1527="NO_SLOTS",IF(COUNTIF(PARTNERS!$A$2:$A$88,E1527)=0,"Write the company in column E","OK"),IF(C1527="","Missing phone",IF(COUNTIF(DESK!$F$2:$F$601,C1527)=0,"Phone not found: copy it from your list",IF(AND(E1527&lt;&gt;"",COUNTIFS(DESK!$F$2:$F$601,C1527,DESK!$B$2:$B$601,E1527)=0),"Company is not one of theirs","OK"))))))</f>
        <v/>
      </c>
    </row>
    <row r="1528" spans="1:10"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time",IF(D1528="NO_SLOTS",IF(COUNTIF(PARTNERS!$A$2:$A$88,E1528)=0,"Write the company in column E","OK"),IF(C1528="","Missing phone",IF(COUNTIF(DESK!$F$2:$F$601,C1528)=0,"Phone not found: copy it from your list",IF(AND(E1528&lt;&gt;"",COUNTIFS(DESK!$F$2:$F$601,C1528,DESK!$B$2:$B$601,E1528)=0),"Company is not one of theirs","OK"))))))</f>
        <v/>
      </c>
    </row>
    <row r="1529" spans="1:10"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time",IF(D1529="NO_SLOTS",IF(COUNTIF(PARTNERS!$A$2:$A$88,E1529)=0,"Write the company in column E","OK"),IF(C1529="","Missing phone",IF(COUNTIF(DESK!$F$2:$F$601,C1529)=0,"Phone not found: copy it from your list",IF(AND(E1529&lt;&gt;"",COUNTIFS(DESK!$F$2:$F$601,C1529,DESK!$B$2:$B$601,E1529)=0),"Company is not one of theirs","OK"))))))</f>
        <v/>
      </c>
    </row>
    <row r="1530" spans="1:10"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time",IF(D1530="NO_SLOTS",IF(COUNTIF(PARTNERS!$A$2:$A$88,E1530)=0,"Write the company in column E","OK"),IF(C1530="","Missing phone",IF(COUNTIF(DESK!$F$2:$F$601,C1530)=0,"Phone not found: copy it from your list",IF(AND(E1530&lt;&gt;"",COUNTIFS(DESK!$F$2:$F$601,C1530,DESK!$B$2:$B$601,E1530)=0),"Company is not one of theirs","OK"))))))</f>
        <v/>
      </c>
    </row>
    <row r="1531" spans="1:10"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time",IF(D1531="NO_SLOTS",IF(COUNTIF(PARTNERS!$A$2:$A$88,E1531)=0,"Write the company in column E","OK"),IF(C1531="","Missing phone",IF(COUNTIF(DESK!$F$2:$F$601,C1531)=0,"Phone not found: copy it from your list",IF(AND(E1531&lt;&gt;"",COUNTIFS(DESK!$F$2:$F$601,C1531,DESK!$B$2:$B$601,E1531)=0),"Company is not one of theirs","OK"))))))</f>
        <v/>
      </c>
    </row>
    <row r="1532" spans="1:10"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time",IF(D1532="NO_SLOTS",IF(COUNTIF(PARTNERS!$A$2:$A$88,E1532)=0,"Write the company in column E","OK"),IF(C1532="","Missing phone",IF(COUNTIF(DESK!$F$2:$F$601,C1532)=0,"Phone not found: copy it from your list",IF(AND(E1532&lt;&gt;"",COUNTIFS(DESK!$F$2:$F$601,C1532,DESK!$B$2:$B$601,E1532)=0),"Company is not one of theirs","OK"))))))</f>
        <v/>
      </c>
    </row>
    <row r="1533" spans="1:10"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time",IF(D1533="NO_SLOTS",IF(COUNTIF(PARTNERS!$A$2:$A$88,E1533)=0,"Write the company in column E","OK"),IF(C1533="","Missing phone",IF(COUNTIF(DESK!$F$2:$F$601,C1533)=0,"Phone not found: copy it from your list",IF(AND(E1533&lt;&gt;"",COUNTIFS(DESK!$F$2:$F$601,C1533,DESK!$B$2:$B$601,E1533)=0),"Company is not one of theirs","OK"))))))</f>
        <v/>
      </c>
    </row>
    <row r="1534" spans="1:10"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time",IF(D1534="NO_SLOTS",IF(COUNTIF(PARTNERS!$A$2:$A$88,E1534)=0,"Write the company in column E","OK"),IF(C1534="","Missing phone",IF(COUNTIF(DESK!$F$2:$F$601,C1534)=0,"Phone not found: copy it from your list",IF(AND(E1534&lt;&gt;"",COUNTIFS(DESK!$F$2:$F$601,C1534,DESK!$B$2:$B$601,E1534)=0),"Company is not one of theirs","OK"))))))</f>
        <v/>
      </c>
    </row>
    <row r="1535" spans="1:10"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time",IF(D1535="NO_SLOTS",IF(COUNTIF(PARTNERS!$A$2:$A$88,E1535)=0,"Write the company in column E","OK"),IF(C1535="","Missing phone",IF(COUNTIF(DESK!$F$2:$F$601,C1535)=0,"Phone not found: copy it from your list",IF(AND(E1535&lt;&gt;"",COUNTIFS(DESK!$F$2:$F$601,C1535,DESK!$B$2:$B$601,E1535)=0),"Company is not one of theirs","OK"))))))</f>
        <v/>
      </c>
    </row>
    <row r="1536" spans="1:10"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time",IF(D1536="NO_SLOTS",IF(COUNTIF(PARTNERS!$A$2:$A$88,E1536)=0,"Write the company in column E","OK"),IF(C1536="","Missing phone",IF(COUNTIF(DESK!$F$2:$F$601,C1536)=0,"Phone not found: copy it from your list",IF(AND(E1536&lt;&gt;"",COUNTIFS(DESK!$F$2:$F$601,C1536,DESK!$B$2:$B$601,E1536)=0),"Company is not one of theirs","OK"))))))</f>
        <v/>
      </c>
    </row>
    <row r="1537" spans="1:10"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time",IF(D1537="NO_SLOTS",IF(COUNTIF(PARTNERS!$A$2:$A$88,E1537)=0,"Write the company in column E","OK"),IF(C1537="","Missing phone",IF(COUNTIF(DESK!$F$2:$F$601,C1537)=0,"Phone not found: copy it from your list",IF(AND(E1537&lt;&gt;"",COUNTIFS(DESK!$F$2:$F$601,C1537,DESK!$B$2:$B$601,E1537)=0),"Company is not one of theirs","OK"))))))</f>
        <v/>
      </c>
    </row>
    <row r="1538" spans="1:10"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time",IF(D1538="NO_SLOTS",IF(COUNTIF(PARTNERS!$A$2:$A$88,E1538)=0,"Write the company in column E","OK"),IF(C1538="","Missing phone",IF(COUNTIF(DESK!$F$2:$F$601,C1538)=0,"Phone not found: copy it from your list",IF(AND(E1538&lt;&gt;"",COUNTIFS(DESK!$F$2:$F$601,C1538,DESK!$B$2:$B$601,E1538)=0),"Company is not one of theirs","OK"))))))</f>
        <v/>
      </c>
    </row>
    <row r="1539" spans="1:10"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time",IF(D1539="NO_SLOTS",IF(COUNTIF(PARTNERS!$A$2:$A$88,E1539)=0,"Write the company in column E","OK"),IF(C1539="","Missing phone",IF(COUNTIF(DESK!$F$2:$F$601,C1539)=0,"Phone not found: copy it from your list",IF(AND(E1539&lt;&gt;"",COUNTIFS(DESK!$F$2:$F$601,C1539,DESK!$B$2:$B$601,E1539)=0),"Company is not one of theirs","OK"))))))</f>
        <v/>
      </c>
    </row>
    <row r="1540" spans="1:10"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time",IF(D1540="NO_SLOTS",IF(COUNTIF(PARTNERS!$A$2:$A$88,E1540)=0,"Write the company in column E","OK"),IF(C1540="","Missing phone",IF(COUNTIF(DESK!$F$2:$F$601,C1540)=0,"Phone not found: copy it from your list",IF(AND(E1540&lt;&gt;"",COUNTIFS(DESK!$F$2:$F$601,C1540,DESK!$B$2:$B$601,E1540)=0),"Company is not one of theirs","OK"))))))</f>
        <v/>
      </c>
    </row>
    <row r="1541" spans="1:10"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time",IF(D1541="NO_SLOTS",IF(COUNTIF(PARTNERS!$A$2:$A$88,E1541)=0,"Write the company in column E","OK"),IF(C1541="","Missing phone",IF(COUNTIF(DESK!$F$2:$F$601,C1541)=0,"Phone not found: copy it from your list",IF(AND(E1541&lt;&gt;"",COUNTIFS(DESK!$F$2:$F$601,C1541,DESK!$B$2:$B$601,E1541)=0),"Company is not one of theirs","OK"))))))</f>
        <v/>
      </c>
    </row>
    <row r="1542" spans="1:10"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time",IF(D1542="NO_SLOTS",IF(COUNTIF(PARTNERS!$A$2:$A$88,E1542)=0,"Write the company in column E","OK"),IF(C1542="","Missing phone",IF(COUNTIF(DESK!$F$2:$F$601,C1542)=0,"Phone not found: copy it from your list",IF(AND(E1542&lt;&gt;"",COUNTIFS(DESK!$F$2:$F$601,C1542,DESK!$B$2:$B$601,E1542)=0),"Company is not one of theirs","OK"))))))</f>
        <v/>
      </c>
    </row>
    <row r="1543" spans="1:10"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time",IF(D1543="NO_SLOTS",IF(COUNTIF(PARTNERS!$A$2:$A$88,E1543)=0,"Write the company in column E","OK"),IF(C1543="","Missing phone",IF(COUNTIF(DESK!$F$2:$F$601,C1543)=0,"Phone not found: copy it from your list",IF(AND(E1543&lt;&gt;"",COUNTIFS(DESK!$F$2:$F$601,C1543,DESK!$B$2:$B$601,E1543)=0),"Company is not one of theirs","OK"))))))</f>
        <v/>
      </c>
    </row>
    <row r="1544" spans="1:10"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time",IF(D1544="NO_SLOTS",IF(COUNTIF(PARTNERS!$A$2:$A$88,E1544)=0,"Write the company in column E","OK"),IF(C1544="","Missing phone",IF(COUNTIF(DESK!$F$2:$F$601,C1544)=0,"Phone not found: copy it from your list",IF(AND(E1544&lt;&gt;"",COUNTIFS(DESK!$F$2:$F$601,C1544,DESK!$B$2:$B$601,E1544)=0),"Company is not one of theirs","OK"))))))</f>
        <v/>
      </c>
    </row>
    <row r="1545" spans="1:10"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time",IF(D1545="NO_SLOTS",IF(COUNTIF(PARTNERS!$A$2:$A$88,E1545)=0,"Write the company in column E","OK"),IF(C1545="","Missing phone",IF(COUNTIF(DESK!$F$2:$F$601,C1545)=0,"Phone not found: copy it from your list",IF(AND(E1545&lt;&gt;"",COUNTIFS(DESK!$F$2:$F$601,C1545,DESK!$B$2:$B$601,E1545)=0),"Company is not one of theirs","OK"))))))</f>
        <v/>
      </c>
    </row>
    <row r="1546" spans="1:10"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time",IF(D1546="NO_SLOTS",IF(COUNTIF(PARTNERS!$A$2:$A$88,E1546)=0,"Write the company in column E","OK"),IF(C1546="","Missing phone",IF(COUNTIF(DESK!$F$2:$F$601,C1546)=0,"Phone not found: copy it from your list",IF(AND(E1546&lt;&gt;"",COUNTIFS(DESK!$F$2:$F$601,C1546,DESK!$B$2:$B$601,E1546)=0),"Company is not one of theirs","OK"))))))</f>
        <v/>
      </c>
    </row>
    <row r="1547" spans="1:10"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time",IF(D1547="NO_SLOTS",IF(COUNTIF(PARTNERS!$A$2:$A$88,E1547)=0,"Write the company in column E","OK"),IF(C1547="","Missing phone",IF(COUNTIF(DESK!$F$2:$F$601,C1547)=0,"Phone not found: copy it from your list",IF(AND(E1547&lt;&gt;"",COUNTIFS(DESK!$F$2:$F$601,C1547,DESK!$B$2:$B$601,E1547)=0),"Company is not one of theirs","OK"))))))</f>
        <v/>
      </c>
    </row>
    <row r="1548" spans="1:10"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time",IF(D1548="NO_SLOTS",IF(COUNTIF(PARTNERS!$A$2:$A$88,E1548)=0,"Write the company in column E","OK"),IF(C1548="","Missing phone",IF(COUNTIF(DESK!$F$2:$F$601,C1548)=0,"Phone not found: copy it from your list",IF(AND(E1548&lt;&gt;"",COUNTIFS(DESK!$F$2:$F$601,C1548,DESK!$B$2:$B$601,E1548)=0),"Company is not one of theirs","OK"))))))</f>
        <v/>
      </c>
    </row>
    <row r="1549" spans="1:10"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time",IF(D1549="NO_SLOTS",IF(COUNTIF(PARTNERS!$A$2:$A$88,E1549)=0,"Write the company in column E","OK"),IF(C1549="","Missing phone",IF(COUNTIF(DESK!$F$2:$F$601,C1549)=0,"Phone not found: copy it from your list",IF(AND(E1549&lt;&gt;"",COUNTIFS(DESK!$F$2:$F$601,C1549,DESK!$B$2:$B$601,E1549)=0),"Company is not one of theirs","OK"))))))</f>
        <v/>
      </c>
    </row>
    <row r="1550" spans="1:10"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time",IF(D1550="NO_SLOTS",IF(COUNTIF(PARTNERS!$A$2:$A$88,E1550)=0,"Write the company in column E","OK"),IF(C1550="","Missing phone",IF(COUNTIF(DESK!$F$2:$F$601,C1550)=0,"Phone not found: copy it from your list",IF(AND(E1550&lt;&gt;"",COUNTIFS(DESK!$F$2:$F$601,C1550,DESK!$B$2:$B$601,E1550)=0),"Company is not one of theirs","OK"))))))</f>
        <v/>
      </c>
    </row>
    <row r="1551" spans="1:10"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time",IF(D1551="NO_SLOTS",IF(COUNTIF(PARTNERS!$A$2:$A$88,E1551)=0,"Write the company in column E","OK"),IF(C1551="","Missing phone",IF(COUNTIF(DESK!$F$2:$F$601,C1551)=0,"Phone not found: copy it from your list",IF(AND(E1551&lt;&gt;"",COUNTIFS(DESK!$F$2:$F$601,C1551,DESK!$B$2:$B$601,E1551)=0),"Company is not one of theirs","OK"))))))</f>
        <v/>
      </c>
    </row>
    <row r="1552" spans="1:10"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time",IF(D1552="NO_SLOTS",IF(COUNTIF(PARTNERS!$A$2:$A$88,E1552)=0,"Write the company in column E","OK"),IF(C1552="","Missing phone",IF(COUNTIF(DESK!$F$2:$F$601,C1552)=0,"Phone not found: copy it from your list",IF(AND(E1552&lt;&gt;"",COUNTIFS(DESK!$F$2:$F$601,C1552,DESK!$B$2:$B$601,E1552)=0),"Company is not one of theirs","OK"))))))</f>
        <v/>
      </c>
    </row>
    <row r="1553" spans="1:10"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time",IF(D1553="NO_SLOTS",IF(COUNTIF(PARTNERS!$A$2:$A$88,E1553)=0,"Write the company in column E","OK"),IF(C1553="","Missing phone",IF(COUNTIF(DESK!$F$2:$F$601,C1553)=0,"Phone not found: copy it from your list",IF(AND(E1553&lt;&gt;"",COUNTIFS(DESK!$F$2:$F$601,C1553,DESK!$B$2:$B$601,E1553)=0),"Company is not one of theirs","OK"))))))</f>
        <v/>
      </c>
    </row>
    <row r="1554" spans="1:10"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time",IF(D1554="NO_SLOTS",IF(COUNTIF(PARTNERS!$A$2:$A$88,E1554)=0,"Write the company in column E","OK"),IF(C1554="","Missing phone",IF(COUNTIF(DESK!$F$2:$F$601,C1554)=0,"Phone not found: copy it from your list",IF(AND(E1554&lt;&gt;"",COUNTIFS(DESK!$F$2:$F$601,C1554,DESK!$B$2:$B$601,E1554)=0),"Company is not one of theirs","OK"))))))</f>
        <v/>
      </c>
    </row>
    <row r="1555" spans="1:10"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time",IF(D1555="NO_SLOTS",IF(COUNTIF(PARTNERS!$A$2:$A$88,E1555)=0,"Write the company in column E","OK"),IF(C1555="","Missing phone",IF(COUNTIF(DESK!$F$2:$F$601,C1555)=0,"Phone not found: copy it from your list",IF(AND(E1555&lt;&gt;"",COUNTIFS(DESK!$F$2:$F$601,C1555,DESK!$B$2:$B$601,E1555)=0),"Company is not one of theirs","OK"))))))</f>
        <v/>
      </c>
    </row>
    <row r="1556" spans="1:10"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time",IF(D1556="NO_SLOTS",IF(COUNTIF(PARTNERS!$A$2:$A$88,E1556)=0,"Write the company in column E","OK"),IF(C1556="","Missing phone",IF(COUNTIF(DESK!$F$2:$F$601,C1556)=0,"Phone not found: copy it from your list",IF(AND(E1556&lt;&gt;"",COUNTIFS(DESK!$F$2:$F$601,C1556,DESK!$B$2:$B$601,E1556)=0),"Company is not one of theirs","OK"))))))</f>
        <v/>
      </c>
    </row>
    <row r="1557" spans="1:10"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time",IF(D1557="NO_SLOTS",IF(COUNTIF(PARTNERS!$A$2:$A$88,E1557)=0,"Write the company in column E","OK"),IF(C1557="","Missing phone",IF(COUNTIF(DESK!$F$2:$F$601,C1557)=0,"Phone not found: copy it from your list",IF(AND(E1557&lt;&gt;"",COUNTIFS(DESK!$F$2:$F$601,C1557,DESK!$B$2:$B$601,E1557)=0),"Company is not one of theirs","OK"))))))</f>
        <v/>
      </c>
    </row>
    <row r="1558" spans="1:10"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time",IF(D1558="NO_SLOTS",IF(COUNTIF(PARTNERS!$A$2:$A$88,E1558)=0,"Write the company in column E","OK"),IF(C1558="","Missing phone",IF(COUNTIF(DESK!$F$2:$F$601,C1558)=0,"Phone not found: copy it from your list",IF(AND(E1558&lt;&gt;"",COUNTIFS(DESK!$F$2:$F$601,C1558,DESK!$B$2:$B$601,E1558)=0),"Company is not one of theirs","OK"))))))</f>
        <v/>
      </c>
    </row>
    <row r="1559" spans="1:10"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time",IF(D1559="NO_SLOTS",IF(COUNTIF(PARTNERS!$A$2:$A$88,E1559)=0,"Write the company in column E","OK"),IF(C1559="","Missing phone",IF(COUNTIF(DESK!$F$2:$F$601,C1559)=0,"Phone not found: copy it from your list",IF(AND(E1559&lt;&gt;"",COUNTIFS(DESK!$F$2:$F$601,C1559,DESK!$B$2:$B$601,E1559)=0),"Company is not one of theirs","OK"))))))</f>
        <v/>
      </c>
    </row>
    <row r="1560" spans="1:10"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time",IF(D1560="NO_SLOTS",IF(COUNTIF(PARTNERS!$A$2:$A$88,E1560)=0,"Write the company in column E","OK"),IF(C1560="","Missing phone",IF(COUNTIF(DESK!$F$2:$F$601,C1560)=0,"Phone not found: copy it from your list",IF(AND(E1560&lt;&gt;"",COUNTIFS(DESK!$F$2:$F$601,C1560,DESK!$B$2:$B$601,E1560)=0),"Company is not one of theirs","OK"))))))</f>
        <v/>
      </c>
    </row>
    <row r="1561" spans="1:10"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time",IF(D1561="NO_SLOTS",IF(COUNTIF(PARTNERS!$A$2:$A$88,E1561)=0,"Write the company in column E","OK"),IF(C1561="","Missing phone",IF(COUNTIF(DESK!$F$2:$F$601,C1561)=0,"Phone not found: copy it from your list",IF(AND(E1561&lt;&gt;"",COUNTIFS(DESK!$F$2:$F$601,C1561,DESK!$B$2:$B$601,E1561)=0),"Company is not one of theirs","OK"))))))</f>
        <v/>
      </c>
    </row>
    <row r="1562" spans="1:10"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time",IF(D1562="NO_SLOTS",IF(COUNTIF(PARTNERS!$A$2:$A$88,E1562)=0,"Write the company in column E","OK"),IF(C1562="","Missing phone",IF(COUNTIF(DESK!$F$2:$F$601,C1562)=0,"Phone not found: copy it from your list",IF(AND(E1562&lt;&gt;"",COUNTIFS(DESK!$F$2:$F$601,C1562,DESK!$B$2:$B$601,E1562)=0),"Company is not one of theirs","OK"))))))</f>
        <v/>
      </c>
    </row>
    <row r="1563" spans="1:10"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time",IF(D1563="NO_SLOTS",IF(COUNTIF(PARTNERS!$A$2:$A$88,E1563)=0,"Write the company in column E","OK"),IF(C1563="","Missing phone",IF(COUNTIF(DESK!$F$2:$F$601,C1563)=0,"Phone not found: copy it from your list",IF(AND(E1563&lt;&gt;"",COUNTIFS(DESK!$F$2:$F$601,C1563,DESK!$B$2:$B$601,E1563)=0),"Company is not one of theirs","OK"))))))</f>
        <v/>
      </c>
    </row>
    <row r="1564" spans="1:10"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time",IF(D1564="NO_SLOTS",IF(COUNTIF(PARTNERS!$A$2:$A$88,E1564)=0,"Write the company in column E","OK"),IF(C1564="","Missing phone",IF(COUNTIF(DESK!$F$2:$F$601,C1564)=0,"Phone not found: copy it from your list",IF(AND(E1564&lt;&gt;"",COUNTIFS(DESK!$F$2:$F$601,C1564,DESK!$B$2:$B$601,E1564)=0),"Company is not one of theirs","OK"))))))</f>
        <v/>
      </c>
    </row>
    <row r="1565" spans="1:10"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time",IF(D1565="NO_SLOTS",IF(COUNTIF(PARTNERS!$A$2:$A$88,E1565)=0,"Write the company in column E","OK"),IF(C1565="","Missing phone",IF(COUNTIF(DESK!$F$2:$F$601,C1565)=0,"Phone not found: copy it from your list",IF(AND(E1565&lt;&gt;"",COUNTIFS(DESK!$F$2:$F$601,C1565,DESK!$B$2:$B$601,E1565)=0),"Company is not one of theirs","OK"))))))</f>
        <v/>
      </c>
    </row>
    <row r="1566" spans="1:10"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time",IF(D1566="NO_SLOTS",IF(COUNTIF(PARTNERS!$A$2:$A$88,E1566)=0,"Write the company in column E","OK"),IF(C1566="","Missing phone",IF(COUNTIF(DESK!$F$2:$F$601,C1566)=0,"Phone not found: copy it from your list",IF(AND(E1566&lt;&gt;"",COUNTIFS(DESK!$F$2:$F$601,C1566,DESK!$B$2:$B$601,E1566)=0),"Company is not one of theirs","OK"))))))</f>
        <v/>
      </c>
    </row>
    <row r="1567" spans="1:10"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time",IF(D1567="NO_SLOTS",IF(COUNTIF(PARTNERS!$A$2:$A$88,E1567)=0,"Write the company in column E","OK"),IF(C1567="","Missing phone",IF(COUNTIF(DESK!$F$2:$F$601,C1567)=0,"Phone not found: copy it from your list",IF(AND(E1567&lt;&gt;"",COUNTIFS(DESK!$F$2:$F$601,C1567,DESK!$B$2:$B$601,E1567)=0),"Company is not one of theirs","OK"))))))</f>
        <v/>
      </c>
    </row>
    <row r="1568" spans="1:10"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time",IF(D1568="NO_SLOTS",IF(COUNTIF(PARTNERS!$A$2:$A$88,E1568)=0,"Write the company in column E","OK"),IF(C1568="","Missing phone",IF(COUNTIF(DESK!$F$2:$F$601,C1568)=0,"Phone not found: copy it from your list",IF(AND(E1568&lt;&gt;"",COUNTIFS(DESK!$F$2:$F$601,C1568,DESK!$B$2:$B$601,E1568)=0),"Company is not one of theirs","OK"))))))</f>
        <v/>
      </c>
    </row>
    <row r="1569" spans="1:10"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time",IF(D1569="NO_SLOTS",IF(COUNTIF(PARTNERS!$A$2:$A$88,E1569)=0,"Write the company in column E","OK"),IF(C1569="","Missing phone",IF(COUNTIF(DESK!$F$2:$F$601,C1569)=0,"Phone not found: copy it from your list",IF(AND(E1569&lt;&gt;"",COUNTIFS(DESK!$F$2:$F$601,C1569,DESK!$B$2:$B$601,E1569)=0),"Company is not one of theirs","OK"))))))</f>
        <v/>
      </c>
    </row>
    <row r="1570" spans="1:10"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time",IF(D1570="NO_SLOTS",IF(COUNTIF(PARTNERS!$A$2:$A$88,E1570)=0,"Write the company in column E","OK"),IF(C1570="","Missing phone",IF(COUNTIF(DESK!$F$2:$F$601,C1570)=0,"Phone not found: copy it from your list",IF(AND(E1570&lt;&gt;"",COUNTIFS(DESK!$F$2:$F$601,C1570,DESK!$B$2:$B$601,E1570)=0),"Company is not one of theirs","OK"))))))</f>
        <v/>
      </c>
    </row>
    <row r="1571" spans="1:10"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time",IF(D1571="NO_SLOTS",IF(COUNTIF(PARTNERS!$A$2:$A$88,E1571)=0,"Write the company in column E","OK"),IF(C1571="","Missing phone",IF(COUNTIF(DESK!$F$2:$F$601,C1571)=0,"Phone not found: copy it from your list",IF(AND(E1571&lt;&gt;"",COUNTIFS(DESK!$F$2:$F$601,C1571,DESK!$B$2:$B$601,E1571)=0),"Company is not one of theirs","OK"))))))</f>
        <v/>
      </c>
    </row>
    <row r="1572" spans="1:10"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time",IF(D1572="NO_SLOTS",IF(COUNTIF(PARTNERS!$A$2:$A$88,E1572)=0,"Write the company in column E","OK"),IF(C1572="","Missing phone",IF(COUNTIF(DESK!$F$2:$F$601,C1572)=0,"Phone not found: copy it from your list",IF(AND(E1572&lt;&gt;"",COUNTIFS(DESK!$F$2:$F$601,C1572,DESK!$B$2:$B$601,E1572)=0),"Company is not one of theirs","OK"))))))</f>
        <v/>
      </c>
    </row>
    <row r="1573" spans="1:10"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time",IF(D1573="NO_SLOTS",IF(COUNTIF(PARTNERS!$A$2:$A$88,E1573)=0,"Write the company in column E","OK"),IF(C1573="","Missing phone",IF(COUNTIF(DESK!$F$2:$F$601,C1573)=0,"Phone not found: copy it from your list",IF(AND(E1573&lt;&gt;"",COUNTIFS(DESK!$F$2:$F$601,C1573,DESK!$B$2:$B$601,E1573)=0),"Company is not one of theirs","OK"))))))</f>
        <v/>
      </c>
    </row>
    <row r="1574" spans="1:10"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time",IF(D1574="NO_SLOTS",IF(COUNTIF(PARTNERS!$A$2:$A$88,E1574)=0,"Write the company in column E","OK"),IF(C1574="","Missing phone",IF(COUNTIF(DESK!$F$2:$F$601,C1574)=0,"Phone not found: copy it from your list",IF(AND(E1574&lt;&gt;"",COUNTIFS(DESK!$F$2:$F$601,C1574,DESK!$B$2:$B$601,E1574)=0),"Company is not one of theirs","OK"))))))</f>
        <v/>
      </c>
    </row>
    <row r="1575" spans="1:10"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time",IF(D1575="NO_SLOTS",IF(COUNTIF(PARTNERS!$A$2:$A$88,E1575)=0,"Write the company in column E","OK"),IF(C1575="","Missing phone",IF(COUNTIF(DESK!$F$2:$F$601,C1575)=0,"Phone not found: copy it from your list",IF(AND(E1575&lt;&gt;"",COUNTIFS(DESK!$F$2:$F$601,C1575,DESK!$B$2:$B$601,E1575)=0),"Company is not one of theirs","OK"))))))</f>
        <v/>
      </c>
    </row>
    <row r="1576" spans="1:10"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time",IF(D1576="NO_SLOTS",IF(COUNTIF(PARTNERS!$A$2:$A$88,E1576)=0,"Write the company in column E","OK"),IF(C1576="","Missing phone",IF(COUNTIF(DESK!$F$2:$F$601,C1576)=0,"Phone not found: copy it from your list",IF(AND(E1576&lt;&gt;"",COUNTIFS(DESK!$F$2:$F$601,C1576,DESK!$B$2:$B$601,E1576)=0),"Company is not one of theirs","OK"))))))</f>
        <v/>
      </c>
    </row>
    <row r="1577" spans="1:10"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time",IF(D1577="NO_SLOTS",IF(COUNTIF(PARTNERS!$A$2:$A$88,E1577)=0,"Write the company in column E","OK"),IF(C1577="","Missing phone",IF(COUNTIF(DESK!$F$2:$F$601,C1577)=0,"Phone not found: copy it from your list",IF(AND(E1577&lt;&gt;"",COUNTIFS(DESK!$F$2:$F$601,C1577,DESK!$B$2:$B$601,E1577)=0),"Company is not one of theirs","OK"))))))</f>
        <v/>
      </c>
    </row>
    <row r="1578" spans="1:10"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time",IF(D1578="NO_SLOTS",IF(COUNTIF(PARTNERS!$A$2:$A$88,E1578)=0,"Write the company in column E","OK"),IF(C1578="","Missing phone",IF(COUNTIF(DESK!$F$2:$F$601,C1578)=0,"Phone not found: copy it from your list",IF(AND(E1578&lt;&gt;"",COUNTIFS(DESK!$F$2:$F$601,C1578,DESK!$B$2:$B$601,E1578)=0),"Company is not one of theirs","OK"))))))</f>
        <v/>
      </c>
    </row>
    <row r="1579" spans="1:10"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time",IF(D1579="NO_SLOTS",IF(COUNTIF(PARTNERS!$A$2:$A$88,E1579)=0,"Write the company in column E","OK"),IF(C1579="","Missing phone",IF(COUNTIF(DESK!$F$2:$F$601,C1579)=0,"Phone not found: copy it from your list",IF(AND(E1579&lt;&gt;"",COUNTIFS(DESK!$F$2:$F$601,C1579,DESK!$B$2:$B$601,E1579)=0),"Company is not one of theirs","OK"))))))</f>
        <v/>
      </c>
    </row>
    <row r="1580" spans="1:10"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time",IF(D1580="NO_SLOTS",IF(COUNTIF(PARTNERS!$A$2:$A$88,E1580)=0,"Write the company in column E","OK"),IF(C1580="","Missing phone",IF(COUNTIF(DESK!$F$2:$F$601,C1580)=0,"Phone not found: copy it from your list",IF(AND(E1580&lt;&gt;"",COUNTIFS(DESK!$F$2:$F$601,C1580,DESK!$B$2:$B$601,E1580)=0),"Company is not one of theirs","OK"))))))</f>
        <v/>
      </c>
    </row>
    <row r="1581" spans="1:10"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time",IF(D1581="NO_SLOTS",IF(COUNTIF(PARTNERS!$A$2:$A$88,E1581)=0,"Write the company in column E","OK"),IF(C1581="","Missing phone",IF(COUNTIF(DESK!$F$2:$F$601,C1581)=0,"Phone not found: copy it from your list",IF(AND(E1581&lt;&gt;"",COUNTIFS(DESK!$F$2:$F$601,C1581,DESK!$B$2:$B$601,E1581)=0),"Company is not one of theirs","OK"))))))</f>
        <v/>
      </c>
    </row>
    <row r="1582" spans="1:10"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time",IF(D1582="NO_SLOTS",IF(COUNTIF(PARTNERS!$A$2:$A$88,E1582)=0,"Write the company in column E","OK"),IF(C1582="","Missing phone",IF(COUNTIF(DESK!$F$2:$F$601,C1582)=0,"Phone not found: copy it from your list",IF(AND(E1582&lt;&gt;"",COUNTIFS(DESK!$F$2:$F$601,C1582,DESK!$B$2:$B$601,E1582)=0),"Company is not one of theirs","OK"))))))</f>
        <v/>
      </c>
    </row>
    <row r="1583" spans="1:10"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time",IF(D1583="NO_SLOTS",IF(COUNTIF(PARTNERS!$A$2:$A$88,E1583)=0,"Write the company in column E","OK"),IF(C1583="","Missing phone",IF(COUNTIF(DESK!$F$2:$F$601,C1583)=0,"Phone not found: copy it from your list",IF(AND(E1583&lt;&gt;"",COUNTIFS(DESK!$F$2:$F$601,C1583,DESK!$B$2:$B$601,E1583)=0),"Company is not one of theirs","OK"))))))</f>
        <v/>
      </c>
    </row>
    <row r="1584" spans="1:10"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time",IF(D1584="NO_SLOTS",IF(COUNTIF(PARTNERS!$A$2:$A$88,E1584)=0,"Write the company in column E","OK"),IF(C1584="","Missing phone",IF(COUNTIF(DESK!$F$2:$F$601,C1584)=0,"Phone not found: copy it from your list",IF(AND(E1584&lt;&gt;"",COUNTIFS(DESK!$F$2:$F$601,C1584,DESK!$B$2:$B$601,E1584)=0),"Company is not one of theirs","OK"))))))</f>
        <v/>
      </c>
    </row>
    <row r="1585" spans="1:10"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time",IF(D1585="NO_SLOTS",IF(COUNTIF(PARTNERS!$A$2:$A$88,E1585)=0,"Write the company in column E","OK"),IF(C1585="","Missing phone",IF(COUNTIF(DESK!$F$2:$F$601,C1585)=0,"Phone not found: copy it from your list",IF(AND(E1585&lt;&gt;"",COUNTIFS(DESK!$F$2:$F$601,C1585,DESK!$B$2:$B$601,E1585)=0),"Company is not one of theirs","OK"))))))</f>
        <v/>
      </c>
    </row>
    <row r="1586" spans="1:10"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time",IF(D1586="NO_SLOTS",IF(COUNTIF(PARTNERS!$A$2:$A$88,E1586)=0,"Write the company in column E","OK"),IF(C1586="","Missing phone",IF(COUNTIF(DESK!$F$2:$F$601,C1586)=0,"Phone not found: copy it from your list",IF(AND(E1586&lt;&gt;"",COUNTIFS(DESK!$F$2:$F$601,C1586,DESK!$B$2:$B$601,E1586)=0),"Company is not one of theirs","OK"))))))</f>
        <v/>
      </c>
    </row>
    <row r="1587" spans="1:10"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time",IF(D1587="NO_SLOTS",IF(COUNTIF(PARTNERS!$A$2:$A$88,E1587)=0,"Write the company in column E","OK"),IF(C1587="","Missing phone",IF(COUNTIF(DESK!$F$2:$F$601,C1587)=0,"Phone not found: copy it from your list",IF(AND(E1587&lt;&gt;"",COUNTIFS(DESK!$F$2:$F$601,C1587,DESK!$B$2:$B$601,E1587)=0),"Company is not one of theirs","OK"))))))</f>
        <v/>
      </c>
    </row>
    <row r="1588" spans="1:10"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time",IF(D1588="NO_SLOTS",IF(COUNTIF(PARTNERS!$A$2:$A$88,E1588)=0,"Write the company in column E","OK"),IF(C1588="","Missing phone",IF(COUNTIF(DESK!$F$2:$F$601,C1588)=0,"Phone not found: copy it from your list",IF(AND(E1588&lt;&gt;"",COUNTIFS(DESK!$F$2:$F$601,C1588,DESK!$B$2:$B$601,E1588)=0),"Company is not one of theirs","OK"))))))</f>
        <v/>
      </c>
    </row>
    <row r="1589" spans="1:10"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time",IF(D1589="NO_SLOTS",IF(COUNTIF(PARTNERS!$A$2:$A$88,E1589)=0,"Write the company in column E","OK"),IF(C1589="","Missing phone",IF(COUNTIF(DESK!$F$2:$F$601,C1589)=0,"Phone not found: copy it from your list",IF(AND(E1589&lt;&gt;"",COUNTIFS(DESK!$F$2:$F$601,C1589,DESK!$B$2:$B$601,E1589)=0),"Company is not one of theirs","OK"))))))</f>
        <v/>
      </c>
    </row>
    <row r="1590" spans="1:10"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time",IF(D1590="NO_SLOTS",IF(COUNTIF(PARTNERS!$A$2:$A$88,E1590)=0,"Write the company in column E","OK"),IF(C1590="","Missing phone",IF(COUNTIF(DESK!$F$2:$F$601,C1590)=0,"Phone not found: copy it from your list",IF(AND(E1590&lt;&gt;"",COUNTIFS(DESK!$F$2:$F$601,C1590,DESK!$B$2:$B$601,E1590)=0),"Company is not one of theirs","OK"))))))</f>
        <v/>
      </c>
    </row>
    <row r="1591" spans="1:10"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time",IF(D1591="NO_SLOTS",IF(COUNTIF(PARTNERS!$A$2:$A$88,E1591)=0,"Write the company in column E","OK"),IF(C1591="","Missing phone",IF(COUNTIF(DESK!$F$2:$F$601,C1591)=0,"Phone not found: copy it from your list",IF(AND(E1591&lt;&gt;"",COUNTIFS(DESK!$F$2:$F$601,C1591,DESK!$B$2:$B$601,E1591)=0),"Company is not one of theirs","OK"))))))</f>
        <v/>
      </c>
    </row>
    <row r="1592" spans="1:10"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time",IF(D1592="NO_SLOTS",IF(COUNTIF(PARTNERS!$A$2:$A$88,E1592)=0,"Write the company in column E","OK"),IF(C1592="","Missing phone",IF(COUNTIF(DESK!$F$2:$F$601,C1592)=0,"Phone not found: copy it from your list",IF(AND(E1592&lt;&gt;"",COUNTIFS(DESK!$F$2:$F$601,C1592,DESK!$B$2:$B$601,E1592)=0),"Company is not one of theirs","OK"))))))</f>
        <v/>
      </c>
    </row>
    <row r="1593" spans="1:10"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time",IF(D1593="NO_SLOTS",IF(COUNTIF(PARTNERS!$A$2:$A$88,E1593)=0,"Write the company in column E","OK"),IF(C1593="","Missing phone",IF(COUNTIF(DESK!$F$2:$F$601,C1593)=0,"Phone not found: copy it from your list",IF(AND(E1593&lt;&gt;"",COUNTIFS(DESK!$F$2:$F$601,C1593,DESK!$B$2:$B$601,E1593)=0),"Company is not one of theirs","OK"))))))</f>
        <v/>
      </c>
    </row>
    <row r="1594" spans="1:10"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time",IF(D1594="NO_SLOTS",IF(COUNTIF(PARTNERS!$A$2:$A$88,E1594)=0,"Write the company in column E","OK"),IF(C1594="","Missing phone",IF(COUNTIF(DESK!$F$2:$F$601,C1594)=0,"Phone not found: copy it from your list",IF(AND(E1594&lt;&gt;"",COUNTIFS(DESK!$F$2:$F$601,C1594,DESK!$B$2:$B$601,E1594)=0),"Company is not one of theirs","OK"))))))</f>
        <v/>
      </c>
    </row>
    <row r="1595" spans="1:10"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time",IF(D1595="NO_SLOTS",IF(COUNTIF(PARTNERS!$A$2:$A$88,E1595)=0,"Write the company in column E","OK"),IF(C1595="","Missing phone",IF(COUNTIF(DESK!$F$2:$F$601,C1595)=0,"Phone not found: copy it from your list",IF(AND(E1595&lt;&gt;"",COUNTIFS(DESK!$F$2:$F$601,C1595,DESK!$B$2:$B$601,E1595)=0),"Company is not one of theirs","OK"))))))</f>
        <v/>
      </c>
    </row>
    <row r="1596" spans="1:10"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time",IF(D1596="NO_SLOTS",IF(COUNTIF(PARTNERS!$A$2:$A$88,E1596)=0,"Write the company in column E","OK"),IF(C1596="","Missing phone",IF(COUNTIF(DESK!$F$2:$F$601,C1596)=0,"Phone not found: copy it from your list",IF(AND(E1596&lt;&gt;"",COUNTIFS(DESK!$F$2:$F$601,C1596,DESK!$B$2:$B$601,E1596)=0),"Company is not one of theirs","OK"))))))</f>
        <v/>
      </c>
    </row>
    <row r="1597" spans="1:10"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time",IF(D1597="NO_SLOTS",IF(COUNTIF(PARTNERS!$A$2:$A$88,E1597)=0,"Write the company in column E","OK"),IF(C1597="","Missing phone",IF(COUNTIF(DESK!$F$2:$F$601,C1597)=0,"Phone not found: copy it from your list",IF(AND(E1597&lt;&gt;"",COUNTIFS(DESK!$F$2:$F$601,C1597,DESK!$B$2:$B$601,E1597)=0),"Company is not one of theirs","OK"))))))</f>
        <v/>
      </c>
    </row>
    <row r="1598" spans="1:10"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time",IF(D1598="NO_SLOTS",IF(COUNTIF(PARTNERS!$A$2:$A$88,E1598)=0,"Write the company in column E","OK"),IF(C1598="","Missing phone",IF(COUNTIF(DESK!$F$2:$F$601,C1598)=0,"Phone not found: copy it from your list",IF(AND(E1598&lt;&gt;"",COUNTIFS(DESK!$F$2:$F$601,C1598,DESK!$B$2:$B$601,E1598)=0),"Company is not one of theirs","OK"))))))</f>
        <v/>
      </c>
    </row>
    <row r="1599" spans="1:10"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time",IF(D1599="NO_SLOTS",IF(COUNTIF(PARTNERS!$A$2:$A$88,E1599)=0,"Write the company in column E","OK"),IF(C1599="","Missing phone",IF(COUNTIF(DESK!$F$2:$F$601,C1599)=0,"Phone not found: copy it from your list",IF(AND(E1599&lt;&gt;"",COUNTIFS(DESK!$F$2:$F$601,C1599,DESK!$B$2:$B$601,E1599)=0),"Company is not one of theirs","OK"))))))</f>
        <v/>
      </c>
    </row>
    <row r="1600" spans="1:10"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time",IF(D1600="NO_SLOTS",IF(COUNTIF(PARTNERS!$A$2:$A$88,E1600)=0,"Write the company in column E","OK"),IF(C1600="","Missing phone",IF(COUNTIF(DESK!$F$2:$F$601,C1600)=0,"Phone not found: copy it from your list",IF(AND(E1600&lt;&gt;"",COUNTIFS(DESK!$F$2:$F$601,C1600,DESK!$B$2:$B$601,E1600)=0),"Company is not one of theirs","OK"))))))</f>
        <v/>
      </c>
    </row>
    <row r="1601" spans="1:10"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time",IF(D1601="NO_SLOTS",IF(COUNTIF(PARTNERS!$A$2:$A$88,E1601)=0,"Write the company in column E","OK"),IF(C1601="","Missing phone",IF(COUNTIF(DESK!$F$2:$F$601,C1601)=0,"Phone not found: copy it from your list",IF(AND(E1601&lt;&gt;"",COUNTIFS(DESK!$F$2:$F$601,C1601,DESK!$B$2:$B$601,E1601)=0),"Company is not one of theirs","OK"))))))</f>
        <v/>
      </c>
    </row>
    <row r="1602" spans="1:10"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time",IF(D1602="NO_SLOTS",IF(COUNTIF(PARTNERS!$A$2:$A$88,E1602)=0,"Write the company in column E","OK"),IF(C1602="","Missing phone",IF(COUNTIF(DESK!$F$2:$F$601,C1602)=0,"Phone not found: copy it from your list",IF(AND(E1602&lt;&gt;"",COUNTIFS(DESK!$F$2:$F$601,C1602,DESK!$B$2:$B$601,E1602)=0),"Company is not one of theirs","OK"))))))</f>
        <v/>
      </c>
    </row>
    <row r="1603" spans="1:10"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time",IF(D1603="NO_SLOTS",IF(COUNTIF(PARTNERS!$A$2:$A$88,E1603)=0,"Write the company in column E","OK"),IF(C1603="","Missing phone",IF(COUNTIF(DESK!$F$2:$F$601,C1603)=0,"Phone not found: copy it from your list",IF(AND(E1603&lt;&gt;"",COUNTIFS(DESK!$F$2:$F$601,C1603,DESK!$B$2:$B$601,E1603)=0),"Company is not one of theirs","OK"))))))</f>
        <v/>
      </c>
    </row>
    <row r="1604" spans="1:10"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time",IF(D1604="NO_SLOTS",IF(COUNTIF(PARTNERS!$A$2:$A$88,E1604)=0,"Write the company in column E","OK"),IF(C1604="","Missing phone",IF(COUNTIF(DESK!$F$2:$F$601,C1604)=0,"Phone not found: copy it from your list",IF(AND(E1604&lt;&gt;"",COUNTIFS(DESK!$F$2:$F$601,C1604,DESK!$B$2:$B$601,E1604)=0),"Company is not one of theirs","OK"))))))</f>
        <v/>
      </c>
    </row>
    <row r="1605" spans="1:10"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time",IF(D1605="NO_SLOTS",IF(COUNTIF(PARTNERS!$A$2:$A$88,E1605)=0,"Write the company in column E","OK"),IF(C1605="","Missing phone",IF(COUNTIF(DESK!$F$2:$F$601,C1605)=0,"Phone not found: copy it from your list",IF(AND(E1605&lt;&gt;"",COUNTIFS(DESK!$F$2:$F$601,C1605,DESK!$B$2:$B$601,E1605)=0),"Company is not one of theirs","OK"))))))</f>
        <v/>
      </c>
    </row>
    <row r="1606" spans="1:10"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time",IF(D1606="NO_SLOTS",IF(COUNTIF(PARTNERS!$A$2:$A$88,E1606)=0,"Write the company in column E","OK"),IF(C1606="","Missing phone",IF(COUNTIF(DESK!$F$2:$F$601,C1606)=0,"Phone not found: copy it from your list",IF(AND(E1606&lt;&gt;"",COUNTIFS(DESK!$F$2:$F$601,C1606,DESK!$B$2:$B$601,E1606)=0),"Company is not one of theirs","OK"))))))</f>
        <v/>
      </c>
    </row>
    <row r="1607" spans="1:10"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time",IF(D1607="NO_SLOTS",IF(COUNTIF(PARTNERS!$A$2:$A$88,E1607)=0,"Write the company in column E","OK"),IF(C1607="","Missing phone",IF(COUNTIF(DESK!$F$2:$F$601,C1607)=0,"Phone not found: copy it from your list",IF(AND(E1607&lt;&gt;"",COUNTIFS(DESK!$F$2:$F$601,C1607,DESK!$B$2:$B$601,E1607)=0),"Company is not one of theirs","OK"))))))</f>
        <v/>
      </c>
    </row>
    <row r="1608" spans="1:10"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time",IF(D1608="NO_SLOTS",IF(COUNTIF(PARTNERS!$A$2:$A$88,E1608)=0,"Write the company in column E","OK"),IF(C1608="","Missing phone",IF(COUNTIF(DESK!$F$2:$F$601,C1608)=0,"Phone not found: copy it from your list",IF(AND(E1608&lt;&gt;"",COUNTIFS(DESK!$F$2:$F$601,C1608,DESK!$B$2:$B$601,E1608)=0),"Company is not one of theirs","OK"))))))</f>
        <v/>
      </c>
    </row>
    <row r="1609" spans="1:10"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time",IF(D1609="NO_SLOTS",IF(COUNTIF(PARTNERS!$A$2:$A$88,E1609)=0,"Write the company in column E","OK"),IF(C1609="","Missing phone",IF(COUNTIF(DESK!$F$2:$F$601,C1609)=0,"Phone not found: copy it from your list",IF(AND(E1609&lt;&gt;"",COUNTIFS(DESK!$F$2:$F$601,C1609,DESK!$B$2:$B$601,E1609)=0),"Company is not one of theirs","OK"))))))</f>
        <v/>
      </c>
    </row>
    <row r="1610" spans="1:10"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time",IF(D1610="NO_SLOTS",IF(COUNTIF(PARTNERS!$A$2:$A$88,E1610)=0,"Write the company in column E","OK"),IF(C1610="","Missing phone",IF(COUNTIF(DESK!$F$2:$F$601,C1610)=0,"Phone not found: copy it from your list",IF(AND(E1610&lt;&gt;"",COUNTIFS(DESK!$F$2:$F$601,C1610,DESK!$B$2:$B$601,E1610)=0),"Company is not one of theirs","OK"))))))</f>
        <v/>
      </c>
    </row>
    <row r="1611" spans="1:10"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time",IF(D1611="NO_SLOTS",IF(COUNTIF(PARTNERS!$A$2:$A$88,E1611)=0,"Write the company in column E","OK"),IF(C1611="","Missing phone",IF(COUNTIF(DESK!$F$2:$F$601,C1611)=0,"Phone not found: copy it from your list",IF(AND(E1611&lt;&gt;"",COUNTIFS(DESK!$F$2:$F$601,C1611,DESK!$B$2:$B$601,E1611)=0),"Company is not one of theirs","OK"))))))</f>
        <v/>
      </c>
    </row>
    <row r="1612" spans="1:10"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time",IF(D1612="NO_SLOTS",IF(COUNTIF(PARTNERS!$A$2:$A$88,E1612)=0,"Write the company in column E","OK"),IF(C1612="","Missing phone",IF(COUNTIF(DESK!$F$2:$F$601,C1612)=0,"Phone not found: copy it from your list",IF(AND(E1612&lt;&gt;"",COUNTIFS(DESK!$F$2:$F$601,C1612,DESK!$B$2:$B$601,E1612)=0),"Company is not one of theirs","OK"))))))</f>
        <v/>
      </c>
    </row>
    <row r="1613" spans="1:10"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time",IF(D1613="NO_SLOTS",IF(COUNTIF(PARTNERS!$A$2:$A$88,E1613)=0,"Write the company in column E","OK"),IF(C1613="","Missing phone",IF(COUNTIF(DESK!$F$2:$F$601,C1613)=0,"Phone not found: copy it from your list",IF(AND(E1613&lt;&gt;"",COUNTIFS(DESK!$F$2:$F$601,C1613,DESK!$B$2:$B$601,E1613)=0),"Company is not one of theirs","OK"))))))</f>
        <v/>
      </c>
    </row>
    <row r="1614" spans="1:10"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time",IF(D1614="NO_SLOTS",IF(COUNTIF(PARTNERS!$A$2:$A$88,E1614)=0,"Write the company in column E","OK"),IF(C1614="","Missing phone",IF(COUNTIF(DESK!$F$2:$F$601,C1614)=0,"Phone not found: copy it from your list",IF(AND(E1614&lt;&gt;"",COUNTIFS(DESK!$F$2:$F$601,C1614,DESK!$B$2:$B$601,E1614)=0),"Company is not one of theirs","OK"))))))</f>
        <v/>
      </c>
    </row>
    <row r="1615" spans="1:10"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time",IF(D1615="NO_SLOTS",IF(COUNTIF(PARTNERS!$A$2:$A$88,E1615)=0,"Write the company in column E","OK"),IF(C1615="","Missing phone",IF(COUNTIF(DESK!$F$2:$F$601,C1615)=0,"Phone not found: copy it from your list",IF(AND(E1615&lt;&gt;"",COUNTIFS(DESK!$F$2:$F$601,C1615,DESK!$B$2:$B$601,E1615)=0),"Company is not one of theirs","OK"))))))</f>
        <v/>
      </c>
    </row>
    <row r="1616" spans="1:10"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time",IF(D1616="NO_SLOTS",IF(COUNTIF(PARTNERS!$A$2:$A$88,E1616)=0,"Write the company in column E","OK"),IF(C1616="","Missing phone",IF(COUNTIF(DESK!$F$2:$F$601,C1616)=0,"Phone not found: copy it from your list",IF(AND(E1616&lt;&gt;"",COUNTIFS(DESK!$F$2:$F$601,C1616,DESK!$B$2:$B$601,E1616)=0),"Company is not one of theirs","OK"))))))</f>
        <v/>
      </c>
    </row>
    <row r="1617" spans="1:10"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time",IF(D1617="NO_SLOTS",IF(COUNTIF(PARTNERS!$A$2:$A$88,E1617)=0,"Write the company in column E","OK"),IF(C1617="","Missing phone",IF(COUNTIF(DESK!$F$2:$F$601,C1617)=0,"Phone not found: copy it from your list",IF(AND(E1617&lt;&gt;"",COUNTIFS(DESK!$F$2:$F$601,C1617,DESK!$B$2:$B$601,E1617)=0),"Company is not one of theirs","OK"))))))</f>
        <v/>
      </c>
    </row>
    <row r="1618" spans="1:10"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time",IF(D1618="NO_SLOTS",IF(COUNTIF(PARTNERS!$A$2:$A$88,E1618)=0,"Write the company in column E","OK"),IF(C1618="","Missing phone",IF(COUNTIF(DESK!$F$2:$F$601,C1618)=0,"Phone not found: copy it from your list",IF(AND(E1618&lt;&gt;"",COUNTIFS(DESK!$F$2:$F$601,C1618,DESK!$B$2:$B$601,E1618)=0),"Company is not one of theirs","OK"))))))</f>
        <v/>
      </c>
    </row>
    <row r="1619" spans="1:10"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time",IF(D1619="NO_SLOTS",IF(COUNTIF(PARTNERS!$A$2:$A$88,E1619)=0,"Write the company in column E","OK"),IF(C1619="","Missing phone",IF(COUNTIF(DESK!$F$2:$F$601,C1619)=0,"Phone not found: copy it from your list",IF(AND(E1619&lt;&gt;"",COUNTIFS(DESK!$F$2:$F$601,C1619,DESK!$B$2:$B$601,E1619)=0),"Company is not one of theirs","OK"))))))</f>
        <v/>
      </c>
    </row>
    <row r="1620" spans="1:10"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time",IF(D1620="NO_SLOTS",IF(COUNTIF(PARTNERS!$A$2:$A$88,E1620)=0,"Write the company in column E","OK"),IF(C1620="","Missing phone",IF(COUNTIF(DESK!$F$2:$F$601,C1620)=0,"Phone not found: copy it from your list",IF(AND(E1620&lt;&gt;"",COUNTIFS(DESK!$F$2:$F$601,C1620,DESK!$B$2:$B$601,E1620)=0),"Company is not one of theirs","OK"))))))</f>
        <v/>
      </c>
    </row>
    <row r="1621" spans="1:10"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time",IF(D1621="NO_SLOTS",IF(COUNTIF(PARTNERS!$A$2:$A$88,E1621)=0,"Write the company in column E","OK"),IF(C1621="","Missing phone",IF(COUNTIF(DESK!$F$2:$F$601,C1621)=0,"Phone not found: copy it from your list",IF(AND(E1621&lt;&gt;"",COUNTIFS(DESK!$F$2:$F$601,C1621,DESK!$B$2:$B$601,E1621)=0),"Company is not one of theirs","OK"))))))</f>
        <v/>
      </c>
    </row>
    <row r="1622" spans="1:10"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time",IF(D1622="NO_SLOTS",IF(COUNTIF(PARTNERS!$A$2:$A$88,E1622)=0,"Write the company in column E","OK"),IF(C1622="","Missing phone",IF(COUNTIF(DESK!$F$2:$F$601,C1622)=0,"Phone not found: copy it from your list",IF(AND(E1622&lt;&gt;"",COUNTIFS(DESK!$F$2:$F$601,C1622,DESK!$B$2:$B$601,E1622)=0),"Company is not one of theirs","OK"))))))</f>
        <v/>
      </c>
    </row>
    <row r="1623" spans="1:10"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time",IF(D1623="NO_SLOTS",IF(COUNTIF(PARTNERS!$A$2:$A$88,E1623)=0,"Write the company in column E","OK"),IF(C1623="","Missing phone",IF(COUNTIF(DESK!$F$2:$F$601,C1623)=0,"Phone not found: copy it from your list",IF(AND(E1623&lt;&gt;"",COUNTIFS(DESK!$F$2:$F$601,C1623,DESK!$B$2:$B$601,E1623)=0),"Company is not one of theirs","OK"))))))</f>
        <v/>
      </c>
    </row>
    <row r="1624" spans="1:10"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time",IF(D1624="NO_SLOTS",IF(COUNTIF(PARTNERS!$A$2:$A$88,E1624)=0,"Write the company in column E","OK"),IF(C1624="","Missing phone",IF(COUNTIF(DESK!$F$2:$F$601,C1624)=0,"Phone not found: copy it from your list",IF(AND(E1624&lt;&gt;"",COUNTIFS(DESK!$F$2:$F$601,C1624,DESK!$B$2:$B$601,E1624)=0),"Company is not one of theirs","OK"))))))</f>
        <v/>
      </c>
    </row>
    <row r="1625" spans="1:10"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time",IF(D1625="NO_SLOTS",IF(COUNTIF(PARTNERS!$A$2:$A$88,E1625)=0,"Write the company in column E","OK"),IF(C1625="","Missing phone",IF(COUNTIF(DESK!$F$2:$F$601,C1625)=0,"Phone not found: copy it from your list",IF(AND(E1625&lt;&gt;"",COUNTIFS(DESK!$F$2:$F$601,C1625,DESK!$B$2:$B$601,E1625)=0),"Company is not one of theirs","OK"))))))</f>
        <v/>
      </c>
    </row>
    <row r="1626" spans="1:10"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time",IF(D1626="NO_SLOTS",IF(COUNTIF(PARTNERS!$A$2:$A$88,E1626)=0,"Write the company in column E","OK"),IF(C1626="","Missing phone",IF(COUNTIF(DESK!$F$2:$F$601,C1626)=0,"Phone not found: copy it from your list",IF(AND(E1626&lt;&gt;"",COUNTIFS(DESK!$F$2:$F$601,C1626,DESK!$B$2:$B$601,E1626)=0),"Company is not one of theirs","OK"))))))</f>
        <v/>
      </c>
    </row>
    <row r="1627" spans="1:10"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time",IF(D1627="NO_SLOTS",IF(COUNTIF(PARTNERS!$A$2:$A$88,E1627)=0,"Write the company in column E","OK"),IF(C1627="","Missing phone",IF(COUNTIF(DESK!$F$2:$F$601,C1627)=0,"Phone not found: copy it from your list",IF(AND(E1627&lt;&gt;"",COUNTIFS(DESK!$F$2:$F$601,C1627,DESK!$B$2:$B$601,E1627)=0),"Company is not one of theirs","OK"))))))</f>
        <v/>
      </c>
    </row>
    <row r="1628" spans="1:10"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time",IF(D1628="NO_SLOTS",IF(COUNTIF(PARTNERS!$A$2:$A$88,E1628)=0,"Write the company in column E","OK"),IF(C1628="","Missing phone",IF(COUNTIF(DESK!$F$2:$F$601,C1628)=0,"Phone not found: copy it from your list",IF(AND(E1628&lt;&gt;"",COUNTIFS(DESK!$F$2:$F$601,C1628,DESK!$B$2:$B$601,E1628)=0),"Company is not one of theirs","OK"))))))</f>
        <v/>
      </c>
    </row>
    <row r="1629" spans="1:10"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time",IF(D1629="NO_SLOTS",IF(COUNTIF(PARTNERS!$A$2:$A$88,E1629)=0,"Write the company in column E","OK"),IF(C1629="","Missing phone",IF(COUNTIF(DESK!$F$2:$F$601,C1629)=0,"Phone not found: copy it from your list",IF(AND(E1629&lt;&gt;"",COUNTIFS(DESK!$F$2:$F$601,C1629,DESK!$B$2:$B$601,E1629)=0),"Company is not one of theirs","OK"))))))</f>
        <v/>
      </c>
    </row>
    <row r="1630" spans="1:10"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time",IF(D1630="NO_SLOTS",IF(COUNTIF(PARTNERS!$A$2:$A$88,E1630)=0,"Write the company in column E","OK"),IF(C1630="","Missing phone",IF(COUNTIF(DESK!$F$2:$F$601,C1630)=0,"Phone not found: copy it from your list",IF(AND(E1630&lt;&gt;"",COUNTIFS(DESK!$F$2:$F$601,C1630,DESK!$B$2:$B$601,E1630)=0),"Company is not one of theirs","OK"))))))</f>
        <v/>
      </c>
    </row>
    <row r="1631" spans="1:10"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time",IF(D1631="NO_SLOTS",IF(COUNTIF(PARTNERS!$A$2:$A$88,E1631)=0,"Write the company in column E","OK"),IF(C1631="","Missing phone",IF(COUNTIF(DESK!$F$2:$F$601,C1631)=0,"Phone not found: copy it from your list",IF(AND(E1631&lt;&gt;"",COUNTIFS(DESK!$F$2:$F$601,C1631,DESK!$B$2:$B$601,E1631)=0),"Company is not one of theirs","OK"))))))</f>
        <v/>
      </c>
    </row>
    <row r="1632" spans="1:10"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time",IF(D1632="NO_SLOTS",IF(COUNTIF(PARTNERS!$A$2:$A$88,E1632)=0,"Write the company in column E","OK"),IF(C1632="","Missing phone",IF(COUNTIF(DESK!$F$2:$F$601,C1632)=0,"Phone not found: copy it from your list",IF(AND(E1632&lt;&gt;"",COUNTIFS(DESK!$F$2:$F$601,C1632,DESK!$B$2:$B$601,E1632)=0),"Company is not one of theirs","OK"))))))</f>
        <v/>
      </c>
    </row>
    <row r="1633" spans="1:10"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time",IF(D1633="NO_SLOTS",IF(COUNTIF(PARTNERS!$A$2:$A$88,E1633)=0,"Write the company in column E","OK"),IF(C1633="","Missing phone",IF(COUNTIF(DESK!$F$2:$F$601,C1633)=0,"Phone not found: copy it from your list",IF(AND(E1633&lt;&gt;"",COUNTIFS(DESK!$F$2:$F$601,C1633,DESK!$B$2:$B$601,E1633)=0),"Company is not one of theirs","OK"))))))</f>
        <v/>
      </c>
    </row>
    <row r="1634" spans="1:10"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time",IF(D1634="NO_SLOTS",IF(COUNTIF(PARTNERS!$A$2:$A$88,E1634)=0,"Write the company in column E","OK"),IF(C1634="","Missing phone",IF(COUNTIF(DESK!$F$2:$F$601,C1634)=0,"Phone not found: copy it from your list",IF(AND(E1634&lt;&gt;"",COUNTIFS(DESK!$F$2:$F$601,C1634,DESK!$B$2:$B$601,E1634)=0),"Company is not one of theirs","OK"))))))</f>
        <v/>
      </c>
    </row>
    <row r="1635" spans="1:10"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time",IF(D1635="NO_SLOTS",IF(COUNTIF(PARTNERS!$A$2:$A$88,E1635)=0,"Write the company in column E","OK"),IF(C1635="","Missing phone",IF(COUNTIF(DESK!$F$2:$F$601,C1635)=0,"Phone not found: copy it from your list",IF(AND(E1635&lt;&gt;"",COUNTIFS(DESK!$F$2:$F$601,C1635,DESK!$B$2:$B$601,E1635)=0),"Company is not one of theirs","OK"))))))</f>
        <v/>
      </c>
    </row>
    <row r="1636" spans="1:10"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time",IF(D1636="NO_SLOTS",IF(COUNTIF(PARTNERS!$A$2:$A$88,E1636)=0,"Write the company in column E","OK"),IF(C1636="","Missing phone",IF(COUNTIF(DESK!$F$2:$F$601,C1636)=0,"Phone not found: copy it from your list",IF(AND(E1636&lt;&gt;"",COUNTIFS(DESK!$F$2:$F$601,C1636,DESK!$B$2:$B$601,E1636)=0),"Company is not one of theirs","OK"))))))</f>
        <v/>
      </c>
    </row>
    <row r="1637" spans="1:10"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time",IF(D1637="NO_SLOTS",IF(COUNTIF(PARTNERS!$A$2:$A$88,E1637)=0,"Write the company in column E","OK"),IF(C1637="","Missing phone",IF(COUNTIF(DESK!$F$2:$F$601,C1637)=0,"Phone not found: copy it from your list",IF(AND(E1637&lt;&gt;"",COUNTIFS(DESK!$F$2:$F$601,C1637,DESK!$B$2:$B$601,E1637)=0),"Company is not one of theirs","OK"))))))</f>
        <v/>
      </c>
    </row>
    <row r="1638" spans="1:10"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time",IF(D1638="NO_SLOTS",IF(COUNTIF(PARTNERS!$A$2:$A$88,E1638)=0,"Write the company in column E","OK"),IF(C1638="","Missing phone",IF(COUNTIF(DESK!$F$2:$F$601,C1638)=0,"Phone not found: copy it from your list",IF(AND(E1638&lt;&gt;"",COUNTIFS(DESK!$F$2:$F$601,C1638,DESK!$B$2:$B$601,E1638)=0),"Company is not one of theirs","OK"))))))</f>
        <v/>
      </c>
    </row>
    <row r="1639" spans="1:10"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time",IF(D1639="NO_SLOTS",IF(COUNTIF(PARTNERS!$A$2:$A$88,E1639)=0,"Write the company in column E","OK"),IF(C1639="","Missing phone",IF(COUNTIF(DESK!$F$2:$F$601,C1639)=0,"Phone not found: copy it from your list",IF(AND(E1639&lt;&gt;"",COUNTIFS(DESK!$F$2:$F$601,C1639,DESK!$B$2:$B$601,E1639)=0),"Company is not one of theirs","OK"))))))</f>
        <v/>
      </c>
    </row>
    <row r="1640" spans="1:10"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time",IF(D1640="NO_SLOTS",IF(COUNTIF(PARTNERS!$A$2:$A$88,E1640)=0,"Write the company in column E","OK"),IF(C1640="","Missing phone",IF(COUNTIF(DESK!$F$2:$F$601,C1640)=0,"Phone not found: copy it from your list",IF(AND(E1640&lt;&gt;"",COUNTIFS(DESK!$F$2:$F$601,C1640,DESK!$B$2:$B$601,E1640)=0),"Company is not one of theirs","OK"))))))</f>
        <v/>
      </c>
    </row>
    <row r="1641" spans="1:10"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time",IF(D1641="NO_SLOTS",IF(COUNTIF(PARTNERS!$A$2:$A$88,E1641)=0,"Write the company in column E","OK"),IF(C1641="","Missing phone",IF(COUNTIF(DESK!$F$2:$F$601,C1641)=0,"Phone not found: copy it from your list",IF(AND(E1641&lt;&gt;"",COUNTIFS(DESK!$F$2:$F$601,C1641,DESK!$B$2:$B$601,E1641)=0),"Company is not one of theirs","OK"))))))</f>
        <v/>
      </c>
    </row>
    <row r="1642" spans="1:10"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time",IF(D1642="NO_SLOTS",IF(COUNTIF(PARTNERS!$A$2:$A$88,E1642)=0,"Write the company in column E","OK"),IF(C1642="","Missing phone",IF(COUNTIF(DESK!$F$2:$F$601,C1642)=0,"Phone not found: copy it from your list",IF(AND(E1642&lt;&gt;"",COUNTIFS(DESK!$F$2:$F$601,C1642,DESK!$B$2:$B$601,E1642)=0),"Company is not one of theirs","OK"))))))</f>
        <v/>
      </c>
    </row>
    <row r="1643" spans="1:10"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time",IF(D1643="NO_SLOTS",IF(COUNTIF(PARTNERS!$A$2:$A$88,E1643)=0,"Write the company in column E","OK"),IF(C1643="","Missing phone",IF(COUNTIF(DESK!$F$2:$F$601,C1643)=0,"Phone not found: copy it from your list",IF(AND(E1643&lt;&gt;"",COUNTIFS(DESK!$F$2:$F$601,C1643,DESK!$B$2:$B$601,E1643)=0),"Company is not one of theirs","OK"))))))</f>
        <v/>
      </c>
    </row>
    <row r="1644" spans="1:10"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time",IF(D1644="NO_SLOTS",IF(COUNTIF(PARTNERS!$A$2:$A$88,E1644)=0,"Write the company in column E","OK"),IF(C1644="","Missing phone",IF(COUNTIF(DESK!$F$2:$F$601,C1644)=0,"Phone not found: copy it from your list",IF(AND(E1644&lt;&gt;"",COUNTIFS(DESK!$F$2:$F$601,C1644,DESK!$B$2:$B$601,E1644)=0),"Company is not one of theirs","OK"))))))</f>
        <v/>
      </c>
    </row>
    <row r="1645" spans="1:10"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time",IF(D1645="NO_SLOTS",IF(COUNTIF(PARTNERS!$A$2:$A$88,E1645)=0,"Write the company in column E","OK"),IF(C1645="","Missing phone",IF(COUNTIF(DESK!$F$2:$F$601,C1645)=0,"Phone not found: copy it from your list",IF(AND(E1645&lt;&gt;"",COUNTIFS(DESK!$F$2:$F$601,C1645,DESK!$B$2:$B$601,E1645)=0),"Company is not one of theirs","OK"))))))</f>
        <v/>
      </c>
    </row>
    <row r="1646" spans="1:10"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time",IF(D1646="NO_SLOTS",IF(COUNTIF(PARTNERS!$A$2:$A$88,E1646)=0,"Write the company in column E","OK"),IF(C1646="","Missing phone",IF(COUNTIF(DESK!$F$2:$F$601,C1646)=0,"Phone not found: copy it from your list",IF(AND(E1646&lt;&gt;"",COUNTIFS(DESK!$F$2:$F$601,C1646,DESK!$B$2:$B$601,E1646)=0),"Company is not one of theirs","OK"))))))</f>
        <v/>
      </c>
    </row>
    <row r="1647" spans="1:10"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time",IF(D1647="NO_SLOTS",IF(COUNTIF(PARTNERS!$A$2:$A$88,E1647)=0,"Write the company in column E","OK"),IF(C1647="","Missing phone",IF(COUNTIF(DESK!$F$2:$F$601,C1647)=0,"Phone not found: copy it from your list",IF(AND(E1647&lt;&gt;"",COUNTIFS(DESK!$F$2:$F$601,C1647,DESK!$B$2:$B$601,E1647)=0),"Company is not one of theirs","OK"))))))</f>
        <v/>
      </c>
    </row>
    <row r="1648" spans="1:10"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time",IF(D1648="NO_SLOTS",IF(COUNTIF(PARTNERS!$A$2:$A$88,E1648)=0,"Write the company in column E","OK"),IF(C1648="","Missing phone",IF(COUNTIF(DESK!$F$2:$F$601,C1648)=0,"Phone not found: copy it from your list",IF(AND(E1648&lt;&gt;"",COUNTIFS(DESK!$F$2:$F$601,C1648,DESK!$B$2:$B$601,E1648)=0),"Company is not one of theirs","OK"))))))</f>
        <v/>
      </c>
    </row>
    <row r="1649" spans="1:10"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time",IF(D1649="NO_SLOTS",IF(COUNTIF(PARTNERS!$A$2:$A$88,E1649)=0,"Write the company in column E","OK"),IF(C1649="","Missing phone",IF(COUNTIF(DESK!$F$2:$F$601,C1649)=0,"Phone not found: copy it from your list",IF(AND(E1649&lt;&gt;"",COUNTIFS(DESK!$F$2:$F$601,C1649,DESK!$B$2:$B$601,E1649)=0),"Company is not one of theirs","OK"))))))</f>
        <v/>
      </c>
    </row>
    <row r="1650" spans="1:10"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time",IF(D1650="NO_SLOTS",IF(COUNTIF(PARTNERS!$A$2:$A$88,E1650)=0,"Write the company in column E","OK"),IF(C1650="","Missing phone",IF(COUNTIF(DESK!$F$2:$F$601,C1650)=0,"Phone not found: copy it from your list",IF(AND(E1650&lt;&gt;"",COUNTIFS(DESK!$F$2:$F$601,C1650,DESK!$B$2:$B$601,E1650)=0),"Company is not one of theirs","OK"))))))</f>
        <v/>
      </c>
    </row>
    <row r="1651" spans="1:10"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time",IF(D1651="NO_SLOTS",IF(COUNTIF(PARTNERS!$A$2:$A$88,E1651)=0,"Write the company in column E","OK"),IF(C1651="","Missing phone",IF(COUNTIF(DESK!$F$2:$F$601,C1651)=0,"Phone not found: copy it from your list",IF(AND(E1651&lt;&gt;"",COUNTIFS(DESK!$F$2:$F$601,C1651,DESK!$B$2:$B$601,E1651)=0),"Company is not one of theirs","OK"))))))</f>
        <v/>
      </c>
    </row>
    <row r="1652" spans="1:10"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time",IF(D1652="NO_SLOTS",IF(COUNTIF(PARTNERS!$A$2:$A$88,E1652)=0,"Write the company in column E","OK"),IF(C1652="","Missing phone",IF(COUNTIF(DESK!$F$2:$F$601,C1652)=0,"Phone not found: copy it from your list",IF(AND(E1652&lt;&gt;"",COUNTIFS(DESK!$F$2:$F$601,C1652,DESK!$B$2:$B$601,E1652)=0),"Company is not one of theirs","OK"))))))</f>
        <v/>
      </c>
    </row>
    <row r="1653" spans="1:10"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time",IF(D1653="NO_SLOTS",IF(COUNTIF(PARTNERS!$A$2:$A$88,E1653)=0,"Write the company in column E","OK"),IF(C1653="","Missing phone",IF(COUNTIF(DESK!$F$2:$F$601,C1653)=0,"Phone not found: copy it from your list",IF(AND(E1653&lt;&gt;"",COUNTIFS(DESK!$F$2:$F$601,C1653,DESK!$B$2:$B$601,E1653)=0),"Company is not one of theirs","OK"))))))</f>
        <v/>
      </c>
    </row>
    <row r="1654" spans="1:10"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time",IF(D1654="NO_SLOTS",IF(COUNTIF(PARTNERS!$A$2:$A$88,E1654)=0,"Write the company in column E","OK"),IF(C1654="","Missing phone",IF(COUNTIF(DESK!$F$2:$F$601,C1654)=0,"Phone not found: copy it from your list",IF(AND(E1654&lt;&gt;"",COUNTIFS(DESK!$F$2:$F$601,C1654,DESK!$B$2:$B$601,E1654)=0),"Company is not one of theirs","OK"))))))</f>
        <v/>
      </c>
    </row>
    <row r="1655" spans="1:10"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time",IF(D1655="NO_SLOTS",IF(COUNTIF(PARTNERS!$A$2:$A$88,E1655)=0,"Write the company in column E","OK"),IF(C1655="","Missing phone",IF(COUNTIF(DESK!$F$2:$F$601,C1655)=0,"Phone not found: copy it from your list",IF(AND(E1655&lt;&gt;"",COUNTIFS(DESK!$F$2:$F$601,C1655,DESK!$B$2:$B$601,E1655)=0),"Company is not one of theirs","OK"))))))</f>
        <v/>
      </c>
    </row>
    <row r="1656" spans="1:10"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time",IF(D1656="NO_SLOTS",IF(COUNTIF(PARTNERS!$A$2:$A$88,E1656)=0,"Write the company in column E","OK"),IF(C1656="","Missing phone",IF(COUNTIF(DESK!$F$2:$F$601,C1656)=0,"Phone not found: copy it from your list",IF(AND(E1656&lt;&gt;"",COUNTIFS(DESK!$F$2:$F$601,C1656,DESK!$B$2:$B$601,E1656)=0),"Company is not one of theirs","OK"))))))</f>
        <v/>
      </c>
    </row>
    <row r="1657" spans="1:10"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time",IF(D1657="NO_SLOTS",IF(COUNTIF(PARTNERS!$A$2:$A$88,E1657)=0,"Write the company in column E","OK"),IF(C1657="","Missing phone",IF(COUNTIF(DESK!$F$2:$F$601,C1657)=0,"Phone not found: copy it from your list",IF(AND(E1657&lt;&gt;"",COUNTIFS(DESK!$F$2:$F$601,C1657,DESK!$B$2:$B$601,E1657)=0),"Company is not one of theirs","OK"))))))</f>
        <v/>
      </c>
    </row>
    <row r="1658" spans="1:10"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time",IF(D1658="NO_SLOTS",IF(COUNTIF(PARTNERS!$A$2:$A$88,E1658)=0,"Write the company in column E","OK"),IF(C1658="","Missing phone",IF(COUNTIF(DESK!$F$2:$F$601,C1658)=0,"Phone not found: copy it from your list",IF(AND(E1658&lt;&gt;"",COUNTIFS(DESK!$F$2:$F$601,C1658,DESK!$B$2:$B$601,E1658)=0),"Company is not one of theirs","OK"))))))</f>
        <v/>
      </c>
    </row>
    <row r="1659" spans="1:10"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time",IF(D1659="NO_SLOTS",IF(COUNTIF(PARTNERS!$A$2:$A$88,E1659)=0,"Write the company in column E","OK"),IF(C1659="","Missing phone",IF(COUNTIF(DESK!$F$2:$F$601,C1659)=0,"Phone not found: copy it from your list",IF(AND(E1659&lt;&gt;"",COUNTIFS(DESK!$F$2:$F$601,C1659,DESK!$B$2:$B$601,E1659)=0),"Company is not one of theirs","OK"))))))</f>
        <v/>
      </c>
    </row>
    <row r="1660" spans="1:10"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time",IF(D1660="NO_SLOTS",IF(COUNTIF(PARTNERS!$A$2:$A$88,E1660)=0,"Write the company in column E","OK"),IF(C1660="","Missing phone",IF(COUNTIF(DESK!$F$2:$F$601,C1660)=0,"Phone not found: copy it from your list",IF(AND(E1660&lt;&gt;"",COUNTIFS(DESK!$F$2:$F$601,C1660,DESK!$B$2:$B$601,E1660)=0),"Company is not one of theirs","OK"))))))</f>
        <v/>
      </c>
    </row>
    <row r="1661" spans="1:10"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time",IF(D1661="NO_SLOTS",IF(COUNTIF(PARTNERS!$A$2:$A$88,E1661)=0,"Write the company in column E","OK"),IF(C1661="","Missing phone",IF(COUNTIF(DESK!$F$2:$F$601,C1661)=0,"Phone not found: copy it from your list",IF(AND(E1661&lt;&gt;"",COUNTIFS(DESK!$F$2:$F$601,C1661,DESK!$B$2:$B$601,E1661)=0),"Company is not one of theirs","OK"))))))</f>
        <v/>
      </c>
    </row>
    <row r="1662" spans="1:10"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time",IF(D1662="NO_SLOTS",IF(COUNTIF(PARTNERS!$A$2:$A$88,E1662)=0,"Write the company in column E","OK"),IF(C1662="","Missing phone",IF(COUNTIF(DESK!$F$2:$F$601,C1662)=0,"Phone not found: copy it from your list",IF(AND(E1662&lt;&gt;"",COUNTIFS(DESK!$F$2:$F$601,C1662,DESK!$B$2:$B$601,E1662)=0),"Company is not one of theirs","OK"))))))</f>
        <v/>
      </c>
    </row>
    <row r="1663" spans="1:10"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time",IF(D1663="NO_SLOTS",IF(COUNTIF(PARTNERS!$A$2:$A$88,E1663)=0,"Write the company in column E","OK"),IF(C1663="","Missing phone",IF(COUNTIF(DESK!$F$2:$F$601,C1663)=0,"Phone not found: copy it from your list",IF(AND(E1663&lt;&gt;"",COUNTIFS(DESK!$F$2:$F$601,C1663,DESK!$B$2:$B$601,E1663)=0),"Company is not one of theirs","OK"))))))</f>
        <v/>
      </c>
    </row>
    <row r="1664" spans="1:10"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time",IF(D1664="NO_SLOTS",IF(COUNTIF(PARTNERS!$A$2:$A$88,E1664)=0,"Write the company in column E","OK"),IF(C1664="","Missing phone",IF(COUNTIF(DESK!$F$2:$F$601,C1664)=0,"Phone not found: copy it from your list",IF(AND(E1664&lt;&gt;"",COUNTIFS(DESK!$F$2:$F$601,C1664,DESK!$B$2:$B$601,E1664)=0),"Company is not one of theirs","OK"))))))</f>
        <v/>
      </c>
    </row>
    <row r="1665" spans="1:10"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time",IF(D1665="NO_SLOTS",IF(COUNTIF(PARTNERS!$A$2:$A$88,E1665)=0,"Write the company in column E","OK"),IF(C1665="","Missing phone",IF(COUNTIF(DESK!$F$2:$F$601,C1665)=0,"Phone not found: copy it from your list",IF(AND(E1665&lt;&gt;"",COUNTIFS(DESK!$F$2:$F$601,C1665,DESK!$B$2:$B$601,E1665)=0),"Company is not one of theirs","OK"))))))</f>
        <v/>
      </c>
    </row>
    <row r="1666" spans="1:10"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time",IF(D1666="NO_SLOTS",IF(COUNTIF(PARTNERS!$A$2:$A$88,E1666)=0,"Write the company in column E","OK"),IF(C1666="","Missing phone",IF(COUNTIF(DESK!$F$2:$F$601,C1666)=0,"Phone not found: copy it from your list",IF(AND(E1666&lt;&gt;"",COUNTIFS(DESK!$F$2:$F$601,C1666,DESK!$B$2:$B$601,E1666)=0),"Company is not one of theirs","OK"))))))</f>
        <v/>
      </c>
    </row>
    <row r="1667" spans="1:10"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time",IF(D1667="NO_SLOTS",IF(COUNTIF(PARTNERS!$A$2:$A$88,E1667)=0,"Write the company in column E","OK"),IF(C1667="","Missing phone",IF(COUNTIF(DESK!$F$2:$F$601,C1667)=0,"Phone not found: copy it from your list",IF(AND(E1667&lt;&gt;"",COUNTIFS(DESK!$F$2:$F$601,C1667,DESK!$B$2:$B$601,E1667)=0),"Company is not one of theirs","OK"))))))</f>
        <v/>
      </c>
    </row>
    <row r="1668" spans="1:10"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time",IF(D1668="NO_SLOTS",IF(COUNTIF(PARTNERS!$A$2:$A$88,E1668)=0,"Write the company in column E","OK"),IF(C1668="","Missing phone",IF(COUNTIF(DESK!$F$2:$F$601,C1668)=0,"Phone not found: copy it from your list",IF(AND(E1668&lt;&gt;"",COUNTIFS(DESK!$F$2:$F$601,C1668,DESK!$B$2:$B$601,E1668)=0),"Company is not one of theirs","OK"))))))</f>
        <v/>
      </c>
    </row>
    <row r="1669" spans="1:10"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time",IF(D1669="NO_SLOTS",IF(COUNTIF(PARTNERS!$A$2:$A$88,E1669)=0,"Write the company in column E","OK"),IF(C1669="","Missing phone",IF(COUNTIF(DESK!$F$2:$F$601,C1669)=0,"Phone not found: copy it from your list",IF(AND(E1669&lt;&gt;"",COUNTIFS(DESK!$F$2:$F$601,C1669,DESK!$B$2:$B$601,E1669)=0),"Company is not one of theirs","OK"))))))</f>
        <v/>
      </c>
    </row>
    <row r="1670" spans="1:10"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time",IF(D1670="NO_SLOTS",IF(COUNTIF(PARTNERS!$A$2:$A$88,E1670)=0,"Write the company in column E","OK"),IF(C1670="","Missing phone",IF(COUNTIF(DESK!$F$2:$F$601,C1670)=0,"Phone not found: copy it from your list",IF(AND(E1670&lt;&gt;"",COUNTIFS(DESK!$F$2:$F$601,C1670,DESK!$B$2:$B$601,E1670)=0),"Company is not one of theirs","OK"))))))</f>
        <v/>
      </c>
    </row>
    <row r="1671" spans="1:10"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time",IF(D1671="NO_SLOTS",IF(COUNTIF(PARTNERS!$A$2:$A$88,E1671)=0,"Write the company in column E","OK"),IF(C1671="","Missing phone",IF(COUNTIF(DESK!$F$2:$F$601,C1671)=0,"Phone not found: copy it from your list",IF(AND(E1671&lt;&gt;"",COUNTIFS(DESK!$F$2:$F$601,C1671,DESK!$B$2:$B$601,E1671)=0),"Company is not one of theirs","OK"))))))</f>
        <v/>
      </c>
    </row>
    <row r="1672" spans="1:10"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time",IF(D1672="NO_SLOTS",IF(COUNTIF(PARTNERS!$A$2:$A$88,E1672)=0,"Write the company in column E","OK"),IF(C1672="","Missing phone",IF(COUNTIF(DESK!$F$2:$F$601,C1672)=0,"Phone not found: copy it from your list",IF(AND(E1672&lt;&gt;"",COUNTIFS(DESK!$F$2:$F$601,C1672,DESK!$B$2:$B$601,E1672)=0),"Company is not one of theirs","OK"))))))</f>
        <v/>
      </c>
    </row>
    <row r="1673" spans="1:10"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time",IF(D1673="NO_SLOTS",IF(COUNTIF(PARTNERS!$A$2:$A$88,E1673)=0,"Write the company in column E","OK"),IF(C1673="","Missing phone",IF(COUNTIF(DESK!$F$2:$F$601,C1673)=0,"Phone not found: copy it from your list",IF(AND(E1673&lt;&gt;"",COUNTIFS(DESK!$F$2:$F$601,C1673,DESK!$B$2:$B$601,E1673)=0),"Company is not one of theirs","OK"))))))</f>
        <v/>
      </c>
    </row>
    <row r="1674" spans="1:10"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time",IF(D1674="NO_SLOTS",IF(COUNTIF(PARTNERS!$A$2:$A$88,E1674)=0,"Write the company in column E","OK"),IF(C1674="","Missing phone",IF(COUNTIF(DESK!$F$2:$F$601,C1674)=0,"Phone not found: copy it from your list",IF(AND(E1674&lt;&gt;"",COUNTIFS(DESK!$F$2:$F$601,C1674,DESK!$B$2:$B$601,E1674)=0),"Company is not one of theirs","OK"))))))</f>
        <v/>
      </c>
    </row>
    <row r="1675" spans="1:10"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time",IF(D1675="NO_SLOTS",IF(COUNTIF(PARTNERS!$A$2:$A$88,E1675)=0,"Write the company in column E","OK"),IF(C1675="","Missing phone",IF(COUNTIF(DESK!$F$2:$F$601,C1675)=0,"Phone not found: copy it from your list",IF(AND(E1675&lt;&gt;"",COUNTIFS(DESK!$F$2:$F$601,C1675,DESK!$B$2:$B$601,E1675)=0),"Company is not one of theirs","OK"))))))</f>
        <v/>
      </c>
    </row>
    <row r="1676" spans="1:10"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time",IF(D1676="NO_SLOTS",IF(COUNTIF(PARTNERS!$A$2:$A$88,E1676)=0,"Write the company in column E","OK"),IF(C1676="","Missing phone",IF(COUNTIF(DESK!$F$2:$F$601,C1676)=0,"Phone not found: copy it from your list",IF(AND(E1676&lt;&gt;"",COUNTIFS(DESK!$F$2:$F$601,C1676,DESK!$B$2:$B$601,E1676)=0),"Company is not one of theirs","OK"))))))</f>
        <v/>
      </c>
    </row>
    <row r="1677" spans="1:10"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time",IF(D1677="NO_SLOTS",IF(COUNTIF(PARTNERS!$A$2:$A$88,E1677)=0,"Write the company in column E","OK"),IF(C1677="","Missing phone",IF(COUNTIF(DESK!$F$2:$F$601,C1677)=0,"Phone not found: copy it from your list",IF(AND(E1677&lt;&gt;"",COUNTIFS(DESK!$F$2:$F$601,C1677,DESK!$B$2:$B$601,E1677)=0),"Company is not one of theirs","OK"))))))</f>
        <v/>
      </c>
    </row>
    <row r="1678" spans="1:10"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time",IF(D1678="NO_SLOTS",IF(COUNTIF(PARTNERS!$A$2:$A$88,E1678)=0,"Write the company in column E","OK"),IF(C1678="","Missing phone",IF(COUNTIF(DESK!$F$2:$F$601,C1678)=0,"Phone not found: copy it from your list",IF(AND(E1678&lt;&gt;"",COUNTIFS(DESK!$F$2:$F$601,C1678,DESK!$B$2:$B$601,E1678)=0),"Company is not one of theirs","OK"))))))</f>
        <v/>
      </c>
    </row>
    <row r="1679" spans="1:10"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time",IF(D1679="NO_SLOTS",IF(COUNTIF(PARTNERS!$A$2:$A$88,E1679)=0,"Write the company in column E","OK"),IF(C1679="","Missing phone",IF(COUNTIF(DESK!$F$2:$F$601,C1679)=0,"Phone not found: copy it from your list",IF(AND(E1679&lt;&gt;"",COUNTIFS(DESK!$F$2:$F$601,C1679,DESK!$B$2:$B$601,E1679)=0),"Company is not one of theirs","OK"))))))</f>
        <v/>
      </c>
    </row>
    <row r="1680" spans="1:10"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time",IF(D1680="NO_SLOTS",IF(COUNTIF(PARTNERS!$A$2:$A$88,E1680)=0,"Write the company in column E","OK"),IF(C1680="","Missing phone",IF(COUNTIF(DESK!$F$2:$F$601,C1680)=0,"Phone not found: copy it from your list",IF(AND(E1680&lt;&gt;"",COUNTIFS(DESK!$F$2:$F$601,C1680,DESK!$B$2:$B$601,E1680)=0),"Company is not one of theirs","OK"))))))</f>
        <v/>
      </c>
    </row>
    <row r="1681" spans="1:10"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time",IF(D1681="NO_SLOTS",IF(COUNTIF(PARTNERS!$A$2:$A$88,E1681)=0,"Write the company in column E","OK"),IF(C1681="","Missing phone",IF(COUNTIF(DESK!$F$2:$F$601,C1681)=0,"Phone not found: copy it from your list",IF(AND(E1681&lt;&gt;"",COUNTIFS(DESK!$F$2:$F$601,C1681,DESK!$B$2:$B$601,E1681)=0),"Company is not one of theirs","OK"))))))</f>
        <v/>
      </c>
    </row>
    <row r="1682" spans="1:10"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time",IF(D1682="NO_SLOTS",IF(COUNTIF(PARTNERS!$A$2:$A$88,E1682)=0,"Write the company in column E","OK"),IF(C1682="","Missing phone",IF(COUNTIF(DESK!$F$2:$F$601,C1682)=0,"Phone not found: copy it from your list",IF(AND(E1682&lt;&gt;"",COUNTIFS(DESK!$F$2:$F$601,C1682,DESK!$B$2:$B$601,E1682)=0),"Company is not one of theirs","OK"))))))</f>
        <v/>
      </c>
    </row>
    <row r="1683" spans="1:10"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time",IF(D1683="NO_SLOTS",IF(COUNTIF(PARTNERS!$A$2:$A$88,E1683)=0,"Write the company in column E","OK"),IF(C1683="","Missing phone",IF(COUNTIF(DESK!$F$2:$F$601,C1683)=0,"Phone not found: copy it from your list",IF(AND(E1683&lt;&gt;"",COUNTIFS(DESK!$F$2:$F$601,C1683,DESK!$B$2:$B$601,E1683)=0),"Company is not one of theirs","OK"))))))</f>
        <v/>
      </c>
    </row>
    <row r="1684" spans="1:10"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time",IF(D1684="NO_SLOTS",IF(COUNTIF(PARTNERS!$A$2:$A$88,E1684)=0,"Write the company in column E","OK"),IF(C1684="","Missing phone",IF(COUNTIF(DESK!$F$2:$F$601,C1684)=0,"Phone not found: copy it from your list",IF(AND(E1684&lt;&gt;"",COUNTIFS(DESK!$F$2:$F$601,C1684,DESK!$B$2:$B$601,E1684)=0),"Company is not one of theirs","OK"))))))</f>
        <v/>
      </c>
    </row>
    <row r="1685" spans="1:10"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time",IF(D1685="NO_SLOTS",IF(COUNTIF(PARTNERS!$A$2:$A$88,E1685)=0,"Write the company in column E","OK"),IF(C1685="","Missing phone",IF(COUNTIF(DESK!$F$2:$F$601,C1685)=0,"Phone not found: copy it from your list",IF(AND(E1685&lt;&gt;"",COUNTIFS(DESK!$F$2:$F$601,C1685,DESK!$B$2:$B$601,E1685)=0),"Company is not one of theirs","OK"))))))</f>
        <v/>
      </c>
    </row>
    <row r="1686" spans="1:10"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time",IF(D1686="NO_SLOTS",IF(COUNTIF(PARTNERS!$A$2:$A$88,E1686)=0,"Write the company in column E","OK"),IF(C1686="","Missing phone",IF(COUNTIF(DESK!$F$2:$F$601,C1686)=0,"Phone not found: copy it from your list",IF(AND(E1686&lt;&gt;"",COUNTIFS(DESK!$F$2:$F$601,C1686,DESK!$B$2:$B$601,E1686)=0),"Company is not one of theirs","OK"))))))</f>
        <v/>
      </c>
    </row>
    <row r="1687" spans="1:10"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time",IF(D1687="NO_SLOTS",IF(COUNTIF(PARTNERS!$A$2:$A$88,E1687)=0,"Write the company in column E","OK"),IF(C1687="","Missing phone",IF(COUNTIF(DESK!$F$2:$F$601,C1687)=0,"Phone not found: copy it from your list",IF(AND(E1687&lt;&gt;"",COUNTIFS(DESK!$F$2:$F$601,C1687,DESK!$B$2:$B$601,E1687)=0),"Company is not one of theirs","OK"))))))</f>
        <v/>
      </c>
    </row>
    <row r="1688" spans="1:10"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time",IF(D1688="NO_SLOTS",IF(COUNTIF(PARTNERS!$A$2:$A$88,E1688)=0,"Write the company in column E","OK"),IF(C1688="","Missing phone",IF(COUNTIF(DESK!$F$2:$F$601,C1688)=0,"Phone not found: copy it from your list",IF(AND(E1688&lt;&gt;"",COUNTIFS(DESK!$F$2:$F$601,C1688,DESK!$B$2:$B$601,E1688)=0),"Company is not one of theirs","OK"))))))</f>
        <v/>
      </c>
    </row>
    <row r="1689" spans="1:10"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time",IF(D1689="NO_SLOTS",IF(COUNTIF(PARTNERS!$A$2:$A$88,E1689)=0,"Write the company in column E","OK"),IF(C1689="","Missing phone",IF(COUNTIF(DESK!$F$2:$F$601,C1689)=0,"Phone not found: copy it from your list",IF(AND(E1689&lt;&gt;"",COUNTIFS(DESK!$F$2:$F$601,C1689,DESK!$B$2:$B$601,E1689)=0),"Company is not one of theirs","OK"))))))</f>
        <v/>
      </c>
    </row>
    <row r="1690" spans="1:10"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time",IF(D1690="NO_SLOTS",IF(COUNTIF(PARTNERS!$A$2:$A$88,E1690)=0,"Write the company in column E","OK"),IF(C1690="","Missing phone",IF(COUNTIF(DESK!$F$2:$F$601,C1690)=0,"Phone not found: copy it from your list",IF(AND(E1690&lt;&gt;"",COUNTIFS(DESK!$F$2:$F$601,C1690,DESK!$B$2:$B$601,E1690)=0),"Company is not one of theirs","OK"))))))</f>
        <v/>
      </c>
    </row>
    <row r="1691" spans="1:10"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time",IF(D1691="NO_SLOTS",IF(COUNTIF(PARTNERS!$A$2:$A$88,E1691)=0,"Write the company in column E","OK"),IF(C1691="","Missing phone",IF(COUNTIF(DESK!$F$2:$F$601,C1691)=0,"Phone not found: copy it from your list",IF(AND(E1691&lt;&gt;"",COUNTIFS(DESK!$F$2:$F$601,C1691,DESK!$B$2:$B$601,E1691)=0),"Company is not one of theirs","OK"))))))</f>
        <v/>
      </c>
    </row>
    <row r="1692" spans="1:10"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time",IF(D1692="NO_SLOTS",IF(COUNTIF(PARTNERS!$A$2:$A$88,E1692)=0,"Write the company in column E","OK"),IF(C1692="","Missing phone",IF(COUNTIF(DESK!$F$2:$F$601,C1692)=0,"Phone not found: copy it from your list",IF(AND(E1692&lt;&gt;"",COUNTIFS(DESK!$F$2:$F$601,C1692,DESK!$B$2:$B$601,E1692)=0),"Company is not one of theirs","OK"))))))</f>
        <v/>
      </c>
    </row>
    <row r="1693" spans="1:10"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time",IF(D1693="NO_SLOTS",IF(COUNTIF(PARTNERS!$A$2:$A$88,E1693)=0,"Write the company in column E","OK"),IF(C1693="","Missing phone",IF(COUNTIF(DESK!$F$2:$F$601,C1693)=0,"Phone not found: copy it from your list",IF(AND(E1693&lt;&gt;"",COUNTIFS(DESK!$F$2:$F$601,C1693,DESK!$B$2:$B$601,E1693)=0),"Company is not one of theirs","OK"))))))</f>
        <v/>
      </c>
    </row>
    <row r="1694" spans="1:10"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time",IF(D1694="NO_SLOTS",IF(COUNTIF(PARTNERS!$A$2:$A$88,E1694)=0,"Write the company in column E","OK"),IF(C1694="","Missing phone",IF(COUNTIF(DESK!$F$2:$F$601,C1694)=0,"Phone not found: copy it from your list",IF(AND(E1694&lt;&gt;"",COUNTIFS(DESK!$F$2:$F$601,C1694,DESK!$B$2:$B$601,E1694)=0),"Company is not one of theirs","OK"))))))</f>
        <v/>
      </c>
    </row>
    <row r="1695" spans="1:10"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time",IF(D1695="NO_SLOTS",IF(COUNTIF(PARTNERS!$A$2:$A$88,E1695)=0,"Write the company in column E","OK"),IF(C1695="","Missing phone",IF(COUNTIF(DESK!$F$2:$F$601,C1695)=0,"Phone not found: copy it from your list",IF(AND(E1695&lt;&gt;"",COUNTIFS(DESK!$F$2:$F$601,C1695,DESK!$B$2:$B$601,E1695)=0),"Company is not one of theirs","OK"))))))</f>
        <v/>
      </c>
    </row>
    <row r="1696" spans="1:10"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time",IF(D1696="NO_SLOTS",IF(COUNTIF(PARTNERS!$A$2:$A$88,E1696)=0,"Write the company in column E","OK"),IF(C1696="","Missing phone",IF(COUNTIF(DESK!$F$2:$F$601,C1696)=0,"Phone not found: copy it from your list",IF(AND(E1696&lt;&gt;"",COUNTIFS(DESK!$F$2:$F$601,C1696,DESK!$B$2:$B$601,E1696)=0),"Company is not one of theirs","OK"))))))</f>
        <v/>
      </c>
    </row>
    <row r="1697" spans="1:10"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time",IF(D1697="NO_SLOTS",IF(COUNTIF(PARTNERS!$A$2:$A$88,E1697)=0,"Write the company in column E","OK"),IF(C1697="","Missing phone",IF(COUNTIF(DESK!$F$2:$F$601,C1697)=0,"Phone not found: copy it from your list",IF(AND(E1697&lt;&gt;"",COUNTIFS(DESK!$F$2:$F$601,C1697,DESK!$B$2:$B$601,E1697)=0),"Company is not one of theirs","OK"))))))</f>
        <v/>
      </c>
    </row>
    <row r="1698" spans="1:10"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time",IF(D1698="NO_SLOTS",IF(COUNTIF(PARTNERS!$A$2:$A$88,E1698)=0,"Write the company in column E","OK"),IF(C1698="","Missing phone",IF(COUNTIF(DESK!$F$2:$F$601,C1698)=0,"Phone not found: copy it from your list",IF(AND(E1698&lt;&gt;"",COUNTIFS(DESK!$F$2:$F$601,C1698,DESK!$B$2:$B$601,E1698)=0),"Company is not one of theirs","OK"))))))</f>
        <v/>
      </c>
    </row>
    <row r="1699" spans="1:10"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time",IF(D1699="NO_SLOTS",IF(COUNTIF(PARTNERS!$A$2:$A$88,E1699)=0,"Write the company in column E","OK"),IF(C1699="","Missing phone",IF(COUNTIF(DESK!$F$2:$F$601,C1699)=0,"Phone not found: copy it from your list",IF(AND(E1699&lt;&gt;"",COUNTIFS(DESK!$F$2:$F$601,C1699,DESK!$B$2:$B$601,E1699)=0),"Company is not one of theirs","OK"))))))</f>
        <v/>
      </c>
    </row>
    <row r="1700" spans="1:10"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time",IF(D1700="NO_SLOTS",IF(COUNTIF(PARTNERS!$A$2:$A$88,E1700)=0,"Write the company in column E","OK"),IF(C1700="","Missing phone",IF(COUNTIF(DESK!$F$2:$F$601,C1700)=0,"Phone not found: copy it from your list",IF(AND(E1700&lt;&gt;"",COUNTIFS(DESK!$F$2:$F$601,C1700,DESK!$B$2:$B$601,E1700)=0),"Company is not one of theirs","OK"))))))</f>
        <v/>
      </c>
    </row>
    <row r="1701" spans="1:10"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time",IF(D1701="NO_SLOTS",IF(COUNTIF(PARTNERS!$A$2:$A$88,E1701)=0,"Write the company in column E","OK"),IF(C1701="","Missing phone",IF(COUNTIF(DESK!$F$2:$F$601,C1701)=0,"Phone not found: copy it from your list",IF(AND(E1701&lt;&gt;"",COUNTIFS(DESK!$F$2:$F$601,C1701,DESK!$B$2:$B$601,E1701)=0),"Company is not one of theirs","OK"))))))</f>
        <v/>
      </c>
    </row>
    <row r="1702" spans="1:10"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time",IF(D1702="NO_SLOTS",IF(COUNTIF(PARTNERS!$A$2:$A$88,E1702)=0,"Write the company in column E","OK"),IF(C1702="","Missing phone",IF(COUNTIF(DESK!$F$2:$F$601,C1702)=0,"Phone not found: copy it from your list",IF(AND(E1702&lt;&gt;"",COUNTIFS(DESK!$F$2:$F$601,C1702,DESK!$B$2:$B$601,E1702)=0),"Company is not one of theirs","OK"))))))</f>
        <v/>
      </c>
    </row>
    <row r="1703" spans="1:10"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time",IF(D1703="NO_SLOTS",IF(COUNTIF(PARTNERS!$A$2:$A$88,E1703)=0,"Write the company in column E","OK"),IF(C1703="","Missing phone",IF(COUNTIF(DESK!$F$2:$F$601,C1703)=0,"Phone not found: copy it from your list",IF(AND(E1703&lt;&gt;"",COUNTIFS(DESK!$F$2:$F$601,C1703,DESK!$B$2:$B$601,E1703)=0),"Company is not one of theirs","OK"))))))</f>
        <v/>
      </c>
    </row>
    <row r="1704" spans="1:10"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time",IF(D1704="NO_SLOTS",IF(COUNTIF(PARTNERS!$A$2:$A$88,E1704)=0,"Write the company in column E","OK"),IF(C1704="","Missing phone",IF(COUNTIF(DESK!$F$2:$F$601,C1704)=0,"Phone not found: copy it from your list",IF(AND(E1704&lt;&gt;"",COUNTIFS(DESK!$F$2:$F$601,C1704,DESK!$B$2:$B$601,E1704)=0),"Company is not one of theirs","OK"))))))</f>
        <v/>
      </c>
    </row>
    <row r="1705" spans="1:10"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time",IF(D1705="NO_SLOTS",IF(COUNTIF(PARTNERS!$A$2:$A$88,E1705)=0,"Write the company in column E","OK"),IF(C1705="","Missing phone",IF(COUNTIF(DESK!$F$2:$F$601,C1705)=0,"Phone not found: copy it from your list",IF(AND(E1705&lt;&gt;"",COUNTIFS(DESK!$F$2:$F$601,C1705,DESK!$B$2:$B$601,E1705)=0),"Company is not one of theirs","OK"))))))</f>
        <v/>
      </c>
    </row>
    <row r="1706" spans="1:10"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time",IF(D1706="NO_SLOTS",IF(COUNTIF(PARTNERS!$A$2:$A$88,E1706)=0,"Write the company in column E","OK"),IF(C1706="","Missing phone",IF(COUNTIF(DESK!$F$2:$F$601,C1706)=0,"Phone not found: copy it from your list",IF(AND(E1706&lt;&gt;"",COUNTIFS(DESK!$F$2:$F$601,C1706,DESK!$B$2:$B$601,E1706)=0),"Company is not one of theirs","OK"))))))</f>
        <v/>
      </c>
    </row>
    <row r="1707" spans="1:10"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time",IF(D1707="NO_SLOTS",IF(COUNTIF(PARTNERS!$A$2:$A$88,E1707)=0,"Write the company in column E","OK"),IF(C1707="","Missing phone",IF(COUNTIF(DESK!$F$2:$F$601,C1707)=0,"Phone not found: copy it from your list",IF(AND(E1707&lt;&gt;"",COUNTIFS(DESK!$F$2:$F$601,C1707,DESK!$B$2:$B$601,E1707)=0),"Company is not one of theirs","OK"))))))</f>
        <v/>
      </c>
    </row>
    <row r="1708" spans="1:10"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time",IF(D1708="NO_SLOTS",IF(COUNTIF(PARTNERS!$A$2:$A$88,E1708)=0,"Write the company in column E","OK"),IF(C1708="","Missing phone",IF(COUNTIF(DESK!$F$2:$F$601,C1708)=0,"Phone not found: copy it from your list",IF(AND(E1708&lt;&gt;"",COUNTIFS(DESK!$F$2:$F$601,C1708,DESK!$B$2:$B$601,E1708)=0),"Company is not one of theirs","OK"))))))</f>
        <v/>
      </c>
    </row>
    <row r="1709" spans="1:10"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time",IF(D1709="NO_SLOTS",IF(COUNTIF(PARTNERS!$A$2:$A$88,E1709)=0,"Write the company in column E","OK"),IF(C1709="","Missing phone",IF(COUNTIF(DESK!$F$2:$F$601,C1709)=0,"Phone not found: copy it from your list",IF(AND(E1709&lt;&gt;"",COUNTIFS(DESK!$F$2:$F$601,C1709,DESK!$B$2:$B$601,E1709)=0),"Company is not one of theirs","OK"))))))</f>
        <v/>
      </c>
    </row>
    <row r="1710" spans="1:10"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time",IF(D1710="NO_SLOTS",IF(COUNTIF(PARTNERS!$A$2:$A$88,E1710)=0,"Write the company in column E","OK"),IF(C1710="","Missing phone",IF(COUNTIF(DESK!$F$2:$F$601,C1710)=0,"Phone not found: copy it from your list",IF(AND(E1710&lt;&gt;"",COUNTIFS(DESK!$F$2:$F$601,C1710,DESK!$B$2:$B$601,E1710)=0),"Company is not one of theirs","OK"))))))</f>
        <v/>
      </c>
    </row>
    <row r="1711" spans="1:10"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time",IF(D1711="NO_SLOTS",IF(COUNTIF(PARTNERS!$A$2:$A$88,E1711)=0,"Write the company in column E","OK"),IF(C1711="","Missing phone",IF(COUNTIF(DESK!$F$2:$F$601,C1711)=0,"Phone not found: copy it from your list",IF(AND(E1711&lt;&gt;"",COUNTIFS(DESK!$F$2:$F$601,C1711,DESK!$B$2:$B$601,E1711)=0),"Company is not one of theirs","OK"))))))</f>
        <v/>
      </c>
    </row>
    <row r="1712" spans="1:10"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time",IF(D1712="NO_SLOTS",IF(COUNTIF(PARTNERS!$A$2:$A$88,E1712)=0,"Write the company in column E","OK"),IF(C1712="","Missing phone",IF(COUNTIF(DESK!$F$2:$F$601,C1712)=0,"Phone not found: copy it from your list",IF(AND(E1712&lt;&gt;"",COUNTIFS(DESK!$F$2:$F$601,C1712,DESK!$B$2:$B$601,E1712)=0),"Company is not one of theirs","OK"))))))</f>
        <v/>
      </c>
    </row>
    <row r="1713" spans="1:10"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time",IF(D1713="NO_SLOTS",IF(COUNTIF(PARTNERS!$A$2:$A$88,E1713)=0,"Write the company in column E","OK"),IF(C1713="","Missing phone",IF(COUNTIF(DESK!$F$2:$F$601,C1713)=0,"Phone not found: copy it from your list",IF(AND(E1713&lt;&gt;"",COUNTIFS(DESK!$F$2:$F$601,C1713,DESK!$B$2:$B$601,E1713)=0),"Company is not one of theirs","OK"))))))</f>
        <v/>
      </c>
    </row>
    <row r="1714" spans="1:10"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time",IF(D1714="NO_SLOTS",IF(COUNTIF(PARTNERS!$A$2:$A$88,E1714)=0,"Write the company in column E","OK"),IF(C1714="","Missing phone",IF(COUNTIF(DESK!$F$2:$F$601,C1714)=0,"Phone not found: copy it from your list",IF(AND(E1714&lt;&gt;"",COUNTIFS(DESK!$F$2:$F$601,C1714,DESK!$B$2:$B$601,E1714)=0),"Company is not one of theirs","OK"))))))</f>
        <v/>
      </c>
    </row>
    <row r="1715" spans="1:10"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time",IF(D1715="NO_SLOTS",IF(COUNTIF(PARTNERS!$A$2:$A$88,E1715)=0,"Write the company in column E","OK"),IF(C1715="","Missing phone",IF(COUNTIF(DESK!$F$2:$F$601,C1715)=0,"Phone not found: copy it from your list",IF(AND(E1715&lt;&gt;"",COUNTIFS(DESK!$F$2:$F$601,C1715,DESK!$B$2:$B$601,E1715)=0),"Company is not one of theirs","OK"))))))</f>
        <v/>
      </c>
    </row>
    <row r="1716" spans="1:10"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time",IF(D1716="NO_SLOTS",IF(COUNTIF(PARTNERS!$A$2:$A$88,E1716)=0,"Write the company in column E","OK"),IF(C1716="","Missing phone",IF(COUNTIF(DESK!$F$2:$F$601,C1716)=0,"Phone not found: copy it from your list",IF(AND(E1716&lt;&gt;"",COUNTIFS(DESK!$F$2:$F$601,C1716,DESK!$B$2:$B$601,E1716)=0),"Company is not one of theirs","OK"))))))</f>
        <v/>
      </c>
    </row>
    <row r="1717" spans="1:10"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time",IF(D1717="NO_SLOTS",IF(COUNTIF(PARTNERS!$A$2:$A$88,E1717)=0,"Write the company in column E","OK"),IF(C1717="","Missing phone",IF(COUNTIF(DESK!$F$2:$F$601,C1717)=0,"Phone not found: copy it from your list",IF(AND(E1717&lt;&gt;"",COUNTIFS(DESK!$F$2:$F$601,C1717,DESK!$B$2:$B$601,E1717)=0),"Company is not one of theirs","OK"))))))</f>
        <v/>
      </c>
    </row>
    <row r="1718" spans="1:10"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time",IF(D1718="NO_SLOTS",IF(COUNTIF(PARTNERS!$A$2:$A$88,E1718)=0,"Write the company in column E","OK"),IF(C1718="","Missing phone",IF(COUNTIF(DESK!$F$2:$F$601,C1718)=0,"Phone not found: copy it from your list",IF(AND(E1718&lt;&gt;"",COUNTIFS(DESK!$F$2:$F$601,C1718,DESK!$B$2:$B$601,E1718)=0),"Company is not one of theirs","OK"))))))</f>
        <v/>
      </c>
    </row>
    <row r="1719" spans="1:10"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time",IF(D1719="NO_SLOTS",IF(COUNTIF(PARTNERS!$A$2:$A$88,E1719)=0,"Write the company in column E","OK"),IF(C1719="","Missing phone",IF(COUNTIF(DESK!$F$2:$F$601,C1719)=0,"Phone not found: copy it from your list",IF(AND(E1719&lt;&gt;"",COUNTIFS(DESK!$F$2:$F$601,C1719,DESK!$B$2:$B$601,E1719)=0),"Company is not one of theirs","OK"))))))</f>
        <v/>
      </c>
    </row>
    <row r="1720" spans="1:10"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time",IF(D1720="NO_SLOTS",IF(COUNTIF(PARTNERS!$A$2:$A$88,E1720)=0,"Write the company in column E","OK"),IF(C1720="","Missing phone",IF(COUNTIF(DESK!$F$2:$F$601,C1720)=0,"Phone not found: copy it from your list",IF(AND(E1720&lt;&gt;"",COUNTIFS(DESK!$F$2:$F$601,C1720,DESK!$B$2:$B$601,E1720)=0),"Company is not one of theirs","OK"))))))</f>
        <v/>
      </c>
    </row>
    <row r="1721" spans="1:10"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time",IF(D1721="NO_SLOTS",IF(COUNTIF(PARTNERS!$A$2:$A$88,E1721)=0,"Write the company in column E","OK"),IF(C1721="","Missing phone",IF(COUNTIF(DESK!$F$2:$F$601,C1721)=0,"Phone not found: copy it from your list",IF(AND(E1721&lt;&gt;"",COUNTIFS(DESK!$F$2:$F$601,C1721,DESK!$B$2:$B$601,E1721)=0),"Company is not one of theirs","OK"))))))</f>
        <v/>
      </c>
    </row>
    <row r="1722" spans="1:10"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time",IF(D1722="NO_SLOTS",IF(COUNTIF(PARTNERS!$A$2:$A$88,E1722)=0,"Write the company in column E","OK"),IF(C1722="","Missing phone",IF(COUNTIF(DESK!$F$2:$F$601,C1722)=0,"Phone not found: copy it from your list",IF(AND(E1722&lt;&gt;"",COUNTIFS(DESK!$F$2:$F$601,C1722,DESK!$B$2:$B$601,E1722)=0),"Company is not one of theirs","OK"))))))</f>
        <v/>
      </c>
    </row>
    <row r="1723" spans="1:10"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time",IF(D1723="NO_SLOTS",IF(COUNTIF(PARTNERS!$A$2:$A$88,E1723)=0,"Write the company in column E","OK"),IF(C1723="","Missing phone",IF(COUNTIF(DESK!$F$2:$F$601,C1723)=0,"Phone not found: copy it from your list",IF(AND(E1723&lt;&gt;"",COUNTIFS(DESK!$F$2:$F$601,C1723,DESK!$B$2:$B$601,E1723)=0),"Company is not one of theirs","OK"))))))</f>
        <v/>
      </c>
    </row>
    <row r="1724" spans="1:10"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time",IF(D1724="NO_SLOTS",IF(COUNTIF(PARTNERS!$A$2:$A$88,E1724)=0,"Write the company in column E","OK"),IF(C1724="","Missing phone",IF(COUNTIF(DESK!$F$2:$F$601,C1724)=0,"Phone not found: copy it from your list",IF(AND(E1724&lt;&gt;"",COUNTIFS(DESK!$F$2:$F$601,C1724,DESK!$B$2:$B$601,E1724)=0),"Company is not one of theirs","OK"))))))</f>
        <v/>
      </c>
    </row>
    <row r="1725" spans="1:10"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time",IF(D1725="NO_SLOTS",IF(COUNTIF(PARTNERS!$A$2:$A$88,E1725)=0,"Write the company in column E","OK"),IF(C1725="","Missing phone",IF(COUNTIF(DESK!$F$2:$F$601,C1725)=0,"Phone not found: copy it from your list",IF(AND(E1725&lt;&gt;"",COUNTIFS(DESK!$F$2:$F$601,C1725,DESK!$B$2:$B$601,E1725)=0),"Company is not one of theirs","OK"))))))</f>
        <v/>
      </c>
    </row>
    <row r="1726" spans="1:10"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time",IF(D1726="NO_SLOTS",IF(COUNTIF(PARTNERS!$A$2:$A$88,E1726)=0,"Write the company in column E","OK"),IF(C1726="","Missing phone",IF(COUNTIF(DESK!$F$2:$F$601,C1726)=0,"Phone not found: copy it from your list",IF(AND(E1726&lt;&gt;"",COUNTIFS(DESK!$F$2:$F$601,C1726,DESK!$B$2:$B$601,E1726)=0),"Company is not one of theirs","OK"))))))</f>
        <v/>
      </c>
    </row>
    <row r="1727" spans="1:10"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time",IF(D1727="NO_SLOTS",IF(COUNTIF(PARTNERS!$A$2:$A$88,E1727)=0,"Write the company in column E","OK"),IF(C1727="","Missing phone",IF(COUNTIF(DESK!$F$2:$F$601,C1727)=0,"Phone not found: copy it from your list",IF(AND(E1727&lt;&gt;"",COUNTIFS(DESK!$F$2:$F$601,C1727,DESK!$B$2:$B$601,E1727)=0),"Company is not one of theirs","OK"))))))</f>
        <v/>
      </c>
    </row>
    <row r="1728" spans="1:10"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time",IF(D1728="NO_SLOTS",IF(COUNTIF(PARTNERS!$A$2:$A$88,E1728)=0,"Write the company in column E","OK"),IF(C1728="","Missing phone",IF(COUNTIF(DESK!$F$2:$F$601,C1728)=0,"Phone not found: copy it from your list",IF(AND(E1728&lt;&gt;"",COUNTIFS(DESK!$F$2:$F$601,C1728,DESK!$B$2:$B$601,E1728)=0),"Company is not one of theirs","OK"))))))</f>
        <v/>
      </c>
    </row>
    <row r="1729" spans="1:10"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time",IF(D1729="NO_SLOTS",IF(COUNTIF(PARTNERS!$A$2:$A$88,E1729)=0,"Write the company in column E","OK"),IF(C1729="","Missing phone",IF(COUNTIF(DESK!$F$2:$F$601,C1729)=0,"Phone not found: copy it from your list",IF(AND(E1729&lt;&gt;"",COUNTIFS(DESK!$F$2:$F$601,C1729,DESK!$B$2:$B$601,E1729)=0),"Company is not one of theirs","OK"))))))</f>
        <v/>
      </c>
    </row>
    <row r="1730" spans="1:10"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time",IF(D1730="NO_SLOTS",IF(COUNTIF(PARTNERS!$A$2:$A$88,E1730)=0,"Write the company in column E","OK"),IF(C1730="","Missing phone",IF(COUNTIF(DESK!$F$2:$F$601,C1730)=0,"Phone not found: copy it from your list",IF(AND(E1730&lt;&gt;"",COUNTIFS(DESK!$F$2:$F$601,C1730,DESK!$B$2:$B$601,E1730)=0),"Company is not one of theirs","OK"))))))</f>
        <v/>
      </c>
    </row>
    <row r="1731" spans="1:10"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time",IF(D1731="NO_SLOTS",IF(COUNTIF(PARTNERS!$A$2:$A$88,E1731)=0,"Write the company in column E","OK"),IF(C1731="","Missing phone",IF(COUNTIF(DESK!$F$2:$F$601,C1731)=0,"Phone not found: copy it from your list",IF(AND(E1731&lt;&gt;"",COUNTIFS(DESK!$F$2:$F$601,C1731,DESK!$B$2:$B$601,E1731)=0),"Company is not one of theirs","OK"))))))</f>
        <v/>
      </c>
    </row>
    <row r="1732" spans="1:10"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time",IF(D1732="NO_SLOTS",IF(COUNTIF(PARTNERS!$A$2:$A$88,E1732)=0,"Write the company in column E","OK"),IF(C1732="","Missing phone",IF(COUNTIF(DESK!$F$2:$F$601,C1732)=0,"Phone not found: copy it from your list",IF(AND(E1732&lt;&gt;"",COUNTIFS(DESK!$F$2:$F$601,C1732,DESK!$B$2:$B$601,E1732)=0),"Company is not one of theirs","OK"))))))</f>
        <v/>
      </c>
    </row>
    <row r="1733" spans="1:10"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time",IF(D1733="NO_SLOTS",IF(COUNTIF(PARTNERS!$A$2:$A$88,E1733)=0,"Write the company in column E","OK"),IF(C1733="","Missing phone",IF(COUNTIF(DESK!$F$2:$F$601,C1733)=0,"Phone not found: copy it from your list",IF(AND(E1733&lt;&gt;"",COUNTIFS(DESK!$F$2:$F$601,C1733,DESK!$B$2:$B$601,E1733)=0),"Company is not one of theirs","OK"))))))</f>
        <v/>
      </c>
    </row>
    <row r="1734" spans="1:10"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time",IF(D1734="NO_SLOTS",IF(COUNTIF(PARTNERS!$A$2:$A$88,E1734)=0,"Write the company in column E","OK"),IF(C1734="","Missing phone",IF(COUNTIF(DESK!$F$2:$F$601,C1734)=0,"Phone not found: copy it from your list",IF(AND(E1734&lt;&gt;"",COUNTIFS(DESK!$F$2:$F$601,C1734,DESK!$B$2:$B$601,E1734)=0),"Company is not one of theirs","OK"))))))</f>
        <v/>
      </c>
    </row>
    <row r="1735" spans="1:10"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time",IF(D1735="NO_SLOTS",IF(COUNTIF(PARTNERS!$A$2:$A$88,E1735)=0,"Write the company in column E","OK"),IF(C1735="","Missing phone",IF(COUNTIF(DESK!$F$2:$F$601,C1735)=0,"Phone not found: copy it from your list",IF(AND(E1735&lt;&gt;"",COUNTIFS(DESK!$F$2:$F$601,C1735,DESK!$B$2:$B$601,E1735)=0),"Company is not one of theirs","OK"))))))</f>
        <v/>
      </c>
    </row>
    <row r="1736" spans="1:10"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time",IF(D1736="NO_SLOTS",IF(COUNTIF(PARTNERS!$A$2:$A$88,E1736)=0,"Write the company in column E","OK"),IF(C1736="","Missing phone",IF(COUNTIF(DESK!$F$2:$F$601,C1736)=0,"Phone not found: copy it from your list",IF(AND(E1736&lt;&gt;"",COUNTIFS(DESK!$F$2:$F$601,C1736,DESK!$B$2:$B$601,E1736)=0),"Company is not one of theirs","OK"))))))</f>
        <v/>
      </c>
    </row>
    <row r="1737" spans="1:10"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time",IF(D1737="NO_SLOTS",IF(COUNTIF(PARTNERS!$A$2:$A$88,E1737)=0,"Write the company in column E","OK"),IF(C1737="","Missing phone",IF(COUNTIF(DESK!$F$2:$F$601,C1737)=0,"Phone not found: copy it from your list",IF(AND(E1737&lt;&gt;"",COUNTIFS(DESK!$F$2:$F$601,C1737,DESK!$B$2:$B$601,E1737)=0),"Company is not one of theirs","OK"))))))</f>
        <v/>
      </c>
    </row>
    <row r="1738" spans="1:10"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time",IF(D1738="NO_SLOTS",IF(COUNTIF(PARTNERS!$A$2:$A$88,E1738)=0,"Write the company in column E","OK"),IF(C1738="","Missing phone",IF(COUNTIF(DESK!$F$2:$F$601,C1738)=0,"Phone not found: copy it from your list",IF(AND(E1738&lt;&gt;"",COUNTIFS(DESK!$F$2:$F$601,C1738,DESK!$B$2:$B$601,E1738)=0),"Company is not one of theirs","OK"))))))</f>
        <v/>
      </c>
    </row>
    <row r="1739" spans="1:10"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time",IF(D1739="NO_SLOTS",IF(COUNTIF(PARTNERS!$A$2:$A$88,E1739)=0,"Write the company in column E","OK"),IF(C1739="","Missing phone",IF(COUNTIF(DESK!$F$2:$F$601,C1739)=0,"Phone not found: copy it from your list",IF(AND(E1739&lt;&gt;"",COUNTIFS(DESK!$F$2:$F$601,C1739,DESK!$B$2:$B$601,E1739)=0),"Company is not one of theirs","OK"))))))</f>
        <v/>
      </c>
    </row>
    <row r="1740" spans="1:10"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time",IF(D1740="NO_SLOTS",IF(COUNTIF(PARTNERS!$A$2:$A$88,E1740)=0,"Write the company in column E","OK"),IF(C1740="","Missing phone",IF(COUNTIF(DESK!$F$2:$F$601,C1740)=0,"Phone not found: copy it from your list",IF(AND(E1740&lt;&gt;"",COUNTIFS(DESK!$F$2:$F$601,C1740,DESK!$B$2:$B$601,E1740)=0),"Company is not one of theirs","OK"))))))</f>
        <v/>
      </c>
    </row>
    <row r="1741" spans="1:10"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time",IF(D1741="NO_SLOTS",IF(COUNTIF(PARTNERS!$A$2:$A$88,E1741)=0,"Write the company in column E","OK"),IF(C1741="","Missing phone",IF(COUNTIF(DESK!$F$2:$F$601,C1741)=0,"Phone not found: copy it from your list",IF(AND(E1741&lt;&gt;"",COUNTIFS(DESK!$F$2:$F$601,C1741,DESK!$B$2:$B$601,E1741)=0),"Company is not one of theirs","OK"))))))</f>
        <v/>
      </c>
    </row>
    <row r="1742" spans="1:10"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time",IF(D1742="NO_SLOTS",IF(COUNTIF(PARTNERS!$A$2:$A$88,E1742)=0,"Write the company in column E","OK"),IF(C1742="","Missing phone",IF(COUNTIF(DESK!$F$2:$F$601,C1742)=0,"Phone not found: copy it from your list",IF(AND(E1742&lt;&gt;"",COUNTIFS(DESK!$F$2:$F$601,C1742,DESK!$B$2:$B$601,E1742)=0),"Company is not one of theirs","OK"))))))</f>
        <v/>
      </c>
    </row>
    <row r="1743" spans="1:10"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time",IF(D1743="NO_SLOTS",IF(COUNTIF(PARTNERS!$A$2:$A$88,E1743)=0,"Write the company in column E","OK"),IF(C1743="","Missing phone",IF(COUNTIF(DESK!$F$2:$F$601,C1743)=0,"Phone not found: copy it from your list",IF(AND(E1743&lt;&gt;"",COUNTIFS(DESK!$F$2:$F$601,C1743,DESK!$B$2:$B$601,E1743)=0),"Company is not one of theirs","OK"))))))</f>
        <v/>
      </c>
    </row>
    <row r="1744" spans="1:10"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time",IF(D1744="NO_SLOTS",IF(COUNTIF(PARTNERS!$A$2:$A$88,E1744)=0,"Write the company in column E","OK"),IF(C1744="","Missing phone",IF(COUNTIF(DESK!$F$2:$F$601,C1744)=0,"Phone not found: copy it from your list",IF(AND(E1744&lt;&gt;"",COUNTIFS(DESK!$F$2:$F$601,C1744,DESK!$B$2:$B$601,E1744)=0),"Company is not one of theirs","OK"))))))</f>
        <v/>
      </c>
    </row>
    <row r="1745" spans="1:10"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time",IF(D1745="NO_SLOTS",IF(COUNTIF(PARTNERS!$A$2:$A$88,E1745)=0,"Write the company in column E","OK"),IF(C1745="","Missing phone",IF(COUNTIF(DESK!$F$2:$F$601,C1745)=0,"Phone not found: copy it from your list",IF(AND(E1745&lt;&gt;"",COUNTIFS(DESK!$F$2:$F$601,C1745,DESK!$B$2:$B$601,E1745)=0),"Company is not one of theirs","OK"))))))</f>
        <v/>
      </c>
    </row>
    <row r="1746" spans="1:10"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time",IF(D1746="NO_SLOTS",IF(COUNTIF(PARTNERS!$A$2:$A$88,E1746)=0,"Write the company in column E","OK"),IF(C1746="","Missing phone",IF(COUNTIF(DESK!$F$2:$F$601,C1746)=0,"Phone not found: copy it from your list",IF(AND(E1746&lt;&gt;"",COUNTIFS(DESK!$F$2:$F$601,C1746,DESK!$B$2:$B$601,E1746)=0),"Company is not one of theirs","OK"))))))</f>
        <v/>
      </c>
    </row>
    <row r="1747" spans="1:10"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time",IF(D1747="NO_SLOTS",IF(COUNTIF(PARTNERS!$A$2:$A$88,E1747)=0,"Write the company in column E","OK"),IF(C1747="","Missing phone",IF(COUNTIF(DESK!$F$2:$F$601,C1747)=0,"Phone not found: copy it from your list",IF(AND(E1747&lt;&gt;"",COUNTIFS(DESK!$F$2:$F$601,C1747,DESK!$B$2:$B$601,E1747)=0),"Company is not one of theirs","OK"))))))</f>
        <v/>
      </c>
    </row>
    <row r="1748" spans="1:10"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time",IF(D1748="NO_SLOTS",IF(COUNTIF(PARTNERS!$A$2:$A$88,E1748)=0,"Write the company in column E","OK"),IF(C1748="","Missing phone",IF(COUNTIF(DESK!$F$2:$F$601,C1748)=0,"Phone not found: copy it from your list",IF(AND(E1748&lt;&gt;"",COUNTIFS(DESK!$F$2:$F$601,C1748,DESK!$B$2:$B$601,E1748)=0),"Company is not one of theirs","OK"))))))</f>
        <v/>
      </c>
    </row>
    <row r="1749" spans="1:10"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time",IF(D1749="NO_SLOTS",IF(COUNTIF(PARTNERS!$A$2:$A$88,E1749)=0,"Write the company in column E","OK"),IF(C1749="","Missing phone",IF(COUNTIF(DESK!$F$2:$F$601,C1749)=0,"Phone not found: copy it from your list",IF(AND(E1749&lt;&gt;"",COUNTIFS(DESK!$F$2:$F$601,C1749,DESK!$B$2:$B$601,E1749)=0),"Company is not one of theirs","OK"))))))</f>
        <v/>
      </c>
    </row>
    <row r="1750" spans="1:10"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time",IF(D1750="NO_SLOTS",IF(COUNTIF(PARTNERS!$A$2:$A$88,E1750)=0,"Write the company in column E","OK"),IF(C1750="","Missing phone",IF(COUNTIF(DESK!$F$2:$F$601,C1750)=0,"Phone not found: copy it from your list",IF(AND(E1750&lt;&gt;"",COUNTIFS(DESK!$F$2:$F$601,C1750,DESK!$B$2:$B$601,E1750)=0),"Company is not one of theirs","OK"))))))</f>
        <v/>
      </c>
    </row>
    <row r="1751" spans="1:10"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time",IF(D1751="NO_SLOTS",IF(COUNTIF(PARTNERS!$A$2:$A$88,E1751)=0,"Write the company in column E","OK"),IF(C1751="","Missing phone",IF(COUNTIF(DESK!$F$2:$F$601,C1751)=0,"Phone not found: copy it from your list",IF(AND(E1751&lt;&gt;"",COUNTIFS(DESK!$F$2:$F$601,C1751,DESK!$B$2:$B$601,E1751)=0),"Company is not one of theirs","OK"))))))</f>
        <v/>
      </c>
    </row>
    <row r="1752" spans="1:10"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time",IF(D1752="NO_SLOTS",IF(COUNTIF(PARTNERS!$A$2:$A$88,E1752)=0,"Write the company in column E","OK"),IF(C1752="","Missing phone",IF(COUNTIF(DESK!$F$2:$F$601,C1752)=0,"Phone not found: copy it from your list",IF(AND(E1752&lt;&gt;"",COUNTIFS(DESK!$F$2:$F$601,C1752,DESK!$B$2:$B$601,E1752)=0),"Company is not one of theirs","OK"))))))</f>
        <v/>
      </c>
    </row>
    <row r="1753" spans="1:10"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time",IF(D1753="NO_SLOTS",IF(COUNTIF(PARTNERS!$A$2:$A$88,E1753)=0,"Write the company in column E","OK"),IF(C1753="","Missing phone",IF(COUNTIF(DESK!$F$2:$F$601,C1753)=0,"Phone not found: copy it from your list",IF(AND(E1753&lt;&gt;"",COUNTIFS(DESK!$F$2:$F$601,C1753,DESK!$B$2:$B$601,E1753)=0),"Company is not one of theirs","OK"))))))</f>
        <v/>
      </c>
    </row>
    <row r="1754" spans="1:10"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time",IF(D1754="NO_SLOTS",IF(COUNTIF(PARTNERS!$A$2:$A$88,E1754)=0,"Write the company in column E","OK"),IF(C1754="","Missing phone",IF(COUNTIF(DESK!$F$2:$F$601,C1754)=0,"Phone not found: copy it from your list",IF(AND(E1754&lt;&gt;"",COUNTIFS(DESK!$F$2:$F$601,C1754,DESK!$B$2:$B$601,E1754)=0),"Company is not one of theirs","OK"))))))</f>
        <v/>
      </c>
    </row>
    <row r="1755" spans="1:10"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time",IF(D1755="NO_SLOTS",IF(COUNTIF(PARTNERS!$A$2:$A$88,E1755)=0,"Write the company in column E","OK"),IF(C1755="","Missing phone",IF(COUNTIF(DESK!$F$2:$F$601,C1755)=0,"Phone not found: copy it from your list",IF(AND(E1755&lt;&gt;"",COUNTIFS(DESK!$F$2:$F$601,C1755,DESK!$B$2:$B$601,E1755)=0),"Company is not one of theirs","OK"))))))</f>
        <v/>
      </c>
    </row>
    <row r="1756" spans="1:10"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time",IF(D1756="NO_SLOTS",IF(COUNTIF(PARTNERS!$A$2:$A$88,E1756)=0,"Write the company in column E","OK"),IF(C1756="","Missing phone",IF(COUNTIF(DESK!$F$2:$F$601,C1756)=0,"Phone not found: copy it from your list",IF(AND(E1756&lt;&gt;"",COUNTIFS(DESK!$F$2:$F$601,C1756,DESK!$B$2:$B$601,E1756)=0),"Company is not one of theirs","OK"))))))</f>
        <v/>
      </c>
    </row>
    <row r="1757" spans="1:10"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time",IF(D1757="NO_SLOTS",IF(COUNTIF(PARTNERS!$A$2:$A$88,E1757)=0,"Write the company in column E","OK"),IF(C1757="","Missing phone",IF(COUNTIF(DESK!$F$2:$F$601,C1757)=0,"Phone not found: copy it from your list",IF(AND(E1757&lt;&gt;"",COUNTIFS(DESK!$F$2:$F$601,C1757,DESK!$B$2:$B$601,E1757)=0),"Company is not one of theirs","OK"))))))</f>
        <v/>
      </c>
    </row>
    <row r="1758" spans="1:10"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time",IF(D1758="NO_SLOTS",IF(COUNTIF(PARTNERS!$A$2:$A$88,E1758)=0,"Write the company in column E","OK"),IF(C1758="","Missing phone",IF(COUNTIF(DESK!$F$2:$F$601,C1758)=0,"Phone not found: copy it from your list",IF(AND(E1758&lt;&gt;"",COUNTIFS(DESK!$F$2:$F$601,C1758,DESK!$B$2:$B$601,E1758)=0),"Company is not one of theirs","OK"))))))</f>
        <v/>
      </c>
    </row>
    <row r="1759" spans="1:10"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time",IF(D1759="NO_SLOTS",IF(COUNTIF(PARTNERS!$A$2:$A$88,E1759)=0,"Write the company in column E","OK"),IF(C1759="","Missing phone",IF(COUNTIF(DESK!$F$2:$F$601,C1759)=0,"Phone not found: copy it from your list",IF(AND(E1759&lt;&gt;"",COUNTIFS(DESK!$F$2:$F$601,C1759,DESK!$B$2:$B$601,E1759)=0),"Company is not one of theirs","OK"))))))</f>
        <v/>
      </c>
    </row>
    <row r="1760" spans="1:10"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time",IF(D1760="NO_SLOTS",IF(COUNTIF(PARTNERS!$A$2:$A$88,E1760)=0,"Write the company in column E","OK"),IF(C1760="","Missing phone",IF(COUNTIF(DESK!$F$2:$F$601,C1760)=0,"Phone not found: copy it from your list",IF(AND(E1760&lt;&gt;"",COUNTIFS(DESK!$F$2:$F$601,C1760,DESK!$B$2:$B$601,E1760)=0),"Company is not one of theirs","OK"))))))</f>
        <v/>
      </c>
    </row>
    <row r="1761" spans="1:10"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time",IF(D1761="NO_SLOTS",IF(COUNTIF(PARTNERS!$A$2:$A$88,E1761)=0,"Write the company in column E","OK"),IF(C1761="","Missing phone",IF(COUNTIF(DESK!$F$2:$F$601,C1761)=0,"Phone not found: copy it from your list",IF(AND(E1761&lt;&gt;"",COUNTIFS(DESK!$F$2:$F$601,C1761,DESK!$B$2:$B$601,E1761)=0),"Company is not one of theirs","OK"))))))</f>
        <v/>
      </c>
    </row>
    <row r="1762" spans="1:10"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time",IF(D1762="NO_SLOTS",IF(COUNTIF(PARTNERS!$A$2:$A$88,E1762)=0,"Write the company in column E","OK"),IF(C1762="","Missing phone",IF(COUNTIF(DESK!$F$2:$F$601,C1762)=0,"Phone not found: copy it from your list",IF(AND(E1762&lt;&gt;"",COUNTIFS(DESK!$F$2:$F$601,C1762,DESK!$B$2:$B$601,E1762)=0),"Company is not one of theirs","OK"))))))</f>
        <v/>
      </c>
    </row>
    <row r="1763" spans="1:10"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time",IF(D1763="NO_SLOTS",IF(COUNTIF(PARTNERS!$A$2:$A$88,E1763)=0,"Write the company in column E","OK"),IF(C1763="","Missing phone",IF(COUNTIF(DESK!$F$2:$F$601,C1763)=0,"Phone not found: copy it from your list",IF(AND(E1763&lt;&gt;"",COUNTIFS(DESK!$F$2:$F$601,C1763,DESK!$B$2:$B$601,E1763)=0),"Company is not one of theirs","OK"))))))</f>
        <v/>
      </c>
    </row>
    <row r="1764" spans="1:10"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time",IF(D1764="NO_SLOTS",IF(COUNTIF(PARTNERS!$A$2:$A$88,E1764)=0,"Write the company in column E","OK"),IF(C1764="","Missing phone",IF(COUNTIF(DESK!$F$2:$F$601,C1764)=0,"Phone not found: copy it from your list",IF(AND(E1764&lt;&gt;"",COUNTIFS(DESK!$F$2:$F$601,C1764,DESK!$B$2:$B$601,E1764)=0),"Company is not one of theirs","OK"))))))</f>
        <v/>
      </c>
    </row>
    <row r="1765" spans="1:10"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time",IF(D1765="NO_SLOTS",IF(COUNTIF(PARTNERS!$A$2:$A$88,E1765)=0,"Write the company in column E","OK"),IF(C1765="","Missing phone",IF(COUNTIF(DESK!$F$2:$F$601,C1765)=0,"Phone not found: copy it from your list",IF(AND(E1765&lt;&gt;"",COUNTIFS(DESK!$F$2:$F$601,C1765,DESK!$B$2:$B$601,E1765)=0),"Company is not one of theirs","OK"))))))</f>
        <v/>
      </c>
    </row>
    <row r="1766" spans="1:10"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time",IF(D1766="NO_SLOTS",IF(COUNTIF(PARTNERS!$A$2:$A$88,E1766)=0,"Write the company in column E","OK"),IF(C1766="","Missing phone",IF(COUNTIF(DESK!$F$2:$F$601,C1766)=0,"Phone not found: copy it from your list",IF(AND(E1766&lt;&gt;"",COUNTIFS(DESK!$F$2:$F$601,C1766,DESK!$B$2:$B$601,E1766)=0),"Company is not one of theirs","OK"))))))</f>
        <v/>
      </c>
    </row>
    <row r="1767" spans="1:10"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time",IF(D1767="NO_SLOTS",IF(COUNTIF(PARTNERS!$A$2:$A$88,E1767)=0,"Write the company in column E","OK"),IF(C1767="","Missing phone",IF(COUNTIF(DESK!$F$2:$F$601,C1767)=0,"Phone not found: copy it from your list",IF(AND(E1767&lt;&gt;"",COUNTIFS(DESK!$F$2:$F$601,C1767,DESK!$B$2:$B$601,E1767)=0),"Company is not one of theirs","OK"))))))</f>
        <v/>
      </c>
    </row>
    <row r="1768" spans="1:10"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time",IF(D1768="NO_SLOTS",IF(COUNTIF(PARTNERS!$A$2:$A$88,E1768)=0,"Write the company in column E","OK"),IF(C1768="","Missing phone",IF(COUNTIF(DESK!$F$2:$F$601,C1768)=0,"Phone not found: copy it from your list",IF(AND(E1768&lt;&gt;"",COUNTIFS(DESK!$F$2:$F$601,C1768,DESK!$B$2:$B$601,E1768)=0),"Company is not one of theirs","OK"))))))</f>
        <v/>
      </c>
    </row>
    <row r="1769" spans="1:10"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time",IF(D1769="NO_SLOTS",IF(COUNTIF(PARTNERS!$A$2:$A$88,E1769)=0,"Write the company in column E","OK"),IF(C1769="","Missing phone",IF(COUNTIF(DESK!$F$2:$F$601,C1769)=0,"Phone not found: copy it from your list",IF(AND(E1769&lt;&gt;"",COUNTIFS(DESK!$F$2:$F$601,C1769,DESK!$B$2:$B$601,E1769)=0),"Company is not one of theirs","OK"))))))</f>
        <v/>
      </c>
    </row>
    <row r="1770" spans="1:10"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time",IF(D1770="NO_SLOTS",IF(COUNTIF(PARTNERS!$A$2:$A$88,E1770)=0,"Write the company in column E","OK"),IF(C1770="","Missing phone",IF(COUNTIF(DESK!$F$2:$F$601,C1770)=0,"Phone not found: copy it from your list",IF(AND(E1770&lt;&gt;"",COUNTIFS(DESK!$F$2:$F$601,C1770,DESK!$B$2:$B$601,E1770)=0),"Company is not one of theirs","OK"))))))</f>
        <v/>
      </c>
    </row>
    <row r="1771" spans="1:10"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time",IF(D1771="NO_SLOTS",IF(COUNTIF(PARTNERS!$A$2:$A$88,E1771)=0,"Write the company in column E","OK"),IF(C1771="","Missing phone",IF(COUNTIF(DESK!$F$2:$F$601,C1771)=0,"Phone not found: copy it from your list",IF(AND(E1771&lt;&gt;"",COUNTIFS(DESK!$F$2:$F$601,C1771,DESK!$B$2:$B$601,E1771)=0),"Company is not one of theirs","OK"))))))</f>
        <v/>
      </c>
    </row>
    <row r="1772" spans="1:10"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time",IF(D1772="NO_SLOTS",IF(COUNTIF(PARTNERS!$A$2:$A$88,E1772)=0,"Write the company in column E","OK"),IF(C1772="","Missing phone",IF(COUNTIF(DESK!$F$2:$F$601,C1772)=0,"Phone not found: copy it from your list",IF(AND(E1772&lt;&gt;"",COUNTIFS(DESK!$F$2:$F$601,C1772,DESK!$B$2:$B$601,E1772)=0),"Company is not one of theirs","OK"))))))</f>
        <v/>
      </c>
    </row>
    <row r="1773" spans="1:10"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time",IF(D1773="NO_SLOTS",IF(COUNTIF(PARTNERS!$A$2:$A$88,E1773)=0,"Write the company in column E","OK"),IF(C1773="","Missing phone",IF(COUNTIF(DESK!$F$2:$F$601,C1773)=0,"Phone not found: copy it from your list",IF(AND(E1773&lt;&gt;"",COUNTIFS(DESK!$F$2:$F$601,C1773,DESK!$B$2:$B$601,E1773)=0),"Company is not one of theirs","OK"))))))</f>
        <v/>
      </c>
    </row>
    <row r="1774" spans="1:10"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time",IF(D1774="NO_SLOTS",IF(COUNTIF(PARTNERS!$A$2:$A$88,E1774)=0,"Write the company in column E","OK"),IF(C1774="","Missing phone",IF(COUNTIF(DESK!$F$2:$F$601,C1774)=0,"Phone not found: copy it from your list",IF(AND(E1774&lt;&gt;"",COUNTIFS(DESK!$F$2:$F$601,C1774,DESK!$B$2:$B$601,E1774)=0),"Company is not one of theirs","OK"))))))</f>
        <v/>
      </c>
    </row>
    <row r="1775" spans="1:10"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time",IF(D1775="NO_SLOTS",IF(COUNTIF(PARTNERS!$A$2:$A$88,E1775)=0,"Write the company in column E","OK"),IF(C1775="","Missing phone",IF(COUNTIF(DESK!$F$2:$F$601,C1775)=0,"Phone not found: copy it from your list",IF(AND(E1775&lt;&gt;"",COUNTIFS(DESK!$F$2:$F$601,C1775,DESK!$B$2:$B$601,E1775)=0),"Company is not one of theirs","OK"))))))</f>
        <v/>
      </c>
    </row>
    <row r="1776" spans="1:10"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time",IF(D1776="NO_SLOTS",IF(COUNTIF(PARTNERS!$A$2:$A$88,E1776)=0,"Write the company in column E","OK"),IF(C1776="","Missing phone",IF(COUNTIF(DESK!$F$2:$F$601,C1776)=0,"Phone not found: copy it from your list",IF(AND(E1776&lt;&gt;"",COUNTIFS(DESK!$F$2:$F$601,C1776,DESK!$B$2:$B$601,E1776)=0),"Company is not one of theirs","OK"))))))</f>
        <v/>
      </c>
    </row>
    <row r="1777" spans="1:10"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time",IF(D1777="NO_SLOTS",IF(COUNTIF(PARTNERS!$A$2:$A$88,E1777)=0,"Write the company in column E","OK"),IF(C1777="","Missing phone",IF(COUNTIF(DESK!$F$2:$F$601,C1777)=0,"Phone not found: copy it from your list",IF(AND(E1777&lt;&gt;"",COUNTIFS(DESK!$F$2:$F$601,C1777,DESK!$B$2:$B$601,E1777)=0),"Company is not one of theirs","OK"))))))</f>
        <v/>
      </c>
    </row>
    <row r="1778" spans="1:10"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time",IF(D1778="NO_SLOTS",IF(COUNTIF(PARTNERS!$A$2:$A$88,E1778)=0,"Write the company in column E","OK"),IF(C1778="","Missing phone",IF(COUNTIF(DESK!$F$2:$F$601,C1778)=0,"Phone not found: copy it from your list",IF(AND(E1778&lt;&gt;"",COUNTIFS(DESK!$F$2:$F$601,C1778,DESK!$B$2:$B$601,E1778)=0),"Company is not one of theirs","OK"))))))</f>
        <v/>
      </c>
    </row>
    <row r="1779" spans="1:10"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time",IF(D1779="NO_SLOTS",IF(COUNTIF(PARTNERS!$A$2:$A$88,E1779)=0,"Write the company in column E","OK"),IF(C1779="","Missing phone",IF(COUNTIF(DESK!$F$2:$F$601,C1779)=0,"Phone not found: copy it from your list",IF(AND(E1779&lt;&gt;"",COUNTIFS(DESK!$F$2:$F$601,C1779,DESK!$B$2:$B$601,E1779)=0),"Company is not one of theirs","OK"))))))</f>
        <v/>
      </c>
    </row>
    <row r="1780" spans="1:10"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time",IF(D1780="NO_SLOTS",IF(COUNTIF(PARTNERS!$A$2:$A$88,E1780)=0,"Write the company in column E","OK"),IF(C1780="","Missing phone",IF(COUNTIF(DESK!$F$2:$F$601,C1780)=0,"Phone not found: copy it from your list",IF(AND(E1780&lt;&gt;"",COUNTIFS(DESK!$F$2:$F$601,C1780,DESK!$B$2:$B$601,E1780)=0),"Company is not one of theirs","OK"))))))</f>
        <v/>
      </c>
    </row>
    <row r="1781" spans="1:10"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time",IF(D1781="NO_SLOTS",IF(COUNTIF(PARTNERS!$A$2:$A$88,E1781)=0,"Write the company in column E","OK"),IF(C1781="","Missing phone",IF(COUNTIF(DESK!$F$2:$F$601,C1781)=0,"Phone not found: copy it from your list",IF(AND(E1781&lt;&gt;"",COUNTIFS(DESK!$F$2:$F$601,C1781,DESK!$B$2:$B$601,E1781)=0),"Company is not one of theirs","OK"))))))</f>
        <v/>
      </c>
    </row>
    <row r="1782" spans="1:10"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time",IF(D1782="NO_SLOTS",IF(COUNTIF(PARTNERS!$A$2:$A$88,E1782)=0,"Write the company in column E","OK"),IF(C1782="","Missing phone",IF(COUNTIF(DESK!$F$2:$F$601,C1782)=0,"Phone not found: copy it from your list",IF(AND(E1782&lt;&gt;"",COUNTIFS(DESK!$F$2:$F$601,C1782,DESK!$B$2:$B$601,E1782)=0),"Company is not one of theirs","OK"))))))</f>
        <v/>
      </c>
    </row>
    <row r="1783" spans="1:10"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time",IF(D1783="NO_SLOTS",IF(COUNTIF(PARTNERS!$A$2:$A$88,E1783)=0,"Write the company in column E","OK"),IF(C1783="","Missing phone",IF(COUNTIF(DESK!$F$2:$F$601,C1783)=0,"Phone not found: copy it from your list",IF(AND(E1783&lt;&gt;"",COUNTIFS(DESK!$F$2:$F$601,C1783,DESK!$B$2:$B$601,E1783)=0),"Company is not one of theirs","OK"))))))</f>
        <v/>
      </c>
    </row>
    <row r="1784" spans="1:10"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time",IF(D1784="NO_SLOTS",IF(COUNTIF(PARTNERS!$A$2:$A$88,E1784)=0,"Write the company in column E","OK"),IF(C1784="","Missing phone",IF(COUNTIF(DESK!$F$2:$F$601,C1784)=0,"Phone not found: copy it from your list",IF(AND(E1784&lt;&gt;"",COUNTIFS(DESK!$F$2:$F$601,C1784,DESK!$B$2:$B$601,E1784)=0),"Company is not one of theirs","OK"))))))</f>
        <v/>
      </c>
    </row>
    <row r="1785" spans="1:10"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time",IF(D1785="NO_SLOTS",IF(COUNTIF(PARTNERS!$A$2:$A$88,E1785)=0,"Write the company in column E","OK"),IF(C1785="","Missing phone",IF(COUNTIF(DESK!$F$2:$F$601,C1785)=0,"Phone not found: copy it from your list",IF(AND(E1785&lt;&gt;"",COUNTIFS(DESK!$F$2:$F$601,C1785,DESK!$B$2:$B$601,E1785)=0),"Company is not one of theirs","OK"))))))</f>
        <v/>
      </c>
    </row>
    <row r="1786" spans="1:10"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time",IF(D1786="NO_SLOTS",IF(COUNTIF(PARTNERS!$A$2:$A$88,E1786)=0,"Write the company in column E","OK"),IF(C1786="","Missing phone",IF(COUNTIF(DESK!$F$2:$F$601,C1786)=0,"Phone not found: copy it from your list",IF(AND(E1786&lt;&gt;"",COUNTIFS(DESK!$F$2:$F$601,C1786,DESK!$B$2:$B$601,E1786)=0),"Company is not one of theirs","OK"))))))</f>
        <v/>
      </c>
    </row>
    <row r="1787" spans="1:10"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time",IF(D1787="NO_SLOTS",IF(COUNTIF(PARTNERS!$A$2:$A$88,E1787)=0,"Write the company in column E","OK"),IF(C1787="","Missing phone",IF(COUNTIF(DESK!$F$2:$F$601,C1787)=0,"Phone not found: copy it from your list",IF(AND(E1787&lt;&gt;"",COUNTIFS(DESK!$F$2:$F$601,C1787,DESK!$B$2:$B$601,E1787)=0),"Company is not one of theirs","OK"))))))</f>
        <v/>
      </c>
    </row>
    <row r="1788" spans="1:10"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time",IF(D1788="NO_SLOTS",IF(COUNTIF(PARTNERS!$A$2:$A$88,E1788)=0,"Write the company in column E","OK"),IF(C1788="","Missing phone",IF(COUNTIF(DESK!$F$2:$F$601,C1788)=0,"Phone not found: copy it from your list",IF(AND(E1788&lt;&gt;"",COUNTIFS(DESK!$F$2:$F$601,C1788,DESK!$B$2:$B$601,E1788)=0),"Company is not one of theirs","OK"))))))</f>
        <v/>
      </c>
    </row>
    <row r="1789" spans="1:10"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time",IF(D1789="NO_SLOTS",IF(COUNTIF(PARTNERS!$A$2:$A$88,E1789)=0,"Write the company in column E","OK"),IF(C1789="","Missing phone",IF(COUNTIF(DESK!$F$2:$F$601,C1789)=0,"Phone not found: copy it from your list",IF(AND(E1789&lt;&gt;"",COUNTIFS(DESK!$F$2:$F$601,C1789,DESK!$B$2:$B$601,E1789)=0),"Company is not one of theirs","OK"))))))</f>
        <v/>
      </c>
    </row>
    <row r="1790" spans="1:10"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time",IF(D1790="NO_SLOTS",IF(COUNTIF(PARTNERS!$A$2:$A$88,E1790)=0,"Write the company in column E","OK"),IF(C1790="","Missing phone",IF(COUNTIF(DESK!$F$2:$F$601,C1790)=0,"Phone not found: copy it from your list",IF(AND(E1790&lt;&gt;"",COUNTIFS(DESK!$F$2:$F$601,C1790,DESK!$B$2:$B$601,E1790)=0),"Company is not one of theirs","OK"))))))</f>
        <v/>
      </c>
    </row>
    <row r="1791" spans="1:10"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time",IF(D1791="NO_SLOTS",IF(COUNTIF(PARTNERS!$A$2:$A$88,E1791)=0,"Write the company in column E","OK"),IF(C1791="","Missing phone",IF(COUNTIF(DESK!$F$2:$F$601,C1791)=0,"Phone not found: copy it from your list",IF(AND(E1791&lt;&gt;"",COUNTIFS(DESK!$F$2:$F$601,C1791,DESK!$B$2:$B$601,E1791)=0),"Company is not one of theirs","OK"))))))</f>
        <v/>
      </c>
    </row>
    <row r="1792" spans="1:10"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time",IF(D1792="NO_SLOTS",IF(COUNTIF(PARTNERS!$A$2:$A$88,E1792)=0,"Write the company in column E","OK"),IF(C1792="","Missing phone",IF(COUNTIF(DESK!$F$2:$F$601,C1792)=0,"Phone not found: copy it from your list",IF(AND(E1792&lt;&gt;"",COUNTIFS(DESK!$F$2:$F$601,C1792,DESK!$B$2:$B$601,E1792)=0),"Company is not one of theirs","OK"))))))</f>
        <v/>
      </c>
    </row>
    <row r="1793" spans="1:10"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time",IF(D1793="NO_SLOTS",IF(COUNTIF(PARTNERS!$A$2:$A$88,E1793)=0,"Write the company in column E","OK"),IF(C1793="","Missing phone",IF(COUNTIF(DESK!$F$2:$F$601,C1793)=0,"Phone not found: copy it from your list",IF(AND(E1793&lt;&gt;"",COUNTIFS(DESK!$F$2:$F$601,C1793,DESK!$B$2:$B$601,E1793)=0),"Company is not one of theirs","OK"))))))</f>
        <v/>
      </c>
    </row>
    <row r="1794" spans="1:10"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time",IF(D1794="NO_SLOTS",IF(COUNTIF(PARTNERS!$A$2:$A$88,E1794)=0,"Write the company in column E","OK"),IF(C1794="","Missing phone",IF(COUNTIF(DESK!$F$2:$F$601,C1794)=0,"Phone not found: copy it from your list",IF(AND(E1794&lt;&gt;"",COUNTIFS(DESK!$F$2:$F$601,C1794,DESK!$B$2:$B$601,E1794)=0),"Company is not one of theirs","OK"))))))</f>
        <v/>
      </c>
    </row>
    <row r="1795" spans="1:10"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time",IF(D1795="NO_SLOTS",IF(COUNTIF(PARTNERS!$A$2:$A$88,E1795)=0,"Write the company in column E","OK"),IF(C1795="","Missing phone",IF(COUNTIF(DESK!$F$2:$F$601,C1795)=0,"Phone not found: copy it from your list",IF(AND(E1795&lt;&gt;"",COUNTIFS(DESK!$F$2:$F$601,C1795,DESK!$B$2:$B$601,E1795)=0),"Company is not one of theirs","OK"))))))</f>
        <v/>
      </c>
    </row>
    <row r="1796" spans="1:10"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time",IF(D1796="NO_SLOTS",IF(COUNTIF(PARTNERS!$A$2:$A$88,E1796)=0,"Write the company in column E","OK"),IF(C1796="","Missing phone",IF(COUNTIF(DESK!$F$2:$F$601,C1796)=0,"Phone not found: copy it from your list",IF(AND(E1796&lt;&gt;"",COUNTIFS(DESK!$F$2:$F$601,C1796,DESK!$B$2:$B$601,E1796)=0),"Company is not one of theirs","OK"))))))</f>
        <v/>
      </c>
    </row>
    <row r="1797" spans="1:10"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time",IF(D1797="NO_SLOTS",IF(COUNTIF(PARTNERS!$A$2:$A$88,E1797)=0,"Write the company in column E","OK"),IF(C1797="","Missing phone",IF(COUNTIF(DESK!$F$2:$F$601,C1797)=0,"Phone not found: copy it from your list",IF(AND(E1797&lt;&gt;"",COUNTIFS(DESK!$F$2:$F$601,C1797,DESK!$B$2:$B$601,E1797)=0),"Company is not one of theirs","OK"))))))</f>
        <v/>
      </c>
    </row>
    <row r="1798" spans="1:10"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time",IF(D1798="NO_SLOTS",IF(COUNTIF(PARTNERS!$A$2:$A$88,E1798)=0,"Write the company in column E","OK"),IF(C1798="","Missing phone",IF(COUNTIF(DESK!$F$2:$F$601,C1798)=0,"Phone not found: copy it from your list",IF(AND(E1798&lt;&gt;"",COUNTIFS(DESK!$F$2:$F$601,C1798,DESK!$B$2:$B$601,E1798)=0),"Company is not one of theirs","OK"))))))</f>
        <v/>
      </c>
    </row>
    <row r="1799" spans="1:10"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time",IF(D1799="NO_SLOTS",IF(COUNTIF(PARTNERS!$A$2:$A$88,E1799)=0,"Write the company in column E","OK"),IF(C1799="","Missing phone",IF(COUNTIF(DESK!$F$2:$F$601,C1799)=0,"Phone not found: copy it from your list",IF(AND(E1799&lt;&gt;"",COUNTIFS(DESK!$F$2:$F$601,C1799,DESK!$B$2:$B$601,E1799)=0),"Company is not one of theirs","OK"))))))</f>
        <v/>
      </c>
    </row>
    <row r="1800" spans="1:10"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time",IF(D1800="NO_SLOTS",IF(COUNTIF(PARTNERS!$A$2:$A$88,E1800)=0,"Write the company in column E","OK"),IF(C1800="","Missing phone",IF(COUNTIF(DESK!$F$2:$F$601,C1800)=0,"Phone not found: copy it from your list",IF(AND(E1800&lt;&gt;"",COUNTIFS(DESK!$F$2:$F$601,C1800,DESK!$B$2:$B$601,E1800)=0),"Company is not one of theirs","OK"))))))</f>
        <v/>
      </c>
    </row>
    <row r="1801" spans="1:10"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time",IF(D1801="NO_SLOTS",IF(COUNTIF(PARTNERS!$A$2:$A$88,E1801)=0,"Write the company in column E","OK"),IF(C1801="","Missing phone",IF(COUNTIF(DESK!$F$2:$F$601,C1801)=0,"Phone not found: copy it from your list",IF(AND(E1801&lt;&gt;"",COUNTIFS(DESK!$F$2:$F$601,C1801,DESK!$B$2:$B$601,E1801)=0),"Company is not one of theirs","OK"))))))</f>
        <v/>
      </c>
    </row>
    <row r="1802" spans="1:10"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time",IF(D1802="NO_SLOTS",IF(COUNTIF(PARTNERS!$A$2:$A$88,E1802)=0,"Write the company in column E","OK"),IF(C1802="","Missing phone",IF(COUNTIF(DESK!$F$2:$F$601,C1802)=0,"Phone not found: copy it from your list",IF(AND(E1802&lt;&gt;"",COUNTIFS(DESK!$F$2:$F$601,C1802,DESK!$B$2:$B$601,E1802)=0),"Company is not one of theirs","OK"))))))</f>
        <v/>
      </c>
    </row>
    <row r="1803" spans="1:10"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time",IF(D1803="NO_SLOTS",IF(COUNTIF(PARTNERS!$A$2:$A$88,E1803)=0,"Write the company in column E","OK"),IF(C1803="","Missing phone",IF(COUNTIF(DESK!$F$2:$F$601,C1803)=0,"Phone not found: copy it from your list",IF(AND(E1803&lt;&gt;"",COUNTIFS(DESK!$F$2:$F$601,C1803,DESK!$B$2:$B$601,E1803)=0),"Company is not one of theirs","OK"))))))</f>
        <v/>
      </c>
    </row>
    <row r="1804" spans="1:10"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time",IF(D1804="NO_SLOTS",IF(COUNTIF(PARTNERS!$A$2:$A$88,E1804)=0,"Write the company in column E","OK"),IF(C1804="","Missing phone",IF(COUNTIF(DESK!$F$2:$F$601,C1804)=0,"Phone not found: copy it from your list",IF(AND(E1804&lt;&gt;"",COUNTIFS(DESK!$F$2:$F$601,C1804,DESK!$B$2:$B$601,E1804)=0),"Company is not one of theirs","OK"))))))</f>
        <v/>
      </c>
    </row>
    <row r="1805" spans="1:10"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time",IF(D1805="NO_SLOTS",IF(COUNTIF(PARTNERS!$A$2:$A$88,E1805)=0,"Write the company in column E","OK"),IF(C1805="","Missing phone",IF(COUNTIF(DESK!$F$2:$F$601,C1805)=0,"Phone not found: copy it from your list",IF(AND(E1805&lt;&gt;"",COUNTIFS(DESK!$F$2:$F$601,C1805,DESK!$B$2:$B$601,E1805)=0),"Company is not one of theirs","OK"))))))</f>
        <v/>
      </c>
    </row>
    <row r="1806" spans="1:10"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time",IF(D1806="NO_SLOTS",IF(COUNTIF(PARTNERS!$A$2:$A$88,E1806)=0,"Write the company in column E","OK"),IF(C1806="","Missing phone",IF(COUNTIF(DESK!$F$2:$F$601,C1806)=0,"Phone not found: copy it from your list",IF(AND(E1806&lt;&gt;"",COUNTIFS(DESK!$F$2:$F$601,C1806,DESK!$B$2:$B$601,E1806)=0),"Company is not one of theirs","OK"))))))</f>
        <v/>
      </c>
    </row>
    <row r="1807" spans="1:10"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time",IF(D1807="NO_SLOTS",IF(COUNTIF(PARTNERS!$A$2:$A$88,E1807)=0,"Write the company in column E","OK"),IF(C1807="","Missing phone",IF(COUNTIF(DESK!$F$2:$F$601,C1807)=0,"Phone not found: copy it from your list",IF(AND(E1807&lt;&gt;"",COUNTIFS(DESK!$F$2:$F$601,C1807,DESK!$B$2:$B$601,E1807)=0),"Company is not one of theirs","OK"))))))</f>
        <v/>
      </c>
    </row>
    <row r="1808" spans="1:10"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time",IF(D1808="NO_SLOTS",IF(COUNTIF(PARTNERS!$A$2:$A$88,E1808)=0,"Write the company in column E","OK"),IF(C1808="","Missing phone",IF(COUNTIF(DESK!$F$2:$F$601,C1808)=0,"Phone not found: copy it from your list",IF(AND(E1808&lt;&gt;"",COUNTIFS(DESK!$F$2:$F$601,C1808,DESK!$B$2:$B$601,E1808)=0),"Company is not one of theirs","OK"))))))</f>
        <v/>
      </c>
    </row>
    <row r="1809" spans="1:10"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time",IF(D1809="NO_SLOTS",IF(COUNTIF(PARTNERS!$A$2:$A$88,E1809)=0,"Write the company in column E","OK"),IF(C1809="","Missing phone",IF(COUNTIF(DESK!$F$2:$F$601,C1809)=0,"Phone not found: copy it from your list",IF(AND(E1809&lt;&gt;"",COUNTIFS(DESK!$F$2:$F$601,C1809,DESK!$B$2:$B$601,E1809)=0),"Company is not one of theirs","OK"))))))</f>
        <v/>
      </c>
    </row>
    <row r="1810" spans="1:10"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time",IF(D1810="NO_SLOTS",IF(COUNTIF(PARTNERS!$A$2:$A$88,E1810)=0,"Write the company in column E","OK"),IF(C1810="","Missing phone",IF(COUNTIF(DESK!$F$2:$F$601,C1810)=0,"Phone not found: copy it from your list",IF(AND(E1810&lt;&gt;"",COUNTIFS(DESK!$F$2:$F$601,C1810,DESK!$B$2:$B$601,E1810)=0),"Company is not one of theirs","OK"))))))</f>
        <v/>
      </c>
    </row>
    <row r="1811" spans="1:10"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time",IF(D1811="NO_SLOTS",IF(COUNTIF(PARTNERS!$A$2:$A$88,E1811)=0,"Write the company in column E","OK"),IF(C1811="","Missing phone",IF(COUNTIF(DESK!$F$2:$F$601,C1811)=0,"Phone not found: copy it from your list",IF(AND(E1811&lt;&gt;"",COUNTIFS(DESK!$F$2:$F$601,C1811,DESK!$B$2:$B$601,E1811)=0),"Company is not one of theirs","OK"))))))</f>
        <v/>
      </c>
    </row>
    <row r="1812" spans="1:10"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time",IF(D1812="NO_SLOTS",IF(COUNTIF(PARTNERS!$A$2:$A$88,E1812)=0,"Write the company in column E","OK"),IF(C1812="","Missing phone",IF(COUNTIF(DESK!$F$2:$F$601,C1812)=0,"Phone not found: copy it from your list",IF(AND(E1812&lt;&gt;"",COUNTIFS(DESK!$F$2:$F$601,C1812,DESK!$B$2:$B$601,E1812)=0),"Company is not one of theirs","OK"))))))</f>
        <v/>
      </c>
    </row>
    <row r="1813" spans="1:10"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time",IF(D1813="NO_SLOTS",IF(COUNTIF(PARTNERS!$A$2:$A$88,E1813)=0,"Write the company in column E","OK"),IF(C1813="","Missing phone",IF(COUNTIF(DESK!$F$2:$F$601,C1813)=0,"Phone not found: copy it from your list",IF(AND(E1813&lt;&gt;"",COUNTIFS(DESK!$F$2:$F$601,C1813,DESK!$B$2:$B$601,E1813)=0),"Company is not one of theirs","OK"))))))</f>
        <v/>
      </c>
    </row>
    <row r="1814" spans="1:10"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time",IF(D1814="NO_SLOTS",IF(COUNTIF(PARTNERS!$A$2:$A$88,E1814)=0,"Write the company in column E","OK"),IF(C1814="","Missing phone",IF(COUNTIF(DESK!$F$2:$F$601,C1814)=0,"Phone not found: copy it from your list",IF(AND(E1814&lt;&gt;"",COUNTIFS(DESK!$F$2:$F$601,C1814,DESK!$B$2:$B$601,E1814)=0),"Company is not one of theirs","OK"))))))</f>
        <v/>
      </c>
    </row>
    <row r="1815" spans="1:10"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time",IF(D1815="NO_SLOTS",IF(COUNTIF(PARTNERS!$A$2:$A$88,E1815)=0,"Write the company in column E","OK"),IF(C1815="","Missing phone",IF(COUNTIF(DESK!$F$2:$F$601,C1815)=0,"Phone not found: copy it from your list",IF(AND(E1815&lt;&gt;"",COUNTIFS(DESK!$F$2:$F$601,C1815,DESK!$B$2:$B$601,E1815)=0),"Company is not one of theirs","OK"))))))</f>
        <v/>
      </c>
    </row>
    <row r="1816" spans="1:10"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time",IF(D1816="NO_SLOTS",IF(COUNTIF(PARTNERS!$A$2:$A$88,E1816)=0,"Write the company in column E","OK"),IF(C1816="","Missing phone",IF(COUNTIF(DESK!$F$2:$F$601,C1816)=0,"Phone not found: copy it from your list",IF(AND(E1816&lt;&gt;"",COUNTIFS(DESK!$F$2:$F$601,C1816,DESK!$B$2:$B$601,E1816)=0),"Company is not one of theirs","OK"))))))</f>
        <v/>
      </c>
    </row>
    <row r="1817" spans="1:10"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time",IF(D1817="NO_SLOTS",IF(COUNTIF(PARTNERS!$A$2:$A$88,E1817)=0,"Write the company in column E","OK"),IF(C1817="","Missing phone",IF(COUNTIF(DESK!$F$2:$F$601,C1817)=0,"Phone not found: copy it from your list",IF(AND(E1817&lt;&gt;"",COUNTIFS(DESK!$F$2:$F$601,C1817,DESK!$B$2:$B$601,E1817)=0),"Company is not one of theirs","OK"))))))</f>
        <v/>
      </c>
    </row>
    <row r="1818" spans="1:10"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time",IF(D1818="NO_SLOTS",IF(COUNTIF(PARTNERS!$A$2:$A$88,E1818)=0,"Write the company in column E","OK"),IF(C1818="","Missing phone",IF(COUNTIF(DESK!$F$2:$F$601,C1818)=0,"Phone not found: copy it from your list",IF(AND(E1818&lt;&gt;"",COUNTIFS(DESK!$F$2:$F$601,C1818,DESK!$B$2:$B$601,E1818)=0),"Company is not one of theirs","OK"))))))</f>
        <v/>
      </c>
    </row>
    <row r="1819" spans="1:10"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time",IF(D1819="NO_SLOTS",IF(COUNTIF(PARTNERS!$A$2:$A$88,E1819)=0,"Write the company in column E","OK"),IF(C1819="","Missing phone",IF(COUNTIF(DESK!$F$2:$F$601,C1819)=0,"Phone not found: copy it from your list",IF(AND(E1819&lt;&gt;"",COUNTIFS(DESK!$F$2:$F$601,C1819,DESK!$B$2:$B$601,E1819)=0),"Company is not one of theirs","OK"))))))</f>
        <v/>
      </c>
    </row>
    <row r="1820" spans="1:10"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time",IF(D1820="NO_SLOTS",IF(COUNTIF(PARTNERS!$A$2:$A$88,E1820)=0,"Write the company in column E","OK"),IF(C1820="","Missing phone",IF(COUNTIF(DESK!$F$2:$F$601,C1820)=0,"Phone not found: copy it from your list",IF(AND(E1820&lt;&gt;"",COUNTIFS(DESK!$F$2:$F$601,C1820,DESK!$B$2:$B$601,E1820)=0),"Company is not one of theirs","OK"))))))</f>
        <v/>
      </c>
    </row>
    <row r="1821" spans="1:10"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time",IF(D1821="NO_SLOTS",IF(COUNTIF(PARTNERS!$A$2:$A$88,E1821)=0,"Write the company in column E","OK"),IF(C1821="","Missing phone",IF(COUNTIF(DESK!$F$2:$F$601,C1821)=0,"Phone not found: copy it from your list",IF(AND(E1821&lt;&gt;"",COUNTIFS(DESK!$F$2:$F$601,C1821,DESK!$B$2:$B$601,E1821)=0),"Company is not one of theirs","OK"))))))</f>
        <v/>
      </c>
    </row>
    <row r="1822" spans="1:10"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time",IF(D1822="NO_SLOTS",IF(COUNTIF(PARTNERS!$A$2:$A$88,E1822)=0,"Write the company in column E","OK"),IF(C1822="","Missing phone",IF(COUNTIF(DESK!$F$2:$F$601,C1822)=0,"Phone not found: copy it from your list",IF(AND(E1822&lt;&gt;"",COUNTIFS(DESK!$F$2:$F$601,C1822,DESK!$B$2:$B$601,E1822)=0),"Company is not one of theirs","OK"))))))</f>
        <v/>
      </c>
    </row>
    <row r="1823" spans="1:10"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time",IF(D1823="NO_SLOTS",IF(COUNTIF(PARTNERS!$A$2:$A$88,E1823)=0,"Write the company in column E","OK"),IF(C1823="","Missing phone",IF(COUNTIF(DESK!$F$2:$F$601,C1823)=0,"Phone not found: copy it from your list",IF(AND(E1823&lt;&gt;"",COUNTIFS(DESK!$F$2:$F$601,C1823,DESK!$B$2:$B$601,E1823)=0),"Company is not one of theirs","OK"))))))</f>
        <v/>
      </c>
    </row>
    <row r="1824" spans="1:10"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time",IF(D1824="NO_SLOTS",IF(COUNTIF(PARTNERS!$A$2:$A$88,E1824)=0,"Write the company in column E","OK"),IF(C1824="","Missing phone",IF(COUNTIF(DESK!$F$2:$F$601,C1824)=0,"Phone not found: copy it from your list",IF(AND(E1824&lt;&gt;"",COUNTIFS(DESK!$F$2:$F$601,C1824,DESK!$B$2:$B$601,E1824)=0),"Company is not one of theirs","OK"))))))</f>
        <v/>
      </c>
    </row>
    <row r="1825" spans="1:10"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time",IF(D1825="NO_SLOTS",IF(COUNTIF(PARTNERS!$A$2:$A$88,E1825)=0,"Write the company in column E","OK"),IF(C1825="","Missing phone",IF(COUNTIF(DESK!$F$2:$F$601,C1825)=0,"Phone not found: copy it from your list",IF(AND(E1825&lt;&gt;"",COUNTIFS(DESK!$F$2:$F$601,C1825,DESK!$B$2:$B$601,E1825)=0),"Company is not one of theirs","OK"))))))</f>
        <v/>
      </c>
    </row>
    <row r="1826" spans="1:10"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time",IF(D1826="NO_SLOTS",IF(COUNTIF(PARTNERS!$A$2:$A$88,E1826)=0,"Write the company in column E","OK"),IF(C1826="","Missing phone",IF(COUNTIF(DESK!$F$2:$F$601,C1826)=0,"Phone not found: copy it from your list",IF(AND(E1826&lt;&gt;"",COUNTIFS(DESK!$F$2:$F$601,C1826,DESK!$B$2:$B$601,E1826)=0),"Company is not one of theirs","OK"))))))</f>
        <v/>
      </c>
    </row>
    <row r="1827" spans="1:10"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time",IF(D1827="NO_SLOTS",IF(COUNTIF(PARTNERS!$A$2:$A$88,E1827)=0,"Write the company in column E","OK"),IF(C1827="","Missing phone",IF(COUNTIF(DESK!$F$2:$F$601,C1827)=0,"Phone not found: copy it from your list",IF(AND(E1827&lt;&gt;"",COUNTIFS(DESK!$F$2:$F$601,C1827,DESK!$B$2:$B$601,E1827)=0),"Company is not one of theirs","OK"))))))</f>
        <v/>
      </c>
    </row>
    <row r="1828" spans="1:10"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time",IF(D1828="NO_SLOTS",IF(COUNTIF(PARTNERS!$A$2:$A$88,E1828)=0,"Write the company in column E","OK"),IF(C1828="","Missing phone",IF(COUNTIF(DESK!$F$2:$F$601,C1828)=0,"Phone not found: copy it from your list",IF(AND(E1828&lt;&gt;"",COUNTIFS(DESK!$F$2:$F$601,C1828,DESK!$B$2:$B$601,E1828)=0),"Company is not one of theirs","OK"))))))</f>
        <v/>
      </c>
    </row>
    <row r="1829" spans="1:10"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time",IF(D1829="NO_SLOTS",IF(COUNTIF(PARTNERS!$A$2:$A$88,E1829)=0,"Write the company in column E","OK"),IF(C1829="","Missing phone",IF(COUNTIF(DESK!$F$2:$F$601,C1829)=0,"Phone not found: copy it from your list",IF(AND(E1829&lt;&gt;"",COUNTIFS(DESK!$F$2:$F$601,C1829,DESK!$B$2:$B$601,E1829)=0),"Company is not one of theirs","OK"))))))</f>
        <v/>
      </c>
    </row>
    <row r="1830" spans="1:10"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time",IF(D1830="NO_SLOTS",IF(COUNTIF(PARTNERS!$A$2:$A$88,E1830)=0,"Write the company in column E","OK"),IF(C1830="","Missing phone",IF(COUNTIF(DESK!$F$2:$F$601,C1830)=0,"Phone not found: copy it from your list",IF(AND(E1830&lt;&gt;"",COUNTIFS(DESK!$F$2:$F$601,C1830,DESK!$B$2:$B$601,E1830)=0),"Company is not one of theirs","OK"))))))</f>
        <v/>
      </c>
    </row>
    <row r="1831" spans="1:10"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time",IF(D1831="NO_SLOTS",IF(COUNTIF(PARTNERS!$A$2:$A$88,E1831)=0,"Write the company in column E","OK"),IF(C1831="","Missing phone",IF(COUNTIF(DESK!$F$2:$F$601,C1831)=0,"Phone not found: copy it from your list",IF(AND(E1831&lt;&gt;"",COUNTIFS(DESK!$F$2:$F$601,C1831,DESK!$B$2:$B$601,E1831)=0),"Company is not one of theirs","OK"))))))</f>
        <v/>
      </c>
    </row>
    <row r="1832" spans="1:10"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time",IF(D1832="NO_SLOTS",IF(COUNTIF(PARTNERS!$A$2:$A$88,E1832)=0,"Write the company in column E","OK"),IF(C1832="","Missing phone",IF(COUNTIF(DESK!$F$2:$F$601,C1832)=0,"Phone not found: copy it from your list",IF(AND(E1832&lt;&gt;"",COUNTIFS(DESK!$F$2:$F$601,C1832,DESK!$B$2:$B$601,E1832)=0),"Company is not one of theirs","OK"))))))</f>
        <v/>
      </c>
    </row>
    <row r="1833" spans="1:10"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time",IF(D1833="NO_SLOTS",IF(COUNTIF(PARTNERS!$A$2:$A$88,E1833)=0,"Write the company in column E","OK"),IF(C1833="","Missing phone",IF(COUNTIF(DESK!$F$2:$F$601,C1833)=0,"Phone not found: copy it from your list",IF(AND(E1833&lt;&gt;"",COUNTIFS(DESK!$F$2:$F$601,C1833,DESK!$B$2:$B$601,E1833)=0),"Company is not one of theirs","OK"))))))</f>
        <v/>
      </c>
    </row>
    <row r="1834" spans="1:10"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time",IF(D1834="NO_SLOTS",IF(COUNTIF(PARTNERS!$A$2:$A$88,E1834)=0,"Write the company in column E","OK"),IF(C1834="","Missing phone",IF(COUNTIF(DESK!$F$2:$F$601,C1834)=0,"Phone not found: copy it from your list",IF(AND(E1834&lt;&gt;"",COUNTIFS(DESK!$F$2:$F$601,C1834,DESK!$B$2:$B$601,E1834)=0),"Company is not one of theirs","OK"))))))</f>
        <v/>
      </c>
    </row>
    <row r="1835" spans="1:10"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time",IF(D1835="NO_SLOTS",IF(COUNTIF(PARTNERS!$A$2:$A$88,E1835)=0,"Write the company in column E","OK"),IF(C1835="","Missing phone",IF(COUNTIF(DESK!$F$2:$F$601,C1835)=0,"Phone not found: copy it from your list",IF(AND(E1835&lt;&gt;"",COUNTIFS(DESK!$F$2:$F$601,C1835,DESK!$B$2:$B$601,E1835)=0),"Company is not one of theirs","OK"))))))</f>
        <v/>
      </c>
    </row>
    <row r="1836" spans="1:10"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time",IF(D1836="NO_SLOTS",IF(COUNTIF(PARTNERS!$A$2:$A$88,E1836)=0,"Write the company in column E","OK"),IF(C1836="","Missing phone",IF(COUNTIF(DESK!$F$2:$F$601,C1836)=0,"Phone not found: copy it from your list",IF(AND(E1836&lt;&gt;"",COUNTIFS(DESK!$F$2:$F$601,C1836,DESK!$B$2:$B$601,E1836)=0),"Company is not one of theirs","OK"))))))</f>
        <v/>
      </c>
    </row>
    <row r="1837" spans="1:10"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time",IF(D1837="NO_SLOTS",IF(COUNTIF(PARTNERS!$A$2:$A$88,E1837)=0,"Write the company in column E","OK"),IF(C1837="","Missing phone",IF(COUNTIF(DESK!$F$2:$F$601,C1837)=0,"Phone not found: copy it from your list",IF(AND(E1837&lt;&gt;"",COUNTIFS(DESK!$F$2:$F$601,C1837,DESK!$B$2:$B$601,E1837)=0),"Company is not one of theirs","OK"))))))</f>
        <v/>
      </c>
    </row>
    <row r="1838" spans="1:10"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time",IF(D1838="NO_SLOTS",IF(COUNTIF(PARTNERS!$A$2:$A$88,E1838)=0,"Write the company in column E","OK"),IF(C1838="","Missing phone",IF(COUNTIF(DESK!$F$2:$F$601,C1838)=0,"Phone not found: copy it from your list",IF(AND(E1838&lt;&gt;"",COUNTIFS(DESK!$F$2:$F$601,C1838,DESK!$B$2:$B$601,E1838)=0),"Company is not one of theirs","OK"))))))</f>
        <v/>
      </c>
    </row>
    <row r="1839" spans="1:10"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time",IF(D1839="NO_SLOTS",IF(COUNTIF(PARTNERS!$A$2:$A$88,E1839)=0,"Write the company in column E","OK"),IF(C1839="","Missing phone",IF(COUNTIF(DESK!$F$2:$F$601,C1839)=0,"Phone not found: copy it from your list",IF(AND(E1839&lt;&gt;"",COUNTIFS(DESK!$F$2:$F$601,C1839,DESK!$B$2:$B$601,E1839)=0),"Company is not one of theirs","OK"))))))</f>
        <v/>
      </c>
    </row>
    <row r="1840" spans="1:10"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time",IF(D1840="NO_SLOTS",IF(COUNTIF(PARTNERS!$A$2:$A$88,E1840)=0,"Write the company in column E","OK"),IF(C1840="","Missing phone",IF(COUNTIF(DESK!$F$2:$F$601,C1840)=0,"Phone not found: copy it from your list",IF(AND(E1840&lt;&gt;"",COUNTIFS(DESK!$F$2:$F$601,C1840,DESK!$B$2:$B$601,E1840)=0),"Company is not one of theirs","OK"))))))</f>
        <v/>
      </c>
    </row>
    <row r="1841" spans="1:10"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time",IF(D1841="NO_SLOTS",IF(COUNTIF(PARTNERS!$A$2:$A$88,E1841)=0,"Write the company in column E","OK"),IF(C1841="","Missing phone",IF(COUNTIF(DESK!$F$2:$F$601,C1841)=0,"Phone not found: copy it from your list",IF(AND(E1841&lt;&gt;"",COUNTIFS(DESK!$F$2:$F$601,C1841,DESK!$B$2:$B$601,E1841)=0),"Company is not one of theirs","OK"))))))</f>
        <v/>
      </c>
    </row>
    <row r="1842" spans="1:10"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time",IF(D1842="NO_SLOTS",IF(COUNTIF(PARTNERS!$A$2:$A$88,E1842)=0,"Write the company in column E","OK"),IF(C1842="","Missing phone",IF(COUNTIF(DESK!$F$2:$F$601,C1842)=0,"Phone not found: copy it from your list",IF(AND(E1842&lt;&gt;"",COUNTIFS(DESK!$F$2:$F$601,C1842,DESK!$B$2:$B$601,E1842)=0),"Company is not one of theirs","OK"))))))</f>
        <v/>
      </c>
    </row>
    <row r="1843" spans="1:10"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time",IF(D1843="NO_SLOTS",IF(COUNTIF(PARTNERS!$A$2:$A$88,E1843)=0,"Write the company in column E","OK"),IF(C1843="","Missing phone",IF(COUNTIF(DESK!$F$2:$F$601,C1843)=0,"Phone not found: copy it from your list",IF(AND(E1843&lt;&gt;"",COUNTIFS(DESK!$F$2:$F$601,C1843,DESK!$B$2:$B$601,E1843)=0),"Company is not one of theirs","OK"))))))</f>
        <v/>
      </c>
    </row>
    <row r="1844" spans="1:10"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time",IF(D1844="NO_SLOTS",IF(COUNTIF(PARTNERS!$A$2:$A$88,E1844)=0,"Write the company in column E","OK"),IF(C1844="","Missing phone",IF(COUNTIF(DESK!$F$2:$F$601,C1844)=0,"Phone not found: copy it from your list",IF(AND(E1844&lt;&gt;"",COUNTIFS(DESK!$F$2:$F$601,C1844,DESK!$B$2:$B$601,E1844)=0),"Company is not one of theirs","OK"))))))</f>
        <v/>
      </c>
    </row>
    <row r="1845" spans="1:10"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time",IF(D1845="NO_SLOTS",IF(COUNTIF(PARTNERS!$A$2:$A$88,E1845)=0,"Write the company in column E","OK"),IF(C1845="","Missing phone",IF(COUNTIF(DESK!$F$2:$F$601,C1845)=0,"Phone not found: copy it from your list",IF(AND(E1845&lt;&gt;"",COUNTIFS(DESK!$F$2:$F$601,C1845,DESK!$B$2:$B$601,E1845)=0),"Company is not one of theirs","OK"))))))</f>
        <v/>
      </c>
    </row>
    <row r="1846" spans="1:10"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time",IF(D1846="NO_SLOTS",IF(COUNTIF(PARTNERS!$A$2:$A$88,E1846)=0,"Write the company in column E","OK"),IF(C1846="","Missing phone",IF(COUNTIF(DESK!$F$2:$F$601,C1846)=0,"Phone not found: copy it from your list",IF(AND(E1846&lt;&gt;"",COUNTIFS(DESK!$F$2:$F$601,C1846,DESK!$B$2:$B$601,E1846)=0),"Company is not one of theirs","OK"))))))</f>
        <v/>
      </c>
    </row>
    <row r="1847" spans="1:10"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time",IF(D1847="NO_SLOTS",IF(COUNTIF(PARTNERS!$A$2:$A$88,E1847)=0,"Write the company in column E","OK"),IF(C1847="","Missing phone",IF(COUNTIF(DESK!$F$2:$F$601,C1847)=0,"Phone not found: copy it from your list",IF(AND(E1847&lt;&gt;"",COUNTIFS(DESK!$F$2:$F$601,C1847,DESK!$B$2:$B$601,E1847)=0),"Company is not one of theirs","OK"))))))</f>
        <v/>
      </c>
    </row>
    <row r="1848" spans="1:10"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time",IF(D1848="NO_SLOTS",IF(COUNTIF(PARTNERS!$A$2:$A$88,E1848)=0,"Write the company in column E","OK"),IF(C1848="","Missing phone",IF(COUNTIF(DESK!$F$2:$F$601,C1848)=0,"Phone not found: copy it from your list",IF(AND(E1848&lt;&gt;"",COUNTIFS(DESK!$F$2:$F$601,C1848,DESK!$B$2:$B$601,E1848)=0),"Company is not one of theirs","OK"))))))</f>
        <v/>
      </c>
    </row>
    <row r="1849" spans="1:10"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time",IF(D1849="NO_SLOTS",IF(COUNTIF(PARTNERS!$A$2:$A$88,E1849)=0,"Write the company in column E","OK"),IF(C1849="","Missing phone",IF(COUNTIF(DESK!$F$2:$F$601,C1849)=0,"Phone not found: copy it from your list",IF(AND(E1849&lt;&gt;"",COUNTIFS(DESK!$F$2:$F$601,C1849,DESK!$B$2:$B$601,E1849)=0),"Company is not one of theirs","OK"))))))</f>
        <v/>
      </c>
    </row>
    <row r="1850" spans="1:10"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time",IF(D1850="NO_SLOTS",IF(COUNTIF(PARTNERS!$A$2:$A$88,E1850)=0,"Write the company in column E","OK"),IF(C1850="","Missing phone",IF(COUNTIF(DESK!$F$2:$F$601,C1850)=0,"Phone not found: copy it from your list",IF(AND(E1850&lt;&gt;"",COUNTIFS(DESK!$F$2:$F$601,C1850,DESK!$B$2:$B$601,E1850)=0),"Company is not one of theirs","OK"))))))</f>
        <v/>
      </c>
    </row>
    <row r="1851" spans="1:10"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time",IF(D1851="NO_SLOTS",IF(COUNTIF(PARTNERS!$A$2:$A$88,E1851)=0,"Write the company in column E","OK"),IF(C1851="","Missing phone",IF(COUNTIF(DESK!$F$2:$F$601,C1851)=0,"Phone not found: copy it from your list",IF(AND(E1851&lt;&gt;"",COUNTIFS(DESK!$F$2:$F$601,C1851,DESK!$B$2:$B$601,E1851)=0),"Company is not one of theirs","OK"))))))</f>
        <v/>
      </c>
    </row>
    <row r="1852" spans="1:10"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time",IF(D1852="NO_SLOTS",IF(COUNTIF(PARTNERS!$A$2:$A$88,E1852)=0,"Write the company in column E","OK"),IF(C1852="","Missing phone",IF(COUNTIF(DESK!$F$2:$F$601,C1852)=0,"Phone not found: copy it from your list",IF(AND(E1852&lt;&gt;"",COUNTIFS(DESK!$F$2:$F$601,C1852,DESK!$B$2:$B$601,E1852)=0),"Company is not one of theirs","OK"))))))</f>
        <v/>
      </c>
    </row>
    <row r="1853" spans="1:10"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time",IF(D1853="NO_SLOTS",IF(COUNTIF(PARTNERS!$A$2:$A$88,E1853)=0,"Write the company in column E","OK"),IF(C1853="","Missing phone",IF(COUNTIF(DESK!$F$2:$F$601,C1853)=0,"Phone not found: copy it from your list",IF(AND(E1853&lt;&gt;"",COUNTIFS(DESK!$F$2:$F$601,C1853,DESK!$B$2:$B$601,E1853)=0),"Company is not one of theirs","OK"))))))</f>
        <v/>
      </c>
    </row>
    <row r="1854" spans="1:10"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time",IF(D1854="NO_SLOTS",IF(COUNTIF(PARTNERS!$A$2:$A$88,E1854)=0,"Write the company in column E","OK"),IF(C1854="","Missing phone",IF(COUNTIF(DESK!$F$2:$F$601,C1854)=0,"Phone not found: copy it from your list",IF(AND(E1854&lt;&gt;"",COUNTIFS(DESK!$F$2:$F$601,C1854,DESK!$B$2:$B$601,E1854)=0),"Company is not one of theirs","OK"))))))</f>
        <v/>
      </c>
    </row>
    <row r="1855" spans="1:10"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time",IF(D1855="NO_SLOTS",IF(COUNTIF(PARTNERS!$A$2:$A$88,E1855)=0,"Write the company in column E","OK"),IF(C1855="","Missing phone",IF(COUNTIF(DESK!$F$2:$F$601,C1855)=0,"Phone not found: copy it from your list",IF(AND(E1855&lt;&gt;"",COUNTIFS(DESK!$F$2:$F$601,C1855,DESK!$B$2:$B$601,E1855)=0),"Company is not one of theirs","OK"))))))</f>
        <v/>
      </c>
    </row>
    <row r="1856" spans="1:10"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time",IF(D1856="NO_SLOTS",IF(COUNTIF(PARTNERS!$A$2:$A$88,E1856)=0,"Write the company in column E","OK"),IF(C1856="","Missing phone",IF(COUNTIF(DESK!$F$2:$F$601,C1856)=0,"Phone not found: copy it from your list",IF(AND(E1856&lt;&gt;"",COUNTIFS(DESK!$F$2:$F$601,C1856,DESK!$B$2:$B$601,E1856)=0),"Company is not one of theirs","OK"))))))</f>
        <v/>
      </c>
    </row>
    <row r="1857" spans="1:10"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time",IF(D1857="NO_SLOTS",IF(COUNTIF(PARTNERS!$A$2:$A$88,E1857)=0,"Write the company in column E","OK"),IF(C1857="","Missing phone",IF(COUNTIF(DESK!$F$2:$F$601,C1857)=0,"Phone not found: copy it from your list",IF(AND(E1857&lt;&gt;"",COUNTIFS(DESK!$F$2:$F$601,C1857,DESK!$B$2:$B$601,E1857)=0),"Company is not one of theirs","OK"))))))</f>
        <v/>
      </c>
    </row>
    <row r="1858" spans="1:10"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time",IF(D1858="NO_SLOTS",IF(COUNTIF(PARTNERS!$A$2:$A$88,E1858)=0,"Write the company in column E","OK"),IF(C1858="","Missing phone",IF(COUNTIF(DESK!$F$2:$F$601,C1858)=0,"Phone not found: copy it from your list",IF(AND(E1858&lt;&gt;"",COUNTIFS(DESK!$F$2:$F$601,C1858,DESK!$B$2:$B$601,E1858)=0),"Company is not one of theirs","OK"))))))</f>
        <v/>
      </c>
    </row>
    <row r="1859" spans="1:10"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time",IF(D1859="NO_SLOTS",IF(COUNTIF(PARTNERS!$A$2:$A$88,E1859)=0,"Write the company in column E","OK"),IF(C1859="","Missing phone",IF(COUNTIF(DESK!$F$2:$F$601,C1859)=0,"Phone not found: copy it from your list",IF(AND(E1859&lt;&gt;"",COUNTIFS(DESK!$F$2:$F$601,C1859,DESK!$B$2:$B$601,E1859)=0),"Company is not one of theirs","OK"))))))</f>
        <v/>
      </c>
    </row>
    <row r="1860" spans="1:10"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time",IF(D1860="NO_SLOTS",IF(COUNTIF(PARTNERS!$A$2:$A$88,E1860)=0,"Write the company in column E","OK"),IF(C1860="","Missing phone",IF(COUNTIF(DESK!$F$2:$F$601,C1860)=0,"Phone not found: copy it from your list",IF(AND(E1860&lt;&gt;"",COUNTIFS(DESK!$F$2:$F$601,C1860,DESK!$B$2:$B$601,E1860)=0),"Company is not one of theirs","OK"))))))</f>
        <v/>
      </c>
    </row>
    <row r="1861" spans="1:10"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time",IF(D1861="NO_SLOTS",IF(COUNTIF(PARTNERS!$A$2:$A$88,E1861)=0,"Write the company in column E","OK"),IF(C1861="","Missing phone",IF(COUNTIF(DESK!$F$2:$F$601,C1861)=0,"Phone not found: copy it from your list",IF(AND(E1861&lt;&gt;"",COUNTIFS(DESK!$F$2:$F$601,C1861,DESK!$B$2:$B$601,E1861)=0),"Company is not one of theirs","OK"))))))</f>
        <v/>
      </c>
    </row>
    <row r="1862" spans="1:10"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time",IF(D1862="NO_SLOTS",IF(COUNTIF(PARTNERS!$A$2:$A$88,E1862)=0,"Write the company in column E","OK"),IF(C1862="","Missing phone",IF(COUNTIF(DESK!$F$2:$F$601,C1862)=0,"Phone not found: copy it from your list",IF(AND(E1862&lt;&gt;"",COUNTIFS(DESK!$F$2:$F$601,C1862,DESK!$B$2:$B$601,E1862)=0),"Company is not one of theirs","OK"))))))</f>
        <v/>
      </c>
    </row>
    <row r="1863" spans="1:10"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time",IF(D1863="NO_SLOTS",IF(COUNTIF(PARTNERS!$A$2:$A$88,E1863)=0,"Write the company in column E","OK"),IF(C1863="","Missing phone",IF(COUNTIF(DESK!$F$2:$F$601,C1863)=0,"Phone not found: copy it from your list",IF(AND(E1863&lt;&gt;"",COUNTIFS(DESK!$F$2:$F$601,C1863,DESK!$B$2:$B$601,E1863)=0),"Company is not one of theirs","OK"))))))</f>
        <v/>
      </c>
    </row>
    <row r="1864" spans="1:10"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time",IF(D1864="NO_SLOTS",IF(COUNTIF(PARTNERS!$A$2:$A$88,E1864)=0,"Write the company in column E","OK"),IF(C1864="","Missing phone",IF(COUNTIF(DESK!$F$2:$F$601,C1864)=0,"Phone not found: copy it from your list",IF(AND(E1864&lt;&gt;"",COUNTIFS(DESK!$F$2:$F$601,C1864,DESK!$B$2:$B$601,E1864)=0),"Company is not one of theirs","OK"))))))</f>
        <v/>
      </c>
    </row>
    <row r="1865" spans="1:10"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time",IF(D1865="NO_SLOTS",IF(COUNTIF(PARTNERS!$A$2:$A$88,E1865)=0,"Write the company in column E","OK"),IF(C1865="","Missing phone",IF(COUNTIF(DESK!$F$2:$F$601,C1865)=0,"Phone not found: copy it from your list",IF(AND(E1865&lt;&gt;"",COUNTIFS(DESK!$F$2:$F$601,C1865,DESK!$B$2:$B$601,E1865)=0),"Company is not one of theirs","OK"))))))</f>
        <v/>
      </c>
    </row>
    <row r="1866" spans="1:10"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time",IF(D1866="NO_SLOTS",IF(COUNTIF(PARTNERS!$A$2:$A$88,E1866)=0,"Write the company in column E","OK"),IF(C1866="","Missing phone",IF(COUNTIF(DESK!$F$2:$F$601,C1866)=0,"Phone not found: copy it from your list",IF(AND(E1866&lt;&gt;"",COUNTIFS(DESK!$F$2:$F$601,C1866,DESK!$B$2:$B$601,E1866)=0),"Company is not one of theirs","OK"))))))</f>
        <v/>
      </c>
    </row>
    <row r="1867" spans="1:10"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time",IF(D1867="NO_SLOTS",IF(COUNTIF(PARTNERS!$A$2:$A$88,E1867)=0,"Write the company in column E","OK"),IF(C1867="","Missing phone",IF(COUNTIF(DESK!$F$2:$F$601,C1867)=0,"Phone not found: copy it from your list",IF(AND(E1867&lt;&gt;"",COUNTIFS(DESK!$F$2:$F$601,C1867,DESK!$B$2:$B$601,E1867)=0),"Company is not one of theirs","OK"))))))</f>
        <v/>
      </c>
    </row>
    <row r="1868" spans="1:10"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time",IF(D1868="NO_SLOTS",IF(COUNTIF(PARTNERS!$A$2:$A$88,E1868)=0,"Write the company in column E","OK"),IF(C1868="","Missing phone",IF(COUNTIF(DESK!$F$2:$F$601,C1868)=0,"Phone not found: copy it from your list",IF(AND(E1868&lt;&gt;"",COUNTIFS(DESK!$F$2:$F$601,C1868,DESK!$B$2:$B$601,E1868)=0),"Company is not one of theirs","OK"))))))</f>
        <v/>
      </c>
    </row>
    <row r="1869" spans="1:10"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time",IF(D1869="NO_SLOTS",IF(COUNTIF(PARTNERS!$A$2:$A$88,E1869)=0,"Write the company in column E","OK"),IF(C1869="","Missing phone",IF(COUNTIF(DESK!$F$2:$F$601,C1869)=0,"Phone not found: copy it from your list",IF(AND(E1869&lt;&gt;"",COUNTIFS(DESK!$F$2:$F$601,C1869,DESK!$B$2:$B$601,E1869)=0),"Company is not one of theirs","OK"))))))</f>
        <v/>
      </c>
    </row>
    <row r="1870" spans="1:10"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time",IF(D1870="NO_SLOTS",IF(COUNTIF(PARTNERS!$A$2:$A$88,E1870)=0,"Write the company in column E","OK"),IF(C1870="","Missing phone",IF(COUNTIF(DESK!$F$2:$F$601,C1870)=0,"Phone not found: copy it from your list",IF(AND(E1870&lt;&gt;"",COUNTIFS(DESK!$F$2:$F$601,C1870,DESK!$B$2:$B$601,E1870)=0),"Company is not one of theirs","OK"))))))</f>
        <v/>
      </c>
    </row>
    <row r="1871" spans="1:10"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time",IF(D1871="NO_SLOTS",IF(COUNTIF(PARTNERS!$A$2:$A$88,E1871)=0,"Write the company in column E","OK"),IF(C1871="","Missing phone",IF(COUNTIF(DESK!$F$2:$F$601,C1871)=0,"Phone not found: copy it from your list",IF(AND(E1871&lt;&gt;"",COUNTIFS(DESK!$F$2:$F$601,C1871,DESK!$B$2:$B$601,E1871)=0),"Company is not one of theirs","OK"))))))</f>
        <v/>
      </c>
    </row>
    <row r="1872" spans="1:10"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time",IF(D1872="NO_SLOTS",IF(COUNTIF(PARTNERS!$A$2:$A$88,E1872)=0,"Write the company in column E","OK"),IF(C1872="","Missing phone",IF(COUNTIF(DESK!$F$2:$F$601,C1872)=0,"Phone not found: copy it from your list",IF(AND(E1872&lt;&gt;"",COUNTIFS(DESK!$F$2:$F$601,C1872,DESK!$B$2:$B$601,E1872)=0),"Company is not one of theirs","OK"))))))</f>
        <v/>
      </c>
    </row>
    <row r="1873" spans="1:10"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time",IF(D1873="NO_SLOTS",IF(COUNTIF(PARTNERS!$A$2:$A$88,E1873)=0,"Write the company in column E","OK"),IF(C1873="","Missing phone",IF(COUNTIF(DESK!$F$2:$F$601,C1873)=0,"Phone not found: copy it from your list",IF(AND(E1873&lt;&gt;"",COUNTIFS(DESK!$F$2:$F$601,C1873,DESK!$B$2:$B$601,E1873)=0),"Company is not one of theirs","OK"))))))</f>
        <v/>
      </c>
    </row>
    <row r="1874" spans="1:10"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time",IF(D1874="NO_SLOTS",IF(COUNTIF(PARTNERS!$A$2:$A$88,E1874)=0,"Write the company in column E","OK"),IF(C1874="","Missing phone",IF(COUNTIF(DESK!$F$2:$F$601,C1874)=0,"Phone not found: copy it from your list",IF(AND(E1874&lt;&gt;"",COUNTIFS(DESK!$F$2:$F$601,C1874,DESK!$B$2:$B$601,E1874)=0),"Company is not one of theirs","OK"))))))</f>
        <v/>
      </c>
    </row>
    <row r="1875" spans="1:10"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time",IF(D1875="NO_SLOTS",IF(COUNTIF(PARTNERS!$A$2:$A$88,E1875)=0,"Write the company in column E","OK"),IF(C1875="","Missing phone",IF(COUNTIF(DESK!$F$2:$F$601,C1875)=0,"Phone not found: copy it from your list",IF(AND(E1875&lt;&gt;"",COUNTIFS(DESK!$F$2:$F$601,C1875,DESK!$B$2:$B$601,E1875)=0),"Company is not one of theirs","OK"))))))</f>
        <v/>
      </c>
    </row>
    <row r="1876" spans="1:10"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time",IF(D1876="NO_SLOTS",IF(COUNTIF(PARTNERS!$A$2:$A$88,E1876)=0,"Write the company in column E","OK"),IF(C1876="","Missing phone",IF(COUNTIF(DESK!$F$2:$F$601,C1876)=0,"Phone not found: copy it from your list",IF(AND(E1876&lt;&gt;"",COUNTIFS(DESK!$F$2:$F$601,C1876,DESK!$B$2:$B$601,E1876)=0),"Company is not one of theirs","OK"))))))</f>
        <v/>
      </c>
    </row>
    <row r="1877" spans="1:10"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time",IF(D1877="NO_SLOTS",IF(COUNTIF(PARTNERS!$A$2:$A$88,E1877)=0,"Write the company in column E","OK"),IF(C1877="","Missing phone",IF(COUNTIF(DESK!$F$2:$F$601,C1877)=0,"Phone not found: copy it from your list",IF(AND(E1877&lt;&gt;"",COUNTIFS(DESK!$F$2:$F$601,C1877,DESK!$B$2:$B$601,E1877)=0),"Company is not one of theirs","OK"))))))</f>
        <v/>
      </c>
    </row>
    <row r="1878" spans="1:10"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time",IF(D1878="NO_SLOTS",IF(COUNTIF(PARTNERS!$A$2:$A$88,E1878)=0,"Write the company in column E","OK"),IF(C1878="","Missing phone",IF(COUNTIF(DESK!$F$2:$F$601,C1878)=0,"Phone not found: copy it from your list",IF(AND(E1878&lt;&gt;"",COUNTIFS(DESK!$F$2:$F$601,C1878,DESK!$B$2:$B$601,E1878)=0),"Company is not one of theirs","OK"))))))</f>
        <v/>
      </c>
    </row>
    <row r="1879" spans="1:10"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time",IF(D1879="NO_SLOTS",IF(COUNTIF(PARTNERS!$A$2:$A$88,E1879)=0,"Write the company in column E","OK"),IF(C1879="","Missing phone",IF(COUNTIF(DESK!$F$2:$F$601,C1879)=0,"Phone not found: copy it from your list",IF(AND(E1879&lt;&gt;"",COUNTIFS(DESK!$F$2:$F$601,C1879,DESK!$B$2:$B$601,E1879)=0),"Company is not one of theirs","OK"))))))</f>
        <v/>
      </c>
    </row>
    <row r="1880" spans="1:10"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time",IF(D1880="NO_SLOTS",IF(COUNTIF(PARTNERS!$A$2:$A$88,E1880)=0,"Write the company in column E","OK"),IF(C1880="","Missing phone",IF(COUNTIF(DESK!$F$2:$F$601,C1880)=0,"Phone not found: copy it from your list",IF(AND(E1880&lt;&gt;"",COUNTIFS(DESK!$F$2:$F$601,C1880,DESK!$B$2:$B$601,E1880)=0),"Company is not one of theirs","OK"))))))</f>
        <v/>
      </c>
    </row>
    <row r="1881" spans="1:10"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time",IF(D1881="NO_SLOTS",IF(COUNTIF(PARTNERS!$A$2:$A$88,E1881)=0,"Write the company in column E","OK"),IF(C1881="","Missing phone",IF(COUNTIF(DESK!$F$2:$F$601,C1881)=0,"Phone not found: copy it from your list",IF(AND(E1881&lt;&gt;"",COUNTIFS(DESK!$F$2:$F$601,C1881,DESK!$B$2:$B$601,E1881)=0),"Company is not one of theirs","OK"))))))</f>
        <v/>
      </c>
    </row>
    <row r="1882" spans="1:10"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time",IF(D1882="NO_SLOTS",IF(COUNTIF(PARTNERS!$A$2:$A$88,E1882)=0,"Write the company in column E","OK"),IF(C1882="","Missing phone",IF(COUNTIF(DESK!$F$2:$F$601,C1882)=0,"Phone not found: copy it from your list",IF(AND(E1882&lt;&gt;"",COUNTIFS(DESK!$F$2:$F$601,C1882,DESK!$B$2:$B$601,E1882)=0),"Company is not one of theirs","OK"))))))</f>
        <v/>
      </c>
    </row>
    <row r="1883" spans="1:10"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time",IF(D1883="NO_SLOTS",IF(COUNTIF(PARTNERS!$A$2:$A$88,E1883)=0,"Write the company in column E","OK"),IF(C1883="","Missing phone",IF(COUNTIF(DESK!$F$2:$F$601,C1883)=0,"Phone not found: copy it from your list",IF(AND(E1883&lt;&gt;"",COUNTIFS(DESK!$F$2:$F$601,C1883,DESK!$B$2:$B$601,E1883)=0),"Company is not one of theirs","OK"))))))</f>
        <v/>
      </c>
    </row>
    <row r="1884" spans="1:10"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time",IF(D1884="NO_SLOTS",IF(COUNTIF(PARTNERS!$A$2:$A$88,E1884)=0,"Write the company in column E","OK"),IF(C1884="","Missing phone",IF(COUNTIF(DESK!$F$2:$F$601,C1884)=0,"Phone not found: copy it from your list",IF(AND(E1884&lt;&gt;"",COUNTIFS(DESK!$F$2:$F$601,C1884,DESK!$B$2:$B$601,E1884)=0),"Company is not one of theirs","OK"))))))</f>
        <v/>
      </c>
    </row>
    <row r="1885" spans="1:10"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time",IF(D1885="NO_SLOTS",IF(COUNTIF(PARTNERS!$A$2:$A$88,E1885)=0,"Write the company in column E","OK"),IF(C1885="","Missing phone",IF(COUNTIF(DESK!$F$2:$F$601,C1885)=0,"Phone not found: copy it from your list",IF(AND(E1885&lt;&gt;"",COUNTIFS(DESK!$F$2:$F$601,C1885,DESK!$B$2:$B$601,E1885)=0),"Company is not one of theirs","OK"))))))</f>
        <v/>
      </c>
    </row>
    <row r="1886" spans="1:10"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time",IF(D1886="NO_SLOTS",IF(COUNTIF(PARTNERS!$A$2:$A$88,E1886)=0,"Write the company in column E","OK"),IF(C1886="","Missing phone",IF(COUNTIF(DESK!$F$2:$F$601,C1886)=0,"Phone not found: copy it from your list",IF(AND(E1886&lt;&gt;"",COUNTIFS(DESK!$F$2:$F$601,C1886,DESK!$B$2:$B$601,E1886)=0),"Company is not one of theirs","OK"))))))</f>
        <v/>
      </c>
    </row>
    <row r="1887" spans="1:10"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time",IF(D1887="NO_SLOTS",IF(COUNTIF(PARTNERS!$A$2:$A$88,E1887)=0,"Write the company in column E","OK"),IF(C1887="","Missing phone",IF(COUNTIF(DESK!$F$2:$F$601,C1887)=0,"Phone not found: copy it from your list",IF(AND(E1887&lt;&gt;"",COUNTIFS(DESK!$F$2:$F$601,C1887,DESK!$B$2:$B$601,E1887)=0),"Company is not one of theirs","OK"))))))</f>
        <v/>
      </c>
    </row>
    <row r="1888" spans="1:10"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time",IF(D1888="NO_SLOTS",IF(COUNTIF(PARTNERS!$A$2:$A$88,E1888)=0,"Write the company in column E","OK"),IF(C1888="","Missing phone",IF(COUNTIF(DESK!$F$2:$F$601,C1888)=0,"Phone not found: copy it from your list",IF(AND(E1888&lt;&gt;"",COUNTIFS(DESK!$F$2:$F$601,C1888,DESK!$B$2:$B$601,E1888)=0),"Company is not one of theirs","OK"))))))</f>
        <v/>
      </c>
    </row>
    <row r="1889" spans="1:10"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time",IF(D1889="NO_SLOTS",IF(COUNTIF(PARTNERS!$A$2:$A$88,E1889)=0,"Write the company in column E","OK"),IF(C1889="","Missing phone",IF(COUNTIF(DESK!$F$2:$F$601,C1889)=0,"Phone not found: copy it from your list",IF(AND(E1889&lt;&gt;"",COUNTIFS(DESK!$F$2:$F$601,C1889,DESK!$B$2:$B$601,E1889)=0),"Company is not one of theirs","OK"))))))</f>
        <v/>
      </c>
    </row>
    <row r="1890" spans="1:10"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time",IF(D1890="NO_SLOTS",IF(COUNTIF(PARTNERS!$A$2:$A$88,E1890)=0,"Write the company in column E","OK"),IF(C1890="","Missing phone",IF(COUNTIF(DESK!$F$2:$F$601,C1890)=0,"Phone not found: copy it from your list",IF(AND(E1890&lt;&gt;"",COUNTIFS(DESK!$F$2:$F$601,C1890,DESK!$B$2:$B$601,E1890)=0),"Company is not one of theirs","OK"))))))</f>
        <v/>
      </c>
    </row>
    <row r="1891" spans="1:10"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time",IF(D1891="NO_SLOTS",IF(COUNTIF(PARTNERS!$A$2:$A$88,E1891)=0,"Write the company in column E","OK"),IF(C1891="","Missing phone",IF(COUNTIF(DESK!$F$2:$F$601,C1891)=0,"Phone not found: copy it from your list",IF(AND(E1891&lt;&gt;"",COUNTIFS(DESK!$F$2:$F$601,C1891,DESK!$B$2:$B$601,E1891)=0),"Company is not one of theirs","OK"))))))</f>
        <v/>
      </c>
    </row>
    <row r="1892" spans="1:10"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time",IF(D1892="NO_SLOTS",IF(COUNTIF(PARTNERS!$A$2:$A$88,E1892)=0,"Write the company in column E","OK"),IF(C1892="","Missing phone",IF(COUNTIF(DESK!$F$2:$F$601,C1892)=0,"Phone not found: copy it from your list",IF(AND(E1892&lt;&gt;"",COUNTIFS(DESK!$F$2:$F$601,C1892,DESK!$B$2:$B$601,E1892)=0),"Company is not one of theirs","OK"))))))</f>
        <v/>
      </c>
    </row>
    <row r="1893" spans="1:10"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time",IF(D1893="NO_SLOTS",IF(COUNTIF(PARTNERS!$A$2:$A$88,E1893)=0,"Write the company in column E","OK"),IF(C1893="","Missing phone",IF(COUNTIF(DESK!$F$2:$F$601,C1893)=0,"Phone not found: copy it from your list",IF(AND(E1893&lt;&gt;"",COUNTIFS(DESK!$F$2:$F$601,C1893,DESK!$B$2:$B$601,E1893)=0),"Company is not one of theirs","OK"))))))</f>
        <v/>
      </c>
    </row>
    <row r="1894" spans="1:10"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time",IF(D1894="NO_SLOTS",IF(COUNTIF(PARTNERS!$A$2:$A$88,E1894)=0,"Write the company in column E","OK"),IF(C1894="","Missing phone",IF(COUNTIF(DESK!$F$2:$F$601,C1894)=0,"Phone not found: copy it from your list",IF(AND(E1894&lt;&gt;"",COUNTIFS(DESK!$F$2:$F$601,C1894,DESK!$B$2:$B$601,E1894)=0),"Company is not one of theirs","OK"))))))</f>
        <v/>
      </c>
    </row>
    <row r="1895" spans="1:10"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time",IF(D1895="NO_SLOTS",IF(COUNTIF(PARTNERS!$A$2:$A$88,E1895)=0,"Write the company in column E","OK"),IF(C1895="","Missing phone",IF(COUNTIF(DESK!$F$2:$F$601,C1895)=0,"Phone not found: copy it from your list",IF(AND(E1895&lt;&gt;"",COUNTIFS(DESK!$F$2:$F$601,C1895,DESK!$B$2:$B$601,E1895)=0),"Company is not one of theirs","OK"))))))</f>
        <v/>
      </c>
    </row>
    <row r="1896" spans="1:10"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time",IF(D1896="NO_SLOTS",IF(COUNTIF(PARTNERS!$A$2:$A$88,E1896)=0,"Write the company in column E","OK"),IF(C1896="","Missing phone",IF(COUNTIF(DESK!$F$2:$F$601,C1896)=0,"Phone not found: copy it from your list",IF(AND(E1896&lt;&gt;"",COUNTIFS(DESK!$F$2:$F$601,C1896,DESK!$B$2:$B$601,E1896)=0),"Company is not one of theirs","OK"))))))</f>
        <v/>
      </c>
    </row>
    <row r="1897" spans="1:10"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time",IF(D1897="NO_SLOTS",IF(COUNTIF(PARTNERS!$A$2:$A$88,E1897)=0,"Write the company in column E","OK"),IF(C1897="","Missing phone",IF(COUNTIF(DESK!$F$2:$F$601,C1897)=0,"Phone not found: copy it from your list",IF(AND(E1897&lt;&gt;"",COUNTIFS(DESK!$F$2:$F$601,C1897,DESK!$B$2:$B$601,E1897)=0),"Company is not one of theirs","OK"))))))</f>
        <v/>
      </c>
    </row>
    <row r="1898" spans="1:10"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time",IF(D1898="NO_SLOTS",IF(COUNTIF(PARTNERS!$A$2:$A$88,E1898)=0,"Write the company in column E","OK"),IF(C1898="","Missing phone",IF(COUNTIF(DESK!$F$2:$F$601,C1898)=0,"Phone not found: copy it from your list",IF(AND(E1898&lt;&gt;"",COUNTIFS(DESK!$F$2:$F$601,C1898,DESK!$B$2:$B$601,E1898)=0),"Company is not one of theirs","OK"))))))</f>
        <v/>
      </c>
    </row>
    <row r="1899" spans="1:10"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time",IF(D1899="NO_SLOTS",IF(COUNTIF(PARTNERS!$A$2:$A$88,E1899)=0,"Write the company in column E","OK"),IF(C1899="","Missing phone",IF(COUNTIF(DESK!$F$2:$F$601,C1899)=0,"Phone not found: copy it from your list",IF(AND(E1899&lt;&gt;"",COUNTIFS(DESK!$F$2:$F$601,C1899,DESK!$B$2:$B$601,E1899)=0),"Company is not one of theirs","OK"))))))</f>
        <v/>
      </c>
    </row>
    <row r="1900" spans="1:10"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time",IF(D1900="NO_SLOTS",IF(COUNTIF(PARTNERS!$A$2:$A$88,E1900)=0,"Write the company in column E","OK"),IF(C1900="","Missing phone",IF(COUNTIF(DESK!$F$2:$F$601,C1900)=0,"Phone not found: copy it from your list",IF(AND(E1900&lt;&gt;"",COUNTIFS(DESK!$F$2:$F$601,C1900,DESK!$B$2:$B$601,E1900)=0),"Company is not one of theirs","OK"))))))</f>
        <v/>
      </c>
    </row>
    <row r="1901" spans="1:10"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time",IF(D1901="NO_SLOTS",IF(COUNTIF(PARTNERS!$A$2:$A$88,E1901)=0,"Write the company in column E","OK"),IF(C1901="","Missing phone",IF(COUNTIF(DESK!$F$2:$F$601,C1901)=0,"Phone not found: copy it from your list",IF(AND(E1901&lt;&gt;"",COUNTIFS(DESK!$F$2:$F$601,C1901,DESK!$B$2:$B$601,E1901)=0),"Company is not one of theirs","OK"))))))</f>
        <v/>
      </c>
    </row>
    <row r="1902" spans="1:10"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time",IF(D1902="NO_SLOTS",IF(COUNTIF(PARTNERS!$A$2:$A$88,E1902)=0,"Write the company in column E","OK"),IF(C1902="","Missing phone",IF(COUNTIF(DESK!$F$2:$F$601,C1902)=0,"Phone not found: copy it from your list",IF(AND(E1902&lt;&gt;"",COUNTIFS(DESK!$F$2:$F$601,C1902,DESK!$B$2:$B$601,E1902)=0),"Company is not one of theirs","OK"))))))</f>
        <v/>
      </c>
    </row>
    <row r="1903" spans="1:10"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time",IF(D1903="NO_SLOTS",IF(COUNTIF(PARTNERS!$A$2:$A$88,E1903)=0,"Write the company in column E","OK"),IF(C1903="","Missing phone",IF(COUNTIF(DESK!$F$2:$F$601,C1903)=0,"Phone not found: copy it from your list",IF(AND(E1903&lt;&gt;"",COUNTIFS(DESK!$F$2:$F$601,C1903,DESK!$B$2:$B$601,E1903)=0),"Company is not one of theirs","OK"))))))</f>
        <v/>
      </c>
    </row>
    <row r="1904" spans="1:10"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time",IF(D1904="NO_SLOTS",IF(COUNTIF(PARTNERS!$A$2:$A$88,E1904)=0,"Write the company in column E","OK"),IF(C1904="","Missing phone",IF(COUNTIF(DESK!$F$2:$F$601,C1904)=0,"Phone not found: copy it from your list",IF(AND(E1904&lt;&gt;"",COUNTIFS(DESK!$F$2:$F$601,C1904,DESK!$B$2:$B$601,E1904)=0),"Company is not one of theirs","OK"))))))</f>
        <v/>
      </c>
    </row>
    <row r="1905" spans="1:10"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time",IF(D1905="NO_SLOTS",IF(COUNTIF(PARTNERS!$A$2:$A$88,E1905)=0,"Write the company in column E","OK"),IF(C1905="","Missing phone",IF(COUNTIF(DESK!$F$2:$F$601,C1905)=0,"Phone not found: copy it from your list",IF(AND(E1905&lt;&gt;"",COUNTIFS(DESK!$F$2:$F$601,C1905,DESK!$B$2:$B$601,E1905)=0),"Company is not one of theirs","OK"))))))</f>
        <v/>
      </c>
    </row>
    <row r="1906" spans="1:10"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time",IF(D1906="NO_SLOTS",IF(COUNTIF(PARTNERS!$A$2:$A$88,E1906)=0,"Write the company in column E","OK"),IF(C1906="","Missing phone",IF(COUNTIF(DESK!$F$2:$F$601,C1906)=0,"Phone not found: copy it from your list",IF(AND(E1906&lt;&gt;"",COUNTIFS(DESK!$F$2:$F$601,C1906,DESK!$B$2:$B$601,E1906)=0),"Company is not one of theirs","OK"))))))</f>
        <v/>
      </c>
    </row>
    <row r="1907" spans="1:10"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time",IF(D1907="NO_SLOTS",IF(COUNTIF(PARTNERS!$A$2:$A$88,E1907)=0,"Write the company in column E","OK"),IF(C1907="","Missing phone",IF(COUNTIF(DESK!$F$2:$F$601,C1907)=0,"Phone not found: copy it from your list",IF(AND(E1907&lt;&gt;"",COUNTIFS(DESK!$F$2:$F$601,C1907,DESK!$B$2:$B$601,E1907)=0),"Company is not one of theirs","OK"))))))</f>
        <v/>
      </c>
    </row>
    <row r="1908" spans="1:10"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time",IF(D1908="NO_SLOTS",IF(COUNTIF(PARTNERS!$A$2:$A$88,E1908)=0,"Write the company in column E","OK"),IF(C1908="","Missing phone",IF(COUNTIF(DESK!$F$2:$F$601,C1908)=0,"Phone not found: copy it from your list",IF(AND(E1908&lt;&gt;"",COUNTIFS(DESK!$F$2:$F$601,C1908,DESK!$B$2:$B$601,E1908)=0),"Company is not one of theirs","OK"))))))</f>
        <v/>
      </c>
    </row>
    <row r="1909" spans="1:10"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time",IF(D1909="NO_SLOTS",IF(COUNTIF(PARTNERS!$A$2:$A$88,E1909)=0,"Write the company in column E","OK"),IF(C1909="","Missing phone",IF(COUNTIF(DESK!$F$2:$F$601,C1909)=0,"Phone not found: copy it from your list",IF(AND(E1909&lt;&gt;"",COUNTIFS(DESK!$F$2:$F$601,C1909,DESK!$B$2:$B$601,E1909)=0),"Company is not one of theirs","OK"))))))</f>
        <v/>
      </c>
    </row>
    <row r="1910" spans="1:10"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time",IF(D1910="NO_SLOTS",IF(COUNTIF(PARTNERS!$A$2:$A$88,E1910)=0,"Write the company in column E","OK"),IF(C1910="","Missing phone",IF(COUNTIF(DESK!$F$2:$F$601,C1910)=0,"Phone not found: copy it from your list",IF(AND(E1910&lt;&gt;"",COUNTIFS(DESK!$F$2:$F$601,C1910,DESK!$B$2:$B$601,E1910)=0),"Company is not one of theirs","OK"))))))</f>
        <v/>
      </c>
    </row>
    <row r="1911" spans="1:10"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time",IF(D1911="NO_SLOTS",IF(COUNTIF(PARTNERS!$A$2:$A$88,E1911)=0,"Write the company in column E","OK"),IF(C1911="","Missing phone",IF(COUNTIF(DESK!$F$2:$F$601,C1911)=0,"Phone not found: copy it from your list",IF(AND(E1911&lt;&gt;"",COUNTIFS(DESK!$F$2:$F$601,C1911,DESK!$B$2:$B$601,E1911)=0),"Company is not one of theirs","OK"))))))</f>
        <v/>
      </c>
    </row>
    <row r="1912" spans="1:10"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time",IF(D1912="NO_SLOTS",IF(COUNTIF(PARTNERS!$A$2:$A$88,E1912)=0,"Write the company in column E","OK"),IF(C1912="","Missing phone",IF(COUNTIF(DESK!$F$2:$F$601,C1912)=0,"Phone not found: copy it from your list",IF(AND(E1912&lt;&gt;"",COUNTIFS(DESK!$F$2:$F$601,C1912,DESK!$B$2:$B$601,E1912)=0),"Company is not one of theirs","OK"))))))</f>
        <v/>
      </c>
    </row>
    <row r="1913" spans="1:10"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time",IF(D1913="NO_SLOTS",IF(COUNTIF(PARTNERS!$A$2:$A$88,E1913)=0,"Write the company in column E","OK"),IF(C1913="","Missing phone",IF(COUNTIF(DESK!$F$2:$F$601,C1913)=0,"Phone not found: copy it from your list",IF(AND(E1913&lt;&gt;"",COUNTIFS(DESK!$F$2:$F$601,C1913,DESK!$B$2:$B$601,E1913)=0),"Company is not one of theirs","OK"))))))</f>
        <v/>
      </c>
    </row>
    <row r="1914" spans="1:10"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time",IF(D1914="NO_SLOTS",IF(COUNTIF(PARTNERS!$A$2:$A$88,E1914)=0,"Write the company in column E","OK"),IF(C1914="","Missing phone",IF(COUNTIF(DESK!$F$2:$F$601,C1914)=0,"Phone not found: copy it from your list",IF(AND(E1914&lt;&gt;"",COUNTIFS(DESK!$F$2:$F$601,C1914,DESK!$B$2:$B$601,E1914)=0),"Company is not one of theirs","OK"))))))</f>
        <v/>
      </c>
    </row>
    <row r="1915" spans="1:10"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time",IF(D1915="NO_SLOTS",IF(COUNTIF(PARTNERS!$A$2:$A$88,E1915)=0,"Write the company in column E","OK"),IF(C1915="","Missing phone",IF(COUNTIF(DESK!$F$2:$F$601,C1915)=0,"Phone not found: copy it from your list",IF(AND(E1915&lt;&gt;"",COUNTIFS(DESK!$F$2:$F$601,C1915,DESK!$B$2:$B$601,E1915)=0),"Company is not one of theirs","OK"))))))</f>
        <v/>
      </c>
    </row>
    <row r="1916" spans="1:10"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time",IF(D1916="NO_SLOTS",IF(COUNTIF(PARTNERS!$A$2:$A$88,E1916)=0,"Write the company in column E","OK"),IF(C1916="","Missing phone",IF(COUNTIF(DESK!$F$2:$F$601,C1916)=0,"Phone not found: copy it from your list",IF(AND(E1916&lt;&gt;"",COUNTIFS(DESK!$F$2:$F$601,C1916,DESK!$B$2:$B$601,E1916)=0),"Company is not one of theirs","OK"))))))</f>
        <v/>
      </c>
    </row>
    <row r="1917" spans="1:10"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time",IF(D1917="NO_SLOTS",IF(COUNTIF(PARTNERS!$A$2:$A$88,E1917)=0,"Write the company in column E","OK"),IF(C1917="","Missing phone",IF(COUNTIF(DESK!$F$2:$F$601,C1917)=0,"Phone not found: copy it from your list",IF(AND(E1917&lt;&gt;"",COUNTIFS(DESK!$F$2:$F$601,C1917,DESK!$B$2:$B$601,E1917)=0),"Company is not one of theirs","OK"))))))</f>
        <v/>
      </c>
    </row>
    <row r="1918" spans="1:10"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time",IF(D1918="NO_SLOTS",IF(COUNTIF(PARTNERS!$A$2:$A$88,E1918)=0,"Write the company in column E","OK"),IF(C1918="","Missing phone",IF(COUNTIF(DESK!$F$2:$F$601,C1918)=0,"Phone not found: copy it from your list",IF(AND(E1918&lt;&gt;"",COUNTIFS(DESK!$F$2:$F$601,C1918,DESK!$B$2:$B$601,E1918)=0),"Company is not one of theirs","OK"))))))</f>
        <v/>
      </c>
    </row>
    <row r="1919" spans="1:10"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time",IF(D1919="NO_SLOTS",IF(COUNTIF(PARTNERS!$A$2:$A$88,E1919)=0,"Write the company in column E","OK"),IF(C1919="","Missing phone",IF(COUNTIF(DESK!$F$2:$F$601,C1919)=0,"Phone not found: copy it from your list",IF(AND(E1919&lt;&gt;"",COUNTIFS(DESK!$F$2:$F$601,C1919,DESK!$B$2:$B$601,E1919)=0),"Company is not one of theirs","OK"))))))</f>
        <v/>
      </c>
    </row>
    <row r="1920" spans="1:10"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time",IF(D1920="NO_SLOTS",IF(COUNTIF(PARTNERS!$A$2:$A$88,E1920)=0,"Write the company in column E","OK"),IF(C1920="","Missing phone",IF(COUNTIF(DESK!$F$2:$F$601,C1920)=0,"Phone not found: copy it from your list",IF(AND(E1920&lt;&gt;"",COUNTIFS(DESK!$F$2:$F$601,C1920,DESK!$B$2:$B$601,E1920)=0),"Company is not one of theirs","OK"))))))</f>
        <v/>
      </c>
    </row>
    <row r="1921" spans="1:10"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time",IF(D1921="NO_SLOTS",IF(COUNTIF(PARTNERS!$A$2:$A$88,E1921)=0,"Write the company in column E","OK"),IF(C1921="","Missing phone",IF(COUNTIF(DESK!$F$2:$F$601,C1921)=0,"Phone not found: copy it from your list",IF(AND(E1921&lt;&gt;"",COUNTIFS(DESK!$F$2:$F$601,C1921,DESK!$B$2:$B$601,E1921)=0),"Company is not one of theirs","OK"))))))</f>
        <v/>
      </c>
    </row>
    <row r="1922" spans="1:10"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time",IF(D1922="NO_SLOTS",IF(COUNTIF(PARTNERS!$A$2:$A$88,E1922)=0,"Write the company in column E","OK"),IF(C1922="","Missing phone",IF(COUNTIF(DESK!$F$2:$F$601,C1922)=0,"Phone not found: copy it from your list",IF(AND(E1922&lt;&gt;"",COUNTIFS(DESK!$F$2:$F$601,C1922,DESK!$B$2:$B$601,E1922)=0),"Company is not one of theirs","OK"))))))</f>
        <v/>
      </c>
    </row>
    <row r="1923" spans="1:10"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time",IF(D1923="NO_SLOTS",IF(COUNTIF(PARTNERS!$A$2:$A$88,E1923)=0,"Write the company in column E","OK"),IF(C1923="","Missing phone",IF(COUNTIF(DESK!$F$2:$F$601,C1923)=0,"Phone not found: copy it from your list",IF(AND(E1923&lt;&gt;"",COUNTIFS(DESK!$F$2:$F$601,C1923,DESK!$B$2:$B$601,E1923)=0),"Company is not one of theirs","OK"))))))</f>
        <v/>
      </c>
    </row>
    <row r="1924" spans="1:10"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time",IF(D1924="NO_SLOTS",IF(COUNTIF(PARTNERS!$A$2:$A$88,E1924)=0,"Write the company in column E","OK"),IF(C1924="","Missing phone",IF(COUNTIF(DESK!$F$2:$F$601,C1924)=0,"Phone not found: copy it from your list",IF(AND(E1924&lt;&gt;"",COUNTIFS(DESK!$F$2:$F$601,C1924,DESK!$B$2:$B$601,E1924)=0),"Company is not one of theirs","OK"))))))</f>
        <v/>
      </c>
    </row>
    <row r="1925" spans="1:10"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time",IF(D1925="NO_SLOTS",IF(COUNTIF(PARTNERS!$A$2:$A$88,E1925)=0,"Write the company in column E","OK"),IF(C1925="","Missing phone",IF(COUNTIF(DESK!$F$2:$F$601,C1925)=0,"Phone not found: copy it from your list",IF(AND(E1925&lt;&gt;"",COUNTIFS(DESK!$F$2:$F$601,C1925,DESK!$B$2:$B$601,E1925)=0),"Company is not one of theirs","OK"))))))</f>
        <v/>
      </c>
    </row>
    <row r="1926" spans="1:10"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time",IF(D1926="NO_SLOTS",IF(COUNTIF(PARTNERS!$A$2:$A$88,E1926)=0,"Write the company in column E","OK"),IF(C1926="","Missing phone",IF(COUNTIF(DESK!$F$2:$F$601,C1926)=0,"Phone not found: copy it from your list",IF(AND(E1926&lt;&gt;"",COUNTIFS(DESK!$F$2:$F$601,C1926,DESK!$B$2:$B$601,E1926)=0),"Company is not one of theirs","OK"))))))</f>
        <v/>
      </c>
    </row>
    <row r="1927" spans="1:10"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time",IF(D1927="NO_SLOTS",IF(COUNTIF(PARTNERS!$A$2:$A$88,E1927)=0,"Write the company in column E","OK"),IF(C1927="","Missing phone",IF(COUNTIF(DESK!$F$2:$F$601,C1927)=0,"Phone not found: copy it from your list",IF(AND(E1927&lt;&gt;"",COUNTIFS(DESK!$F$2:$F$601,C1927,DESK!$B$2:$B$601,E1927)=0),"Company is not one of theirs","OK"))))))</f>
        <v/>
      </c>
    </row>
    <row r="1928" spans="1:10"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time",IF(D1928="NO_SLOTS",IF(COUNTIF(PARTNERS!$A$2:$A$88,E1928)=0,"Write the company in column E","OK"),IF(C1928="","Missing phone",IF(COUNTIF(DESK!$F$2:$F$601,C1928)=0,"Phone not found: copy it from your list",IF(AND(E1928&lt;&gt;"",COUNTIFS(DESK!$F$2:$F$601,C1928,DESK!$B$2:$B$601,E1928)=0),"Company is not one of theirs","OK"))))))</f>
        <v/>
      </c>
    </row>
    <row r="1929" spans="1:10"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time",IF(D1929="NO_SLOTS",IF(COUNTIF(PARTNERS!$A$2:$A$88,E1929)=0,"Write the company in column E","OK"),IF(C1929="","Missing phone",IF(COUNTIF(DESK!$F$2:$F$601,C1929)=0,"Phone not found: copy it from your list",IF(AND(E1929&lt;&gt;"",COUNTIFS(DESK!$F$2:$F$601,C1929,DESK!$B$2:$B$601,E1929)=0),"Company is not one of theirs","OK"))))))</f>
        <v/>
      </c>
    </row>
    <row r="1930" spans="1:10"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time",IF(D1930="NO_SLOTS",IF(COUNTIF(PARTNERS!$A$2:$A$88,E1930)=0,"Write the company in column E","OK"),IF(C1930="","Missing phone",IF(COUNTIF(DESK!$F$2:$F$601,C1930)=0,"Phone not found: copy it from your list",IF(AND(E1930&lt;&gt;"",COUNTIFS(DESK!$F$2:$F$601,C1930,DESK!$B$2:$B$601,E1930)=0),"Company is not one of theirs","OK"))))))</f>
        <v/>
      </c>
    </row>
    <row r="1931" spans="1:10"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time",IF(D1931="NO_SLOTS",IF(COUNTIF(PARTNERS!$A$2:$A$88,E1931)=0,"Write the company in column E","OK"),IF(C1931="","Missing phone",IF(COUNTIF(DESK!$F$2:$F$601,C1931)=0,"Phone not found: copy it from your list",IF(AND(E1931&lt;&gt;"",COUNTIFS(DESK!$F$2:$F$601,C1931,DESK!$B$2:$B$601,E1931)=0),"Company is not one of theirs","OK"))))))</f>
        <v/>
      </c>
    </row>
    <row r="1932" spans="1:10"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time",IF(D1932="NO_SLOTS",IF(COUNTIF(PARTNERS!$A$2:$A$88,E1932)=0,"Write the company in column E","OK"),IF(C1932="","Missing phone",IF(COUNTIF(DESK!$F$2:$F$601,C1932)=0,"Phone not found: copy it from your list",IF(AND(E1932&lt;&gt;"",COUNTIFS(DESK!$F$2:$F$601,C1932,DESK!$B$2:$B$601,E1932)=0),"Company is not one of theirs","OK"))))))</f>
        <v/>
      </c>
    </row>
    <row r="1933" spans="1:10"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time",IF(D1933="NO_SLOTS",IF(COUNTIF(PARTNERS!$A$2:$A$88,E1933)=0,"Write the company in column E","OK"),IF(C1933="","Missing phone",IF(COUNTIF(DESK!$F$2:$F$601,C1933)=0,"Phone not found: copy it from your list",IF(AND(E1933&lt;&gt;"",COUNTIFS(DESK!$F$2:$F$601,C1933,DESK!$B$2:$B$601,E1933)=0),"Company is not one of theirs","OK"))))))</f>
        <v/>
      </c>
    </row>
    <row r="1934" spans="1:10"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time",IF(D1934="NO_SLOTS",IF(COUNTIF(PARTNERS!$A$2:$A$88,E1934)=0,"Write the company in column E","OK"),IF(C1934="","Missing phone",IF(COUNTIF(DESK!$F$2:$F$601,C1934)=0,"Phone not found: copy it from your list",IF(AND(E1934&lt;&gt;"",COUNTIFS(DESK!$F$2:$F$601,C1934,DESK!$B$2:$B$601,E1934)=0),"Company is not one of theirs","OK"))))))</f>
        <v/>
      </c>
    </row>
    <row r="1935" spans="1:10"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time",IF(D1935="NO_SLOTS",IF(COUNTIF(PARTNERS!$A$2:$A$88,E1935)=0,"Write the company in column E","OK"),IF(C1935="","Missing phone",IF(COUNTIF(DESK!$F$2:$F$601,C1935)=0,"Phone not found: copy it from your list",IF(AND(E1935&lt;&gt;"",COUNTIFS(DESK!$F$2:$F$601,C1935,DESK!$B$2:$B$601,E1935)=0),"Company is not one of theirs","OK"))))))</f>
        <v/>
      </c>
    </row>
    <row r="1936" spans="1:10"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time",IF(D1936="NO_SLOTS",IF(COUNTIF(PARTNERS!$A$2:$A$88,E1936)=0,"Write the company in column E","OK"),IF(C1936="","Missing phone",IF(COUNTIF(DESK!$F$2:$F$601,C1936)=0,"Phone not found: copy it from your list",IF(AND(E1936&lt;&gt;"",COUNTIFS(DESK!$F$2:$F$601,C1936,DESK!$B$2:$B$601,E1936)=0),"Company is not one of theirs","OK"))))))</f>
        <v/>
      </c>
    </row>
    <row r="1937" spans="1:10"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time",IF(D1937="NO_SLOTS",IF(COUNTIF(PARTNERS!$A$2:$A$88,E1937)=0,"Write the company in column E","OK"),IF(C1937="","Missing phone",IF(COUNTIF(DESK!$F$2:$F$601,C1937)=0,"Phone not found: copy it from your list",IF(AND(E1937&lt;&gt;"",COUNTIFS(DESK!$F$2:$F$601,C1937,DESK!$B$2:$B$601,E1937)=0),"Company is not one of theirs","OK"))))))</f>
        <v/>
      </c>
    </row>
    <row r="1938" spans="1:10"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time",IF(D1938="NO_SLOTS",IF(COUNTIF(PARTNERS!$A$2:$A$88,E1938)=0,"Write the company in column E","OK"),IF(C1938="","Missing phone",IF(COUNTIF(DESK!$F$2:$F$601,C1938)=0,"Phone not found: copy it from your list",IF(AND(E1938&lt;&gt;"",COUNTIFS(DESK!$F$2:$F$601,C1938,DESK!$B$2:$B$601,E1938)=0),"Company is not one of theirs","OK"))))))</f>
        <v/>
      </c>
    </row>
    <row r="1939" spans="1:10"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time",IF(D1939="NO_SLOTS",IF(COUNTIF(PARTNERS!$A$2:$A$88,E1939)=0,"Write the company in column E","OK"),IF(C1939="","Missing phone",IF(COUNTIF(DESK!$F$2:$F$601,C1939)=0,"Phone not found: copy it from your list",IF(AND(E1939&lt;&gt;"",COUNTIFS(DESK!$F$2:$F$601,C1939,DESK!$B$2:$B$601,E1939)=0),"Company is not one of theirs","OK"))))))</f>
        <v/>
      </c>
    </row>
    <row r="1940" spans="1:10"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time",IF(D1940="NO_SLOTS",IF(COUNTIF(PARTNERS!$A$2:$A$88,E1940)=0,"Write the company in column E","OK"),IF(C1940="","Missing phone",IF(COUNTIF(DESK!$F$2:$F$601,C1940)=0,"Phone not found: copy it from your list",IF(AND(E1940&lt;&gt;"",COUNTIFS(DESK!$F$2:$F$601,C1940,DESK!$B$2:$B$601,E1940)=0),"Company is not one of theirs","OK"))))))</f>
        <v/>
      </c>
    </row>
    <row r="1941" spans="1:10"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time",IF(D1941="NO_SLOTS",IF(COUNTIF(PARTNERS!$A$2:$A$88,E1941)=0,"Write the company in column E","OK"),IF(C1941="","Missing phone",IF(COUNTIF(DESK!$F$2:$F$601,C1941)=0,"Phone not found: copy it from your list",IF(AND(E1941&lt;&gt;"",COUNTIFS(DESK!$F$2:$F$601,C1941,DESK!$B$2:$B$601,E1941)=0),"Company is not one of theirs","OK"))))))</f>
        <v/>
      </c>
    </row>
    <row r="1942" spans="1:10"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time",IF(D1942="NO_SLOTS",IF(COUNTIF(PARTNERS!$A$2:$A$88,E1942)=0,"Write the company in column E","OK"),IF(C1942="","Missing phone",IF(COUNTIF(DESK!$F$2:$F$601,C1942)=0,"Phone not found: copy it from your list",IF(AND(E1942&lt;&gt;"",COUNTIFS(DESK!$F$2:$F$601,C1942,DESK!$B$2:$B$601,E1942)=0),"Company is not one of theirs","OK"))))))</f>
        <v/>
      </c>
    </row>
    <row r="1943" spans="1:10"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time",IF(D1943="NO_SLOTS",IF(COUNTIF(PARTNERS!$A$2:$A$88,E1943)=0,"Write the company in column E","OK"),IF(C1943="","Missing phone",IF(COUNTIF(DESK!$F$2:$F$601,C1943)=0,"Phone not found: copy it from your list",IF(AND(E1943&lt;&gt;"",COUNTIFS(DESK!$F$2:$F$601,C1943,DESK!$B$2:$B$601,E1943)=0),"Company is not one of theirs","OK"))))))</f>
        <v/>
      </c>
    </row>
    <row r="1944" spans="1:10"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time",IF(D1944="NO_SLOTS",IF(COUNTIF(PARTNERS!$A$2:$A$88,E1944)=0,"Write the company in column E","OK"),IF(C1944="","Missing phone",IF(COUNTIF(DESK!$F$2:$F$601,C1944)=0,"Phone not found: copy it from your list",IF(AND(E1944&lt;&gt;"",COUNTIFS(DESK!$F$2:$F$601,C1944,DESK!$B$2:$B$601,E1944)=0),"Company is not one of theirs","OK"))))))</f>
        <v/>
      </c>
    </row>
    <row r="1945" spans="1:10"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time",IF(D1945="NO_SLOTS",IF(COUNTIF(PARTNERS!$A$2:$A$88,E1945)=0,"Write the company in column E","OK"),IF(C1945="","Missing phone",IF(COUNTIF(DESK!$F$2:$F$601,C1945)=0,"Phone not found: copy it from your list",IF(AND(E1945&lt;&gt;"",COUNTIFS(DESK!$F$2:$F$601,C1945,DESK!$B$2:$B$601,E1945)=0),"Company is not one of theirs","OK"))))))</f>
        <v/>
      </c>
    </row>
    <row r="1946" spans="1:10"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time",IF(D1946="NO_SLOTS",IF(COUNTIF(PARTNERS!$A$2:$A$88,E1946)=0,"Write the company in column E","OK"),IF(C1946="","Missing phone",IF(COUNTIF(DESK!$F$2:$F$601,C1946)=0,"Phone not found: copy it from your list",IF(AND(E1946&lt;&gt;"",COUNTIFS(DESK!$F$2:$F$601,C1946,DESK!$B$2:$B$601,E1946)=0),"Company is not one of theirs","OK"))))))</f>
        <v/>
      </c>
    </row>
    <row r="1947" spans="1:10"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time",IF(D1947="NO_SLOTS",IF(COUNTIF(PARTNERS!$A$2:$A$88,E1947)=0,"Write the company in column E","OK"),IF(C1947="","Missing phone",IF(COUNTIF(DESK!$F$2:$F$601,C1947)=0,"Phone not found: copy it from your list",IF(AND(E1947&lt;&gt;"",COUNTIFS(DESK!$F$2:$F$601,C1947,DESK!$B$2:$B$601,E1947)=0),"Company is not one of theirs","OK"))))))</f>
        <v/>
      </c>
    </row>
    <row r="1948" spans="1:10"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time",IF(D1948="NO_SLOTS",IF(COUNTIF(PARTNERS!$A$2:$A$88,E1948)=0,"Write the company in column E","OK"),IF(C1948="","Missing phone",IF(COUNTIF(DESK!$F$2:$F$601,C1948)=0,"Phone not found: copy it from your list",IF(AND(E1948&lt;&gt;"",COUNTIFS(DESK!$F$2:$F$601,C1948,DESK!$B$2:$B$601,E1948)=0),"Company is not one of theirs","OK"))))))</f>
        <v/>
      </c>
    </row>
    <row r="1949" spans="1:10"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time",IF(D1949="NO_SLOTS",IF(COUNTIF(PARTNERS!$A$2:$A$88,E1949)=0,"Write the company in column E","OK"),IF(C1949="","Missing phone",IF(COUNTIF(DESK!$F$2:$F$601,C1949)=0,"Phone not found: copy it from your list",IF(AND(E1949&lt;&gt;"",COUNTIFS(DESK!$F$2:$F$601,C1949,DESK!$B$2:$B$601,E1949)=0),"Company is not one of theirs","OK"))))))</f>
        <v/>
      </c>
    </row>
    <row r="1950" spans="1:10"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time",IF(D1950="NO_SLOTS",IF(COUNTIF(PARTNERS!$A$2:$A$88,E1950)=0,"Write the company in column E","OK"),IF(C1950="","Missing phone",IF(COUNTIF(DESK!$F$2:$F$601,C1950)=0,"Phone not found: copy it from your list",IF(AND(E1950&lt;&gt;"",COUNTIFS(DESK!$F$2:$F$601,C1950,DESK!$B$2:$B$601,E1950)=0),"Company is not one of theirs","OK"))))))</f>
        <v/>
      </c>
    </row>
    <row r="1951" spans="1:10"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time",IF(D1951="NO_SLOTS",IF(COUNTIF(PARTNERS!$A$2:$A$88,E1951)=0,"Write the company in column E","OK"),IF(C1951="","Missing phone",IF(COUNTIF(DESK!$F$2:$F$601,C1951)=0,"Phone not found: copy it from your list",IF(AND(E1951&lt;&gt;"",COUNTIFS(DESK!$F$2:$F$601,C1951,DESK!$B$2:$B$601,E1951)=0),"Company is not one of theirs","OK"))))))</f>
        <v/>
      </c>
    </row>
    <row r="1952" spans="1:10"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time",IF(D1952="NO_SLOTS",IF(COUNTIF(PARTNERS!$A$2:$A$88,E1952)=0,"Write the company in column E","OK"),IF(C1952="","Missing phone",IF(COUNTIF(DESK!$F$2:$F$601,C1952)=0,"Phone not found: copy it from your list",IF(AND(E1952&lt;&gt;"",COUNTIFS(DESK!$F$2:$F$601,C1952,DESK!$B$2:$B$601,E1952)=0),"Company is not one of theirs","OK"))))))</f>
        <v/>
      </c>
    </row>
    <row r="1953" spans="1:10"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time",IF(D1953="NO_SLOTS",IF(COUNTIF(PARTNERS!$A$2:$A$88,E1953)=0,"Write the company in column E","OK"),IF(C1953="","Missing phone",IF(COUNTIF(DESK!$F$2:$F$601,C1953)=0,"Phone not found: copy it from your list",IF(AND(E1953&lt;&gt;"",COUNTIFS(DESK!$F$2:$F$601,C1953,DESK!$B$2:$B$601,E1953)=0),"Company is not one of theirs","OK"))))))</f>
        <v/>
      </c>
    </row>
    <row r="1954" spans="1:10"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time",IF(D1954="NO_SLOTS",IF(COUNTIF(PARTNERS!$A$2:$A$88,E1954)=0,"Write the company in column E","OK"),IF(C1954="","Missing phone",IF(COUNTIF(DESK!$F$2:$F$601,C1954)=0,"Phone not found: copy it from your list",IF(AND(E1954&lt;&gt;"",COUNTIFS(DESK!$F$2:$F$601,C1954,DESK!$B$2:$B$601,E1954)=0),"Company is not one of theirs","OK"))))))</f>
        <v/>
      </c>
    </row>
    <row r="1955" spans="1:10"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time",IF(D1955="NO_SLOTS",IF(COUNTIF(PARTNERS!$A$2:$A$88,E1955)=0,"Write the company in column E","OK"),IF(C1955="","Missing phone",IF(COUNTIF(DESK!$F$2:$F$601,C1955)=0,"Phone not found: copy it from your list",IF(AND(E1955&lt;&gt;"",COUNTIFS(DESK!$F$2:$F$601,C1955,DESK!$B$2:$B$601,E1955)=0),"Company is not one of theirs","OK"))))))</f>
        <v/>
      </c>
    </row>
    <row r="1956" spans="1:10"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time",IF(D1956="NO_SLOTS",IF(COUNTIF(PARTNERS!$A$2:$A$88,E1956)=0,"Write the company in column E","OK"),IF(C1956="","Missing phone",IF(COUNTIF(DESK!$F$2:$F$601,C1956)=0,"Phone not found: copy it from your list",IF(AND(E1956&lt;&gt;"",COUNTIFS(DESK!$F$2:$F$601,C1956,DESK!$B$2:$B$601,E1956)=0),"Company is not one of theirs","OK"))))))</f>
        <v/>
      </c>
    </row>
    <row r="1957" spans="1:10"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time",IF(D1957="NO_SLOTS",IF(COUNTIF(PARTNERS!$A$2:$A$88,E1957)=0,"Write the company in column E","OK"),IF(C1957="","Missing phone",IF(COUNTIF(DESK!$F$2:$F$601,C1957)=0,"Phone not found: copy it from your list",IF(AND(E1957&lt;&gt;"",COUNTIFS(DESK!$F$2:$F$601,C1957,DESK!$B$2:$B$601,E1957)=0),"Company is not one of theirs","OK"))))))</f>
        <v/>
      </c>
    </row>
    <row r="1958" spans="1:10"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time",IF(D1958="NO_SLOTS",IF(COUNTIF(PARTNERS!$A$2:$A$88,E1958)=0,"Write the company in column E","OK"),IF(C1958="","Missing phone",IF(COUNTIF(DESK!$F$2:$F$601,C1958)=0,"Phone not found: copy it from your list",IF(AND(E1958&lt;&gt;"",COUNTIFS(DESK!$F$2:$F$601,C1958,DESK!$B$2:$B$601,E1958)=0),"Company is not one of theirs","OK"))))))</f>
        <v/>
      </c>
    </row>
    <row r="1959" spans="1:10"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time",IF(D1959="NO_SLOTS",IF(COUNTIF(PARTNERS!$A$2:$A$88,E1959)=0,"Write the company in column E","OK"),IF(C1959="","Missing phone",IF(COUNTIF(DESK!$F$2:$F$601,C1959)=0,"Phone not found: copy it from your list",IF(AND(E1959&lt;&gt;"",COUNTIFS(DESK!$F$2:$F$601,C1959,DESK!$B$2:$B$601,E1959)=0),"Company is not one of theirs","OK"))))))</f>
        <v/>
      </c>
    </row>
    <row r="1960" spans="1:10"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time",IF(D1960="NO_SLOTS",IF(COUNTIF(PARTNERS!$A$2:$A$88,E1960)=0,"Write the company in column E","OK"),IF(C1960="","Missing phone",IF(COUNTIF(DESK!$F$2:$F$601,C1960)=0,"Phone not found: copy it from your list",IF(AND(E1960&lt;&gt;"",COUNTIFS(DESK!$F$2:$F$601,C1960,DESK!$B$2:$B$601,E1960)=0),"Company is not one of theirs","OK"))))))</f>
        <v/>
      </c>
    </row>
    <row r="1961" spans="1:10"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time",IF(D1961="NO_SLOTS",IF(COUNTIF(PARTNERS!$A$2:$A$88,E1961)=0,"Write the company in column E","OK"),IF(C1961="","Missing phone",IF(COUNTIF(DESK!$F$2:$F$601,C1961)=0,"Phone not found: copy it from your list",IF(AND(E1961&lt;&gt;"",COUNTIFS(DESK!$F$2:$F$601,C1961,DESK!$B$2:$B$601,E1961)=0),"Company is not one of theirs","OK"))))))</f>
        <v/>
      </c>
    </row>
    <row r="1962" spans="1:10"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time",IF(D1962="NO_SLOTS",IF(COUNTIF(PARTNERS!$A$2:$A$88,E1962)=0,"Write the company in column E","OK"),IF(C1962="","Missing phone",IF(COUNTIF(DESK!$F$2:$F$601,C1962)=0,"Phone not found: copy it from your list",IF(AND(E1962&lt;&gt;"",COUNTIFS(DESK!$F$2:$F$601,C1962,DESK!$B$2:$B$601,E1962)=0),"Company is not one of theirs","OK"))))))</f>
        <v/>
      </c>
    </row>
    <row r="1963" spans="1:10"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time",IF(D1963="NO_SLOTS",IF(COUNTIF(PARTNERS!$A$2:$A$88,E1963)=0,"Write the company in column E","OK"),IF(C1963="","Missing phone",IF(COUNTIF(DESK!$F$2:$F$601,C1963)=0,"Phone not found: copy it from your list",IF(AND(E1963&lt;&gt;"",COUNTIFS(DESK!$F$2:$F$601,C1963,DESK!$B$2:$B$601,E1963)=0),"Company is not one of theirs","OK"))))))</f>
        <v/>
      </c>
    </row>
    <row r="1964" spans="1:10"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time",IF(D1964="NO_SLOTS",IF(COUNTIF(PARTNERS!$A$2:$A$88,E1964)=0,"Write the company in column E","OK"),IF(C1964="","Missing phone",IF(COUNTIF(DESK!$F$2:$F$601,C1964)=0,"Phone not found: copy it from your list",IF(AND(E1964&lt;&gt;"",COUNTIFS(DESK!$F$2:$F$601,C1964,DESK!$B$2:$B$601,E1964)=0),"Company is not one of theirs","OK"))))))</f>
        <v/>
      </c>
    </row>
    <row r="1965" spans="1:10"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time",IF(D1965="NO_SLOTS",IF(COUNTIF(PARTNERS!$A$2:$A$88,E1965)=0,"Write the company in column E","OK"),IF(C1965="","Missing phone",IF(COUNTIF(DESK!$F$2:$F$601,C1965)=0,"Phone not found: copy it from your list",IF(AND(E1965&lt;&gt;"",COUNTIFS(DESK!$F$2:$F$601,C1965,DESK!$B$2:$B$601,E1965)=0),"Company is not one of theirs","OK"))))))</f>
        <v/>
      </c>
    </row>
    <row r="1966" spans="1:10"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time",IF(D1966="NO_SLOTS",IF(COUNTIF(PARTNERS!$A$2:$A$88,E1966)=0,"Write the company in column E","OK"),IF(C1966="","Missing phone",IF(COUNTIF(DESK!$F$2:$F$601,C1966)=0,"Phone not found: copy it from your list",IF(AND(E1966&lt;&gt;"",COUNTIFS(DESK!$F$2:$F$601,C1966,DESK!$B$2:$B$601,E1966)=0),"Company is not one of theirs","OK"))))))</f>
        <v/>
      </c>
    </row>
    <row r="1967" spans="1:10"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time",IF(D1967="NO_SLOTS",IF(COUNTIF(PARTNERS!$A$2:$A$88,E1967)=0,"Write the company in column E","OK"),IF(C1967="","Missing phone",IF(COUNTIF(DESK!$F$2:$F$601,C1967)=0,"Phone not found: copy it from your list",IF(AND(E1967&lt;&gt;"",COUNTIFS(DESK!$F$2:$F$601,C1967,DESK!$B$2:$B$601,E1967)=0),"Company is not one of theirs","OK"))))))</f>
        <v/>
      </c>
    </row>
    <row r="1968" spans="1:10"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time",IF(D1968="NO_SLOTS",IF(COUNTIF(PARTNERS!$A$2:$A$88,E1968)=0,"Write the company in column E","OK"),IF(C1968="","Missing phone",IF(COUNTIF(DESK!$F$2:$F$601,C1968)=0,"Phone not found: copy it from your list",IF(AND(E1968&lt;&gt;"",COUNTIFS(DESK!$F$2:$F$601,C1968,DESK!$B$2:$B$601,E1968)=0),"Company is not one of theirs","OK"))))))</f>
        <v/>
      </c>
    </row>
    <row r="1969" spans="1:10"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time",IF(D1969="NO_SLOTS",IF(COUNTIF(PARTNERS!$A$2:$A$88,E1969)=0,"Write the company in column E","OK"),IF(C1969="","Missing phone",IF(COUNTIF(DESK!$F$2:$F$601,C1969)=0,"Phone not found: copy it from your list",IF(AND(E1969&lt;&gt;"",COUNTIFS(DESK!$F$2:$F$601,C1969,DESK!$B$2:$B$601,E1969)=0),"Company is not one of theirs","OK"))))))</f>
        <v/>
      </c>
    </row>
    <row r="1970" spans="1:10"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time",IF(D1970="NO_SLOTS",IF(COUNTIF(PARTNERS!$A$2:$A$88,E1970)=0,"Write the company in column E","OK"),IF(C1970="","Missing phone",IF(COUNTIF(DESK!$F$2:$F$601,C1970)=0,"Phone not found: copy it from your list",IF(AND(E1970&lt;&gt;"",COUNTIFS(DESK!$F$2:$F$601,C1970,DESK!$B$2:$B$601,E1970)=0),"Company is not one of theirs","OK"))))))</f>
        <v/>
      </c>
    </row>
    <row r="1971" spans="1:10"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time",IF(D1971="NO_SLOTS",IF(COUNTIF(PARTNERS!$A$2:$A$88,E1971)=0,"Write the company in column E","OK"),IF(C1971="","Missing phone",IF(COUNTIF(DESK!$F$2:$F$601,C1971)=0,"Phone not found: copy it from your list",IF(AND(E1971&lt;&gt;"",COUNTIFS(DESK!$F$2:$F$601,C1971,DESK!$B$2:$B$601,E1971)=0),"Company is not one of theirs","OK"))))))</f>
        <v/>
      </c>
    </row>
    <row r="1972" spans="1:10"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time",IF(D1972="NO_SLOTS",IF(COUNTIF(PARTNERS!$A$2:$A$88,E1972)=0,"Write the company in column E","OK"),IF(C1972="","Missing phone",IF(COUNTIF(DESK!$F$2:$F$601,C1972)=0,"Phone not found: copy it from your list",IF(AND(E1972&lt;&gt;"",COUNTIFS(DESK!$F$2:$F$601,C1972,DESK!$B$2:$B$601,E1972)=0),"Company is not one of theirs","OK"))))))</f>
        <v/>
      </c>
    </row>
    <row r="1973" spans="1:10"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time",IF(D1973="NO_SLOTS",IF(COUNTIF(PARTNERS!$A$2:$A$88,E1973)=0,"Write the company in column E","OK"),IF(C1973="","Missing phone",IF(COUNTIF(DESK!$F$2:$F$601,C1973)=0,"Phone not found: copy it from your list",IF(AND(E1973&lt;&gt;"",COUNTIFS(DESK!$F$2:$F$601,C1973,DESK!$B$2:$B$601,E1973)=0),"Company is not one of theirs","OK"))))))</f>
        <v/>
      </c>
    </row>
    <row r="1974" spans="1:10"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time",IF(D1974="NO_SLOTS",IF(COUNTIF(PARTNERS!$A$2:$A$88,E1974)=0,"Write the company in column E","OK"),IF(C1974="","Missing phone",IF(COUNTIF(DESK!$F$2:$F$601,C1974)=0,"Phone not found: copy it from your list",IF(AND(E1974&lt;&gt;"",COUNTIFS(DESK!$F$2:$F$601,C1974,DESK!$B$2:$B$601,E1974)=0),"Company is not one of theirs","OK"))))))</f>
        <v/>
      </c>
    </row>
    <row r="1975" spans="1:10"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time",IF(D1975="NO_SLOTS",IF(COUNTIF(PARTNERS!$A$2:$A$88,E1975)=0,"Write the company in column E","OK"),IF(C1975="","Missing phone",IF(COUNTIF(DESK!$F$2:$F$601,C1975)=0,"Phone not found: copy it from your list",IF(AND(E1975&lt;&gt;"",COUNTIFS(DESK!$F$2:$F$601,C1975,DESK!$B$2:$B$601,E1975)=0),"Company is not one of theirs","OK"))))))</f>
        <v/>
      </c>
    </row>
    <row r="1976" spans="1:10"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time",IF(D1976="NO_SLOTS",IF(COUNTIF(PARTNERS!$A$2:$A$88,E1976)=0,"Write the company in column E","OK"),IF(C1976="","Missing phone",IF(COUNTIF(DESK!$F$2:$F$601,C1976)=0,"Phone not found: copy it from your list",IF(AND(E1976&lt;&gt;"",COUNTIFS(DESK!$F$2:$F$601,C1976,DESK!$B$2:$B$601,E1976)=0),"Company is not one of theirs","OK"))))))</f>
        <v/>
      </c>
    </row>
    <row r="1977" spans="1:10"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time",IF(D1977="NO_SLOTS",IF(COUNTIF(PARTNERS!$A$2:$A$88,E1977)=0,"Write the company in column E","OK"),IF(C1977="","Missing phone",IF(COUNTIF(DESK!$F$2:$F$601,C1977)=0,"Phone not found: copy it from your list",IF(AND(E1977&lt;&gt;"",COUNTIFS(DESK!$F$2:$F$601,C1977,DESK!$B$2:$B$601,E1977)=0),"Company is not one of theirs","OK"))))))</f>
        <v/>
      </c>
    </row>
    <row r="1978" spans="1:10"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time",IF(D1978="NO_SLOTS",IF(COUNTIF(PARTNERS!$A$2:$A$88,E1978)=0,"Write the company in column E","OK"),IF(C1978="","Missing phone",IF(COUNTIF(DESK!$F$2:$F$601,C1978)=0,"Phone not found: copy it from your list",IF(AND(E1978&lt;&gt;"",COUNTIFS(DESK!$F$2:$F$601,C1978,DESK!$B$2:$B$601,E1978)=0),"Company is not one of theirs","OK"))))))</f>
        <v/>
      </c>
    </row>
    <row r="1979" spans="1:10"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time",IF(D1979="NO_SLOTS",IF(COUNTIF(PARTNERS!$A$2:$A$88,E1979)=0,"Write the company in column E","OK"),IF(C1979="","Missing phone",IF(COUNTIF(DESK!$F$2:$F$601,C1979)=0,"Phone not found: copy it from your list",IF(AND(E1979&lt;&gt;"",COUNTIFS(DESK!$F$2:$F$601,C1979,DESK!$B$2:$B$601,E1979)=0),"Company is not one of theirs","OK"))))))</f>
        <v/>
      </c>
    </row>
    <row r="1980" spans="1:10"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time",IF(D1980="NO_SLOTS",IF(COUNTIF(PARTNERS!$A$2:$A$88,E1980)=0,"Write the company in column E","OK"),IF(C1980="","Missing phone",IF(COUNTIF(DESK!$F$2:$F$601,C1980)=0,"Phone not found: copy it from your list",IF(AND(E1980&lt;&gt;"",COUNTIFS(DESK!$F$2:$F$601,C1980,DESK!$B$2:$B$601,E1980)=0),"Company is not one of theirs","OK"))))))</f>
        <v/>
      </c>
    </row>
    <row r="1981" spans="1:10"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time",IF(D1981="NO_SLOTS",IF(COUNTIF(PARTNERS!$A$2:$A$88,E1981)=0,"Write the company in column E","OK"),IF(C1981="","Missing phone",IF(COUNTIF(DESK!$F$2:$F$601,C1981)=0,"Phone not found: copy it from your list",IF(AND(E1981&lt;&gt;"",COUNTIFS(DESK!$F$2:$F$601,C1981,DESK!$B$2:$B$601,E1981)=0),"Company is not one of theirs","OK"))))))</f>
        <v/>
      </c>
    </row>
    <row r="1982" spans="1:10"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time",IF(D1982="NO_SLOTS",IF(COUNTIF(PARTNERS!$A$2:$A$88,E1982)=0,"Write the company in column E","OK"),IF(C1982="","Missing phone",IF(COUNTIF(DESK!$F$2:$F$601,C1982)=0,"Phone not found: copy it from your list",IF(AND(E1982&lt;&gt;"",COUNTIFS(DESK!$F$2:$F$601,C1982,DESK!$B$2:$B$601,E1982)=0),"Company is not one of theirs","OK"))))))</f>
        <v/>
      </c>
    </row>
    <row r="1983" spans="1:10"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time",IF(D1983="NO_SLOTS",IF(COUNTIF(PARTNERS!$A$2:$A$88,E1983)=0,"Write the company in column E","OK"),IF(C1983="","Missing phone",IF(COUNTIF(DESK!$F$2:$F$601,C1983)=0,"Phone not found: copy it from your list",IF(AND(E1983&lt;&gt;"",COUNTIFS(DESK!$F$2:$F$601,C1983,DESK!$B$2:$B$601,E1983)=0),"Company is not one of theirs","OK"))))))</f>
        <v/>
      </c>
    </row>
    <row r="1984" spans="1:10"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time",IF(D1984="NO_SLOTS",IF(COUNTIF(PARTNERS!$A$2:$A$88,E1984)=0,"Write the company in column E","OK"),IF(C1984="","Missing phone",IF(COUNTIF(DESK!$F$2:$F$601,C1984)=0,"Phone not found: copy it from your list",IF(AND(E1984&lt;&gt;"",COUNTIFS(DESK!$F$2:$F$601,C1984,DESK!$B$2:$B$601,E1984)=0),"Company is not one of theirs","OK"))))))</f>
        <v/>
      </c>
    </row>
    <row r="1985" spans="1:10"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time",IF(D1985="NO_SLOTS",IF(COUNTIF(PARTNERS!$A$2:$A$88,E1985)=0,"Write the company in column E","OK"),IF(C1985="","Missing phone",IF(COUNTIF(DESK!$F$2:$F$601,C1985)=0,"Phone not found: copy it from your list",IF(AND(E1985&lt;&gt;"",COUNTIFS(DESK!$F$2:$F$601,C1985,DESK!$B$2:$B$601,E1985)=0),"Company is not one of theirs","OK"))))))</f>
        <v/>
      </c>
    </row>
    <row r="1986" spans="1:10"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time",IF(D1986="NO_SLOTS",IF(COUNTIF(PARTNERS!$A$2:$A$88,E1986)=0,"Write the company in column E","OK"),IF(C1986="","Missing phone",IF(COUNTIF(DESK!$F$2:$F$601,C1986)=0,"Phone not found: copy it from your list",IF(AND(E1986&lt;&gt;"",COUNTIFS(DESK!$F$2:$F$601,C1986,DESK!$B$2:$B$601,E1986)=0),"Company is not one of theirs","OK"))))))</f>
        <v/>
      </c>
    </row>
    <row r="1987" spans="1:10"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time",IF(D1987="NO_SLOTS",IF(COUNTIF(PARTNERS!$A$2:$A$88,E1987)=0,"Write the company in column E","OK"),IF(C1987="","Missing phone",IF(COUNTIF(DESK!$F$2:$F$601,C1987)=0,"Phone not found: copy it from your list",IF(AND(E1987&lt;&gt;"",COUNTIFS(DESK!$F$2:$F$601,C1987,DESK!$B$2:$B$601,E1987)=0),"Company is not one of theirs","OK"))))))</f>
        <v/>
      </c>
    </row>
    <row r="1988" spans="1:10"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time",IF(D1988="NO_SLOTS",IF(COUNTIF(PARTNERS!$A$2:$A$88,E1988)=0,"Write the company in column E","OK"),IF(C1988="","Missing phone",IF(COUNTIF(DESK!$F$2:$F$601,C1988)=0,"Phone not found: copy it from your list",IF(AND(E1988&lt;&gt;"",COUNTIFS(DESK!$F$2:$F$601,C1988,DESK!$B$2:$B$601,E1988)=0),"Company is not one of theirs","OK"))))))</f>
        <v/>
      </c>
    </row>
    <row r="1989" spans="1:10"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time",IF(D1989="NO_SLOTS",IF(COUNTIF(PARTNERS!$A$2:$A$88,E1989)=0,"Write the company in column E","OK"),IF(C1989="","Missing phone",IF(COUNTIF(DESK!$F$2:$F$601,C1989)=0,"Phone not found: copy it from your list",IF(AND(E1989&lt;&gt;"",COUNTIFS(DESK!$F$2:$F$601,C1989,DESK!$B$2:$B$601,E1989)=0),"Company is not one of theirs","OK"))))))</f>
        <v/>
      </c>
    </row>
    <row r="1990" spans="1:10"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time",IF(D1990="NO_SLOTS",IF(COUNTIF(PARTNERS!$A$2:$A$88,E1990)=0,"Write the company in column E","OK"),IF(C1990="","Missing phone",IF(COUNTIF(DESK!$F$2:$F$601,C1990)=0,"Phone not found: copy it from your list",IF(AND(E1990&lt;&gt;"",COUNTIFS(DESK!$F$2:$F$601,C1990,DESK!$B$2:$B$601,E1990)=0),"Company is not one of theirs","OK"))))))</f>
        <v/>
      </c>
    </row>
    <row r="1991" spans="1:10"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time",IF(D1991="NO_SLOTS",IF(COUNTIF(PARTNERS!$A$2:$A$88,E1991)=0,"Write the company in column E","OK"),IF(C1991="","Missing phone",IF(COUNTIF(DESK!$F$2:$F$601,C1991)=0,"Phone not found: copy it from your list",IF(AND(E1991&lt;&gt;"",COUNTIFS(DESK!$F$2:$F$601,C1991,DESK!$B$2:$B$601,E1991)=0),"Company is not one of theirs","OK"))))))</f>
        <v/>
      </c>
    </row>
    <row r="1992" spans="1:10"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time",IF(D1992="NO_SLOTS",IF(COUNTIF(PARTNERS!$A$2:$A$88,E1992)=0,"Write the company in column E","OK"),IF(C1992="","Missing phone",IF(COUNTIF(DESK!$F$2:$F$601,C1992)=0,"Phone not found: copy it from your list",IF(AND(E1992&lt;&gt;"",COUNTIFS(DESK!$F$2:$F$601,C1992,DESK!$B$2:$B$601,E1992)=0),"Company is not one of theirs","OK"))))))</f>
        <v/>
      </c>
    </row>
    <row r="1993" spans="1:10"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time",IF(D1993="NO_SLOTS",IF(COUNTIF(PARTNERS!$A$2:$A$88,E1993)=0,"Write the company in column E","OK"),IF(C1993="","Missing phone",IF(COUNTIF(DESK!$F$2:$F$601,C1993)=0,"Phone not found: copy it from your list",IF(AND(E1993&lt;&gt;"",COUNTIFS(DESK!$F$2:$F$601,C1993,DESK!$B$2:$B$601,E1993)=0),"Company is not one of theirs","OK"))))))</f>
        <v/>
      </c>
    </row>
    <row r="1994" spans="1:10"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time",IF(D1994="NO_SLOTS",IF(COUNTIF(PARTNERS!$A$2:$A$88,E1994)=0,"Write the company in column E","OK"),IF(C1994="","Missing phone",IF(COUNTIF(DESK!$F$2:$F$601,C1994)=0,"Phone not found: copy it from your list",IF(AND(E1994&lt;&gt;"",COUNTIFS(DESK!$F$2:$F$601,C1994,DESK!$B$2:$B$601,E1994)=0),"Company is not one of theirs","OK"))))))</f>
        <v/>
      </c>
    </row>
    <row r="1995" spans="1:10"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time",IF(D1995="NO_SLOTS",IF(COUNTIF(PARTNERS!$A$2:$A$88,E1995)=0,"Write the company in column E","OK"),IF(C1995="","Missing phone",IF(COUNTIF(DESK!$F$2:$F$601,C1995)=0,"Phone not found: copy it from your list",IF(AND(E1995&lt;&gt;"",COUNTIFS(DESK!$F$2:$F$601,C1995,DESK!$B$2:$B$601,E1995)=0),"Company is not one of theirs","OK"))))))</f>
        <v/>
      </c>
    </row>
    <row r="1996" spans="1:10"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time",IF(D1996="NO_SLOTS",IF(COUNTIF(PARTNERS!$A$2:$A$88,E1996)=0,"Write the company in column E","OK"),IF(C1996="","Missing phone",IF(COUNTIF(DESK!$F$2:$F$601,C1996)=0,"Phone not found: copy it from your list",IF(AND(E1996&lt;&gt;"",COUNTIFS(DESK!$F$2:$F$601,C1996,DESK!$B$2:$B$601,E1996)=0),"Company is not one of theirs","OK"))))))</f>
        <v/>
      </c>
    </row>
    <row r="1997" spans="1:10"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time",IF(D1997="NO_SLOTS",IF(COUNTIF(PARTNERS!$A$2:$A$88,E1997)=0,"Write the company in column E","OK"),IF(C1997="","Missing phone",IF(COUNTIF(DESK!$F$2:$F$601,C1997)=0,"Phone not found: copy it from your list",IF(AND(E1997&lt;&gt;"",COUNTIFS(DESK!$F$2:$F$601,C1997,DESK!$B$2:$B$601,E1997)=0),"Company is not one of theirs","OK"))))))</f>
        <v/>
      </c>
    </row>
    <row r="1998" spans="1:10"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time",IF(D1998="NO_SLOTS",IF(COUNTIF(PARTNERS!$A$2:$A$88,E1998)=0,"Write the company in column E","OK"),IF(C1998="","Missing phone",IF(COUNTIF(DESK!$F$2:$F$601,C1998)=0,"Phone not found: copy it from your list",IF(AND(E1998&lt;&gt;"",COUNTIFS(DESK!$F$2:$F$601,C1998,DESK!$B$2:$B$601,E1998)=0),"Company is not one of theirs","OK"))))))</f>
        <v/>
      </c>
    </row>
    <row r="1999" spans="1:10"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time",IF(D1999="NO_SLOTS",IF(COUNTIF(PARTNERS!$A$2:$A$88,E1999)=0,"Write the company in column E","OK"),IF(C1999="","Missing phone",IF(COUNTIF(DESK!$F$2:$F$601,C1999)=0,"Phone not found: copy it from your list",IF(AND(E1999&lt;&gt;"",COUNTIFS(DESK!$F$2:$F$601,C1999,DESK!$B$2:$B$601,E1999)=0),"Company is not one of theirs","OK"))))))</f>
        <v/>
      </c>
    </row>
    <row r="2000" spans="1:10"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time",IF(D2000="NO_SLOTS",IF(COUNTIF(PARTNERS!$A$2:$A$88,E2000)=0,"Write the company in column E","OK"),IF(C2000="","Missing phone",IF(COUNTIF(DESK!$F$2:$F$601,C2000)=0,"Phone not found: copy it from your list",IF(AND(E2000&lt;&gt;"",COUNTIFS(DESK!$F$2:$F$601,C2000,DESK!$B$2:$B$601,E2000)=0),"Company is not one of theirs","OK"))))))</f>
        <v/>
      </c>
    </row>
    <row r="2001" spans="1:10"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time",IF(D2001="NO_SLOTS",IF(COUNTIF(PARTNERS!$A$2:$A$88,E2001)=0,"Write the company in column E","OK"),IF(C2001="","Missing phone",IF(COUNTIF(DESK!$F$2:$F$601,C2001)=0,"Phone not found: copy it from your list",IF(AND(E2001&lt;&gt;"",COUNTIFS(DESK!$F$2:$F$601,C2001,DESK!$B$2:$B$601,E2001)=0),"Company is not one of theirs","OK"))))))</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xr:uid="{00000000-0002-0000-0300-000000000000}">
          <x14:formula1>
            <xm:f>LISTS!$A$2:$A$10</xm:f>
          </x14:formula1>
          <xm:sqref>D2:D2001</xm:sqref>
        </x14:dataValidation>
        <x14:dataValidation type="list" allowBlank="1" xr:uid="{00000000-0002-0000-0300-000002000000}">
          <x14:formula1>
            <xm:f>PARTNERS!$A$2:$A$88</xm:f>
          </x14:formula1>
          <xm:sqref>E2:E2001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63"/>
  <sheetViews>
    <sheetView showGridLines="0" workbookViewId="0"/>
  </sheetViews>
  <sheetFormatPr defaultRowHeight="14.5" x14ac:dyDescent="0.35"/>
  <cols>
    <col min="1" max="1" width="62" customWidth="1"/>
    <col min="2" max="2" width="16" customWidth="1"/>
    <col min="3" max="4" width="14" customWidth="1"/>
    <col min="5" max="5" width="12" customWidth="1"/>
    <col min="6" max="6" width="60" customWidth="1"/>
  </cols>
  <sheetData>
    <row r="1" spans="1:3" ht="18" x14ac:dyDescent="0.4">
      <c r="A1" s="1" t="s">
        <v>78</v>
      </c>
    </row>
    <row r="3" spans="1:3" ht="30" customHeight="1" x14ac:dyDescent="0.5">
      <c r="A3" s="24" t="s">
        <v>79</v>
      </c>
      <c r="B3" s="25">
        <f>IF(B6=0,0,SUM(DESK!$AO$2:$AO$601)/B6)</f>
        <v>0.41799999999999998</v>
      </c>
      <c r="C3" s="24" t="str">
        <f>"Target "&amp;TEXT(SETTINGS!$B$17,"0%")&amp;IF(B3&gt;=SETTINGS!$B$17,":  ON TARGET",":  below target")</f>
        <v>Target 80%:  below target</v>
      </c>
    </row>
    <row r="5" spans="1:3" x14ac:dyDescent="0.35">
      <c r="A5" s="26" t="s">
        <v>80</v>
      </c>
      <c r="B5" s="27"/>
      <c r="C5" s="27"/>
    </row>
    <row r="6" spans="1:3" x14ac:dyDescent="0.35">
      <c r="A6" s="28" t="s">
        <v>81</v>
      </c>
      <c r="B6" s="10">
        <f>SUM(DESK!$L$2:$L$601)</f>
        <v>500</v>
      </c>
    </row>
    <row r="7" spans="1:3" x14ac:dyDescent="0.35">
      <c r="A7" s="28" t="s">
        <v>82</v>
      </c>
      <c r="B7" s="10">
        <f>COUNTIF(DESK!$K$2:$K$601,"DUPLICATE")</f>
        <v>20</v>
      </c>
    </row>
    <row r="8" spans="1:3" x14ac:dyDescent="0.35">
      <c r="A8" s="28" t="s">
        <v>83</v>
      </c>
      <c r="B8" s="10">
        <f>SUM(DESK!$AK$2:$AK$601)</f>
        <v>426</v>
      </c>
    </row>
    <row r="9" spans="1:3" x14ac:dyDescent="0.35">
      <c r="A9" s="28" t="s">
        <v>84</v>
      </c>
      <c r="B9" s="10">
        <f>SUM(DESK!$AO$2:$AO$601)</f>
        <v>209</v>
      </c>
    </row>
    <row r="10" spans="1:3" x14ac:dyDescent="0.35">
      <c r="A10" s="28" t="s">
        <v>85</v>
      </c>
      <c r="B10" s="10">
        <f>SUMPRODUCT(DESK!$AO$2:$AO$601,DESK!$AP$2:$AP$601)</f>
        <v>67</v>
      </c>
    </row>
    <row r="11" spans="1:3" x14ac:dyDescent="0.35">
      <c r="A11" s="28" t="s">
        <v>86</v>
      </c>
      <c r="B11" s="10">
        <f>B9-B10</f>
        <v>142</v>
      </c>
    </row>
    <row r="12" spans="1:3" x14ac:dyDescent="0.35">
      <c r="A12" s="28" t="s">
        <v>87</v>
      </c>
      <c r="B12" s="10">
        <f ca="1">COUNTIF(DESK!$AL$2:$AL$601,"Open")</f>
        <v>0</v>
      </c>
    </row>
    <row r="13" spans="1:3" x14ac:dyDescent="0.35">
      <c r="A13" s="28" t="s">
        <v>88</v>
      </c>
      <c r="B13" s="10">
        <f ca="1">COUNTIFS(DESK!$X$2:$X$601,1,DESK!$W$2:$W$601,"&lt;="&amp;SETTINGS!$B$14)</f>
        <v>0</v>
      </c>
    </row>
    <row r="14" spans="1:3" x14ac:dyDescent="0.35">
      <c r="A14" s="28" t="s">
        <v>89</v>
      </c>
      <c r="B14" s="10">
        <f>SUM(LOG!$H$2:$H$2001)</f>
        <v>178</v>
      </c>
    </row>
    <row r="15" spans="1:3" x14ac:dyDescent="0.35">
      <c r="A15" s="28" t="s">
        <v>90</v>
      </c>
      <c r="B15" s="29">
        <f>IF(B14=0,"-",B10/B14)</f>
        <v>0.37640449438202245</v>
      </c>
    </row>
    <row r="16" spans="1:3" x14ac:dyDescent="0.35">
      <c r="A16" s="28" t="s">
        <v>91</v>
      </c>
      <c r="B16" s="30">
        <f>IF(B10=0,"-",B14*SETTINGS!$B$13/B10)</f>
        <v>11.955223880597014</v>
      </c>
    </row>
    <row r="18" spans="1:6" x14ac:dyDescent="0.35">
      <c r="A18" s="26" t="s">
        <v>92</v>
      </c>
      <c r="B18" s="27"/>
      <c r="C18" s="27"/>
    </row>
    <row r="19" spans="1:6" x14ac:dyDescent="0.35">
      <c r="A19" s="28" t="s">
        <v>93</v>
      </c>
      <c r="B19" s="10">
        <f ca="1">COUNTIF(DESK!$AL$2:$AL$601,"Open")</f>
        <v>0</v>
      </c>
      <c r="C19" s="31">
        <f t="shared" ref="C19:C27" ca="1" si="0">IF($B$6=0,"",B19/$B$6)</f>
        <v>0</v>
      </c>
    </row>
    <row r="20" spans="1:6" x14ac:dyDescent="0.35">
      <c r="A20" s="28" t="s">
        <v>94</v>
      </c>
      <c r="B20" s="10">
        <f ca="1">COUNTIF(DESK!$AL$2:$AL$601,"Missed deadline: never tried")</f>
        <v>214</v>
      </c>
      <c r="C20" s="31">
        <f t="shared" ca="1" si="0"/>
        <v>0.42799999999999999</v>
      </c>
    </row>
    <row r="21" spans="1:6" x14ac:dyDescent="0.35">
      <c r="A21" s="28" t="s">
        <v>95</v>
      </c>
      <c r="B21" s="10">
        <f ca="1">COUNTIF(DESK!$AL$2:$AL$601,"Missed deadline: tried, not booked")</f>
        <v>63</v>
      </c>
      <c r="C21" s="31">
        <f t="shared" ca="1" si="0"/>
        <v>0.126</v>
      </c>
    </row>
    <row r="22" spans="1:6" x14ac:dyDescent="0.35">
      <c r="A22" s="28" t="s">
        <v>96</v>
      </c>
      <c r="B22" s="10">
        <f ca="1">COUNTIF(DESK!$AL$2:$AL$601,"No reply after max tries")</f>
        <v>0</v>
      </c>
      <c r="C22" s="31">
        <f t="shared" ca="1" si="0"/>
        <v>0</v>
      </c>
    </row>
    <row r="23" spans="1:6" x14ac:dyDescent="0.35">
      <c r="A23" s="28" t="s">
        <v>97</v>
      </c>
      <c r="B23" s="10">
        <f ca="1">COUNTIF(DESK!$AL$2:$AL$601,"Bad contact details")</f>
        <v>11</v>
      </c>
      <c r="C23" s="31">
        <f t="shared" ca="1" si="0"/>
        <v>2.1999999999999999E-2</v>
      </c>
    </row>
    <row r="24" spans="1:6" x14ac:dyDescent="0.35">
      <c r="A24" s="28" t="s">
        <v>98</v>
      </c>
      <c r="B24" s="10">
        <f ca="1">COUNTIF(DESK!$AL$2:$AL$601,"Stopped / wrong number")</f>
        <v>3</v>
      </c>
      <c r="C24" s="31">
        <f t="shared" ca="1" si="0"/>
        <v>6.0000000000000001E-3</v>
      </c>
    </row>
    <row r="25" spans="1:6" x14ac:dyDescent="0.35">
      <c r="A25" s="28" t="s">
        <v>99</v>
      </c>
      <c r="B25" s="10">
        <f ca="1">COUNTIF(DESK!$AL$2:$AL$601,"Not interested")</f>
        <v>0</v>
      </c>
      <c r="C25" s="31">
        <f t="shared" ca="1" si="0"/>
        <v>0</v>
      </c>
    </row>
    <row r="26" spans="1:6" x14ac:dyDescent="0.35">
      <c r="A26" s="28" t="s">
        <v>100</v>
      </c>
      <c r="B26" s="10">
        <f ca="1">COUNTIF(DESK!$AL$2:$AL$601,"Partner has no slots")</f>
        <v>0</v>
      </c>
      <c r="C26" s="31">
        <f t="shared" ca="1" si="0"/>
        <v>0</v>
      </c>
    </row>
    <row r="27" spans="1:6" x14ac:dyDescent="0.35">
      <c r="A27" s="28" t="s">
        <v>101</v>
      </c>
      <c r="B27" s="10">
        <f ca="1">COUNTIF(DESK!$AL$2:$AL$601,"Scheduled late")</f>
        <v>0</v>
      </c>
      <c r="C27" s="31">
        <f t="shared" ca="1" si="0"/>
        <v>0</v>
      </c>
    </row>
    <row r="29" spans="1:6" x14ac:dyDescent="0.35">
      <c r="A29" s="26" t="s">
        <v>102</v>
      </c>
      <c r="B29" s="27"/>
      <c r="C29" s="27"/>
      <c r="D29" s="27"/>
      <c r="E29" s="27"/>
      <c r="F29" s="27"/>
    </row>
    <row r="30" spans="1:6" x14ac:dyDescent="0.35">
      <c r="A30" s="5" t="s">
        <v>103</v>
      </c>
      <c r="B30" s="5" t="s">
        <v>104</v>
      </c>
      <c r="C30" s="5" t="s">
        <v>105</v>
      </c>
      <c r="D30" s="5" t="s">
        <v>106</v>
      </c>
      <c r="E30" s="5" t="s">
        <v>107</v>
      </c>
      <c r="F30" s="5" t="s">
        <v>108</v>
      </c>
    </row>
    <row r="31" spans="1:6" x14ac:dyDescent="0.35">
      <c r="A31" s="28" t="s">
        <v>109</v>
      </c>
      <c r="B31" s="30">
        <f>IF(AND(ISNUMBER(D31),E31&gt;=30),D31,C31)</f>
        <v>5.3484038133518137</v>
      </c>
      <c r="C31" s="32">
        <f>SETTINGS!$B$13</f>
        <v>4.5</v>
      </c>
      <c r="D31" s="32">
        <f>IF(E31&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5.3484038133518137</v>
      </c>
      <c r="E31" s="28">
        <f>B14</f>
        <v>178</v>
      </c>
      <c r="F31" s="23" t="s">
        <v>110</v>
      </c>
    </row>
    <row r="32" spans="1:6" x14ac:dyDescent="0.35">
      <c r="A32" s="28" t="s">
        <v>111</v>
      </c>
      <c r="B32" s="33">
        <f>IF(AND(ISNUMBER(D32),E32&gt;=20),D32,C32)</f>
        <v>0.46086956521739131</v>
      </c>
      <c r="C32" s="34">
        <f>SETTINGS!$B$18</f>
        <v>0.45</v>
      </c>
      <c r="D32" s="34">
        <f>IF(E32=0,"-",(COUNTIFS(LOG!$I$2:$I$2001,"*|1",LOG!$D$2:$D$2001,"BOOKED")+COUNTIFS(LOG!$I$2:$I$2001,"*|1",LOG!$D$2:$D$2001,"SENT_LINK"))/E32)</f>
        <v>0.46086956521739131</v>
      </c>
      <c r="E32" s="28">
        <f>COUNTIF(LOG!$I$2:$I$2001,"*|1")</f>
        <v>115</v>
      </c>
      <c r="F32" s="23" t="s">
        <v>112</v>
      </c>
    </row>
    <row r="33" spans="1:6" x14ac:dyDescent="0.35">
      <c r="A33" s="28" t="s">
        <v>113</v>
      </c>
      <c r="B33" s="33">
        <f>IF(AND(ISNUMBER(D33),E33&gt;=20),D33,C33)</f>
        <v>0.42592592592592593</v>
      </c>
      <c r="C33" s="34">
        <f>SETTINGS!$B$18*SETTINGS!$B$19</f>
        <v>0.315</v>
      </c>
      <c r="D33" s="34">
        <f>IF(E33=0,"-",(COUNTIFS(LOG!$I$2:$I$2001,"*|2",LOG!$D$2:$D$2001,"BOOKED")+COUNTIFS(LOG!$I$2:$I$2001,"*|2",LOG!$D$2:$D$2001,"SENT_LINK"))/E33)</f>
        <v>0.42592592592592593</v>
      </c>
      <c r="E33" s="28">
        <f>COUNTIF(LOG!$I$2:$I$2001,"*|2")</f>
        <v>54</v>
      </c>
      <c r="F33" s="23" t="s">
        <v>114</v>
      </c>
    </row>
    <row r="34" spans="1:6" x14ac:dyDescent="0.35">
      <c r="A34" s="28" t="s">
        <v>115</v>
      </c>
      <c r="B34" s="33">
        <f>IF(AND(ISNUMBER(D34),E34&gt;=20),D34,C34)</f>
        <v>0.22049999999999997</v>
      </c>
      <c r="C34" s="34">
        <f>SETTINGS!$B$18*SETTINGS!$B$19^2</f>
        <v>0.22049999999999997</v>
      </c>
      <c r="D34" s="34">
        <f>IF(E34=0,"-",(COUNTIFS(LOG!$I$2:$I$2001,"*|3",LOG!$D$2:$D$2001,"BOOKED")+COUNTIFS(LOG!$I$2:$I$2001,"*|3",LOG!$D$2:$D$2001,"SENT_LINK"))/E34)</f>
        <v>0.1111111111111111</v>
      </c>
      <c r="E34" s="28">
        <f>COUNTIF(LOG!$I$2:$I$2001,"*|3")</f>
        <v>9</v>
      </c>
      <c r="F34" s="23"/>
    </row>
    <row r="35" spans="1:6" x14ac:dyDescent="0.35">
      <c r="A35" s="28" t="s">
        <v>116</v>
      </c>
      <c r="B35" s="33">
        <f ca="1">IF(AND(ISNUMBER(D35),SETTINGS!$B$4&gt;=MAX(DESK!$V$2:$V$601)),D35,C35)</f>
        <v>0.28399999999999997</v>
      </c>
      <c r="C35" s="34">
        <f>SETTINGS!$B$20</f>
        <v>0.25</v>
      </c>
      <c r="D35" s="34">
        <f>IF(B6=0,"-",B11/B6)</f>
        <v>0.28399999999999997</v>
      </c>
      <c r="E35" s="28">
        <f>B6</f>
        <v>500</v>
      </c>
      <c r="F35" s="23" t="s">
        <v>117</v>
      </c>
    </row>
    <row r="37" spans="1:6" x14ac:dyDescent="0.35">
      <c r="A37" s="26" t="s">
        <v>118</v>
      </c>
      <c r="B37" s="27"/>
      <c r="C37" s="27"/>
      <c r="D37" s="27"/>
      <c r="E37" s="27"/>
      <c r="F37" s="27"/>
    </row>
    <row r="38" spans="1:6" x14ac:dyDescent="0.35">
      <c r="A38" s="28" t="s">
        <v>119</v>
      </c>
      <c r="B38" s="35">
        <f>IF(B6=0,0,(MAX(0,MIN(SETTINGS!$B$10,MOD(MAX(DESK!$V$2:$V$601),1))-SETTINGS!$B$9)+MAX(0,MIN(SETTINGS!$B$12,MOD(MAX(DESK!$V$2:$V$601),1))-SETTINGS!$B$11))*1440)</f>
        <v>950.99999999511044</v>
      </c>
    </row>
    <row r="39" spans="1:6" x14ac:dyDescent="0.35">
      <c r="A39" s="28" t="s">
        <v>120</v>
      </c>
      <c r="B39" s="35">
        <f>IF(B31=0,0,ROUNDDOWN(B38/B31,0))</f>
        <v>177</v>
      </c>
    </row>
    <row r="40" spans="1:6" x14ac:dyDescent="0.35">
      <c r="A40" s="28" t="s">
        <v>121</v>
      </c>
      <c r="B40" s="35">
        <f ca="1">B8*(1-B35)*(1-COUNTIF(DESK!$AL$2:$AL$601,"Bad contact details")/MAX(1,B6))</f>
        <v>298.30564799999996</v>
      </c>
    </row>
    <row r="41" spans="1:6" ht="26" x14ac:dyDescent="0.35">
      <c r="A41" s="5" t="s">
        <v>122</v>
      </c>
      <c r="B41" s="5" t="s">
        <v>123</v>
      </c>
      <c r="C41" s="5" t="s">
        <v>124</v>
      </c>
      <c r="D41" s="5" t="s">
        <v>125</v>
      </c>
      <c r="E41" s="5" t="s">
        <v>126</v>
      </c>
    </row>
    <row r="42" spans="1:6" x14ac:dyDescent="0.35">
      <c r="A42" s="28" t="s">
        <v>127</v>
      </c>
      <c r="B42" s="36">
        <f ca="1">B40</f>
        <v>298.30564799999996</v>
      </c>
      <c r="C42" s="34">
        <f>B32</f>
        <v>0.46086956521739131</v>
      </c>
      <c r="D42" s="36">
        <f ca="1">B42*C42</f>
        <v>137.47999429565215</v>
      </c>
      <c r="E42" s="36">
        <f ca="1">MIN(B42,MAX(0,$B$39-(0)))</f>
        <v>177</v>
      </c>
    </row>
    <row r="43" spans="1:6" x14ac:dyDescent="0.35">
      <c r="A43" s="28" t="s">
        <v>128</v>
      </c>
      <c r="B43" s="36">
        <f ca="1">B42-D42</f>
        <v>160.82565370434781</v>
      </c>
      <c r="C43" s="34">
        <f>B33</f>
        <v>0.42592592592592593</v>
      </c>
      <c r="D43" s="36">
        <f ca="1">B43*C43</f>
        <v>68.499815466666661</v>
      </c>
      <c r="E43" s="36">
        <f ca="1">MIN(B43,MAX(0,$B$39-(B42)))</f>
        <v>0</v>
      </c>
    </row>
    <row r="44" spans="1:6" x14ac:dyDescent="0.35">
      <c r="A44" s="28" t="s">
        <v>129</v>
      </c>
      <c r="B44" s="36">
        <f ca="1">B43-D43</f>
        <v>92.325838237681154</v>
      </c>
      <c r="C44" s="34">
        <f>B34</f>
        <v>0.22049999999999997</v>
      </c>
      <c r="D44" s="36">
        <f ca="1">B44*C44</f>
        <v>20.357847331408692</v>
      </c>
      <c r="E44" s="36">
        <f ca="1">MIN(B44,MAX(0,$B$39-(B42+B43)))</f>
        <v>0</v>
      </c>
    </row>
    <row r="45" spans="1:6" x14ac:dyDescent="0.35">
      <c r="A45" s="10" t="s">
        <v>130</v>
      </c>
      <c r="B45" s="33">
        <f ca="1">IF(B8=0,0,(B8*B35+E42*C42+E43*C43+E44*C44)/B8)</f>
        <v>0.47548805878750766</v>
      </c>
    </row>
    <row r="46" spans="1:6" x14ac:dyDescent="0.35">
      <c r="A46" s="10" t="s">
        <v>131</v>
      </c>
      <c r="B46" s="33">
        <f ca="1">IF(B8=0,0,(B8*B35+D42+D43+D44)/B8)</f>
        <v>0.81530905421062794</v>
      </c>
    </row>
    <row r="47" spans="1:6" x14ac:dyDescent="0.35">
      <c r="A47" s="28" t="s">
        <v>132</v>
      </c>
      <c r="B47" s="35">
        <f ca="1">MAX(0,SETTINGS!$B$17*B8-B8*B35)</f>
        <v>219.81600000000003</v>
      </c>
    </row>
    <row r="48" spans="1:6" x14ac:dyDescent="0.35">
      <c r="A48" s="28" t="s">
        <v>133</v>
      </c>
      <c r="B48" s="35">
        <f ca="1">IFERROR(IF(B47&lt;=D42,B47/C42,IF(B47&lt;=D42+D43,B42+(B47-D42)/C43,IF(B47&lt;=D42+D43+D44,B42+B43+(B47-D42-D43)/C44,"-"))),"-")</f>
        <v>521.88046377999956</v>
      </c>
    </row>
    <row r="49" spans="1:6" x14ac:dyDescent="0.35">
      <c r="A49" s="28" t="s">
        <v>134</v>
      </c>
      <c r="B49" s="35">
        <f ca="1">IF(ISNUMBER(B48),MAX(1,ROUNDUP(B48*B31/(B38/2),0)),"-")</f>
        <v>6</v>
      </c>
    </row>
    <row r="50" spans="1:6" ht="44" customHeight="1" x14ac:dyDescent="0.35">
      <c r="A50" s="8" t="s">
        <v>135</v>
      </c>
      <c r="B50" s="58" t="str">
        <f ca="1">IF(B8=0,"-",IF(B46&lt;SETTINGS!$B$17,"Not reachable with 3 tries each, even with unlimited interns (best case "&amp;TEXT(B46,"0%")&amp;"). Raise self-booking (evening message pilot, MESSAGES), make later tries work (evening retries), or agree a different target with Weekday using these numbers.",IF(B45&gt;=SETTINGS!$B$17,"Today's staff can reach the target.","Reachable with about "&amp;B49&amp;" interns on today's shifts (best case "&amp;TEXT(B46,"0%")&amp;")")))</f>
        <v>Reachable with about 6 interns on today's shifts (best case 82%)</v>
      </c>
      <c r="C50" s="57"/>
      <c r="D50" s="57"/>
      <c r="E50" s="57"/>
      <c r="F50" s="57"/>
    </row>
    <row r="52" spans="1:6" x14ac:dyDescent="0.35">
      <c r="A52" s="26" t="s">
        <v>136</v>
      </c>
      <c r="B52" s="27"/>
      <c r="C52" s="27"/>
      <c r="D52" s="27"/>
      <c r="E52" s="27"/>
      <c r="F52" s="27"/>
    </row>
    <row r="53" spans="1:6" x14ac:dyDescent="0.35">
      <c r="A53" s="28" t="s">
        <v>137</v>
      </c>
      <c r="B53" s="37">
        <f>SETTINGS!$B$24/SETTINGS!$B$25</f>
        <v>909.09090909090912</v>
      </c>
    </row>
    <row r="54" spans="1:6" x14ac:dyDescent="0.35">
      <c r="A54" s="28" t="s">
        <v>138</v>
      </c>
      <c r="B54" s="38">
        <f>IF(B39=0,"-",B53/(B39/2))</f>
        <v>10.272213662044171</v>
      </c>
    </row>
    <row r="55" spans="1:6" x14ac:dyDescent="0.35">
      <c r="A55" s="28" t="s">
        <v>139</v>
      </c>
      <c r="B55" s="37">
        <f>SETTINGS!$B$26*SETTINGS!$B$27*SETTINGS!$B$28</f>
        <v>8100</v>
      </c>
      <c r="F55" s="39" t="s">
        <v>140</v>
      </c>
    </row>
    <row r="56" spans="1:6" x14ac:dyDescent="0.35">
      <c r="A56" s="28" t="s">
        <v>141</v>
      </c>
      <c r="B56" s="37">
        <f>IFERROR(B54/(C42*B6/B8),"-")</f>
        <v>18.990028200133732</v>
      </c>
    </row>
    <row r="57" spans="1:6" x14ac:dyDescent="0.35">
      <c r="A57" s="28" t="s">
        <v>142</v>
      </c>
      <c r="B57" s="37">
        <f>IFERROR(B54/(C44*B6/B8),"-")</f>
        <v>39.691274558102648</v>
      </c>
    </row>
    <row r="58" spans="1:6" ht="24" x14ac:dyDescent="0.35">
      <c r="A58" s="28" t="s">
        <v>143</v>
      </c>
      <c r="B58" s="37">
        <f>IFERROR(ROUNDDOWN(B55*B6/B8/B54,0),"-")</f>
        <v>925</v>
      </c>
      <c r="F58" s="39" t="s">
        <v>144</v>
      </c>
    </row>
    <row r="59" spans="1:6" ht="24" x14ac:dyDescent="0.35">
      <c r="A59" s="28" t="s">
        <v>145</v>
      </c>
      <c r="B59" s="40">
        <f>IFERROR(B57/(SETTINGS!$B$26*SETTINGS!$B$27),"-")</f>
        <v>1.4700472058556537E-4</v>
      </c>
      <c r="F59" s="39" t="s">
        <v>146</v>
      </c>
    </row>
    <row r="60" spans="1:6" x14ac:dyDescent="0.35">
      <c r="A60" s="28" t="s">
        <v>147</v>
      </c>
      <c r="B60" s="35">
        <f>MAX(0,ROUNDUP(SETTINGS!$B$17*B6,0)-B9)</f>
        <v>191</v>
      </c>
    </row>
    <row r="61" spans="1:6" x14ac:dyDescent="0.35">
      <c r="A61" s="28" t="s">
        <v>148</v>
      </c>
      <c r="B61" s="37">
        <f>B60*SETTINGS!$B$29*B55</f>
        <v>386775</v>
      </c>
      <c r="F61" s="39" t="s">
        <v>149</v>
      </c>
    </row>
    <row r="62" spans="1:6" x14ac:dyDescent="0.35">
      <c r="A62" s="28" t="s">
        <v>150</v>
      </c>
      <c r="B62" s="37">
        <f ca="1">IF(ISNUMBER(B49),MAX(0,B49-2)*B53,"not reachable by staffing")</f>
        <v>3636.3636363636365</v>
      </c>
    </row>
    <row r="63" spans="1:6" ht="24" x14ac:dyDescent="0.35">
      <c r="A63" s="28" t="s">
        <v>151</v>
      </c>
      <c r="B63" s="10" t="str">
        <f>"Rs "&amp;TEXT(B8*2*SETTINGS!$B$31,"#,##0")&amp;" - "&amp;TEXT(B8*2*SETTINGS!$B$30,"#,##0")</f>
        <v>Rs 102 - 733</v>
      </c>
      <c r="F63" s="39" t="s">
        <v>152</v>
      </c>
    </row>
  </sheetData>
  <mergeCells count="1">
    <mergeCell ref="B50:F50"/>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M1008"/>
  <sheetViews>
    <sheetView workbookViewId="0">
      <pane ySplit="8" topLeftCell="A9" activePane="bottomLeft" state="frozen"/>
      <selection pane="bottomLeft"/>
    </sheetView>
  </sheetViews>
  <sheetFormatPr defaultRowHeight="14.5" x14ac:dyDescent="0.35"/>
  <cols>
    <col min="1" max="1" width="8" customWidth="1"/>
    <col min="2" max="2" width="15" customWidth="1"/>
    <col min="3" max="3" width="12" customWidth="1"/>
    <col min="4" max="4" width="14" customWidth="1"/>
    <col min="5" max="5" width="26" customWidth="1"/>
    <col min="6" max="6" width="40" customWidth="1"/>
    <col min="7" max="8" width="11" customWidth="1"/>
    <col min="9" max="9" width="18" customWidth="1"/>
    <col min="10" max="10" width="16" customWidth="1"/>
    <col min="11" max="11" width="24" customWidth="1"/>
    <col min="12" max="12" width="16" customWidth="1"/>
    <col min="13" max="13" width="12" customWidth="1"/>
  </cols>
  <sheetData>
    <row r="1" spans="1:13" ht="18" x14ac:dyDescent="0.4">
      <c r="A1" s="1" t="s">
        <v>153</v>
      </c>
    </row>
    <row r="2" spans="1:13" x14ac:dyDescent="0.35">
      <c r="A2" s="61" t="str">
        <f>IF(SETTINGS!$B$22&lt;&gt;"YES","DO NOT SEND. Candidates' WhatsApp opt-in is not confirmed (SETTINGS B22), so the send list is empty.","Opt-in confirmed. Send only Meta-approved templates, at about 20:00, from the provider.")</f>
        <v>DO NOT SEND. Candidates' WhatsApp opt-in is not confirmed (SETTINGS B22), so the send list is empty.</v>
      </c>
      <c r="B2" s="57"/>
      <c r="C2" s="57"/>
      <c r="D2" s="57"/>
      <c r="E2" s="57"/>
      <c r="F2" s="57"/>
      <c r="G2" s="57"/>
      <c r="H2" s="57"/>
      <c r="I2" s="57"/>
      <c r="J2" s="57"/>
      <c r="K2" s="57"/>
      <c r="L2" s="57"/>
      <c r="M2" s="57"/>
    </row>
    <row r="3" spans="1:13" ht="28" customHeight="1" x14ac:dyDescent="0.35">
      <c r="A3" s="58" t="s">
        <v>154</v>
      </c>
      <c r="B3" s="57"/>
      <c r="C3" s="59" t="s">
        <v>155</v>
      </c>
      <c r="D3" s="57"/>
      <c r="E3" s="57"/>
      <c r="F3" s="57"/>
      <c r="G3" s="57"/>
      <c r="I3" s="10" t="s">
        <v>156</v>
      </c>
      <c r="J3" s="41" t="s">
        <v>157</v>
      </c>
    </row>
    <row r="4" spans="1:13" ht="28" customHeight="1" x14ac:dyDescent="0.35">
      <c r="A4" s="58" t="s">
        <v>158</v>
      </c>
      <c r="B4" s="57"/>
      <c r="C4" s="59" t="s">
        <v>159</v>
      </c>
      <c r="D4" s="57"/>
      <c r="E4" s="57"/>
      <c r="F4" s="57"/>
      <c r="G4" s="57"/>
      <c r="I4" s="60" t="s">
        <v>160</v>
      </c>
      <c r="J4" s="57"/>
      <c r="K4" s="57"/>
      <c r="L4" s="57"/>
      <c r="M4" s="57"/>
    </row>
    <row r="5" spans="1:13" ht="30" customHeight="1" x14ac:dyDescent="0.35">
      <c r="A5" s="5" t="s">
        <v>161</v>
      </c>
      <c r="B5" s="5" t="s">
        <v>162</v>
      </c>
      <c r="C5" s="5" t="s">
        <v>163</v>
      </c>
      <c r="D5" s="5" t="s">
        <v>164</v>
      </c>
      <c r="E5" s="5" t="s">
        <v>165</v>
      </c>
      <c r="F5" s="5" t="s">
        <v>166</v>
      </c>
      <c r="G5" s="5" t="s">
        <v>167</v>
      </c>
      <c r="H5" s="5" t="s">
        <v>168</v>
      </c>
      <c r="I5" s="57"/>
      <c r="J5" s="57"/>
      <c r="K5" s="57"/>
      <c r="L5" s="57"/>
      <c r="M5" s="57"/>
    </row>
    <row r="6" spans="1:13" x14ac:dyDescent="0.35">
      <c r="A6" s="10" t="s">
        <v>169</v>
      </c>
      <c r="B6" s="28">
        <f>COUNTIFS(DESK!$L$2:$L$601,1,DESK!$AV$2:$AV$601,A6)</f>
        <v>246</v>
      </c>
      <c r="C6" s="28">
        <f>COUNTIFS(DESK!$AO$2:$AO$601,1,DESK!$AV$2:$AV$601,A6)</f>
        <v>111</v>
      </c>
      <c r="D6" s="34">
        <f>IF(B6=0,"-",C6/B6)</f>
        <v>0.45121951219512196</v>
      </c>
      <c r="E6" s="28">
        <f>COUNTIFS(DESK!$AK$2:$AK$601,1,DESK!$AV$2:$AV$601,A6,DESK!$AS$2:$AS$601,"DELIVERED")+COUNTIFS(DESK!$AK$2:$AK$601,1,DESK!$AV$2:$AV$601,A6,DESK!$AS$2:$AS$601,"READ")</f>
        <v>0</v>
      </c>
      <c r="F6" s="28">
        <f>COUNTIFS(DESK!$AK$2:$AK$601,1,DESK!$AV$2:$AV$601,A6,DESK!$AS$2:$AS$601,"FAILED")</f>
        <v>0</v>
      </c>
      <c r="G6" s="28">
        <f>COUNTIFS(DESK!$AK$2:$AK$601,1,DESK!$AV$2:$AV$601,A6,DESK!$AT$2:$AT$601,"*YES*")</f>
        <v>0</v>
      </c>
      <c r="H6" s="28">
        <f>COUNTIFS(DESK!$AK$2:$AK$601,1,DESK!$AV$2:$AV$601,A6,DESK!$AT$2:$AT$601,"*STOP*")</f>
        <v>0</v>
      </c>
    </row>
    <row r="7" spans="1:13" x14ac:dyDescent="0.35">
      <c r="A7" s="10" t="s">
        <v>170</v>
      </c>
      <c r="B7" s="28">
        <f>COUNTIFS(DESK!$L$2:$L$601,1,DESK!$AV$2:$AV$601,A7)</f>
        <v>254</v>
      </c>
      <c r="C7" s="28">
        <f>COUNTIFS(DESK!$AO$2:$AO$601,1,DESK!$AV$2:$AV$601,A7)</f>
        <v>98</v>
      </c>
      <c r="D7" s="34">
        <f>IF(B7=0,"-",C7/B7)</f>
        <v>0.38582677165354329</v>
      </c>
      <c r="E7" s="28">
        <f>COUNTIFS(DESK!$AK$2:$AK$601,1,DESK!$AV$2:$AV$601,A7,DESK!$AS$2:$AS$601,"DELIVERED")+COUNTIFS(DESK!$AK$2:$AK$601,1,DESK!$AV$2:$AV$601,A7,DESK!$AS$2:$AS$601,"READ")</f>
        <v>0</v>
      </c>
      <c r="F7" s="28">
        <f>COUNTIFS(DESK!$AK$2:$AK$601,1,DESK!$AV$2:$AV$601,A7,DESK!$AS$2:$AS$601,"FAILED")</f>
        <v>0</v>
      </c>
      <c r="G7" s="28">
        <f>COUNTIFS(DESK!$AK$2:$AK$601,1,DESK!$AV$2:$AV$601,A7,DESK!$AT$2:$AT$601,"*YES*")</f>
        <v>0</v>
      </c>
      <c r="H7" s="28">
        <f>COUNTIFS(DESK!$AK$2:$AK$601,1,DESK!$AV$2:$AV$601,A7,DESK!$AT$2:$AT$601,"*STOP*")</f>
        <v>0</v>
      </c>
    </row>
    <row r="8" spans="1:13" ht="39" x14ac:dyDescent="0.35">
      <c r="A8" s="5" t="s">
        <v>51</v>
      </c>
      <c r="B8" s="5" t="s">
        <v>171</v>
      </c>
      <c r="C8" s="5" t="s">
        <v>172</v>
      </c>
      <c r="D8" s="5" t="s">
        <v>173</v>
      </c>
      <c r="E8" s="5" t="s">
        <v>174</v>
      </c>
      <c r="F8" s="5" t="s">
        <v>175</v>
      </c>
      <c r="G8" s="5" t="s">
        <v>161</v>
      </c>
      <c r="H8" s="42"/>
      <c r="I8" s="5" t="s">
        <v>176</v>
      </c>
      <c r="J8" s="5" t="s">
        <v>177</v>
      </c>
      <c r="K8" s="5" t="s">
        <v>178</v>
      </c>
      <c r="L8" s="5" t="s">
        <v>179</v>
      </c>
      <c r="M8" s="5" t="s">
        <v>180</v>
      </c>
    </row>
    <row r="9" spans="1:13" x14ac:dyDescent="0.35">
      <c r="A9" s="28">
        <v>1</v>
      </c>
      <c r="B9" s="43" t="str">
        <f>IF(SETTINGS!$B$22&lt;&gt;"YES","",IFERROR(IF(OR($J$3="Everyone",INDEX(DESK!$AV$2:$AV$601,MATCH(1,DESK!$AR$2:$AR$601,0))="SEND"),"91"&amp;INDEX(DESK!$F$2:$F$601,MATCH(1,DESK!$AR$2:$AR$601,0)),""),""))</f>
        <v/>
      </c>
      <c r="C9" s="28" t="str">
        <f>IF(B9="","",IF(INDEX(DESK!$AC$2:$AC$601,MATCH(1,DESK!$AR$2:$AR$601,0))="YES","A","B"))</f>
        <v/>
      </c>
      <c r="D9" s="28" t="str">
        <f>IF(B9="","",INDEX(DESK!$AQ$2:$AQ$601,MATCH(1,DESK!$AR$2:$AR$601,0)))</f>
        <v/>
      </c>
      <c r="E9" s="28" t="str">
        <f>IF(B9="","",INDEX(DESK!$B$2:$B$601,MATCH(1,DESK!$AR$2:$AR$601,0))&amp;IF(COUNTIFS(DESK!$F$2:$F$601,INDEX(DESK!$F$2:$F$601,MATCH(1,DESK!$AR$2:$AR$601,0)),DESK!$L$2:$L$601,1)&gt;1," and "&amp;(COUNTIFS(DESK!$F$2:$F$601,INDEX(DESK!$F$2:$F$601,MATCH(1,DESK!$AR$2:$AR$601,0)),DESK!$L$2:$L$601,1)-1)&amp;" more",""))</f>
        <v/>
      </c>
      <c r="F9" s="28" t="str">
        <f>IF(B9="","",IF(C9="B",INDEX(DESK!$AD$2:$AD$601,MATCH(1,DESK!$AR$2:$AR$601,0)),""))</f>
        <v/>
      </c>
      <c r="G9" s="28" t="str">
        <f>IF(B9="","",INDEX(DESK!$AV$2:$AV$601,MATCH(1,DESK!$AR$2:$AR$601,0)))</f>
        <v/>
      </c>
      <c r="I9" s="21"/>
      <c r="J9" s="20"/>
      <c r="K9" s="20"/>
      <c r="L9" s="20"/>
      <c r="M9" s="23" t="str">
        <f t="shared" ref="M9:M72" si="0">IF(I9="","",RIGHT(SUBSTITUTE(SUBSTITUTE(I9&amp;""," ",""),"+",""),10))</f>
        <v/>
      </c>
    </row>
    <row r="10" spans="1:13" x14ac:dyDescent="0.35">
      <c r="A10" s="28">
        <v>2</v>
      </c>
      <c r="B10" s="43" t="str">
        <f>IF(SETTINGS!$B$22&lt;&gt;"YES","",IFERROR(IF(OR($J$3="Everyone",INDEX(DESK!$AV$2:$AV$601,MATCH(2,DESK!$AR$2:$AR$601,0))="SEND"),"91"&amp;INDEX(DESK!$F$2:$F$601,MATCH(2,DESK!$AR$2:$AR$601,0)),""),""))</f>
        <v/>
      </c>
      <c r="C10" s="28" t="str">
        <f>IF(B10="","",IF(INDEX(DESK!$AC$2:$AC$601,MATCH(2,DESK!$AR$2:$AR$601,0))="YES","A","B"))</f>
        <v/>
      </c>
      <c r="D10" s="28" t="str">
        <f>IF(B10="","",INDEX(DESK!$AQ$2:$AQ$601,MATCH(2,DESK!$AR$2:$AR$601,0)))</f>
        <v/>
      </c>
      <c r="E10" s="28" t="str">
        <f>IF(B10="","",INDEX(DESK!$B$2:$B$601,MATCH(2,DESK!$AR$2:$AR$601,0))&amp;IF(COUNTIFS(DESK!$F$2:$F$601,INDEX(DESK!$F$2:$F$601,MATCH(2,DESK!$AR$2:$AR$601,0)),DESK!$L$2:$L$601,1)&gt;1," and "&amp;(COUNTIFS(DESK!$F$2:$F$601,INDEX(DESK!$F$2:$F$601,MATCH(2,DESK!$AR$2:$AR$601,0)),DESK!$L$2:$L$601,1)-1)&amp;" more",""))</f>
        <v/>
      </c>
      <c r="F10" s="28" t="str">
        <f>IF(B10="","",IF(C10="B",INDEX(DESK!$AD$2:$AD$601,MATCH(2,DESK!$AR$2:$AR$601,0)),""))</f>
        <v/>
      </c>
      <c r="G10" s="28" t="str">
        <f>IF(B10="","",INDEX(DESK!$AV$2:$AV$601,MATCH(2,DESK!$AR$2:$AR$601,0)))</f>
        <v/>
      </c>
      <c r="I10" s="21"/>
      <c r="J10" s="20"/>
      <c r="K10" s="20"/>
      <c r="L10" s="20"/>
      <c r="M10" s="23" t="str">
        <f t="shared" si="0"/>
        <v/>
      </c>
    </row>
    <row r="11" spans="1:13" x14ac:dyDescent="0.35">
      <c r="A11" s="28">
        <v>3</v>
      </c>
      <c r="B11" s="43" t="str">
        <f>IF(SETTINGS!$B$22&lt;&gt;"YES","",IFERROR(IF(OR($J$3="Everyone",INDEX(DESK!$AV$2:$AV$601,MATCH(3,DESK!$AR$2:$AR$601,0))="SEND"),"91"&amp;INDEX(DESK!$F$2:$F$601,MATCH(3,DESK!$AR$2:$AR$601,0)),""),""))</f>
        <v/>
      </c>
      <c r="C11" s="28" t="str">
        <f>IF(B11="","",IF(INDEX(DESK!$AC$2:$AC$601,MATCH(3,DESK!$AR$2:$AR$601,0))="YES","A","B"))</f>
        <v/>
      </c>
      <c r="D11" s="28" t="str">
        <f>IF(B11="","",INDEX(DESK!$AQ$2:$AQ$601,MATCH(3,DESK!$AR$2:$AR$601,0)))</f>
        <v/>
      </c>
      <c r="E11" s="28" t="str">
        <f>IF(B11="","",INDEX(DESK!$B$2:$B$601,MATCH(3,DESK!$AR$2:$AR$601,0))&amp;IF(COUNTIFS(DESK!$F$2:$F$601,INDEX(DESK!$F$2:$F$601,MATCH(3,DESK!$AR$2:$AR$601,0)),DESK!$L$2:$L$601,1)&gt;1," and "&amp;(COUNTIFS(DESK!$F$2:$F$601,INDEX(DESK!$F$2:$F$601,MATCH(3,DESK!$AR$2:$AR$601,0)),DESK!$L$2:$L$601,1)-1)&amp;" more",""))</f>
        <v/>
      </c>
      <c r="F11" s="28" t="str">
        <f>IF(B11="","",IF(C11="B",INDEX(DESK!$AD$2:$AD$601,MATCH(3,DESK!$AR$2:$AR$601,0)),""))</f>
        <v/>
      </c>
      <c r="G11" s="28" t="str">
        <f>IF(B11="","",INDEX(DESK!$AV$2:$AV$601,MATCH(3,DESK!$AR$2:$AR$601,0)))</f>
        <v/>
      </c>
      <c r="I11" s="21"/>
      <c r="J11" s="20"/>
      <c r="K11" s="20"/>
      <c r="L11" s="20"/>
      <c r="M11" s="23" t="str">
        <f t="shared" si="0"/>
        <v/>
      </c>
    </row>
    <row r="12" spans="1:13" x14ac:dyDescent="0.35">
      <c r="A12" s="28">
        <v>4</v>
      </c>
      <c r="B12" s="43" t="str">
        <f>IF(SETTINGS!$B$22&lt;&gt;"YES","",IFERROR(IF(OR($J$3="Everyone",INDEX(DESK!$AV$2:$AV$601,MATCH(4,DESK!$AR$2:$AR$601,0))="SEND"),"91"&amp;INDEX(DESK!$F$2:$F$601,MATCH(4,DESK!$AR$2:$AR$601,0)),""),""))</f>
        <v/>
      </c>
      <c r="C12" s="28" t="str">
        <f>IF(B12="","",IF(INDEX(DESK!$AC$2:$AC$601,MATCH(4,DESK!$AR$2:$AR$601,0))="YES","A","B"))</f>
        <v/>
      </c>
      <c r="D12" s="28" t="str">
        <f>IF(B12="","",INDEX(DESK!$AQ$2:$AQ$601,MATCH(4,DESK!$AR$2:$AR$601,0)))</f>
        <v/>
      </c>
      <c r="E12" s="28" t="str">
        <f>IF(B12="","",INDEX(DESK!$B$2:$B$601,MATCH(4,DESK!$AR$2:$AR$601,0))&amp;IF(COUNTIFS(DESK!$F$2:$F$601,INDEX(DESK!$F$2:$F$601,MATCH(4,DESK!$AR$2:$AR$601,0)),DESK!$L$2:$L$601,1)&gt;1," and "&amp;(COUNTIFS(DESK!$F$2:$F$601,INDEX(DESK!$F$2:$F$601,MATCH(4,DESK!$AR$2:$AR$601,0)),DESK!$L$2:$L$601,1)-1)&amp;" more",""))</f>
        <v/>
      </c>
      <c r="F12" s="28" t="str">
        <f>IF(B12="","",IF(C12="B",INDEX(DESK!$AD$2:$AD$601,MATCH(4,DESK!$AR$2:$AR$601,0)),""))</f>
        <v/>
      </c>
      <c r="G12" s="28" t="str">
        <f>IF(B12="","",INDEX(DESK!$AV$2:$AV$601,MATCH(4,DESK!$AR$2:$AR$601,0)))</f>
        <v/>
      </c>
      <c r="I12" s="21"/>
      <c r="J12" s="20"/>
      <c r="K12" s="20"/>
      <c r="L12" s="20"/>
      <c r="M12" s="23" t="str">
        <f t="shared" si="0"/>
        <v/>
      </c>
    </row>
    <row r="13" spans="1:13" x14ac:dyDescent="0.35">
      <c r="A13" s="28">
        <v>5</v>
      </c>
      <c r="B13" s="43" t="str">
        <f>IF(SETTINGS!$B$22&lt;&gt;"YES","",IFERROR(IF(OR($J$3="Everyone",INDEX(DESK!$AV$2:$AV$601,MATCH(5,DESK!$AR$2:$AR$601,0))="SEND"),"91"&amp;INDEX(DESK!$F$2:$F$601,MATCH(5,DESK!$AR$2:$AR$601,0)),""),""))</f>
        <v/>
      </c>
      <c r="C13" s="28" t="str">
        <f>IF(B13="","",IF(INDEX(DESK!$AC$2:$AC$601,MATCH(5,DESK!$AR$2:$AR$601,0))="YES","A","B"))</f>
        <v/>
      </c>
      <c r="D13" s="28" t="str">
        <f>IF(B13="","",INDEX(DESK!$AQ$2:$AQ$601,MATCH(5,DESK!$AR$2:$AR$601,0)))</f>
        <v/>
      </c>
      <c r="E13" s="28" t="str">
        <f>IF(B13="","",INDEX(DESK!$B$2:$B$601,MATCH(5,DESK!$AR$2:$AR$601,0))&amp;IF(COUNTIFS(DESK!$F$2:$F$601,INDEX(DESK!$F$2:$F$601,MATCH(5,DESK!$AR$2:$AR$601,0)),DESK!$L$2:$L$601,1)&gt;1," and "&amp;(COUNTIFS(DESK!$F$2:$F$601,INDEX(DESK!$F$2:$F$601,MATCH(5,DESK!$AR$2:$AR$601,0)),DESK!$L$2:$L$601,1)-1)&amp;" more",""))</f>
        <v/>
      </c>
      <c r="F13" s="28" t="str">
        <f>IF(B13="","",IF(C13="B",INDEX(DESK!$AD$2:$AD$601,MATCH(5,DESK!$AR$2:$AR$601,0)),""))</f>
        <v/>
      </c>
      <c r="G13" s="28" t="str">
        <f>IF(B13="","",INDEX(DESK!$AV$2:$AV$601,MATCH(5,DESK!$AR$2:$AR$601,0)))</f>
        <v/>
      </c>
      <c r="I13" s="21"/>
      <c r="J13" s="20"/>
      <c r="K13" s="20"/>
      <c r="L13" s="20"/>
      <c r="M13" s="23" t="str">
        <f t="shared" si="0"/>
        <v/>
      </c>
    </row>
    <row r="14" spans="1:13" x14ac:dyDescent="0.35">
      <c r="A14" s="28">
        <v>6</v>
      </c>
      <c r="B14" s="43" t="str">
        <f>IF(SETTINGS!$B$22&lt;&gt;"YES","",IFERROR(IF(OR($J$3="Everyone",INDEX(DESK!$AV$2:$AV$601,MATCH(6,DESK!$AR$2:$AR$601,0))="SEND"),"91"&amp;INDEX(DESK!$F$2:$F$601,MATCH(6,DESK!$AR$2:$AR$601,0)),""),""))</f>
        <v/>
      </c>
      <c r="C14" s="28" t="str">
        <f>IF(B14="","",IF(INDEX(DESK!$AC$2:$AC$601,MATCH(6,DESK!$AR$2:$AR$601,0))="YES","A","B"))</f>
        <v/>
      </c>
      <c r="D14" s="28" t="str">
        <f>IF(B14="","",INDEX(DESK!$AQ$2:$AQ$601,MATCH(6,DESK!$AR$2:$AR$601,0)))</f>
        <v/>
      </c>
      <c r="E14" s="28" t="str">
        <f>IF(B14="","",INDEX(DESK!$B$2:$B$601,MATCH(6,DESK!$AR$2:$AR$601,0))&amp;IF(COUNTIFS(DESK!$F$2:$F$601,INDEX(DESK!$F$2:$F$601,MATCH(6,DESK!$AR$2:$AR$601,0)),DESK!$L$2:$L$601,1)&gt;1," and "&amp;(COUNTIFS(DESK!$F$2:$F$601,INDEX(DESK!$F$2:$F$601,MATCH(6,DESK!$AR$2:$AR$601,0)),DESK!$L$2:$L$601,1)-1)&amp;" more",""))</f>
        <v/>
      </c>
      <c r="F14" s="28" t="str">
        <f>IF(B14="","",IF(C14="B",INDEX(DESK!$AD$2:$AD$601,MATCH(6,DESK!$AR$2:$AR$601,0)),""))</f>
        <v/>
      </c>
      <c r="G14" s="28" t="str">
        <f>IF(B14="","",INDEX(DESK!$AV$2:$AV$601,MATCH(6,DESK!$AR$2:$AR$601,0)))</f>
        <v/>
      </c>
      <c r="I14" s="21"/>
      <c r="J14" s="20"/>
      <c r="K14" s="20"/>
      <c r="L14" s="20"/>
      <c r="M14" s="23" t="str">
        <f t="shared" si="0"/>
        <v/>
      </c>
    </row>
    <row r="15" spans="1:13" x14ac:dyDescent="0.35">
      <c r="A15" s="28">
        <v>7</v>
      </c>
      <c r="B15" s="43" t="str">
        <f>IF(SETTINGS!$B$22&lt;&gt;"YES","",IFERROR(IF(OR($J$3="Everyone",INDEX(DESK!$AV$2:$AV$601,MATCH(7,DESK!$AR$2:$AR$601,0))="SEND"),"91"&amp;INDEX(DESK!$F$2:$F$601,MATCH(7,DESK!$AR$2:$AR$601,0)),""),""))</f>
        <v/>
      </c>
      <c r="C15" s="28" t="str">
        <f>IF(B15="","",IF(INDEX(DESK!$AC$2:$AC$601,MATCH(7,DESK!$AR$2:$AR$601,0))="YES","A","B"))</f>
        <v/>
      </c>
      <c r="D15" s="28" t="str">
        <f>IF(B15="","",INDEX(DESK!$AQ$2:$AQ$601,MATCH(7,DESK!$AR$2:$AR$601,0)))</f>
        <v/>
      </c>
      <c r="E15" s="28" t="str">
        <f>IF(B15="","",INDEX(DESK!$B$2:$B$601,MATCH(7,DESK!$AR$2:$AR$601,0))&amp;IF(COUNTIFS(DESK!$F$2:$F$601,INDEX(DESK!$F$2:$F$601,MATCH(7,DESK!$AR$2:$AR$601,0)),DESK!$L$2:$L$601,1)&gt;1," and "&amp;(COUNTIFS(DESK!$F$2:$F$601,INDEX(DESK!$F$2:$F$601,MATCH(7,DESK!$AR$2:$AR$601,0)),DESK!$L$2:$L$601,1)-1)&amp;" more",""))</f>
        <v/>
      </c>
      <c r="F15" s="28" t="str">
        <f>IF(B15="","",IF(C15="B",INDEX(DESK!$AD$2:$AD$601,MATCH(7,DESK!$AR$2:$AR$601,0)),""))</f>
        <v/>
      </c>
      <c r="G15" s="28" t="str">
        <f>IF(B15="","",INDEX(DESK!$AV$2:$AV$601,MATCH(7,DESK!$AR$2:$AR$601,0)))</f>
        <v/>
      </c>
      <c r="I15" s="21"/>
      <c r="J15" s="20"/>
      <c r="K15" s="20"/>
      <c r="L15" s="20"/>
      <c r="M15" s="23" t="str">
        <f t="shared" si="0"/>
        <v/>
      </c>
    </row>
    <row r="16" spans="1:13" x14ac:dyDescent="0.35">
      <c r="A16" s="28">
        <v>8</v>
      </c>
      <c r="B16" s="43" t="str">
        <f>IF(SETTINGS!$B$22&lt;&gt;"YES","",IFERROR(IF(OR($J$3="Everyone",INDEX(DESK!$AV$2:$AV$601,MATCH(8,DESK!$AR$2:$AR$601,0))="SEND"),"91"&amp;INDEX(DESK!$F$2:$F$601,MATCH(8,DESK!$AR$2:$AR$601,0)),""),""))</f>
        <v/>
      </c>
      <c r="C16" s="28" t="str">
        <f>IF(B16="","",IF(INDEX(DESK!$AC$2:$AC$601,MATCH(8,DESK!$AR$2:$AR$601,0))="YES","A","B"))</f>
        <v/>
      </c>
      <c r="D16" s="28" t="str">
        <f>IF(B16="","",INDEX(DESK!$AQ$2:$AQ$601,MATCH(8,DESK!$AR$2:$AR$601,0)))</f>
        <v/>
      </c>
      <c r="E16" s="28" t="str">
        <f>IF(B16="","",INDEX(DESK!$B$2:$B$601,MATCH(8,DESK!$AR$2:$AR$601,0))&amp;IF(COUNTIFS(DESK!$F$2:$F$601,INDEX(DESK!$F$2:$F$601,MATCH(8,DESK!$AR$2:$AR$601,0)),DESK!$L$2:$L$601,1)&gt;1," and "&amp;(COUNTIFS(DESK!$F$2:$F$601,INDEX(DESK!$F$2:$F$601,MATCH(8,DESK!$AR$2:$AR$601,0)),DESK!$L$2:$L$601,1)-1)&amp;" more",""))</f>
        <v/>
      </c>
      <c r="F16" s="28" t="str">
        <f>IF(B16="","",IF(C16="B",INDEX(DESK!$AD$2:$AD$601,MATCH(8,DESK!$AR$2:$AR$601,0)),""))</f>
        <v/>
      </c>
      <c r="G16" s="28" t="str">
        <f>IF(B16="","",INDEX(DESK!$AV$2:$AV$601,MATCH(8,DESK!$AR$2:$AR$601,0)))</f>
        <v/>
      </c>
      <c r="I16" s="21"/>
      <c r="J16" s="20"/>
      <c r="K16" s="20"/>
      <c r="L16" s="20"/>
      <c r="M16" s="23" t="str">
        <f t="shared" si="0"/>
        <v/>
      </c>
    </row>
    <row r="17" spans="1:13" x14ac:dyDescent="0.35">
      <c r="A17" s="28">
        <v>9</v>
      </c>
      <c r="B17" s="43" t="str">
        <f>IF(SETTINGS!$B$22&lt;&gt;"YES","",IFERROR(IF(OR($J$3="Everyone",INDEX(DESK!$AV$2:$AV$601,MATCH(9,DESK!$AR$2:$AR$601,0))="SEND"),"91"&amp;INDEX(DESK!$F$2:$F$601,MATCH(9,DESK!$AR$2:$AR$601,0)),""),""))</f>
        <v/>
      </c>
      <c r="C17" s="28" t="str">
        <f>IF(B17="","",IF(INDEX(DESK!$AC$2:$AC$601,MATCH(9,DESK!$AR$2:$AR$601,0))="YES","A","B"))</f>
        <v/>
      </c>
      <c r="D17" s="28" t="str">
        <f>IF(B17="","",INDEX(DESK!$AQ$2:$AQ$601,MATCH(9,DESK!$AR$2:$AR$601,0)))</f>
        <v/>
      </c>
      <c r="E17" s="28" t="str">
        <f>IF(B17="","",INDEX(DESK!$B$2:$B$601,MATCH(9,DESK!$AR$2:$AR$601,0))&amp;IF(COUNTIFS(DESK!$F$2:$F$601,INDEX(DESK!$F$2:$F$601,MATCH(9,DESK!$AR$2:$AR$601,0)),DESK!$L$2:$L$601,1)&gt;1," and "&amp;(COUNTIFS(DESK!$F$2:$F$601,INDEX(DESK!$F$2:$F$601,MATCH(9,DESK!$AR$2:$AR$601,0)),DESK!$L$2:$L$601,1)-1)&amp;" more",""))</f>
        <v/>
      </c>
      <c r="F17" s="28" t="str">
        <f>IF(B17="","",IF(C17="B",INDEX(DESK!$AD$2:$AD$601,MATCH(9,DESK!$AR$2:$AR$601,0)),""))</f>
        <v/>
      </c>
      <c r="G17" s="28" t="str">
        <f>IF(B17="","",INDEX(DESK!$AV$2:$AV$601,MATCH(9,DESK!$AR$2:$AR$601,0)))</f>
        <v/>
      </c>
      <c r="I17" s="21"/>
      <c r="J17" s="20"/>
      <c r="K17" s="20"/>
      <c r="L17" s="20"/>
      <c r="M17" s="23" t="str">
        <f t="shared" si="0"/>
        <v/>
      </c>
    </row>
    <row r="18" spans="1:13" x14ac:dyDescent="0.35">
      <c r="A18" s="28">
        <v>10</v>
      </c>
      <c r="B18" s="43" t="str">
        <f>IF(SETTINGS!$B$22&lt;&gt;"YES","",IFERROR(IF(OR($J$3="Everyone",INDEX(DESK!$AV$2:$AV$601,MATCH(10,DESK!$AR$2:$AR$601,0))="SEND"),"91"&amp;INDEX(DESK!$F$2:$F$601,MATCH(10,DESK!$AR$2:$AR$601,0)),""),""))</f>
        <v/>
      </c>
      <c r="C18" s="28" t="str">
        <f>IF(B18="","",IF(INDEX(DESK!$AC$2:$AC$601,MATCH(10,DESK!$AR$2:$AR$601,0))="YES","A","B"))</f>
        <v/>
      </c>
      <c r="D18" s="28" t="str">
        <f>IF(B18="","",INDEX(DESK!$AQ$2:$AQ$601,MATCH(10,DESK!$AR$2:$AR$601,0)))</f>
        <v/>
      </c>
      <c r="E18" s="28" t="str">
        <f>IF(B18="","",INDEX(DESK!$B$2:$B$601,MATCH(10,DESK!$AR$2:$AR$601,0))&amp;IF(COUNTIFS(DESK!$F$2:$F$601,INDEX(DESK!$F$2:$F$601,MATCH(10,DESK!$AR$2:$AR$601,0)),DESK!$L$2:$L$601,1)&gt;1," and "&amp;(COUNTIFS(DESK!$F$2:$F$601,INDEX(DESK!$F$2:$F$601,MATCH(10,DESK!$AR$2:$AR$601,0)),DESK!$L$2:$L$601,1)-1)&amp;" more",""))</f>
        <v/>
      </c>
      <c r="F18" s="28" t="str">
        <f>IF(B18="","",IF(C18="B",INDEX(DESK!$AD$2:$AD$601,MATCH(10,DESK!$AR$2:$AR$601,0)),""))</f>
        <v/>
      </c>
      <c r="G18" s="28" t="str">
        <f>IF(B18="","",INDEX(DESK!$AV$2:$AV$601,MATCH(10,DESK!$AR$2:$AR$601,0)))</f>
        <v/>
      </c>
      <c r="I18" s="21"/>
      <c r="J18" s="20"/>
      <c r="K18" s="20"/>
      <c r="L18" s="20"/>
      <c r="M18" s="23" t="str">
        <f t="shared" si="0"/>
        <v/>
      </c>
    </row>
    <row r="19" spans="1:13" x14ac:dyDescent="0.35">
      <c r="A19" s="28">
        <v>11</v>
      </c>
      <c r="B19" s="43" t="str">
        <f>IF(SETTINGS!$B$22&lt;&gt;"YES","",IFERROR(IF(OR($J$3="Everyone",INDEX(DESK!$AV$2:$AV$601,MATCH(11,DESK!$AR$2:$AR$601,0))="SEND"),"91"&amp;INDEX(DESK!$F$2:$F$601,MATCH(11,DESK!$AR$2:$AR$601,0)),""),""))</f>
        <v/>
      </c>
      <c r="C19" s="28" t="str">
        <f>IF(B19="","",IF(INDEX(DESK!$AC$2:$AC$601,MATCH(11,DESK!$AR$2:$AR$601,0))="YES","A","B"))</f>
        <v/>
      </c>
      <c r="D19" s="28" t="str">
        <f>IF(B19="","",INDEX(DESK!$AQ$2:$AQ$601,MATCH(11,DESK!$AR$2:$AR$601,0)))</f>
        <v/>
      </c>
      <c r="E19" s="28" t="str">
        <f>IF(B19="","",INDEX(DESK!$B$2:$B$601,MATCH(11,DESK!$AR$2:$AR$601,0))&amp;IF(COUNTIFS(DESK!$F$2:$F$601,INDEX(DESK!$F$2:$F$601,MATCH(11,DESK!$AR$2:$AR$601,0)),DESK!$L$2:$L$601,1)&gt;1," and "&amp;(COUNTIFS(DESK!$F$2:$F$601,INDEX(DESK!$F$2:$F$601,MATCH(11,DESK!$AR$2:$AR$601,0)),DESK!$L$2:$L$601,1)-1)&amp;" more",""))</f>
        <v/>
      </c>
      <c r="F19" s="28" t="str">
        <f>IF(B19="","",IF(C19="B",INDEX(DESK!$AD$2:$AD$601,MATCH(11,DESK!$AR$2:$AR$601,0)),""))</f>
        <v/>
      </c>
      <c r="G19" s="28" t="str">
        <f>IF(B19="","",INDEX(DESK!$AV$2:$AV$601,MATCH(11,DESK!$AR$2:$AR$601,0)))</f>
        <v/>
      </c>
      <c r="I19" s="21"/>
      <c r="J19" s="20"/>
      <c r="K19" s="20"/>
      <c r="L19" s="20"/>
      <c r="M19" s="23" t="str">
        <f t="shared" si="0"/>
        <v/>
      </c>
    </row>
    <row r="20" spans="1:13" x14ac:dyDescent="0.35">
      <c r="A20" s="28">
        <v>12</v>
      </c>
      <c r="B20" s="43" t="str">
        <f>IF(SETTINGS!$B$22&lt;&gt;"YES","",IFERROR(IF(OR($J$3="Everyone",INDEX(DESK!$AV$2:$AV$601,MATCH(12,DESK!$AR$2:$AR$601,0))="SEND"),"91"&amp;INDEX(DESK!$F$2:$F$601,MATCH(12,DESK!$AR$2:$AR$601,0)),""),""))</f>
        <v/>
      </c>
      <c r="C20" s="28" t="str">
        <f>IF(B20="","",IF(INDEX(DESK!$AC$2:$AC$601,MATCH(12,DESK!$AR$2:$AR$601,0))="YES","A","B"))</f>
        <v/>
      </c>
      <c r="D20" s="28" t="str">
        <f>IF(B20="","",INDEX(DESK!$AQ$2:$AQ$601,MATCH(12,DESK!$AR$2:$AR$601,0)))</f>
        <v/>
      </c>
      <c r="E20" s="28" t="str">
        <f>IF(B20="","",INDEX(DESK!$B$2:$B$601,MATCH(12,DESK!$AR$2:$AR$601,0))&amp;IF(COUNTIFS(DESK!$F$2:$F$601,INDEX(DESK!$F$2:$F$601,MATCH(12,DESK!$AR$2:$AR$601,0)),DESK!$L$2:$L$601,1)&gt;1," and "&amp;(COUNTIFS(DESK!$F$2:$F$601,INDEX(DESK!$F$2:$F$601,MATCH(12,DESK!$AR$2:$AR$601,0)),DESK!$L$2:$L$601,1)-1)&amp;" more",""))</f>
        <v/>
      </c>
      <c r="F20" s="28" t="str">
        <f>IF(B20="","",IF(C20="B",INDEX(DESK!$AD$2:$AD$601,MATCH(12,DESK!$AR$2:$AR$601,0)),""))</f>
        <v/>
      </c>
      <c r="G20" s="28" t="str">
        <f>IF(B20="","",INDEX(DESK!$AV$2:$AV$601,MATCH(12,DESK!$AR$2:$AR$601,0)))</f>
        <v/>
      </c>
      <c r="I20" s="21"/>
      <c r="J20" s="20"/>
      <c r="K20" s="20"/>
      <c r="L20" s="20"/>
      <c r="M20" s="23" t="str">
        <f t="shared" si="0"/>
        <v/>
      </c>
    </row>
    <row r="21" spans="1:13" x14ac:dyDescent="0.35">
      <c r="A21" s="28">
        <v>13</v>
      </c>
      <c r="B21" s="43" t="str">
        <f>IF(SETTINGS!$B$22&lt;&gt;"YES","",IFERROR(IF(OR($J$3="Everyone",INDEX(DESK!$AV$2:$AV$601,MATCH(13,DESK!$AR$2:$AR$601,0))="SEND"),"91"&amp;INDEX(DESK!$F$2:$F$601,MATCH(13,DESK!$AR$2:$AR$601,0)),""),""))</f>
        <v/>
      </c>
      <c r="C21" s="28" t="str">
        <f>IF(B21="","",IF(INDEX(DESK!$AC$2:$AC$601,MATCH(13,DESK!$AR$2:$AR$601,0))="YES","A","B"))</f>
        <v/>
      </c>
      <c r="D21" s="28" t="str">
        <f>IF(B21="","",INDEX(DESK!$AQ$2:$AQ$601,MATCH(13,DESK!$AR$2:$AR$601,0)))</f>
        <v/>
      </c>
      <c r="E21" s="28" t="str">
        <f>IF(B21="","",INDEX(DESK!$B$2:$B$601,MATCH(13,DESK!$AR$2:$AR$601,0))&amp;IF(COUNTIFS(DESK!$F$2:$F$601,INDEX(DESK!$F$2:$F$601,MATCH(13,DESK!$AR$2:$AR$601,0)),DESK!$L$2:$L$601,1)&gt;1," and "&amp;(COUNTIFS(DESK!$F$2:$F$601,INDEX(DESK!$F$2:$F$601,MATCH(13,DESK!$AR$2:$AR$601,0)),DESK!$L$2:$L$601,1)-1)&amp;" more",""))</f>
        <v/>
      </c>
      <c r="F21" s="28" t="str">
        <f>IF(B21="","",IF(C21="B",INDEX(DESK!$AD$2:$AD$601,MATCH(13,DESK!$AR$2:$AR$601,0)),""))</f>
        <v/>
      </c>
      <c r="G21" s="28" t="str">
        <f>IF(B21="","",INDEX(DESK!$AV$2:$AV$601,MATCH(13,DESK!$AR$2:$AR$601,0)))</f>
        <v/>
      </c>
      <c r="I21" s="21"/>
      <c r="J21" s="20"/>
      <c r="K21" s="20"/>
      <c r="L21" s="20"/>
      <c r="M21" s="23" t="str">
        <f t="shared" si="0"/>
        <v/>
      </c>
    </row>
    <row r="22" spans="1:13" x14ac:dyDescent="0.35">
      <c r="A22" s="28">
        <v>14</v>
      </c>
      <c r="B22" s="43" t="str">
        <f>IF(SETTINGS!$B$22&lt;&gt;"YES","",IFERROR(IF(OR($J$3="Everyone",INDEX(DESK!$AV$2:$AV$601,MATCH(14,DESK!$AR$2:$AR$601,0))="SEND"),"91"&amp;INDEX(DESK!$F$2:$F$601,MATCH(14,DESK!$AR$2:$AR$601,0)),""),""))</f>
        <v/>
      </c>
      <c r="C22" s="28" t="str">
        <f>IF(B22="","",IF(INDEX(DESK!$AC$2:$AC$601,MATCH(14,DESK!$AR$2:$AR$601,0))="YES","A","B"))</f>
        <v/>
      </c>
      <c r="D22" s="28" t="str">
        <f>IF(B22="","",INDEX(DESK!$AQ$2:$AQ$601,MATCH(14,DESK!$AR$2:$AR$601,0)))</f>
        <v/>
      </c>
      <c r="E22" s="28" t="str">
        <f>IF(B22="","",INDEX(DESK!$B$2:$B$601,MATCH(14,DESK!$AR$2:$AR$601,0))&amp;IF(COUNTIFS(DESK!$F$2:$F$601,INDEX(DESK!$F$2:$F$601,MATCH(14,DESK!$AR$2:$AR$601,0)),DESK!$L$2:$L$601,1)&gt;1," and "&amp;(COUNTIFS(DESK!$F$2:$F$601,INDEX(DESK!$F$2:$F$601,MATCH(14,DESK!$AR$2:$AR$601,0)),DESK!$L$2:$L$601,1)-1)&amp;" more",""))</f>
        <v/>
      </c>
      <c r="F22" s="28" t="str">
        <f>IF(B22="","",IF(C22="B",INDEX(DESK!$AD$2:$AD$601,MATCH(14,DESK!$AR$2:$AR$601,0)),""))</f>
        <v/>
      </c>
      <c r="G22" s="28" t="str">
        <f>IF(B22="","",INDEX(DESK!$AV$2:$AV$601,MATCH(14,DESK!$AR$2:$AR$601,0)))</f>
        <v/>
      </c>
      <c r="I22" s="21"/>
      <c r="J22" s="20"/>
      <c r="K22" s="20"/>
      <c r="L22" s="20"/>
      <c r="M22" s="23" t="str">
        <f t="shared" si="0"/>
        <v/>
      </c>
    </row>
    <row r="23" spans="1:13" x14ac:dyDescent="0.35">
      <c r="A23" s="28">
        <v>15</v>
      </c>
      <c r="B23" s="43" t="str">
        <f>IF(SETTINGS!$B$22&lt;&gt;"YES","",IFERROR(IF(OR($J$3="Everyone",INDEX(DESK!$AV$2:$AV$601,MATCH(15,DESK!$AR$2:$AR$601,0))="SEND"),"91"&amp;INDEX(DESK!$F$2:$F$601,MATCH(15,DESK!$AR$2:$AR$601,0)),""),""))</f>
        <v/>
      </c>
      <c r="C23" s="28" t="str">
        <f>IF(B23="","",IF(INDEX(DESK!$AC$2:$AC$601,MATCH(15,DESK!$AR$2:$AR$601,0))="YES","A","B"))</f>
        <v/>
      </c>
      <c r="D23" s="28" t="str">
        <f>IF(B23="","",INDEX(DESK!$AQ$2:$AQ$601,MATCH(15,DESK!$AR$2:$AR$601,0)))</f>
        <v/>
      </c>
      <c r="E23" s="28" t="str">
        <f>IF(B23="","",INDEX(DESK!$B$2:$B$601,MATCH(15,DESK!$AR$2:$AR$601,0))&amp;IF(COUNTIFS(DESK!$F$2:$F$601,INDEX(DESK!$F$2:$F$601,MATCH(15,DESK!$AR$2:$AR$601,0)),DESK!$L$2:$L$601,1)&gt;1," and "&amp;(COUNTIFS(DESK!$F$2:$F$601,INDEX(DESK!$F$2:$F$601,MATCH(15,DESK!$AR$2:$AR$601,0)),DESK!$L$2:$L$601,1)-1)&amp;" more",""))</f>
        <v/>
      </c>
      <c r="F23" s="28" t="str">
        <f>IF(B23="","",IF(C23="B",INDEX(DESK!$AD$2:$AD$601,MATCH(15,DESK!$AR$2:$AR$601,0)),""))</f>
        <v/>
      </c>
      <c r="G23" s="28" t="str">
        <f>IF(B23="","",INDEX(DESK!$AV$2:$AV$601,MATCH(15,DESK!$AR$2:$AR$601,0)))</f>
        <v/>
      </c>
      <c r="I23" s="21"/>
      <c r="J23" s="20"/>
      <c r="K23" s="20"/>
      <c r="L23" s="20"/>
      <c r="M23" s="23" t="str">
        <f t="shared" si="0"/>
        <v/>
      </c>
    </row>
    <row r="24" spans="1:13" x14ac:dyDescent="0.35">
      <c r="A24" s="28">
        <v>16</v>
      </c>
      <c r="B24" s="43" t="str">
        <f>IF(SETTINGS!$B$22&lt;&gt;"YES","",IFERROR(IF(OR($J$3="Everyone",INDEX(DESK!$AV$2:$AV$601,MATCH(16,DESK!$AR$2:$AR$601,0))="SEND"),"91"&amp;INDEX(DESK!$F$2:$F$601,MATCH(16,DESK!$AR$2:$AR$601,0)),""),""))</f>
        <v/>
      </c>
      <c r="C24" s="28" t="str">
        <f>IF(B24="","",IF(INDEX(DESK!$AC$2:$AC$601,MATCH(16,DESK!$AR$2:$AR$601,0))="YES","A","B"))</f>
        <v/>
      </c>
      <c r="D24" s="28" t="str">
        <f>IF(B24="","",INDEX(DESK!$AQ$2:$AQ$601,MATCH(16,DESK!$AR$2:$AR$601,0)))</f>
        <v/>
      </c>
      <c r="E24" s="28" t="str">
        <f>IF(B24="","",INDEX(DESK!$B$2:$B$601,MATCH(16,DESK!$AR$2:$AR$601,0))&amp;IF(COUNTIFS(DESK!$F$2:$F$601,INDEX(DESK!$F$2:$F$601,MATCH(16,DESK!$AR$2:$AR$601,0)),DESK!$L$2:$L$601,1)&gt;1," and "&amp;(COUNTIFS(DESK!$F$2:$F$601,INDEX(DESK!$F$2:$F$601,MATCH(16,DESK!$AR$2:$AR$601,0)),DESK!$L$2:$L$601,1)-1)&amp;" more",""))</f>
        <v/>
      </c>
      <c r="F24" s="28" t="str">
        <f>IF(B24="","",IF(C24="B",INDEX(DESK!$AD$2:$AD$601,MATCH(16,DESK!$AR$2:$AR$601,0)),""))</f>
        <v/>
      </c>
      <c r="G24" s="28" t="str">
        <f>IF(B24="","",INDEX(DESK!$AV$2:$AV$601,MATCH(16,DESK!$AR$2:$AR$601,0)))</f>
        <v/>
      </c>
      <c r="I24" s="21"/>
      <c r="J24" s="20"/>
      <c r="K24" s="20"/>
      <c r="L24" s="20"/>
      <c r="M24" s="23" t="str">
        <f t="shared" si="0"/>
        <v/>
      </c>
    </row>
    <row r="25" spans="1:13" x14ac:dyDescent="0.35">
      <c r="A25" s="28">
        <v>17</v>
      </c>
      <c r="B25" s="43" t="str">
        <f>IF(SETTINGS!$B$22&lt;&gt;"YES","",IFERROR(IF(OR($J$3="Everyone",INDEX(DESK!$AV$2:$AV$601,MATCH(17,DESK!$AR$2:$AR$601,0))="SEND"),"91"&amp;INDEX(DESK!$F$2:$F$601,MATCH(17,DESK!$AR$2:$AR$601,0)),""),""))</f>
        <v/>
      </c>
      <c r="C25" s="28" t="str">
        <f>IF(B25="","",IF(INDEX(DESK!$AC$2:$AC$601,MATCH(17,DESK!$AR$2:$AR$601,0))="YES","A","B"))</f>
        <v/>
      </c>
      <c r="D25" s="28" t="str">
        <f>IF(B25="","",INDEX(DESK!$AQ$2:$AQ$601,MATCH(17,DESK!$AR$2:$AR$601,0)))</f>
        <v/>
      </c>
      <c r="E25" s="28" t="str">
        <f>IF(B25="","",INDEX(DESK!$B$2:$B$601,MATCH(17,DESK!$AR$2:$AR$601,0))&amp;IF(COUNTIFS(DESK!$F$2:$F$601,INDEX(DESK!$F$2:$F$601,MATCH(17,DESK!$AR$2:$AR$601,0)),DESK!$L$2:$L$601,1)&gt;1," and "&amp;(COUNTIFS(DESK!$F$2:$F$601,INDEX(DESK!$F$2:$F$601,MATCH(17,DESK!$AR$2:$AR$601,0)),DESK!$L$2:$L$601,1)-1)&amp;" more",""))</f>
        <v/>
      </c>
      <c r="F25" s="28" t="str">
        <f>IF(B25="","",IF(C25="B",INDEX(DESK!$AD$2:$AD$601,MATCH(17,DESK!$AR$2:$AR$601,0)),""))</f>
        <v/>
      </c>
      <c r="G25" s="28" t="str">
        <f>IF(B25="","",INDEX(DESK!$AV$2:$AV$601,MATCH(17,DESK!$AR$2:$AR$601,0)))</f>
        <v/>
      </c>
      <c r="I25" s="21"/>
      <c r="J25" s="20"/>
      <c r="K25" s="20"/>
      <c r="L25" s="20"/>
      <c r="M25" s="23" t="str">
        <f t="shared" si="0"/>
        <v/>
      </c>
    </row>
    <row r="26" spans="1:13" x14ac:dyDescent="0.35">
      <c r="A26" s="28">
        <v>18</v>
      </c>
      <c r="B26" s="43" t="str">
        <f>IF(SETTINGS!$B$22&lt;&gt;"YES","",IFERROR(IF(OR($J$3="Everyone",INDEX(DESK!$AV$2:$AV$601,MATCH(18,DESK!$AR$2:$AR$601,0))="SEND"),"91"&amp;INDEX(DESK!$F$2:$F$601,MATCH(18,DESK!$AR$2:$AR$601,0)),""),""))</f>
        <v/>
      </c>
      <c r="C26" s="28" t="str">
        <f>IF(B26="","",IF(INDEX(DESK!$AC$2:$AC$601,MATCH(18,DESK!$AR$2:$AR$601,0))="YES","A","B"))</f>
        <v/>
      </c>
      <c r="D26" s="28" t="str">
        <f>IF(B26="","",INDEX(DESK!$AQ$2:$AQ$601,MATCH(18,DESK!$AR$2:$AR$601,0)))</f>
        <v/>
      </c>
      <c r="E26" s="28" t="str">
        <f>IF(B26="","",INDEX(DESK!$B$2:$B$601,MATCH(18,DESK!$AR$2:$AR$601,0))&amp;IF(COUNTIFS(DESK!$F$2:$F$601,INDEX(DESK!$F$2:$F$601,MATCH(18,DESK!$AR$2:$AR$601,0)),DESK!$L$2:$L$601,1)&gt;1," and "&amp;(COUNTIFS(DESK!$F$2:$F$601,INDEX(DESK!$F$2:$F$601,MATCH(18,DESK!$AR$2:$AR$601,0)),DESK!$L$2:$L$601,1)-1)&amp;" more",""))</f>
        <v/>
      </c>
      <c r="F26" s="28" t="str">
        <f>IF(B26="","",IF(C26="B",INDEX(DESK!$AD$2:$AD$601,MATCH(18,DESK!$AR$2:$AR$601,0)),""))</f>
        <v/>
      </c>
      <c r="G26" s="28" t="str">
        <f>IF(B26="","",INDEX(DESK!$AV$2:$AV$601,MATCH(18,DESK!$AR$2:$AR$601,0)))</f>
        <v/>
      </c>
      <c r="I26" s="21"/>
      <c r="J26" s="20"/>
      <c r="K26" s="20"/>
      <c r="L26" s="20"/>
      <c r="M26" s="23" t="str">
        <f t="shared" si="0"/>
        <v/>
      </c>
    </row>
    <row r="27" spans="1:13" x14ac:dyDescent="0.35">
      <c r="A27" s="28">
        <v>19</v>
      </c>
      <c r="B27" s="43" t="str">
        <f>IF(SETTINGS!$B$22&lt;&gt;"YES","",IFERROR(IF(OR($J$3="Everyone",INDEX(DESK!$AV$2:$AV$601,MATCH(19,DESK!$AR$2:$AR$601,0))="SEND"),"91"&amp;INDEX(DESK!$F$2:$F$601,MATCH(19,DESK!$AR$2:$AR$601,0)),""),""))</f>
        <v/>
      </c>
      <c r="C27" s="28" t="str">
        <f>IF(B27="","",IF(INDEX(DESK!$AC$2:$AC$601,MATCH(19,DESK!$AR$2:$AR$601,0))="YES","A","B"))</f>
        <v/>
      </c>
      <c r="D27" s="28" t="str">
        <f>IF(B27="","",INDEX(DESK!$AQ$2:$AQ$601,MATCH(19,DESK!$AR$2:$AR$601,0)))</f>
        <v/>
      </c>
      <c r="E27" s="28" t="str">
        <f>IF(B27="","",INDEX(DESK!$B$2:$B$601,MATCH(19,DESK!$AR$2:$AR$601,0))&amp;IF(COUNTIFS(DESK!$F$2:$F$601,INDEX(DESK!$F$2:$F$601,MATCH(19,DESK!$AR$2:$AR$601,0)),DESK!$L$2:$L$601,1)&gt;1," and "&amp;(COUNTIFS(DESK!$F$2:$F$601,INDEX(DESK!$F$2:$F$601,MATCH(19,DESK!$AR$2:$AR$601,0)),DESK!$L$2:$L$601,1)-1)&amp;" more",""))</f>
        <v/>
      </c>
      <c r="F27" s="28" t="str">
        <f>IF(B27="","",IF(C27="B",INDEX(DESK!$AD$2:$AD$601,MATCH(19,DESK!$AR$2:$AR$601,0)),""))</f>
        <v/>
      </c>
      <c r="G27" s="28" t="str">
        <f>IF(B27="","",INDEX(DESK!$AV$2:$AV$601,MATCH(19,DESK!$AR$2:$AR$601,0)))</f>
        <v/>
      </c>
      <c r="I27" s="21"/>
      <c r="J27" s="20"/>
      <c r="K27" s="20"/>
      <c r="L27" s="20"/>
      <c r="M27" s="23" t="str">
        <f t="shared" si="0"/>
        <v/>
      </c>
    </row>
    <row r="28" spans="1:13" x14ac:dyDescent="0.35">
      <c r="A28" s="28">
        <v>20</v>
      </c>
      <c r="B28" s="43" t="str">
        <f>IF(SETTINGS!$B$22&lt;&gt;"YES","",IFERROR(IF(OR($J$3="Everyone",INDEX(DESK!$AV$2:$AV$601,MATCH(20,DESK!$AR$2:$AR$601,0))="SEND"),"91"&amp;INDEX(DESK!$F$2:$F$601,MATCH(20,DESK!$AR$2:$AR$601,0)),""),""))</f>
        <v/>
      </c>
      <c r="C28" s="28" t="str">
        <f>IF(B28="","",IF(INDEX(DESK!$AC$2:$AC$601,MATCH(20,DESK!$AR$2:$AR$601,0))="YES","A","B"))</f>
        <v/>
      </c>
      <c r="D28" s="28" t="str">
        <f>IF(B28="","",INDEX(DESK!$AQ$2:$AQ$601,MATCH(20,DESK!$AR$2:$AR$601,0)))</f>
        <v/>
      </c>
      <c r="E28" s="28" t="str">
        <f>IF(B28="","",INDEX(DESK!$B$2:$B$601,MATCH(20,DESK!$AR$2:$AR$601,0))&amp;IF(COUNTIFS(DESK!$F$2:$F$601,INDEX(DESK!$F$2:$F$601,MATCH(20,DESK!$AR$2:$AR$601,0)),DESK!$L$2:$L$601,1)&gt;1," and "&amp;(COUNTIFS(DESK!$F$2:$F$601,INDEX(DESK!$F$2:$F$601,MATCH(20,DESK!$AR$2:$AR$601,0)),DESK!$L$2:$L$601,1)-1)&amp;" more",""))</f>
        <v/>
      </c>
      <c r="F28" s="28" t="str">
        <f>IF(B28="","",IF(C28="B",INDEX(DESK!$AD$2:$AD$601,MATCH(20,DESK!$AR$2:$AR$601,0)),""))</f>
        <v/>
      </c>
      <c r="G28" s="28" t="str">
        <f>IF(B28="","",INDEX(DESK!$AV$2:$AV$601,MATCH(20,DESK!$AR$2:$AR$601,0)))</f>
        <v/>
      </c>
      <c r="I28" s="21"/>
      <c r="J28" s="20"/>
      <c r="K28" s="20"/>
      <c r="L28" s="20"/>
      <c r="M28" s="23" t="str">
        <f t="shared" si="0"/>
        <v/>
      </c>
    </row>
    <row r="29" spans="1:13" x14ac:dyDescent="0.35">
      <c r="A29" s="28">
        <v>21</v>
      </c>
      <c r="B29" s="43" t="str">
        <f>IF(SETTINGS!$B$22&lt;&gt;"YES","",IFERROR(IF(OR($J$3="Everyone",INDEX(DESK!$AV$2:$AV$601,MATCH(21,DESK!$AR$2:$AR$601,0))="SEND"),"91"&amp;INDEX(DESK!$F$2:$F$601,MATCH(21,DESK!$AR$2:$AR$601,0)),""),""))</f>
        <v/>
      </c>
      <c r="C29" s="28" t="str">
        <f>IF(B29="","",IF(INDEX(DESK!$AC$2:$AC$601,MATCH(21,DESK!$AR$2:$AR$601,0))="YES","A","B"))</f>
        <v/>
      </c>
      <c r="D29" s="28" t="str">
        <f>IF(B29="","",INDEX(DESK!$AQ$2:$AQ$601,MATCH(21,DESK!$AR$2:$AR$601,0)))</f>
        <v/>
      </c>
      <c r="E29" s="28" t="str">
        <f>IF(B29="","",INDEX(DESK!$B$2:$B$601,MATCH(21,DESK!$AR$2:$AR$601,0))&amp;IF(COUNTIFS(DESK!$F$2:$F$601,INDEX(DESK!$F$2:$F$601,MATCH(21,DESK!$AR$2:$AR$601,0)),DESK!$L$2:$L$601,1)&gt;1," and "&amp;(COUNTIFS(DESK!$F$2:$F$601,INDEX(DESK!$F$2:$F$601,MATCH(21,DESK!$AR$2:$AR$601,0)),DESK!$L$2:$L$601,1)-1)&amp;" more",""))</f>
        <v/>
      </c>
      <c r="F29" s="28" t="str">
        <f>IF(B29="","",IF(C29="B",INDEX(DESK!$AD$2:$AD$601,MATCH(21,DESK!$AR$2:$AR$601,0)),""))</f>
        <v/>
      </c>
      <c r="G29" s="28" t="str">
        <f>IF(B29="","",INDEX(DESK!$AV$2:$AV$601,MATCH(21,DESK!$AR$2:$AR$601,0)))</f>
        <v/>
      </c>
      <c r="I29" s="21"/>
      <c r="J29" s="20"/>
      <c r="K29" s="20"/>
      <c r="L29" s="20"/>
      <c r="M29" s="23" t="str">
        <f t="shared" si="0"/>
        <v/>
      </c>
    </row>
    <row r="30" spans="1:13" x14ac:dyDescent="0.35">
      <c r="A30" s="28">
        <v>22</v>
      </c>
      <c r="B30" s="43" t="str">
        <f>IF(SETTINGS!$B$22&lt;&gt;"YES","",IFERROR(IF(OR($J$3="Everyone",INDEX(DESK!$AV$2:$AV$601,MATCH(22,DESK!$AR$2:$AR$601,0))="SEND"),"91"&amp;INDEX(DESK!$F$2:$F$601,MATCH(22,DESK!$AR$2:$AR$601,0)),""),""))</f>
        <v/>
      </c>
      <c r="C30" s="28" t="str">
        <f>IF(B30="","",IF(INDEX(DESK!$AC$2:$AC$601,MATCH(22,DESK!$AR$2:$AR$601,0))="YES","A","B"))</f>
        <v/>
      </c>
      <c r="D30" s="28" t="str">
        <f>IF(B30="","",INDEX(DESK!$AQ$2:$AQ$601,MATCH(22,DESK!$AR$2:$AR$601,0)))</f>
        <v/>
      </c>
      <c r="E30" s="28" t="str">
        <f>IF(B30="","",INDEX(DESK!$B$2:$B$601,MATCH(22,DESK!$AR$2:$AR$601,0))&amp;IF(COUNTIFS(DESK!$F$2:$F$601,INDEX(DESK!$F$2:$F$601,MATCH(22,DESK!$AR$2:$AR$601,0)),DESK!$L$2:$L$601,1)&gt;1," and "&amp;(COUNTIFS(DESK!$F$2:$F$601,INDEX(DESK!$F$2:$F$601,MATCH(22,DESK!$AR$2:$AR$601,0)),DESK!$L$2:$L$601,1)-1)&amp;" more",""))</f>
        <v/>
      </c>
      <c r="F30" s="28" t="str">
        <f>IF(B30="","",IF(C30="B",INDEX(DESK!$AD$2:$AD$601,MATCH(22,DESK!$AR$2:$AR$601,0)),""))</f>
        <v/>
      </c>
      <c r="G30" s="28" t="str">
        <f>IF(B30="","",INDEX(DESK!$AV$2:$AV$601,MATCH(22,DESK!$AR$2:$AR$601,0)))</f>
        <v/>
      </c>
      <c r="I30" s="21"/>
      <c r="J30" s="20"/>
      <c r="K30" s="20"/>
      <c r="L30" s="20"/>
      <c r="M30" s="23" t="str">
        <f t="shared" si="0"/>
        <v/>
      </c>
    </row>
    <row r="31" spans="1:13" x14ac:dyDescent="0.35">
      <c r="A31" s="28">
        <v>23</v>
      </c>
      <c r="B31" s="43" t="str">
        <f>IF(SETTINGS!$B$22&lt;&gt;"YES","",IFERROR(IF(OR($J$3="Everyone",INDEX(DESK!$AV$2:$AV$601,MATCH(23,DESK!$AR$2:$AR$601,0))="SEND"),"91"&amp;INDEX(DESK!$F$2:$F$601,MATCH(23,DESK!$AR$2:$AR$601,0)),""),""))</f>
        <v/>
      </c>
      <c r="C31" s="28" t="str">
        <f>IF(B31="","",IF(INDEX(DESK!$AC$2:$AC$601,MATCH(23,DESK!$AR$2:$AR$601,0))="YES","A","B"))</f>
        <v/>
      </c>
      <c r="D31" s="28" t="str">
        <f>IF(B31="","",INDEX(DESK!$AQ$2:$AQ$601,MATCH(23,DESK!$AR$2:$AR$601,0)))</f>
        <v/>
      </c>
      <c r="E31" s="28" t="str">
        <f>IF(B31="","",INDEX(DESK!$B$2:$B$601,MATCH(23,DESK!$AR$2:$AR$601,0))&amp;IF(COUNTIFS(DESK!$F$2:$F$601,INDEX(DESK!$F$2:$F$601,MATCH(23,DESK!$AR$2:$AR$601,0)),DESK!$L$2:$L$601,1)&gt;1," and "&amp;(COUNTIFS(DESK!$F$2:$F$601,INDEX(DESK!$F$2:$F$601,MATCH(23,DESK!$AR$2:$AR$601,0)),DESK!$L$2:$L$601,1)-1)&amp;" more",""))</f>
        <v/>
      </c>
      <c r="F31" s="28" t="str">
        <f>IF(B31="","",IF(C31="B",INDEX(DESK!$AD$2:$AD$601,MATCH(23,DESK!$AR$2:$AR$601,0)),""))</f>
        <v/>
      </c>
      <c r="G31" s="28" t="str">
        <f>IF(B31="","",INDEX(DESK!$AV$2:$AV$601,MATCH(23,DESK!$AR$2:$AR$601,0)))</f>
        <v/>
      </c>
      <c r="I31" s="21"/>
      <c r="J31" s="20"/>
      <c r="K31" s="20"/>
      <c r="L31" s="20"/>
      <c r="M31" s="23" t="str">
        <f t="shared" si="0"/>
        <v/>
      </c>
    </row>
    <row r="32" spans="1:13" x14ac:dyDescent="0.35">
      <c r="A32" s="28">
        <v>24</v>
      </c>
      <c r="B32" s="43" t="str">
        <f>IF(SETTINGS!$B$22&lt;&gt;"YES","",IFERROR(IF(OR($J$3="Everyone",INDEX(DESK!$AV$2:$AV$601,MATCH(24,DESK!$AR$2:$AR$601,0))="SEND"),"91"&amp;INDEX(DESK!$F$2:$F$601,MATCH(24,DESK!$AR$2:$AR$601,0)),""),""))</f>
        <v/>
      </c>
      <c r="C32" s="28" t="str">
        <f>IF(B32="","",IF(INDEX(DESK!$AC$2:$AC$601,MATCH(24,DESK!$AR$2:$AR$601,0))="YES","A","B"))</f>
        <v/>
      </c>
      <c r="D32" s="28" t="str">
        <f>IF(B32="","",INDEX(DESK!$AQ$2:$AQ$601,MATCH(24,DESK!$AR$2:$AR$601,0)))</f>
        <v/>
      </c>
      <c r="E32" s="28" t="str">
        <f>IF(B32="","",INDEX(DESK!$B$2:$B$601,MATCH(24,DESK!$AR$2:$AR$601,0))&amp;IF(COUNTIFS(DESK!$F$2:$F$601,INDEX(DESK!$F$2:$F$601,MATCH(24,DESK!$AR$2:$AR$601,0)),DESK!$L$2:$L$601,1)&gt;1," and "&amp;(COUNTIFS(DESK!$F$2:$F$601,INDEX(DESK!$F$2:$F$601,MATCH(24,DESK!$AR$2:$AR$601,0)),DESK!$L$2:$L$601,1)-1)&amp;" more",""))</f>
        <v/>
      </c>
      <c r="F32" s="28" t="str">
        <f>IF(B32="","",IF(C32="B",INDEX(DESK!$AD$2:$AD$601,MATCH(24,DESK!$AR$2:$AR$601,0)),""))</f>
        <v/>
      </c>
      <c r="G32" s="28" t="str">
        <f>IF(B32="","",INDEX(DESK!$AV$2:$AV$601,MATCH(24,DESK!$AR$2:$AR$601,0)))</f>
        <v/>
      </c>
      <c r="I32" s="21"/>
      <c r="J32" s="20"/>
      <c r="K32" s="20"/>
      <c r="L32" s="20"/>
      <c r="M32" s="23" t="str">
        <f t="shared" si="0"/>
        <v/>
      </c>
    </row>
    <row r="33" spans="1:13" x14ac:dyDescent="0.35">
      <c r="A33" s="28">
        <v>25</v>
      </c>
      <c r="B33" s="43" t="str">
        <f>IF(SETTINGS!$B$22&lt;&gt;"YES","",IFERROR(IF(OR($J$3="Everyone",INDEX(DESK!$AV$2:$AV$601,MATCH(25,DESK!$AR$2:$AR$601,0))="SEND"),"91"&amp;INDEX(DESK!$F$2:$F$601,MATCH(25,DESK!$AR$2:$AR$601,0)),""),""))</f>
        <v/>
      </c>
      <c r="C33" s="28" t="str">
        <f>IF(B33="","",IF(INDEX(DESK!$AC$2:$AC$601,MATCH(25,DESK!$AR$2:$AR$601,0))="YES","A","B"))</f>
        <v/>
      </c>
      <c r="D33" s="28" t="str">
        <f>IF(B33="","",INDEX(DESK!$AQ$2:$AQ$601,MATCH(25,DESK!$AR$2:$AR$601,0)))</f>
        <v/>
      </c>
      <c r="E33" s="28" t="str">
        <f>IF(B33="","",INDEX(DESK!$B$2:$B$601,MATCH(25,DESK!$AR$2:$AR$601,0))&amp;IF(COUNTIFS(DESK!$F$2:$F$601,INDEX(DESK!$F$2:$F$601,MATCH(25,DESK!$AR$2:$AR$601,0)),DESK!$L$2:$L$601,1)&gt;1," and "&amp;(COUNTIFS(DESK!$F$2:$F$601,INDEX(DESK!$F$2:$F$601,MATCH(25,DESK!$AR$2:$AR$601,0)),DESK!$L$2:$L$601,1)-1)&amp;" more",""))</f>
        <v/>
      </c>
      <c r="F33" s="28" t="str">
        <f>IF(B33="","",IF(C33="B",INDEX(DESK!$AD$2:$AD$601,MATCH(25,DESK!$AR$2:$AR$601,0)),""))</f>
        <v/>
      </c>
      <c r="G33" s="28" t="str">
        <f>IF(B33="","",INDEX(DESK!$AV$2:$AV$601,MATCH(25,DESK!$AR$2:$AR$601,0)))</f>
        <v/>
      </c>
      <c r="I33" s="21"/>
      <c r="J33" s="20"/>
      <c r="K33" s="20"/>
      <c r="L33" s="20"/>
      <c r="M33" s="23" t="str">
        <f t="shared" si="0"/>
        <v/>
      </c>
    </row>
    <row r="34" spans="1:13" x14ac:dyDescent="0.35">
      <c r="A34" s="28">
        <v>26</v>
      </c>
      <c r="B34" s="43" t="str">
        <f>IF(SETTINGS!$B$22&lt;&gt;"YES","",IFERROR(IF(OR($J$3="Everyone",INDEX(DESK!$AV$2:$AV$601,MATCH(26,DESK!$AR$2:$AR$601,0))="SEND"),"91"&amp;INDEX(DESK!$F$2:$F$601,MATCH(26,DESK!$AR$2:$AR$601,0)),""),""))</f>
        <v/>
      </c>
      <c r="C34" s="28" t="str">
        <f>IF(B34="","",IF(INDEX(DESK!$AC$2:$AC$601,MATCH(26,DESK!$AR$2:$AR$601,0))="YES","A","B"))</f>
        <v/>
      </c>
      <c r="D34" s="28" t="str">
        <f>IF(B34="","",INDEX(DESK!$AQ$2:$AQ$601,MATCH(26,DESK!$AR$2:$AR$601,0)))</f>
        <v/>
      </c>
      <c r="E34" s="28" t="str">
        <f>IF(B34="","",INDEX(DESK!$B$2:$B$601,MATCH(26,DESK!$AR$2:$AR$601,0))&amp;IF(COUNTIFS(DESK!$F$2:$F$601,INDEX(DESK!$F$2:$F$601,MATCH(26,DESK!$AR$2:$AR$601,0)),DESK!$L$2:$L$601,1)&gt;1," and "&amp;(COUNTIFS(DESK!$F$2:$F$601,INDEX(DESK!$F$2:$F$601,MATCH(26,DESK!$AR$2:$AR$601,0)),DESK!$L$2:$L$601,1)-1)&amp;" more",""))</f>
        <v/>
      </c>
      <c r="F34" s="28" t="str">
        <f>IF(B34="","",IF(C34="B",INDEX(DESK!$AD$2:$AD$601,MATCH(26,DESK!$AR$2:$AR$601,0)),""))</f>
        <v/>
      </c>
      <c r="G34" s="28" t="str">
        <f>IF(B34="","",INDEX(DESK!$AV$2:$AV$601,MATCH(26,DESK!$AR$2:$AR$601,0)))</f>
        <v/>
      </c>
      <c r="I34" s="21"/>
      <c r="J34" s="20"/>
      <c r="K34" s="20"/>
      <c r="L34" s="20"/>
      <c r="M34" s="23" t="str">
        <f t="shared" si="0"/>
        <v/>
      </c>
    </row>
    <row r="35" spans="1:13" x14ac:dyDescent="0.35">
      <c r="A35" s="28">
        <v>27</v>
      </c>
      <c r="B35" s="43" t="str">
        <f>IF(SETTINGS!$B$22&lt;&gt;"YES","",IFERROR(IF(OR($J$3="Everyone",INDEX(DESK!$AV$2:$AV$601,MATCH(27,DESK!$AR$2:$AR$601,0))="SEND"),"91"&amp;INDEX(DESK!$F$2:$F$601,MATCH(27,DESK!$AR$2:$AR$601,0)),""),""))</f>
        <v/>
      </c>
      <c r="C35" s="28" t="str">
        <f>IF(B35="","",IF(INDEX(DESK!$AC$2:$AC$601,MATCH(27,DESK!$AR$2:$AR$601,0))="YES","A","B"))</f>
        <v/>
      </c>
      <c r="D35" s="28" t="str">
        <f>IF(B35="","",INDEX(DESK!$AQ$2:$AQ$601,MATCH(27,DESK!$AR$2:$AR$601,0)))</f>
        <v/>
      </c>
      <c r="E35" s="28" t="str">
        <f>IF(B35="","",INDEX(DESK!$B$2:$B$601,MATCH(27,DESK!$AR$2:$AR$601,0))&amp;IF(COUNTIFS(DESK!$F$2:$F$601,INDEX(DESK!$F$2:$F$601,MATCH(27,DESK!$AR$2:$AR$601,0)),DESK!$L$2:$L$601,1)&gt;1," and "&amp;(COUNTIFS(DESK!$F$2:$F$601,INDEX(DESK!$F$2:$F$601,MATCH(27,DESK!$AR$2:$AR$601,0)),DESK!$L$2:$L$601,1)-1)&amp;" more",""))</f>
        <v/>
      </c>
      <c r="F35" s="28" t="str">
        <f>IF(B35="","",IF(C35="B",INDEX(DESK!$AD$2:$AD$601,MATCH(27,DESK!$AR$2:$AR$601,0)),""))</f>
        <v/>
      </c>
      <c r="G35" s="28" t="str">
        <f>IF(B35="","",INDEX(DESK!$AV$2:$AV$601,MATCH(27,DESK!$AR$2:$AR$601,0)))</f>
        <v/>
      </c>
      <c r="I35" s="21"/>
      <c r="J35" s="20"/>
      <c r="K35" s="20"/>
      <c r="L35" s="20"/>
      <c r="M35" s="23" t="str">
        <f t="shared" si="0"/>
        <v/>
      </c>
    </row>
    <row r="36" spans="1:13" x14ac:dyDescent="0.35">
      <c r="A36" s="28">
        <v>28</v>
      </c>
      <c r="B36" s="43" t="str">
        <f>IF(SETTINGS!$B$22&lt;&gt;"YES","",IFERROR(IF(OR($J$3="Everyone",INDEX(DESK!$AV$2:$AV$601,MATCH(28,DESK!$AR$2:$AR$601,0))="SEND"),"91"&amp;INDEX(DESK!$F$2:$F$601,MATCH(28,DESK!$AR$2:$AR$601,0)),""),""))</f>
        <v/>
      </c>
      <c r="C36" s="28" t="str">
        <f>IF(B36="","",IF(INDEX(DESK!$AC$2:$AC$601,MATCH(28,DESK!$AR$2:$AR$601,0))="YES","A","B"))</f>
        <v/>
      </c>
      <c r="D36" s="28" t="str">
        <f>IF(B36="","",INDEX(DESK!$AQ$2:$AQ$601,MATCH(28,DESK!$AR$2:$AR$601,0)))</f>
        <v/>
      </c>
      <c r="E36" s="28" t="str">
        <f>IF(B36="","",INDEX(DESK!$B$2:$B$601,MATCH(28,DESK!$AR$2:$AR$601,0))&amp;IF(COUNTIFS(DESK!$F$2:$F$601,INDEX(DESK!$F$2:$F$601,MATCH(28,DESK!$AR$2:$AR$601,0)),DESK!$L$2:$L$601,1)&gt;1," and "&amp;(COUNTIFS(DESK!$F$2:$F$601,INDEX(DESK!$F$2:$F$601,MATCH(28,DESK!$AR$2:$AR$601,0)),DESK!$L$2:$L$601,1)-1)&amp;" more",""))</f>
        <v/>
      </c>
      <c r="F36" s="28" t="str">
        <f>IF(B36="","",IF(C36="B",INDEX(DESK!$AD$2:$AD$601,MATCH(28,DESK!$AR$2:$AR$601,0)),""))</f>
        <v/>
      </c>
      <c r="G36" s="28" t="str">
        <f>IF(B36="","",INDEX(DESK!$AV$2:$AV$601,MATCH(28,DESK!$AR$2:$AR$601,0)))</f>
        <v/>
      </c>
      <c r="I36" s="21"/>
      <c r="J36" s="20"/>
      <c r="K36" s="20"/>
      <c r="L36" s="20"/>
      <c r="M36" s="23" t="str">
        <f t="shared" si="0"/>
        <v/>
      </c>
    </row>
    <row r="37" spans="1:13" x14ac:dyDescent="0.35">
      <c r="A37" s="28">
        <v>29</v>
      </c>
      <c r="B37" s="43" t="str">
        <f>IF(SETTINGS!$B$22&lt;&gt;"YES","",IFERROR(IF(OR($J$3="Everyone",INDEX(DESK!$AV$2:$AV$601,MATCH(29,DESK!$AR$2:$AR$601,0))="SEND"),"91"&amp;INDEX(DESK!$F$2:$F$601,MATCH(29,DESK!$AR$2:$AR$601,0)),""),""))</f>
        <v/>
      </c>
      <c r="C37" s="28" t="str">
        <f>IF(B37="","",IF(INDEX(DESK!$AC$2:$AC$601,MATCH(29,DESK!$AR$2:$AR$601,0))="YES","A","B"))</f>
        <v/>
      </c>
      <c r="D37" s="28" t="str">
        <f>IF(B37="","",INDEX(DESK!$AQ$2:$AQ$601,MATCH(29,DESK!$AR$2:$AR$601,0)))</f>
        <v/>
      </c>
      <c r="E37" s="28" t="str">
        <f>IF(B37="","",INDEX(DESK!$B$2:$B$601,MATCH(29,DESK!$AR$2:$AR$601,0))&amp;IF(COUNTIFS(DESK!$F$2:$F$601,INDEX(DESK!$F$2:$F$601,MATCH(29,DESK!$AR$2:$AR$601,0)),DESK!$L$2:$L$601,1)&gt;1," and "&amp;(COUNTIFS(DESK!$F$2:$F$601,INDEX(DESK!$F$2:$F$601,MATCH(29,DESK!$AR$2:$AR$601,0)),DESK!$L$2:$L$601,1)-1)&amp;" more",""))</f>
        <v/>
      </c>
      <c r="F37" s="28" t="str">
        <f>IF(B37="","",IF(C37="B",INDEX(DESK!$AD$2:$AD$601,MATCH(29,DESK!$AR$2:$AR$601,0)),""))</f>
        <v/>
      </c>
      <c r="G37" s="28" t="str">
        <f>IF(B37="","",INDEX(DESK!$AV$2:$AV$601,MATCH(29,DESK!$AR$2:$AR$601,0)))</f>
        <v/>
      </c>
      <c r="I37" s="21"/>
      <c r="J37" s="20"/>
      <c r="K37" s="20"/>
      <c r="L37" s="20"/>
      <c r="M37" s="23" t="str">
        <f t="shared" si="0"/>
        <v/>
      </c>
    </row>
    <row r="38" spans="1:13" x14ac:dyDescent="0.35">
      <c r="A38" s="28">
        <v>30</v>
      </c>
      <c r="B38" s="43" t="str">
        <f>IF(SETTINGS!$B$22&lt;&gt;"YES","",IFERROR(IF(OR($J$3="Everyone",INDEX(DESK!$AV$2:$AV$601,MATCH(30,DESK!$AR$2:$AR$601,0))="SEND"),"91"&amp;INDEX(DESK!$F$2:$F$601,MATCH(30,DESK!$AR$2:$AR$601,0)),""),""))</f>
        <v/>
      </c>
      <c r="C38" s="28" t="str">
        <f>IF(B38="","",IF(INDEX(DESK!$AC$2:$AC$601,MATCH(30,DESK!$AR$2:$AR$601,0))="YES","A","B"))</f>
        <v/>
      </c>
      <c r="D38" s="28" t="str">
        <f>IF(B38="","",INDEX(DESK!$AQ$2:$AQ$601,MATCH(30,DESK!$AR$2:$AR$601,0)))</f>
        <v/>
      </c>
      <c r="E38" s="28" t="str">
        <f>IF(B38="","",INDEX(DESK!$B$2:$B$601,MATCH(30,DESK!$AR$2:$AR$601,0))&amp;IF(COUNTIFS(DESK!$F$2:$F$601,INDEX(DESK!$F$2:$F$601,MATCH(30,DESK!$AR$2:$AR$601,0)),DESK!$L$2:$L$601,1)&gt;1," and "&amp;(COUNTIFS(DESK!$F$2:$F$601,INDEX(DESK!$F$2:$F$601,MATCH(30,DESK!$AR$2:$AR$601,0)),DESK!$L$2:$L$601,1)-1)&amp;" more",""))</f>
        <v/>
      </c>
      <c r="F38" s="28" t="str">
        <f>IF(B38="","",IF(C38="B",INDEX(DESK!$AD$2:$AD$601,MATCH(30,DESK!$AR$2:$AR$601,0)),""))</f>
        <v/>
      </c>
      <c r="G38" s="28" t="str">
        <f>IF(B38="","",INDEX(DESK!$AV$2:$AV$601,MATCH(30,DESK!$AR$2:$AR$601,0)))</f>
        <v/>
      </c>
      <c r="I38" s="21"/>
      <c r="J38" s="20"/>
      <c r="K38" s="20"/>
      <c r="L38" s="20"/>
      <c r="M38" s="23" t="str">
        <f t="shared" si="0"/>
        <v/>
      </c>
    </row>
    <row r="39" spans="1:13" x14ac:dyDescent="0.35">
      <c r="A39" s="28">
        <v>31</v>
      </c>
      <c r="B39" s="43" t="str">
        <f>IF(SETTINGS!$B$22&lt;&gt;"YES","",IFERROR(IF(OR($J$3="Everyone",INDEX(DESK!$AV$2:$AV$601,MATCH(31,DESK!$AR$2:$AR$601,0))="SEND"),"91"&amp;INDEX(DESK!$F$2:$F$601,MATCH(31,DESK!$AR$2:$AR$601,0)),""),""))</f>
        <v/>
      </c>
      <c r="C39" s="28" t="str">
        <f>IF(B39="","",IF(INDEX(DESK!$AC$2:$AC$601,MATCH(31,DESK!$AR$2:$AR$601,0))="YES","A","B"))</f>
        <v/>
      </c>
      <c r="D39" s="28" t="str">
        <f>IF(B39="","",INDEX(DESK!$AQ$2:$AQ$601,MATCH(31,DESK!$AR$2:$AR$601,0)))</f>
        <v/>
      </c>
      <c r="E39" s="28" t="str">
        <f>IF(B39="","",INDEX(DESK!$B$2:$B$601,MATCH(31,DESK!$AR$2:$AR$601,0))&amp;IF(COUNTIFS(DESK!$F$2:$F$601,INDEX(DESK!$F$2:$F$601,MATCH(31,DESK!$AR$2:$AR$601,0)),DESK!$L$2:$L$601,1)&gt;1," and "&amp;(COUNTIFS(DESK!$F$2:$F$601,INDEX(DESK!$F$2:$F$601,MATCH(31,DESK!$AR$2:$AR$601,0)),DESK!$L$2:$L$601,1)-1)&amp;" more",""))</f>
        <v/>
      </c>
      <c r="F39" s="28" t="str">
        <f>IF(B39="","",IF(C39="B",INDEX(DESK!$AD$2:$AD$601,MATCH(31,DESK!$AR$2:$AR$601,0)),""))</f>
        <v/>
      </c>
      <c r="G39" s="28" t="str">
        <f>IF(B39="","",INDEX(DESK!$AV$2:$AV$601,MATCH(31,DESK!$AR$2:$AR$601,0)))</f>
        <v/>
      </c>
      <c r="I39" s="21"/>
      <c r="J39" s="20"/>
      <c r="K39" s="20"/>
      <c r="L39" s="20"/>
      <c r="M39" s="23" t="str">
        <f t="shared" si="0"/>
        <v/>
      </c>
    </row>
    <row r="40" spans="1:13" x14ac:dyDescent="0.35">
      <c r="A40" s="28">
        <v>32</v>
      </c>
      <c r="B40" s="43" t="str">
        <f>IF(SETTINGS!$B$22&lt;&gt;"YES","",IFERROR(IF(OR($J$3="Everyone",INDEX(DESK!$AV$2:$AV$601,MATCH(32,DESK!$AR$2:$AR$601,0))="SEND"),"91"&amp;INDEX(DESK!$F$2:$F$601,MATCH(32,DESK!$AR$2:$AR$601,0)),""),""))</f>
        <v/>
      </c>
      <c r="C40" s="28" t="str">
        <f>IF(B40="","",IF(INDEX(DESK!$AC$2:$AC$601,MATCH(32,DESK!$AR$2:$AR$601,0))="YES","A","B"))</f>
        <v/>
      </c>
      <c r="D40" s="28" t="str">
        <f>IF(B40="","",INDEX(DESK!$AQ$2:$AQ$601,MATCH(32,DESK!$AR$2:$AR$601,0)))</f>
        <v/>
      </c>
      <c r="E40" s="28" t="str">
        <f>IF(B40="","",INDEX(DESK!$B$2:$B$601,MATCH(32,DESK!$AR$2:$AR$601,0))&amp;IF(COUNTIFS(DESK!$F$2:$F$601,INDEX(DESK!$F$2:$F$601,MATCH(32,DESK!$AR$2:$AR$601,0)),DESK!$L$2:$L$601,1)&gt;1," and "&amp;(COUNTIFS(DESK!$F$2:$F$601,INDEX(DESK!$F$2:$F$601,MATCH(32,DESK!$AR$2:$AR$601,0)),DESK!$L$2:$L$601,1)-1)&amp;" more",""))</f>
        <v/>
      </c>
      <c r="F40" s="28" t="str">
        <f>IF(B40="","",IF(C40="B",INDEX(DESK!$AD$2:$AD$601,MATCH(32,DESK!$AR$2:$AR$601,0)),""))</f>
        <v/>
      </c>
      <c r="G40" s="28" t="str">
        <f>IF(B40="","",INDEX(DESK!$AV$2:$AV$601,MATCH(32,DESK!$AR$2:$AR$601,0)))</f>
        <v/>
      </c>
      <c r="I40" s="21"/>
      <c r="J40" s="20"/>
      <c r="K40" s="20"/>
      <c r="L40" s="20"/>
      <c r="M40" s="23" t="str">
        <f t="shared" si="0"/>
        <v/>
      </c>
    </row>
    <row r="41" spans="1:13" x14ac:dyDescent="0.35">
      <c r="A41" s="28">
        <v>33</v>
      </c>
      <c r="B41" s="43" t="str">
        <f>IF(SETTINGS!$B$22&lt;&gt;"YES","",IFERROR(IF(OR($J$3="Everyone",INDEX(DESK!$AV$2:$AV$601,MATCH(33,DESK!$AR$2:$AR$601,0))="SEND"),"91"&amp;INDEX(DESK!$F$2:$F$601,MATCH(33,DESK!$AR$2:$AR$601,0)),""),""))</f>
        <v/>
      </c>
      <c r="C41" s="28" t="str">
        <f>IF(B41="","",IF(INDEX(DESK!$AC$2:$AC$601,MATCH(33,DESK!$AR$2:$AR$601,0))="YES","A","B"))</f>
        <v/>
      </c>
      <c r="D41" s="28" t="str">
        <f>IF(B41="","",INDEX(DESK!$AQ$2:$AQ$601,MATCH(33,DESK!$AR$2:$AR$601,0)))</f>
        <v/>
      </c>
      <c r="E41" s="28" t="str">
        <f>IF(B41="","",INDEX(DESK!$B$2:$B$601,MATCH(33,DESK!$AR$2:$AR$601,0))&amp;IF(COUNTIFS(DESK!$F$2:$F$601,INDEX(DESK!$F$2:$F$601,MATCH(33,DESK!$AR$2:$AR$601,0)),DESK!$L$2:$L$601,1)&gt;1," and "&amp;(COUNTIFS(DESK!$F$2:$F$601,INDEX(DESK!$F$2:$F$601,MATCH(33,DESK!$AR$2:$AR$601,0)),DESK!$L$2:$L$601,1)-1)&amp;" more",""))</f>
        <v/>
      </c>
      <c r="F41" s="28" t="str">
        <f>IF(B41="","",IF(C41="B",INDEX(DESK!$AD$2:$AD$601,MATCH(33,DESK!$AR$2:$AR$601,0)),""))</f>
        <v/>
      </c>
      <c r="G41" s="28" t="str">
        <f>IF(B41="","",INDEX(DESK!$AV$2:$AV$601,MATCH(33,DESK!$AR$2:$AR$601,0)))</f>
        <v/>
      </c>
      <c r="I41" s="21"/>
      <c r="J41" s="20"/>
      <c r="K41" s="20"/>
      <c r="L41" s="20"/>
      <c r="M41" s="23" t="str">
        <f t="shared" si="0"/>
        <v/>
      </c>
    </row>
    <row r="42" spans="1:13" x14ac:dyDescent="0.35">
      <c r="A42" s="28">
        <v>34</v>
      </c>
      <c r="B42" s="43" t="str">
        <f>IF(SETTINGS!$B$22&lt;&gt;"YES","",IFERROR(IF(OR($J$3="Everyone",INDEX(DESK!$AV$2:$AV$601,MATCH(34,DESK!$AR$2:$AR$601,0))="SEND"),"91"&amp;INDEX(DESK!$F$2:$F$601,MATCH(34,DESK!$AR$2:$AR$601,0)),""),""))</f>
        <v/>
      </c>
      <c r="C42" s="28" t="str">
        <f>IF(B42="","",IF(INDEX(DESK!$AC$2:$AC$601,MATCH(34,DESK!$AR$2:$AR$601,0))="YES","A","B"))</f>
        <v/>
      </c>
      <c r="D42" s="28" t="str">
        <f>IF(B42="","",INDEX(DESK!$AQ$2:$AQ$601,MATCH(34,DESK!$AR$2:$AR$601,0)))</f>
        <v/>
      </c>
      <c r="E42" s="28" t="str">
        <f>IF(B42="","",INDEX(DESK!$B$2:$B$601,MATCH(34,DESK!$AR$2:$AR$601,0))&amp;IF(COUNTIFS(DESK!$F$2:$F$601,INDEX(DESK!$F$2:$F$601,MATCH(34,DESK!$AR$2:$AR$601,0)),DESK!$L$2:$L$601,1)&gt;1," and "&amp;(COUNTIFS(DESK!$F$2:$F$601,INDEX(DESK!$F$2:$F$601,MATCH(34,DESK!$AR$2:$AR$601,0)),DESK!$L$2:$L$601,1)-1)&amp;" more",""))</f>
        <v/>
      </c>
      <c r="F42" s="28" t="str">
        <f>IF(B42="","",IF(C42="B",INDEX(DESK!$AD$2:$AD$601,MATCH(34,DESK!$AR$2:$AR$601,0)),""))</f>
        <v/>
      </c>
      <c r="G42" s="28" t="str">
        <f>IF(B42="","",INDEX(DESK!$AV$2:$AV$601,MATCH(34,DESK!$AR$2:$AR$601,0)))</f>
        <v/>
      </c>
      <c r="I42" s="21"/>
      <c r="J42" s="20"/>
      <c r="K42" s="20"/>
      <c r="L42" s="20"/>
      <c r="M42" s="23" t="str">
        <f t="shared" si="0"/>
        <v/>
      </c>
    </row>
    <row r="43" spans="1:13" x14ac:dyDescent="0.35">
      <c r="A43" s="28">
        <v>35</v>
      </c>
      <c r="B43" s="43" t="str">
        <f>IF(SETTINGS!$B$22&lt;&gt;"YES","",IFERROR(IF(OR($J$3="Everyone",INDEX(DESK!$AV$2:$AV$601,MATCH(35,DESK!$AR$2:$AR$601,0))="SEND"),"91"&amp;INDEX(DESK!$F$2:$F$601,MATCH(35,DESK!$AR$2:$AR$601,0)),""),""))</f>
        <v/>
      </c>
      <c r="C43" s="28" t="str">
        <f>IF(B43="","",IF(INDEX(DESK!$AC$2:$AC$601,MATCH(35,DESK!$AR$2:$AR$601,0))="YES","A","B"))</f>
        <v/>
      </c>
      <c r="D43" s="28" t="str">
        <f>IF(B43="","",INDEX(DESK!$AQ$2:$AQ$601,MATCH(35,DESK!$AR$2:$AR$601,0)))</f>
        <v/>
      </c>
      <c r="E43" s="28" t="str">
        <f>IF(B43="","",INDEX(DESK!$B$2:$B$601,MATCH(35,DESK!$AR$2:$AR$601,0))&amp;IF(COUNTIFS(DESK!$F$2:$F$601,INDEX(DESK!$F$2:$F$601,MATCH(35,DESK!$AR$2:$AR$601,0)),DESK!$L$2:$L$601,1)&gt;1," and "&amp;(COUNTIFS(DESK!$F$2:$F$601,INDEX(DESK!$F$2:$F$601,MATCH(35,DESK!$AR$2:$AR$601,0)),DESK!$L$2:$L$601,1)-1)&amp;" more",""))</f>
        <v/>
      </c>
      <c r="F43" s="28" t="str">
        <f>IF(B43="","",IF(C43="B",INDEX(DESK!$AD$2:$AD$601,MATCH(35,DESK!$AR$2:$AR$601,0)),""))</f>
        <v/>
      </c>
      <c r="G43" s="28" t="str">
        <f>IF(B43="","",INDEX(DESK!$AV$2:$AV$601,MATCH(35,DESK!$AR$2:$AR$601,0)))</f>
        <v/>
      </c>
      <c r="I43" s="21"/>
      <c r="J43" s="20"/>
      <c r="K43" s="20"/>
      <c r="L43" s="20"/>
      <c r="M43" s="23" t="str">
        <f t="shared" si="0"/>
        <v/>
      </c>
    </row>
    <row r="44" spans="1:13" x14ac:dyDescent="0.35">
      <c r="A44" s="28">
        <v>36</v>
      </c>
      <c r="B44" s="43" t="str">
        <f>IF(SETTINGS!$B$22&lt;&gt;"YES","",IFERROR(IF(OR($J$3="Everyone",INDEX(DESK!$AV$2:$AV$601,MATCH(36,DESK!$AR$2:$AR$601,0))="SEND"),"91"&amp;INDEX(DESK!$F$2:$F$601,MATCH(36,DESK!$AR$2:$AR$601,0)),""),""))</f>
        <v/>
      </c>
      <c r="C44" s="28" t="str">
        <f>IF(B44="","",IF(INDEX(DESK!$AC$2:$AC$601,MATCH(36,DESK!$AR$2:$AR$601,0))="YES","A","B"))</f>
        <v/>
      </c>
      <c r="D44" s="28" t="str">
        <f>IF(B44="","",INDEX(DESK!$AQ$2:$AQ$601,MATCH(36,DESK!$AR$2:$AR$601,0)))</f>
        <v/>
      </c>
      <c r="E44" s="28" t="str">
        <f>IF(B44="","",INDEX(DESK!$B$2:$B$601,MATCH(36,DESK!$AR$2:$AR$601,0))&amp;IF(COUNTIFS(DESK!$F$2:$F$601,INDEX(DESK!$F$2:$F$601,MATCH(36,DESK!$AR$2:$AR$601,0)),DESK!$L$2:$L$601,1)&gt;1," and "&amp;(COUNTIFS(DESK!$F$2:$F$601,INDEX(DESK!$F$2:$F$601,MATCH(36,DESK!$AR$2:$AR$601,0)),DESK!$L$2:$L$601,1)-1)&amp;" more",""))</f>
        <v/>
      </c>
      <c r="F44" s="28" t="str">
        <f>IF(B44="","",IF(C44="B",INDEX(DESK!$AD$2:$AD$601,MATCH(36,DESK!$AR$2:$AR$601,0)),""))</f>
        <v/>
      </c>
      <c r="G44" s="28" t="str">
        <f>IF(B44="","",INDEX(DESK!$AV$2:$AV$601,MATCH(36,DESK!$AR$2:$AR$601,0)))</f>
        <v/>
      </c>
      <c r="I44" s="21"/>
      <c r="J44" s="20"/>
      <c r="K44" s="20"/>
      <c r="L44" s="20"/>
      <c r="M44" s="23" t="str">
        <f t="shared" si="0"/>
        <v/>
      </c>
    </row>
    <row r="45" spans="1:13" x14ac:dyDescent="0.35">
      <c r="A45" s="28">
        <v>37</v>
      </c>
      <c r="B45" s="43" t="str">
        <f>IF(SETTINGS!$B$22&lt;&gt;"YES","",IFERROR(IF(OR($J$3="Everyone",INDEX(DESK!$AV$2:$AV$601,MATCH(37,DESK!$AR$2:$AR$601,0))="SEND"),"91"&amp;INDEX(DESK!$F$2:$F$601,MATCH(37,DESK!$AR$2:$AR$601,0)),""),""))</f>
        <v/>
      </c>
      <c r="C45" s="28" t="str">
        <f>IF(B45="","",IF(INDEX(DESK!$AC$2:$AC$601,MATCH(37,DESK!$AR$2:$AR$601,0))="YES","A","B"))</f>
        <v/>
      </c>
      <c r="D45" s="28" t="str">
        <f>IF(B45="","",INDEX(DESK!$AQ$2:$AQ$601,MATCH(37,DESK!$AR$2:$AR$601,0)))</f>
        <v/>
      </c>
      <c r="E45" s="28" t="str">
        <f>IF(B45="","",INDEX(DESK!$B$2:$B$601,MATCH(37,DESK!$AR$2:$AR$601,0))&amp;IF(COUNTIFS(DESK!$F$2:$F$601,INDEX(DESK!$F$2:$F$601,MATCH(37,DESK!$AR$2:$AR$601,0)),DESK!$L$2:$L$601,1)&gt;1," and "&amp;(COUNTIFS(DESK!$F$2:$F$601,INDEX(DESK!$F$2:$F$601,MATCH(37,DESK!$AR$2:$AR$601,0)),DESK!$L$2:$L$601,1)-1)&amp;" more",""))</f>
        <v/>
      </c>
      <c r="F45" s="28" t="str">
        <f>IF(B45="","",IF(C45="B",INDEX(DESK!$AD$2:$AD$601,MATCH(37,DESK!$AR$2:$AR$601,0)),""))</f>
        <v/>
      </c>
      <c r="G45" s="28" t="str">
        <f>IF(B45="","",INDEX(DESK!$AV$2:$AV$601,MATCH(37,DESK!$AR$2:$AR$601,0)))</f>
        <v/>
      </c>
      <c r="I45" s="21"/>
      <c r="J45" s="20"/>
      <c r="K45" s="20"/>
      <c r="L45" s="20"/>
      <c r="M45" s="23" t="str">
        <f t="shared" si="0"/>
        <v/>
      </c>
    </row>
    <row r="46" spans="1:13" x14ac:dyDescent="0.35">
      <c r="A46" s="28">
        <v>38</v>
      </c>
      <c r="B46" s="43" t="str">
        <f>IF(SETTINGS!$B$22&lt;&gt;"YES","",IFERROR(IF(OR($J$3="Everyone",INDEX(DESK!$AV$2:$AV$601,MATCH(38,DESK!$AR$2:$AR$601,0))="SEND"),"91"&amp;INDEX(DESK!$F$2:$F$601,MATCH(38,DESK!$AR$2:$AR$601,0)),""),""))</f>
        <v/>
      </c>
      <c r="C46" s="28" t="str">
        <f>IF(B46="","",IF(INDEX(DESK!$AC$2:$AC$601,MATCH(38,DESK!$AR$2:$AR$601,0))="YES","A","B"))</f>
        <v/>
      </c>
      <c r="D46" s="28" t="str">
        <f>IF(B46="","",INDEX(DESK!$AQ$2:$AQ$601,MATCH(38,DESK!$AR$2:$AR$601,0)))</f>
        <v/>
      </c>
      <c r="E46" s="28" t="str">
        <f>IF(B46="","",INDEX(DESK!$B$2:$B$601,MATCH(38,DESK!$AR$2:$AR$601,0))&amp;IF(COUNTIFS(DESK!$F$2:$F$601,INDEX(DESK!$F$2:$F$601,MATCH(38,DESK!$AR$2:$AR$601,0)),DESK!$L$2:$L$601,1)&gt;1," and "&amp;(COUNTIFS(DESK!$F$2:$F$601,INDEX(DESK!$F$2:$F$601,MATCH(38,DESK!$AR$2:$AR$601,0)),DESK!$L$2:$L$601,1)-1)&amp;" more",""))</f>
        <v/>
      </c>
      <c r="F46" s="28" t="str">
        <f>IF(B46="","",IF(C46="B",INDEX(DESK!$AD$2:$AD$601,MATCH(38,DESK!$AR$2:$AR$601,0)),""))</f>
        <v/>
      </c>
      <c r="G46" s="28" t="str">
        <f>IF(B46="","",INDEX(DESK!$AV$2:$AV$601,MATCH(38,DESK!$AR$2:$AR$601,0)))</f>
        <v/>
      </c>
      <c r="I46" s="21"/>
      <c r="J46" s="20"/>
      <c r="K46" s="20"/>
      <c r="L46" s="20"/>
      <c r="M46" s="23" t="str">
        <f t="shared" si="0"/>
        <v/>
      </c>
    </row>
    <row r="47" spans="1:13" x14ac:dyDescent="0.35">
      <c r="A47" s="28">
        <v>39</v>
      </c>
      <c r="B47" s="43" t="str">
        <f>IF(SETTINGS!$B$22&lt;&gt;"YES","",IFERROR(IF(OR($J$3="Everyone",INDEX(DESK!$AV$2:$AV$601,MATCH(39,DESK!$AR$2:$AR$601,0))="SEND"),"91"&amp;INDEX(DESK!$F$2:$F$601,MATCH(39,DESK!$AR$2:$AR$601,0)),""),""))</f>
        <v/>
      </c>
      <c r="C47" s="28" t="str">
        <f>IF(B47="","",IF(INDEX(DESK!$AC$2:$AC$601,MATCH(39,DESK!$AR$2:$AR$601,0))="YES","A","B"))</f>
        <v/>
      </c>
      <c r="D47" s="28" t="str">
        <f>IF(B47="","",INDEX(DESK!$AQ$2:$AQ$601,MATCH(39,DESK!$AR$2:$AR$601,0)))</f>
        <v/>
      </c>
      <c r="E47" s="28" t="str">
        <f>IF(B47="","",INDEX(DESK!$B$2:$B$601,MATCH(39,DESK!$AR$2:$AR$601,0))&amp;IF(COUNTIFS(DESK!$F$2:$F$601,INDEX(DESK!$F$2:$F$601,MATCH(39,DESK!$AR$2:$AR$601,0)),DESK!$L$2:$L$601,1)&gt;1," and "&amp;(COUNTIFS(DESK!$F$2:$F$601,INDEX(DESK!$F$2:$F$601,MATCH(39,DESK!$AR$2:$AR$601,0)),DESK!$L$2:$L$601,1)-1)&amp;" more",""))</f>
        <v/>
      </c>
      <c r="F47" s="28" t="str">
        <f>IF(B47="","",IF(C47="B",INDEX(DESK!$AD$2:$AD$601,MATCH(39,DESK!$AR$2:$AR$601,0)),""))</f>
        <v/>
      </c>
      <c r="G47" s="28" t="str">
        <f>IF(B47="","",INDEX(DESK!$AV$2:$AV$601,MATCH(39,DESK!$AR$2:$AR$601,0)))</f>
        <v/>
      </c>
      <c r="I47" s="21"/>
      <c r="J47" s="20"/>
      <c r="K47" s="20"/>
      <c r="L47" s="20"/>
      <c r="M47" s="23" t="str">
        <f t="shared" si="0"/>
        <v/>
      </c>
    </row>
    <row r="48" spans="1:13" x14ac:dyDescent="0.35">
      <c r="A48" s="28">
        <v>40</v>
      </c>
      <c r="B48" s="43" t="str">
        <f>IF(SETTINGS!$B$22&lt;&gt;"YES","",IFERROR(IF(OR($J$3="Everyone",INDEX(DESK!$AV$2:$AV$601,MATCH(40,DESK!$AR$2:$AR$601,0))="SEND"),"91"&amp;INDEX(DESK!$F$2:$F$601,MATCH(40,DESK!$AR$2:$AR$601,0)),""),""))</f>
        <v/>
      </c>
      <c r="C48" s="28" t="str">
        <f>IF(B48="","",IF(INDEX(DESK!$AC$2:$AC$601,MATCH(40,DESK!$AR$2:$AR$601,0))="YES","A","B"))</f>
        <v/>
      </c>
      <c r="D48" s="28" t="str">
        <f>IF(B48="","",INDEX(DESK!$AQ$2:$AQ$601,MATCH(40,DESK!$AR$2:$AR$601,0)))</f>
        <v/>
      </c>
      <c r="E48" s="28" t="str">
        <f>IF(B48="","",INDEX(DESK!$B$2:$B$601,MATCH(40,DESK!$AR$2:$AR$601,0))&amp;IF(COUNTIFS(DESK!$F$2:$F$601,INDEX(DESK!$F$2:$F$601,MATCH(40,DESK!$AR$2:$AR$601,0)),DESK!$L$2:$L$601,1)&gt;1," and "&amp;(COUNTIFS(DESK!$F$2:$F$601,INDEX(DESK!$F$2:$F$601,MATCH(40,DESK!$AR$2:$AR$601,0)),DESK!$L$2:$L$601,1)-1)&amp;" more",""))</f>
        <v/>
      </c>
      <c r="F48" s="28" t="str">
        <f>IF(B48="","",IF(C48="B",INDEX(DESK!$AD$2:$AD$601,MATCH(40,DESK!$AR$2:$AR$601,0)),""))</f>
        <v/>
      </c>
      <c r="G48" s="28" t="str">
        <f>IF(B48="","",INDEX(DESK!$AV$2:$AV$601,MATCH(40,DESK!$AR$2:$AR$601,0)))</f>
        <v/>
      </c>
      <c r="I48" s="21"/>
      <c r="J48" s="20"/>
      <c r="K48" s="20"/>
      <c r="L48" s="20"/>
      <c r="M48" s="23" t="str">
        <f t="shared" si="0"/>
        <v/>
      </c>
    </row>
    <row r="49" spans="1:13" x14ac:dyDescent="0.35">
      <c r="A49" s="28">
        <v>41</v>
      </c>
      <c r="B49" s="43" t="str">
        <f>IF(SETTINGS!$B$22&lt;&gt;"YES","",IFERROR(IF(OR($J$3="Everyone",INDEX(DESK!$AV$2:$AV$601,MATCH(41,DESK!$AR$2:$AR$601,0))="SEND"),"91"&amp;INDEX(DESK!$F$2:$F$601,MATCH(41,DESK!$AR$2:$AR$601,0)),""),""))</f>
        <v/>
      </c>
      <c r="C49" s="28" t="str">
        <f>IF(B49="","",IF(INDEX(DESK!$AC$2:$AC$601,MATCH(41,DESK!$AR$2:$AR$601,0))="YES","A","B"))</f>
        <v/>
      </c>
      <c r="D49" s="28" t="str">
        <f>IF(B49="","",INDEX(DESK!$AQ$2:$AQ$601,MATCH(41,DESK!$AR$2:$AR$601,0)))</f>
        <v/>
      </c>
      <c r="E49" s="28" t="str">
        <f>IF(B49="","",INDEX(DESK!$B$2:$B$601,MATCH(41,DESK!$AR$2:$AR$601,0))&amp;IF(COUNTIFS(DESK!$F$2:$F$601,INDEX(DESK!$F$2:$F$601,MATCH(41,DESK!$AR$2:$AR$601,0)),DESK!$L$2:$L$601,1)&gt;1," and "&amp;(COUNTIFS(DESK!$F$2:$F$601,INDEX(DESK!$F$2:$F$601,MATCH(41,DESK!$AR$2:$AR$601,0)),DESK!$L$2:$L$601,1)-1)&amp;" more",""))</f>
        <v/>
      </c>
      <c r="F49" s="28" t="str">
        <f>IF(B49="","",IF(C49="B",INDEX(DESK!$AD$2:$AD$601,MATCH(41,DESK!$AR$2:$AR$601,0)),""))</f>
        <v/>
      </c>
      <c r="G49" s="28" t="str">
        <f>IF(B49="","",INDEX(DESK!$AV$2:$AV$601,MATCH(41,DESK!$AR$2:$AR$601,0)))</f>
        <v/>
      </c>
      <c r="I49" s="21"/>
      <c r="J49" s="20"/>
      <c r="K49" s="20"/>
      <c r="L49" s="20"/>
      <c r="M49" s="23" t="str">
        <f t="shared" si="0"/>
        <v/>
      </c>
    </row>
    <row r="50" spans="1:13" x14ac:dyDescent="0.35">
      <c r="A50" s="28">
        <v>42</v>
      </c>
      <c r="B50" s="43" t="str">
        <f>IF(SETTINGS!$B$22&lt;&gt;"YES","",IFERROR(IF(OR($J$3="Everyone",INDEX(DESK!$AV$2:$AV$601,MATCH(42,DESK!$AR$2:$AR$601,0))="SEND"),"91"&amp;INDEX(DESK!$F$2:$F$601,MATCH(42,DESK!$AR$2:$AR$601,0)),""),""))</f>
        <v/>
      </c>
      <c r="C50" s="28" t="str">
        <f>IF(B50="","",IF(INDEX(DESK!$AC$2:$AC$601,MATCH(42,DESK!$AR$2:$AR$601,0))="YES","A","B"))</f>
        <v/>
      </c>
      <c r="D50" s="28" t="str">
        <f>IF(B50="","",INDEX(DESK!$AQ$2:$AQ$601,MATCH(42,DESK!$AR$2:$AR$601,0)))</f>
        <v/>
      </c>
      <c r="E50" s="28" t="str">
        <f>IF(B50="","",INDEX(DESK!$B$2:$B$601,MATCH(42,DESK!$AR$2:$AR$601,0))&amp;IF(COUNTIFS(DESK!$F$2:$F$601,INDEX(DESK!$F$2:$F$601,MATCH(42,DESK!$AR$2:$AR$601,0)),DESK!$L$2:$L$601,1)&gt;1," and "&amp;(COUNTIFS(DESK!$F$2:$F$601,INDEX(DESK!$F$2:$F$601,MATCH(42,DESK!$AR$2:$AR$601,0)),DESK!$L$2:$L$601,1)-1)&amp;" more",""))</f>
        <v/>
      </c>
      <c r="F50" s="28" t="str">
        <f>IF(B50="","",IF(C50="B",INDEX(DESK!$AD$2:$AD$601,MATCH(42,DESK!$AR$2:$AR$601,0)),""))</f>
        <v/>
      </c>
      <c r="G50" s="28" t="str">
        <f>IF(B50="","",INDEX(DESK!$AV$2:$AV$601,MATCH(42,DESK!$AR$2:$AR$601,0)))</f>
        <v/>
      </c>
      <c r="I50" s="21"/>
      <c r="J50" s="20"/>
      <c r="K50" s="20"/>
      <c r="L50" s="20"/>
      <c r="M50" s="23" t="str">
        <f t="shared" si="0"/>
        <v/>
      </c>
    </row>
    <row r="51" spans="1:13" x14ac:dyDescent="0.35">
      <c r="A51" s="28">
        <v>43</v>
      </c>
      <c r="B51" s="43" t="str">
        <f>IF(SETTINGS!$B$22&lt;&gt;"YES","",IFERROR(IF(OR($J$3="Everyone",INDEX(DESK!$AV$2:$AV$601,MATCH(43,DESK!$AR$2:$AR$601,0))="SEND"),"91"&amp;INDEX(DESK!$F$2:$F$601,MATCH(43,DESK!$AR$2:$AR$601,0)),""),""))</f>
        <v/>
      </c>
      <c r="C51" s="28" t="str">
        <f>IF(B51="","",IF(INDEX(DESK!$AC$2:$AC$601,MATCH(43,DESK!$AR$2:$AR$601,0))="YES","A","B"))</f>
        <v/>
      </c>
      <c r="D51" s="28" t="str">
        <f>IF(B51="","",INDEX(DESK!$AQ$2:$AQ$601,MATCH(43,DESK!$AR$2:$AR$601,0)))</f>
        <v/>
      </c>
      <c r="E51" s="28" t="str">
        <f>IF(B51="","",INDEX(DESK!$B$2:$B$601,MATCH(43,DESK!$AR$2:$AR$601,0))&amp;IF(COUNTIFS(DESK!$F$2:$F$601,INDEX(DESK!$F$2:$F$601,MATCH(43,DESK!$AR$2:$AR$601,0)),DESK!$L$2:$L$601,1)&gt;1," and "&amp;(COUNTIFS(DESK!$F$2:$F$601,INDEX(DESK!$F$2:$F$601,MATCH(43,DESK!$AR$2:$AR$601,0)),DESK!$L$2:$L$601,1)-1)&amp;" more",""))</f>
        <v/>
      </c>
      <c r="F51" s="28" t="str">
        <f>IF(B51="","",IF(C51="B",INDEX(DESK!$AD$2:$AD$601,MATCH(43,DESK!$AR$2:$AR$601,0)),""))</f>
        <v/>
      </c>
      <c r="G51" s="28" t="str">
        <f>IF(B51="","",INDEX(DESK!$AV$2:$AV$601,MATCH(43,DESK!$AR$2:$AR$601,0)))</f>
        <v/>
      </c>
      <c r="I51" s="21"/>
      <c r="J51" s="20"/>
      <c r="K51" s="20"/>
      <c r="L51" s="20"/>
      <c r="M51" s="23" t="str">
        <f t="shared" si="0"/>
        <v/>
      </c>
    </row>
    <row r="52" spans="1:13" x14ac:dyDescent="0.35">
      <c r="A52" s="28">
        <v>44</v>
      </c>
      <c r="B52" s="43" t="str">
        <f>IF(SETTINGS!$B$22&lt;&gt;"YES","",IFERROR(IF(OR($J$3="Everyone",INDEX(DESK!$AV$2:$AV$601,MATCH(44,DESK!$AR$2:$AR$601,0))="SEND"),"91"&amp;INDEX(DESK!$F$2:$F$601,MATCH(44,DESK!$AR$2:$AR$601,0)),""),""))</f>
        <v/>
      </c>
      <c r="C52" s="28" t="str">
        <f>IF(B52="","",IF(INDEX(DESK!$AC$2:$AC$601,MATCH(44,DESK!$AR$2:$AR$601,0))="YES","A","B"))</f>
        <v/>
      </c>
      <c r="D52" s="28" t="str">
        <f>IF(B52="","",INDEX(DESK!$AQ$2:$AQ$601,MATCH(44,DESK!$AR$2:$AR$601,0)))</f>
        <v/>
      </c>
      <c r="E52" s="28" t="str">
        <f>IF(B52="","",INDEX(DESK!$B$2:$B$601,MATCH(44,DESK!$AR$2:$AR$601,0))&amp;IF(COUNTIFS(DESK!$F$2:$F$601,INDEX(DESK!$F$2:$F$601,MATCH(44,DESK!$AR$2:$AR$601,0)),DESK!$L$2:$L$601,1)&gt;1," and "&amp;(COUNTIFS(DESK!$F$2:$F$601,INDEX(DESK!$F$2:$F$601,MATCH(44,DESK!$AR$2:$AR$601,0)),DESK!$L$2:$L$601,1)-1)&amp;" more",""))</f>
        <v/>
      </c>
      <c r="F52" s="28" t="str">
        <f>IF(B52="","",IF(C52="B",INDEX(DESK!$AD$2:$AD$601,MATCH(44,DESK!$AR$2:$AR$601,0)),""))</f>
        <v/>
      </c>
      <c r="G52" s="28" t="str">
        <f>IF(B52="","",INDEX(DESK!$AV$2:$AV$601,MATCH(44,DESK!$AR$2:$AR$601,0)))</f>
        <v/>
      </c>
      <c r="I52" s="21"/>
      <c r="J52" s="20"/>
      <c r="K52" s="20"/>
      <c r="L52" s="20"/>
      <c r="M52" s="23" t="str">
        <f t="shared" si="0"/>
        <v/>
      </c>
    </row>
    <row r="53" spans="1:13" x14ac:dyDescent="0.35">
      <c r="A53" s="28">
        <v>45</v>
      </c>
      <c r="B53" s="43" t="str">
        <f>IF(SETTINGS!$B$22&lt;&gt;"YES","",IFERROR(IF(OR($J$3="Everyone",INDEX(DESK!$AV$2:$AV$601,MATCH(45,DESK!$AR$2:$AR$601,0))="SEND"),"91"&amp;INDEX(DESK!$F$2:$F$601,MATCH(45,DESK!$AR$2:$AR$601,0)),""),""))</f>
        <v/>
      </c>
      <c r="C53" s="28" t="str">
        <f>IF(B53="","",IF(INDEX(DESK!$AC$2:$AC$601,MATCH(45,DESK!$AR$2:$AR$601,0))="YES","A","B"))</f>
        <v/>
      </c>
      <c r="D53" s="28" t="str">
        <f>IF(B53="","",INDEX(DESK!$AQ$2:$AQ$601,MATCH(45,DESK!$AR$2:$AR$601,0)))</f>
        <v/>
      </c>
      <c r="E53" s="28" t="str">
        <f>IF(B53="","",INDEX(DESK!$B$2:$B$601,MATCH(45,DESK!$AR$2:$AR$601,0))&amp;IF(COUNTIFS(DESK!$F$2:$F$601,INDEX(DESK!$F$2:$F$601,MATCH(45,DESK!$AR$2:$AR$601,0)),DESK!$L$2:$L$601,1)&gt;1," and "&amp;(COUNTIFS(DESK!$F$2:$F$601,INDEX(DESK!$F$2:$F$601,MATCH(45,DESK!$AR$2:$AR$601,0)),DESK!$L$2:$L$601,1)-1)&amp;" more",""))</f>
        <v/>
      </c>
      <c r="F53" s="28" t="str">
        <f>IF(B53="","",IF(C53="B",INDEX(DESK!$AD$2:$AD$601,MATCH(45,DESK!$AR$2:$AR$601,0)),""))</f>
        <v/>
      </c>
      <c r="G53" s="28" t="str">
        <f>IF(B53="","",INDEX(DESK!$AV$2:$AV$601,MATCH(45,DESK!$AR$2:$AR$601,0)))</f>
        <v/>
      </c>
      <c r="I53" s="21"/>
      <c r="J53" s="20"/>
      <c r="K53" s="20"/>
      <c r="L53" s="20"/>
      <c r="M53" s="23" t="str">
        <f t="shared" si="0"/>
        <v/>
      </c>
    </row>
    <row r="54" spans="1:13" x14ac:dyDescent="0.35">
      <c r="A54" s="28">
        <v>46</v>
      </c>
      <c r="B54" s="43" t="str">
        <f>IF(SETTINGS!$B$22&lt;&gt;"YES","",IFERROR(IF(OR($J$3="Everyone",INDEX(DESK!$AV$2:$AV$601,MATCH(46,DESK!$AR$2:$AR$601,0))="SEND"),"91"&amp;INDEX(DESK!$F$2:$F$601,MATCH(46,DESK!$AR$2:$AR$601,0)),""),""))</f>
        <v/>
      </c>
      <c r="C54" s="28" t="str">
        <f>IF(B54="","",IF(INDEX(DESK!$AC$2:$AC$601,MATCH(46,DESK!$AR$2:$AR$601,0))="YES","A","B"))</f>
        <v/>
      </c>
      <c r="D54" s="28" t="str">
        <f>IF(B54="","",INDEX(DESK!$AQ$2:$AQ$601,MATCH(46,DESK!$AR$2:$AR$601,0)))</f>
        <v/>
      </c>
      <c r="E54" s="28" t="str">
        <f>IF(B54="","",INDEX(DESK!$B$2:$B$601,MATCH(46,DESK!$AR$2:$AR$601,0))&amp;IF(COUNTIFS(DESK!$F$2:$F$601,INDEX(DESK!$F$2:$F$601,MATCH(46,DESK!$AR$2:$AR$601,0)),DESK!$L$2:$L$601,1)&gt;1," and "&amp;(COUNTIFS(DESK!$F$2:$F$601,INDEX(DESK!$F$2:$F$601,MATCH(46,DESK!$AR$2:$AR$601,0)),DESK!$L$2:$L$601,1)-1)&amp;" more",""))</f>
        <v/>
      </c>
      <c r="F54" s="28" t="str">
        <f>IF(B54="","",IF(C54="B",INDEX(DESK!$AD$2:$AD$601,MATCH(46,DESK!$AR$2:$AR$601,0)),""))</f>
        <v/>
      </c>
      <c r="G54" s="28" t="str">
        <f>IF(B54="","",INDEX(DESK!$AV$2:$AV$601,MATCH(46,DESK!$AR$2:$AR$601,0)))</f>
        <v/>
      </c>
      <c r="I54" s="21"/>
      <c r="J54" s="20"/>
      <c r="K54" s="20"/>
      <c r="L54" s="20"/>
      <c r="M54" s="23" t="str">
        <f t="shared" si="0"/>
        <v/>
      </c>
    </row>
    <row r="55" spans="1:13" x14ac:dyDescent="0.35">
      <c r="A55" s="28">
        <v>47</v>
      </c>
      <c r="B55" s="43" t="str">
        <f>IF(SETTINGS!$B$22&lt;&gt;"YES","",IFERROR(IF(OR($J$3="Everyone",INDEX(DESK!$AV$2:$AV$601,MATCH(47,DESK!$AR$2:$AR$601,0))="SEND"),"91"&amp;INDEX(DESK!$F$2:$F$601,MATCH(47,DESK!$AR$2:$AR$601,0)),""),""))</f>
        <v/>
      </c>
      <c r="C55" s="28" t="str">
        <f>IF(B55="","",IF(INDEX(DESK!$AC$2:$AC$601,MATCH(47,DESK!$AR$2:$AR$601,0))="YES","A","B"))</f>
        <v/>
      </c>
      <c r="D55" s="28" t="str">
        <f>IF(B55="","",INDEX(DESK!$AQ$2:$AQ$601,MATCH(47,DESK!$AR$2:$AR$601,0)))</f>
        <v/>
      </c>
      <c r="E55" s="28" t="str">
        <f>IF(B55="","",INDEX(DESK!$B$2:$B$601,MATCH(47,DESK!$AR$2:$AR$601,0))&amp;IF(COUNTIFS(DESK!$F$2:$F$601,INDEX(DESK!$F$2:$F$601,MATCH(47,DESK!$AR$2:$AR$601,0)),DESK!$L$2:$L$601,1)&gt;1," and "&amp;(COUNTIFS(DESK!$F$2:$F$601,INDEX(DESK!$F$2:$F$601,MATCH(47,DESK!$AR$2:$AR$601,0)),DESK!$L$2:$L$601,1)-1)&amp;" more",""))</f>
        <v/>
      </c>
      <c r="F55" s="28" t="str">
        <f>IF(B55="","",IF(C55="B",INDEX(DESK!$AD$2:$AD$601,MATCH(47,DESK!$AR$2:$AR$601,0)),""))</f>
        <v/>
      </c>
      <c r="G55" s="28" t="str">
        <f>IF(B55="","",INDEX(DESK!$AV$2:$AV$601,MATCH(47,DESK!$AR$2:$AR$601,0)))</f>
        <v/>
      </c>
      <c r="I55" s="21"/>
      <c r="J55" s="20"/>
      <c r="K55" s="20"/>
      <c r="L55" s="20"/>
      <c r="M55" s="23" t="str">
        <f t="shared" si="0"/>
        <v/>
      </c>
    </row>
    <row r="56" spans="1:13" x14ac:dyDescent="0.35">
      <c r="A56" s="28">
        <v>48</v>
      </c>
      <c r="B56" s="43" t="str">
        <f>IF(SETTINGS!$B$22&lt;&gt;"YES","",IFERROR(IF(OR($J$3="Everyone",INDEX(DESK!$AV$2:$AV$601,MATCH(48,DESK!$AR$2:$AR$601,0))="SEND"),"91"&amp;INDEX(DESK!$F$2:$F$601,MATCH(48,DESK!$AR$2:$AR$601,0)),""),""))</f>
        <v/>
      </c>
      <c r="C56" s="28" t="str">
        <f>IF(B56="","",IF(INDEX(DESK!$AC$2:$AC$601,MATCH(48,DESK!$AR$2:$AR$601,0))="YES","A","B"))</f>
        <v/>
      </c>
      <c r="D56" s="28" t="str">
        <f>IF(B56="","",INDEX(DESK!$AQ$2:$AQ$601,MATCH(48,DESK!$AR$2:$AR$601,0)))</f>
        <v/>
      </c>
      <c r="E56" s="28" t="str">
        <f>IF(B56="","",INDEX(DESK!$B$2:$B$601,MATCH(48,DESK!$AR$2:$AR$601,0))&amp;IF(COUNTIFS(DESK!$F$2:$F$601,INDEX(DESK!$F$2:$F$601,MATCH(48,DESK!$AR$2:$AR$601,0)),DESK!$L$2:$L$601,1)&gt;1," and "&amp;(COUNTIFS(DESK!$F$2:$F$601,INDEX(DESK!$F$2:$F$601,MATCH(48,DESK!$AR$2:$AR$601,0)),DESK!$L$2:$L$601,1)-1)&amp;" more",""))</f>
        <v/>
      </c>
      <c r="F56" s="28" t="str">
        <f>IF(B56="","",IF(C56="B",INDEX(DESK!$AD$2:$AD$601,MATCH(48,DESK!$AR$2:$AR$601,0)),""))</f>
        <v/>
      </c>
      <c r="G56" s="28" t="str">
        <f>IF(B56="","",INDEX(DESK!$AV$2:$AV$601,MATCH(48,DESK!$AR$2:$AR$601,0)))</f>
        <v/>
      </c>
      <c r="I56" s="21"/>
      <c r="J56" s="20"/>
      <c r="K56" s="20"/>
      <c r="L56" s="20"/>
      <c r="M56" s="23" t="str">
        <f t="shared" si="0"/>
        <v/>
      </c>
    </row>
    <row r="57" spans="1:13" x14ac:dyDescent="0.35">
      <c r="A57" s="28">
        <v>49</v>
      </c>
      <c r="B57" s="43" t="str">
        <f>IF(SETTINGS!$B$22&lt;&gt;"YES","",IFERROR(IF(OR($J$3="Everyone",INDEX(DESK!$AV$2:$AV$601,MATCH(49,DESK!$AR$2:$AR$601,0))="SEND"),"91"&amp;INDEX(DESK!$F$2:$F$601,MATCH(49,DESK!$AR$2:$AR$601,0)),""),""))</f>
        <v/>
      </c>
      <c r="C57" s="28" t="str">
        <f>IF(B57="","",IF(INDEX(DESK!$AC$2:$AC$601,MATCH(49,DESK!$AR$2:$AR$601,0))="YES","A","B"))</f>
        <v/>
      </c>
      <c r="D57" s="28" t="str">
        <f>IF(B57="","",INDEX(DESK!$AQ$2:$AQ$601,MATCH(49,DESK!$AR$2:$AR$601,0)))</f>
        <v/>
      </c>
      <c r="E57" s="28" t="str">
        <f>IF(B57="","",INDEX(DESK!$B$2:$B$601,MATCH(49,DESK!$AR$2:$AR$601,0))&amp;IF(COUNTIFS(DESK!$F$2:$F$601,INDEX(DESK!$F$2:$F$601,MATCH(49,DESK!$AR$2:$AR$601,0)),DESK!$L$2:$L$601,1)&gt;1," and "&amp;(COUNTIFS(DESK!$F$2:$F$601,INDEX(DESK!$F$2:$F$601,MATCH(49,DESK!$AR$2:$AR$601,0)),DESK!$L$2:$L$601,1)-1)&amp;" more",""))</f>
        <v/>
      </c>
      <c r="F57" s="28" t="str">
        <f>IF(B57="","",IF(C57="B",INDEX(DESK!$AD$2:$AD$601,MATCH(49,DESK!$AR$2:$AR$601,0)),""))</f>
        <v/>
      </c>
      <c r="G57" s="28" t="str">
        <f>IF(B57="","",INDEX(DESK!$AV$2:$AV$601,MATCH(49,DESK!$AR$2:$AR$601,0)))</f>
        <v/>
      </c>
      <c r="I57" s="21"/>
      <c r="J57" s="20"/>
      <c r="K57" s="20"/>
      <c r="L57" s="20"/>
      <c r="M57" s="23" t="str">
        <f t="shared" si="0"/>
        <v/>
      </c>
    </row>
    <row r="58" spans="1:13" x14ac:dyDescent="0.35">
      <c r="A58" s="28">
        <v>50</v>
      </c>
      <c r="B58" s="43" t="str">
        <f>IF(SETTINGS!$B$22&lt;&gt;"YES","",IFERROR(IF(OR($J$3="Everyone",INDEX(DESK!$AV$2:$AV$601,MATCH(50,DESK!$AR$2:$AR$601,0))="SEND"),"91"&amp;INDEX(DESK!$F$2:$F$601,MATCH(50,DESK!$AR$2:$AR$601,0)),""),""))</f>
        <v/>
      </c>
      <c r="C58" s="28" t="str">
        <f>IF(B58="","",IF(INDEX(DESK!$AC$2:$AC$601,MATCH(50,DESK!$AR$2:$AR$601,0))="YES","A","B"))</f>
        <v/>
      </c>
      <c r="D58" s="28" t="str">
        <f>IF(B58="","",INDEX(DESK!$AQ$2:$AQ$601,MATCH(50,DESK!$AR$2:$AR$601,0)))</f>
        <v/>
      </c>
      <c r="E58" s="28" t="str">
        <f>IF(B58="","",INDEX(DESK!$B$2:$B$601,MATCH(50,DESK!$AR$2:$AR$601,0))&amp;IF(COUNTIFS(DESK!$F$2:$F$601,INDEX(DESK!$F$2:$F$601,MATCH(50,DESK!$AR$2:$AR$601,0)),DESK!$L$2:$L$601,1)&gt;1," and "&amp;(COUNTIFS(DESK!$F$2:$F$601,INDEX(DESK!$F$2:$F$601,MATCH(50,DESK!$AR$2:$AR$601,0)),DESK!$L$2:$L$601,1)-1)&amp;" more",""))</f>
        <v/>
      </c>
      <c r="F58" s="28" t="str">
        <f>IF(B58="","",IF(C58="B",INDEX(DESK!$AD$2:$AD$601,MATCH(50,DESK!$AR$2:$AR$601,0)),""))</f>
        <v/>
      </c>
      <c r="G58" s="28" t="str">
        <f>IF(B58="","",INDEX(DESK!$AV$2:$AV$601,MATCH(50,DESK!$AR$2:$AR$601,0)))</f>
        <v/>
      </c>
      <c r="I58" s="21"/>
      <c r="J58" s="20"/>
      <c r="K58" s="20"/>
      <c r="L58" s="20"/>
      <c r="M58" s="23" t="str">
        <f t="shared" si="0"/>
        <v/>
      </c>
    </row>
    <row r="59" spans="1:13" x14ac:dyDescent="0.35">
      <c r="A59" s="28">
        <v>51</v>
      </c>
      <c r="B59" s="43" t="str">
        <f>IF(SETTINGS!$B$22&lt;&gt;"YES","",IFERROR(IF(OR($J$3="Everyone",INDEX(DESK!$AV$2:$AV$601,MATCH(51,DESK!$AR$2:$AR$601,0))="SEND"),"91"&amp;INDEX(DESK!$F$2:$F$601,MATCH(51,DESK!$AR$2:$AR$601,0)),""),""))</f>
        <v/>
      </c>
      <c r="C59" s="28" t="str">
        <f>IF(B59="","",IF(INDEX(DESK!$AC$2:$AC$601,MATCH(51,DESK!$AR$2:$AR$601,0))="YES","A","B"))</f>
        <v/>
      </c>
      <c r="D59" s="28" t="str">
        <f>IF(B59="","",INDEX(DESK!$AQ$2:$AQ$601,MATCH(51,DESK!$AR$2:$AR$601,0)))</f>
        <v/>
      </c>
      <c r="E59" s="28" t="str">
        <f>IF(B59="","",INDEX(DESK!$B$2:$B$601,MATCH(51,DESK!$AR$2:$AR$601,0))&amp;IF(COUNTIFS(DESK!$F$2:$F$601,INDEX(DESK!$F$2:$F$601,MATCH(51,DESK!$AR$2:$AR$601,0)),DESK!$L$2:$L$601,1)&gt;1," and "&amp;(COUNTIFS(DESK!$F$2:$F$601,INDEX(DESK!$F$2:$F$601,MATCH(51,DESK!$AR$2:$AR$601,0)),DESK!$L$2:$L$601,1)-1)&amp;" more",""))</f>
        <v/>
      </c>
      <c r="F59" s="28" t="str">
        <f>IF(B59="","",IF(C59="B",INDEX(DESK!$AD$2:$AD$601,MATCH(51,DESK!$AR$2:$AR$601,0)),""))</f>
        <v/>
      </c>
      <c r="G59" s="28" t="str">
        <f>IF(B59="","",INDEX(DESK!$AV$2:$AV$601,MATCH(51,DESK!$AR$2:$AR$601,0)))</f>
        <v/>
      </c>
      <c r="I59" s="21"/>
      <c r="J59" s="20"/>
      <c r="K59" s="20"/>
      <c r="L59" s="20"/>
      <c r="M59" s="23" t="str">
        <f t="shared" si="0"/>
        <v/>
      </c>
    </row>
    <row r="60" spans="1:13" x14ac:dyDescent="0.35">
      <c r="A60" s="28">
        <v>52</v>
      </c>
      <c r="B60" s="43" t="str">
        <f>IF(SETTINGS!$B$22&lt;&gt;"YES","",IFERROR(IF(OR($J$3="Everyone",INDEX(DESK!$AV$2:$AV$601,MATCH(52,DESK!$AR$2:$AR$601,0))="SEND"),"91"&amp;INDEX(DESK!$F$2:$F$601,MATCH(52,DESK!$AR$2:$AR$601,0)),""),""))</f>
        <v/>
      </c>
      <c r="C60" s="28" t="str">
        <f>IF(B60="","",IF(INDEX(DESK!$AC$2:$AC$601,MATCH(52,DESK!$AR$2:$AR$601,0))="YES","A","B"))</f>
        <v/>
      </c>
      <c r="D60" s="28" t="str">
        <f>IF(B60="","",INDEX(DESK!$AQ$2:$AQ$601,MATCH(52,DESK!$AR$2:$AR$601,0)))</f>
        <v/>
      </c>
      <c r="E60" s="28" t="str">
        <f>IF(B60="","",INDEX(DESK!$B$2:$B$601,MATCH(52,DESK!$AR$2:$AR$601,0))&amp;IF(COUNTIFS(DESK!$F$2:$F$601,INDEX(DESK!$F$2:$F$601,MATCH(52,DESK!$AR$2:$AR$601,0)),DESK!$L$2:$L$601,1)&gt;1," and "&amp;(COUNTIFS(DESK!$F$2:$F$601,INDEX(DESK!$F$2:$F$601,MATCH(52,DESK!$AR$2:$AR$601,0)),DESK!$L$2:$L$601,1)-1)&amp;" more",""))</f>
        <v/>
      </c>
      <c r="F60" s="28" t="str">
        <f>IF(B60="","",IF(C60="B",INDEX(DESK!$AD$2:$AD$601,MATCH(52,DESK!$AR$2:$AR$601,0)),""))</f>
        <v/>
      </c>
      <c r="G60" s="28" t="str">
        <f>IF(B60="","",INDEX(DESK!$AV$2:$AV$601,MATCH(52,DESK!$AR$2:$AR$601,0)))</f>
        <v/>
      </c>
      <c r="I60" s="21"/>
      <c r="J60" s="20"/>
      <c r="K60" s="20"/>
      <c r="L60" s="20"/>
      <c r="M60" s="23" t="str">
        <f t="shared" si="0"/>
        <v/>
      </c>
    </row>
    <row r="61" spans="1:13" x14ac:dyDescent="0.35">
      <c r="A61" s="28">
        <v>53</v>
      </c>
      <c r="B61" s="43" t="str">
        <f>IF(SETTINGS!$B$22&lt;&gt;"YES","",IFERROR(IF(OR($J$3="Everyone",INDEX(DESK!$AV$2:$AV$601,MATCH(53,DESK!$AR$2:$AR$601,0))="SEND"),"91"&amp;INDEX(DESK!$F$2:$F$601,MATCH(53,DESK!$AR$2:$AR$601,0)),""),""))</f>
        <v/>
      </c>
      <c r="C61" s="28" t="str">
        <f>IF(B61="","",IF(INDEX(DESK!$AC$2:$AC$601,MATCH(53,DESK!$AR$2:$AR$601,0))="YES","A","B"))</f>
        <v/>
      </c>
      <c r="D61" s="28" t="str">
        <f>IF(B61="","",INDEX(DESK!$AQ$2:$AQ$601,MATCH(53,DESK!$AR$2:$AR$601,0)))</f>
        <v/>
      </c>
      <c r="E61" s="28" t="str">
        <f>IF(B61="","",INDEX(DESK!$B$2:$B$601,MATCH(53,DESK!$AR$2:$AR$601,0))&amp;IF(COUNTIFS(DESK!$F$2:$F$601,INDEX(DESK!$F$2:$F$601,MATCH(53,DESK!$AR$2:$AR$601,0)),DESK!$L$2:$L$601,1)&gt;1," and "&amp;(COUNTIFS(DESK!$F$2:$F$601,INDEX(DESK!$F$2:$F$601,MATCH(53,DESK!$AR$2:$AR$601,0)),DESK!$L$2:$L$601,1)-1)&amp;" more",""))</f>
        <v/>
      </c>
      <c r="F61" s="28" t="str">
        <f>IF(B61="","",IF(C61="B",INDEX(DESK!$AD$2:$AD$601,MATCH(53,DESK!$AR$2:$AR$601,0)),""))</f>
        <v/>
      </c>
      <c r="G61" s="28" t="str">
        <f>IF(B61="","",INDEX(DESK!$AV$2:$AV$601,MATCH(53,DESK!$AR$2:$AR$601,0)))</f>
        <v/>
      </c>
      <c r="I61" s="21"/>
      <c r="J61" s="20"/>
      <c r="K61" s="20"/>
      <c r="L61" s="20"/>
      <c r="M61" s="23" t="str">
        <f t="shared" si="0"/>
        <v/>
      </c>
    </row>
    <row r="62" spans="1:13" x14ac:dyDescent="0.35">
      <c r="A62" s="28">
        <v>54</v>
      </c>
      <c r="B62" s="43" t="str">
        <f>IF(SETTINGS!$B$22&lt;&gt;"YES","",IFERROR(IF(OR($J$3="Everyone",INDEX(DESK!$AV$2:$AV$601,MATCH(54,DESK!$AR$2:$AR$601,0))="SEND"),"91"&amp;INDEX(DESK!$F$2:$F$601,MATCH(54,DESK!$AR$2:$AR$601,0)),""),""))</f>
        <v/>
      </c>
      <c r="C62" s="28" t="str">
        <f>IF(B62="","",IF(INDEX(DESK!$AC$2:$AC$601,MATCH(54,DESK!$AR$2:$AR$601,0))="YES","A","B"))</f>
        <v/>
      </c>
      <c r="D62" s="28" t="str">
        <f>IF(B62="","",INDEX(DESK!$AQ$2:$AQ$601,MATCH(54,DESK!$AR$2:$AR$601,0)))</f>
        <v/>
      </c>
      <c r="E62" s="28" t="str">
        <f>IF(B62="","",INDEX(DESK!$B$2:$B$601,MATCH(54,DESK!$AR$2:$AR$601,0))&amp;IF(COUNTIFS(DESK!$F$2:$F$601,INDEX(DESK!$F$2:$F$601,MATCH(54,DESK!$AR$2:$AR$601,0)),DESK!$L$2:$L$601,1)&gt;1," and "&amp;(COUNTIFS(DESK!$F$2:$F$601,INDEX(DESK!$F$2:$F$601,MATCH(54,DESK!$AR$2:$AR$601,0)),DESK!$L$2:$L$601,1)-1)&amp;" more",""))</f>
        <v/>
      </c>
      <c r="F62" s="28" t="str">
        <f>IF(B62="","",IF(C62="B",INDEX(DESK!$AD$2:$AD$601,MATCH(54,DESK!$AR$2:$AR$601,0)),""))</f>
        <v/>
      </c>
      <c r="G62" s="28" t="str">
        <f>IF(B62="","",INDEX(DESK!$AV$2:$AV$601,MATCH(54,DESK!$AR$2:$AR$601,0)))</f>
        <v/>
      </c>
      <c r="I62" s="21"/>
      <c r="J62" s="20"/>
      <c r="K62" s="20"/>
      <c r="L62" s="20"/>
      <c r="M62" s="23" t="str">
        <f t="shared" si="0"/>
        <v/>
      </c>
    </row>
    <row r="63" spans="1:13" x14ac:dyDescent="0.35">
      <c r="A63" s="28">
        <v>55</v>
      </c>
      <c r="B63" s="43" t="str">
        <f>IF(SETTINGS!$B$22&lt;&gt;"YES","",IFERROR(IF(OR($J$3="Everyone",INDEX(DESK!$AV$2:$AV$601,MATCH(55,DESK!$AR$2:$AR$601,0))="SEND"),"91"&amp;INDEX(DESK!$F$2:$F$601,MATCH(55,DESK!$AR$2:$AR$601,0)),""),""))</f>
        <v/>
      </c>
      <c r="C63" s="28" t="str">
        <f>IF(B63="","",IF(INDEX(DESK!$AC$2:$AC$601,MATCH(55,DESK!$AR$2:$AR$601,0))="YES","A","B"))</f>
        <v/>
      </c>
      <c r="D63" s="28" t="str">
        <f>IF(B63="","",INDEX(DESK!$AQ$2:$AQ$601,MATCH(55,DESK!$AR$2:$AR$601,0)))</f>
        <v/>
      </c>
      <c r="E63" s="28" t="str">
        <f>IF(B63="","",INDEX(DESK!$B$2:$B$601,MATCH(55,DESK!$AR$2:$AR$601,0))&amp;IF(COUNTIFS(DESK!$F$2:$F$601,INDEX(DESK!$F$2:$F$601,MATCH(55,DESK!$AR$2:$AR$601,0)),DESK!$L$2:$L$601,1)&gt;1," and "&amp;(COUNTIFS(DESK!$F$2:$F$601,INDEX(DESK!$F$2:$F$601,MATCH(55,DESK!$AR$2:$AR$601,0)),DESK!$L$2:$L$601,1)-1)&amp;" more",""))</f>
        <v/>
      </c>
      <c r="F63" s="28" t="str">
        <f>IF(B63="","",IF(C63="B",INDEX(DESK!$AD$2:$AD$601,MATCH(55,DESK!$AR$2:$AR$601,0)),""))</f>
        <v/>
      </c>
      <c r="G63" s="28" t="str">
        <f>IF(B63="","",INDEX(DESK!$AV$2:$AV$601,MATCH(55,DESK!$AR$2:$AR$601,0)))</f>
        <v/>
      </c>
      <c r="I63" s="21"/>
      <c r="J63" s="20"/>
      <c r="K63" s="20"/>
      <c r="L63" s="20"/>
      <c r="M63" s="23" t="str">
        <f t="shared" si="0"/>
        <v/>
      </c>
    </row>
    <row r="64" spans="1:13" x14ac:dyDescent="0.35">
      <c r="A64" s="28">
        <v>56</v>
      </c>
      <c r="B64" s="43" t="str">
        <f>IF(SETTINGS!$B$22&lt;&gt;"YES","",IFERROR(IF(OR($J$3="Everyone",INDEX(DESK!$AV$2:$AV$601,MATCH(56,DESK!$AR$2:$AR$601,0))="SEND"),"91"&amp;INDEX(DESK!$F$2:$F$601,MATCH(56,DESK!$AR$2:$AR$601,0)),""),""))</f>
        <v/>
      </c>
      <c r="C64" s="28" t="str">
        <f>IF(B64="","",IF(INDEX(DESK!$AC$2:$AC$601,MATCH(56,DESK!$AR$2:$AR$601,0))="YES","A","B"))</f>
        <v/>
      </c>
      <c r="D64" s="28" t="str">
        <f>IF(B64="","",INDEX(DESK!$AQ$2:$AQ$601,MATCH(56,DESK!$AR$2:$AR$601,0)))</f>
        <v/>
      </c>
      <c r="E64" s="28" t="str">
        <f>IF(B64="","",INDEX(DESK!$B$2:$B$601,MATCH(56,DESK!$AR$2:$AR$601,0))&amp;IF(COUNTIFS(DESK!$F$2:$F$601,INDEX(DESK!$F$2:$F$601,MATCH(56,DESK!$AR$2:$AR$601,0)),DESK!$L$2:$L$601,1)&gt;1," and "&amp;(COUNTIFS(DESK!$F$2:$F$601,INDEX(DESK!$F$2:$F$601,MATCH(56,DESK!$AR$2:$AR$601,0)),DESK!$L$2:$L$601,1)-1)&amp;" more",""))</f>
        <v/>
      </c>
      <c r="F64" s="28" t="str">
        <f>IF(B64="","",IF(C64="B",INDEX(DESK!$AD$2:$AD$601,MATCH(56,DESK!$AR$2:$AR$601,0)),""))</f>
        <v/>
      </c>
      <c r="G64" s="28" t="str">
        <f>IF(B64="","",INDEX(DESK!$AV$2:$AV$601,MATCH(56,DESK!$AR$2:$AR$601,0)))</f>
        <v/>
      </c>
      <c r="I64" s="21"/>
      <c r="J64" s="20"/>
      <c r="K64" s="20"/>
      <c r="L64" s="20"/>
      <c r="M64" s="23" t="str">
        <f t="shared" si="0"/>
        <v/>
      </c>
    </row>
    <row r="65" spans="1:13" x14ac:dyDescent="0.35">
      <c r="A65" s="28">
        <v>57</v>
      </c>
      <c r="B65" s="43" t="str">
        <f>IF(SETTINGS!$B$22&lt;&gt;"YES","",IFERROR(IF(OR($J$3="Everyone",INDEX(DESK!$AV$2:$AV$601,MATCH(57,DESK!$AR$2:$AR$601,0))="SEND"),"91"&amp;INDEX(DESK!$F$2:$F$601,MATCH(57,DESK!$AR$2:$AR$601,0)),""),""))</f>
        <v/>
      </c>
      <c r="C65" s="28" t="str">
        <f>IF(B65="","",IF(INDEX(DESK!$AC$2:$AC$601,MATCH(57,DESK!$AR$2:$AR$601,0))="YES","A","B"))</f>
        <v/>
      </c>
      <c r="D65" s="28" t="str">
        <f>IF(B65="","",INDEX(DESK!$AQ$2:$AQ$601,MATCH(57,DESK!$AR$2:$AR$601,0)))</f>
        <v/>
      </c>
      <c r="E65" s="28" t="str">
        <f>IF(B65="","",INDEX(DESK!$B$2:$B$601,MATCH(57,DESK!$AR$2:$AR$601,0))&amp;IF(COUNTIFS(DESK!$F$2:$F$601,INDEX(DESK!$F$2:$F$601,MATCH(57,DESK!$AR$2:$AR$601,0)),DESK!$L$2:$L$601,1)&gt;1," and "&amp;(COUNTIFS(DESK!$F$2:$F$601,INDEX(DESK!$F$2:$F$601,MATCH(57,DESK!$AR$2:$AR$601,0)),DESK!$L$2:$L$601,1)-1)&amp;" more",""))</f>
        <v/>
      </c>
      <c r="F65" s="28" t="str">
        <f>IF(B65="","",IF(C65="B",INDEX(DESK!$AD$2:$AD$601,MATCH(57,DESK!$AR$2:$AR$601,0)),""))</f>
        <v/>
      </c>
      <c r="G65" s="28" t="str">
        <f>IF(B65="","",INDEX(DESK!$AV$2:$AV$601,MATCH(57,DESK!$AR$2:$AR$601,0)))</f>
        <v/>
      </c>
      <c r="I65" s="21"/>
      <c r="J65" s="20"/>
      <c r="K65" s="20"/>
      <c r="L65" s="20"/>
      <c r="M65" s="23" t="str">
        <f t="shared" si="0"/>
        <v/>
      </c>
    </row>
    <row r="66" spans="1:13" x14ac:dyDescent="0.35">
      <c r="A66" s="28">
        <v>58</v>
      </c>
      <c r="B66" s="43" t="str">
        <f>IF(SETTINGS!$B$22&lt;&gt;"YES","",IFERROR(IF(OR($J$3="Everyone",INDEX(DESK!$AV$2:$AV$601,MATCH(58,DESK!$AR$2:$AR$601,0))="SEND"),"91"&amp;INDEX(DESK!$F$2:$F$601,MATCH(58,DESK!$AR$2:$AR$601,0)),""),""))</f>
        <v/>
      </c>
      <c r="C66" s="28" t="str">
        <f>IF(B66="","",IF(INDEX(DESK!$AC$2:$AC$601,MATCH(58,DESK!$AR$2:$AR$601,0))="YES","A","B"))</f>
        <v/>
      </c>
      <c r="D66" s="28" t="str">
        <f>IF(B66="","",INDEX(DESK!$AQ$2:$AQ$601,MATCH(58,DESK!$AR$2:$AR$601,0)))</f>
        <v/>
      </c>
      <c r="E66" s="28" t="str">
        <f>IF(B66="","",INDEX(DESK!$B$2:$B$601,MATCH(58,DESK!$AR$2:$AR$601,0))&amp;IF(COUNTIFS(DESK!$F$2:$F$601,INDEX(DESK!$F$2:$F$601,MATCH(58,DESK!$AR$2:$AR$601,0)),DESK!$L$2:$L$601,1)&gt;1," and "&amp;(COUNTIFS(DESK!$F$2:$F$601,INDEX(DESK!$F$2:$F$601,MATCH(58,DESK!$AR$2:$AR$601,0)),DESK!$L$2:$L$601,1)-1)&amp;" more",""))</f>
        <v/>
      </c>
      <c r="F66" s="28" t="str">
        <f>IF(B66="","",IF(C66="B",INDEX(DESK!$AD$2:$AD$601,MATCH(58,DESK!$AR$2:$AR$601,0)),""))</f>
        <v/>
      </c>
      <c r="G66" s="28" t="str">
        <f>IF(B66="","",INDEX(DESK!$AV$2:$AV$601,MATCH(58,DESK!$AR$2:$AR$601,0)))</f>
        <v/>
      </c>
      <c r="I66" s="21"/>
      <c r="J66" s="20"/>
      <c r="K66" s="20"/>
      <c r="L66" s="20"/>
      <c r="M66" s="23" t="str">
        <f t="shared" si="0"/>
        <v/>
      </c>
    </row>
    <row r="67" spans="1:13" x14ac:dyDescent="0.35">
      <c r="A67" s="28">
        <v>59</v>
      </c>
      <c r="B67" s="43" t="str">
        <f>IF(SETTINGS!$B$22&lt;&gt;"YES","",IFERROR(IF(OR($J$3="Everyone",INDEX(DESK!$AV$2:$AV$601,MATCH(59,DESK!$AR$2:$AR$601,0))="SEND"),"91"&amp;INDEX(DESK!$F$2:$F$601,MATCH(59,DESK!$AR$2:$AR$601,0)),""),""))</f>
        <v/>
      </c>
      <c r="C67" s="28" t="str">
        <f>IF(B67="","",IF(INDEX(DESK!$AC$2:$AC$601,MATCH(59,DESK!$AR$2:$AR$601,0))="YES","A","B"))</f>
        <v/>
      </c>
      <c r="D67" s="28" t="str">
        <f>IF(B67="","",INDEX(DESK!$AQ$2:$AQ$601,MATCH(59,DESK!$AR$2:$AR$601,0)))</f>
        <v/>
      </c>
      <c r="E67" s="28" t="str">
        <f>IF(B67="","",INDEX(DESK!$B$2:$B$601,MATCH(59,DESK!$AR$2:$AR$601,0))&amp;IF(COUNTIFS(DESK!$F$2:$F$601,INDEX(DESK!$F$2:$F$601,MATCH(59,DESK!$AR$2:$AR$601,0)),DESK!$L$2:$L$601,1)&gt;1," and "&amp;(COUNTIFS(DESK!$F$2:$F$601,INDEX(DESK!$F$2:$F$601,MATCH(59,DESK!$AR$2:$AR$601,0)),DESK!$L$2:$L$601,1)-1)&amp;" more",""))</f>
        <v/>
      </c>
      <c r="F67" s="28" t="str">
        <f>IF(B67="","",IF(C67="B",INDEX(DESK!$AD$2:$AD$601,MATCH(59,DESK!$AR$2:$AR$601,0)),""))</f>
        <v/>
      </c>
      <c r="G67" s="28" t="str">
        <f>IF(B67="","",INDEX(DESK!$AV$2:$AV$601,MATCH(59,DESK!$AR$2:$AR$601,0)))</f>
        <v/>
      </c>
      <c r="I67" s="21"/>
      <c r="J67" s="20"/>
      <c r="K67" s="20"/>
      <c r="L67" s="20"/>
      <c r="M67" s="23" t="str">
        <f t="shared" si="0"/>
        <v/>
      </c>
    </row>
    <row r="68" spans="1:13" x14ac:dyDescent="0.35">
      <c r="A68" s="28">
        <v>60</v>
      </c>
      <c r="B68" s="43" t="str">
        <f>IF(SETTINGS!$B$22&lt;&gt;"YES","",IFERROR(IF(OR($J$3="Everyone",INDEX(DESK!$AV$2:$AV$601,MATCH(60,DESK!$AR$2:$AR$601,0))="SEND"),"91"&amp;INDEX(DESK!$F$2:$F$601,MATCH(60,DESK!$AR$2:$AR$601,0)),""),""))</f>
        <v/>
      </c>
      <c r="C68" s="28" t="str">
        <f>IF(B68="","",IF(INDEX(DESK!$AC$2:$AC$601,MATCH(60,DESK!$AR$2:$AR$601,0))="YES","A","B"))</f>
        <v/>
      </c>
      <c r="D68" s="28" t="str">
        <f>IF(B68="","",INDEX(DESK!$AQ$2:$AQ$601,MATCH(60,DESK!$AR$2:$AR$601,0)))</f>
        <v/>
      </c>
      <c r="E68" s="28" t="str">
        <f>IF(B68="","",INDEX(DESK!$B$2:$B$601,MATCH(60,DESK!$AR$2:$AR$601,0))&amp;IF(COUNTIFS(DESK!$F$2:$F$601,INDEX(DESK!$F$2:$F$601,MATCH(60,DESK!$AR$2:$AR$601,0)),DESK!$L$2:$L$601,1)&gt;1," and "&amp;(COUNTIFS(DESK!$F$2:$F$601,INDEX(DESK!$F$2:$F$601,MATCH(60,DESK!$AR$2:$AR$601,0)),DESK!$L$2:$L$601,1)-1)&amp;" more",""))</f>
        <v/>
      </c>
      <c r="F68" s="28" t="str">
        <f>IF(B68="","",IF(C68="B",INDEX(DESK!$AD$2:$AD$601,MATCH(60,DESK!$AR$2:$AR$601,0)),""))</f>
        <v/>
      </c>
      <c r="G68" s="28" t="str">
        <f>IF(B68="","",INDEX(DESK!$AV$2:$AV$601,MATCH(60,DESK!$AR$2:$AR$601,0)))</f>
        <v/>
      </c>
      <c r="I68" s="21"/>
      <c r="J68" s="20"/>
      <c r="K68" s="20"/>
      <c r="L68" s="20"/>
      <c r="M68" s="23" t="str">
        <f t="shared" si="0"/>
        <v/>
      </c>
    </row>
    <row r="69" spans="1:13" x14ac:dyDescent="0.35">
      <c r="A69" s="28">
        <v>61</v>
      </c>
      <c r="B69" s="43" t="str">
        <f>IF(SETTINGS!$B$22&lt;&gt;"YES","",IFERROR(IF(OR($J$3="Everyone",INDEX(DESK!$AV$2:$AV$601,MATCH(61,DESK!$AR$2:$AR$601,0))="SEND"),"91"&amp;INDEX(DESK!$F$2:$F$601,MATCH(61,DESK!$AR$2:$AR$601,0)),""),""))</f>
        <v/>
      </c>
      <c r="C69" s="28" t="str">
        <f>IF(B69="","",IF(INDEX(DESK!$AC$2:$AC$601,MATCH(61,DESK!$AR$2:$AR$601,0))="YES","A","B"))</f>
        <v/>
      </c>
      <c r="D69" s="28" t="str">
        <f>IF(B69="","",INDEX(DESK!$AQ$2:$AQ$601,MATCH(61,DESK!$AR$2:$AR$601,0)))</f>
        <v/>
      </c>
      <c r="E69" s="28" t="str">
        <f>IF(B69="","",INDEX(DESK!$B$2:$B$601,MATCH(61,DESK!$AR$2:$AR$601,0))&amp;IF(COUNTIFS(DESK!$F$2:$F$601,INDEX(DESK!$F$2:$F$601,MATCH(61,DESK!$AR$2:$AR$601,0)),DESK!$L$2:$L$601,1)&gt;1," and "&amp;(COUNTIFS(DESK!$F$2:$F$601,INDEX(DESK!$F$2:$F$601,MATCH(61,DESK!$AR$2:$AR$601,0)),DESK!$L$2:$L$601,1)-1)&amp;" more",""))</f>
        <v/>
      </c>
      <c r="F69" s="28" t="str">
        <f>IF(B69="","",IF(C69="B",INDEX(DESK!$AD$2:$AD$601,MATCH(61,DESK!$AR$2:$AR$601,0)),""))</f>
        <v/>
      </c>
      <c r="G69" s="28" t="str">
        <f>IF(B69="","",INDEX(DESK!$AV$2:$AV$601,MATCH(61,DESK!$AR$2:$AR$601,0)))</f>
        <v/>
      </c>
      <c r="I69" s="21"/>
      <c r="J69" s="20"/>
      <c r="K69" s="20"/>
      <c r="L69" s="20"/>
      <c r="M69" s="23" t="str">
        <f t="shared" si="0"/>
        <v/>
      </c>
    </row>
    <row r="70" spans="1:13" x14ac:dyDescent="0.35">
      <c r="A70" s="28">
        <v>62</v>
      </c>
      <c r="B70" s="43" t="str">
        <f>IF(SETTINGS!$B$22&lt;&gt;"YES","",IFERROR(IF(OR($J$3="Everyone",INDEX(DESK!$AV$2:$AV$601,MATCH(62,DESK!$AR$2:$AR$601,0))="SEND"),"91"&amp;INDEX(DESK!$F$2:$F$601,MATCH(62,DESK!$AR$2:$AR$601,0)),""),""))</f>
        <v/>
      </c>
      <c r="C70" s="28" t="str">
        <f>IF(B70="","",IF(INDEX(DESK!$AC$2:$AC$601,MATCH(62,DESK!$AR$2:$AR$601,0))="YES","A","B"))</f>
        <v/>
      </c>
      <c r="D70" s="28" t="str">
        <f>IF(B70="","",INDEX(DESK!$AQ$2:$AQ$601,MATCH(62,DESK!$AR$2:$AR$601,0)))</f>
        <v/>
      </c>
      <c r="E70" s="28" t="str">
        <f>IF(B70="","",INDEX(DESK!$B$2:$B$601,MATCH(62,DESK!$AR$2:$AR$601,0))&amp;IF(COUNTIFS(DESK!$F$2:$F$601,INDEX(DESK!$F$2:$F$601,MATCH(62,DESK!$AR$2:$AR$601,0)),DESK!$L$2:$L$601,1)&gt;1," and "&amp;(COUNTIFS(DESK!$F$2:$F$601,INDEX(DESK!$F$2:$F$601,MATCH(62,DESK!$AR$2:$AR$601,0)),DESK!$L$2:$L$601,1)-1)&amp;" more",""))</f>
        <v/>
      </c>
      <c r="F70" s="28" t="str">
        <f>IF(B70="","",IF(C70="B",INDEX(DESK!$AD$2:$AD$601,MATCH(62,DESK!$AR$2:$AR$601,0)),""))</f>
        <v/>
      </c>
      <c r="G70" s="28" t="str">
        <f>IF(B70="","",INDEX(DESK!$AV$2:$AV$601,MATCH(62,DESK!$AR$2:$AR$601,0)))</f>
        <v/>
      </c>
      <c r="I70" s="21"/>
      <c r="J70" s="20"/>
      <c r="K70" s="20"/>
      <c r="L70" s="20"/>
      <c r="M70" s="23" t="str">
        <f t="shared" si="0"/>
        <v/>
      </c>
    </row>
    <row r="71" spans="1:13" x14ac:dyDescent="0.35">
      <c r="A71" s="28">
        <v>63</v>
      </c>
      <c r="B71" s="43" t="str">
        <f>IF(SETTINGS!$B$22&lt;&gt;"YES","",IFERROR(IF(OR($J$3="Everyone",INDEX(DESK!$AV$2:$AV$601,MATCH(63,DESK!$AR$2:$AR$601,0))="SEND"),"91"&amp;INDEX(DESK!$F$2:$F$601,MATCH(63,DESK!$AR$2:$AR$601,0)),""),""))</f>
        <v/>
      </c>
      <c r="C71" s="28" t="str">
        <f>IF(B71="","",IF(INDEX(DESK!$AC$2:$AC$601,MATCH(63,DESK!$AR$2:$AR$601,0))="YES","A","B"))</f>
        <v/>
      </c>
      <c r="D71" s="28" t="str">
        <f>IF(B71="","",INDEX(DESK!$AQ$2:$AQ$601,MATCH(63,DESK!$AR$2:$AR$601,0)))</f>
        <v/>
      </c>
      <c r="E71" s="28" t="str">
        <f>IF(B71="","",INDEX(DESK!$B$2:$B$601,MATCH(63,DESK!$AR$2:$AR$601,0))&amp;IF(COUNTIFS(DESK!$F$2:$F$601,INDEX(DESK!$F$2:$F$601,MATCH(63,DESK!$AR$2:$AR$601,0)),DESK!$L$2:$L$601,1)&gt;1," and "&amp;(COUNTIFS(DESK!$F$2:$F$601,INDEX(DESK!$F$2:$F$601,MATCH(63,DESK!$AR$2:$AR$601,0)),DESK!$L$2:$L$601,1)-1)&amp;" more",""))</f>
        <v/>
      </c>
      <c r="F71" s="28" t="str">
        <f>IF(B71="","",IF(C71="B",INDEX(DESK!$AD$2:$AD$601,MATCH(63,DESK!$AR$2:$AR$601,0)),""))</f>
        <v/>
      </c>
      <c r="G71" s="28" t="str">
        <f>IF(B71="","",INDEX(DESK!$AV$2:$AV$601,MATCH(63,DESK!$AR$2:$AR$601,0)))</f>
        <v/>
      </c>
      <c r="I71" s="21"/>
      <c r="J71" s="20"/>
      <c r="K71" s="20"/>
      <c r="L71" s="20"/>
      <c r="M71" s="23" t="str">
        <f t="shared" si="0"/>
        <v/>
      </c>
    </row>
    <row r="72" spans="1:13" x14ac:dyDescent="0.35">
      <c r="A72" s="28">
        <v>64</v>
      </c>
      <c r="B72" s="43" t="str">
        <f>IF(SETTINGS!$B$22&lt;&gt;"YES","",IFERROR(IF(OR($J$3="Everyone",INDEX(DESK!$AV$2:$AV$601,MATCH(64,DESK!$AR$2:$AR$601,0))="SEND"),"91"&amp;INDEX(DESK!$F$2:$F$601,MATCH(64,DESK!$AR$2:$AR$601,0)),""),""))</f>
        <v/>
      </c>
      <c r="C72" s="28" t="str">
        <f>IF(B72="","",IF(INDEX(DESK!$AC$2:$AC$601,MATCH(64,DESK!$AR$2:$AR$601,0))="YES","A","B"))</f>
        <v/>
      </c>
      <c r="D72" s="28" t="str">
        <f>IF(B72="","",INDEX(DESK!$AQ$2:$AQ$601,MATCH(64,DESK!$AR$2:$AR$601,0)))</f>
        <v/>
      </c>
      <c r="E72" s="28" t="str">
        <f>IF(B72="","",INDEX(DESK!$B$2:$B$601,MATCH(64,DESK!$AR$2:$AR$601,0))&amp;IF(COUNTIFS(DESK!$F$2:$F$601,INDEX(DESK!$F$2:$F$601,MATCH(64,DESK!$AR$2:$AR$601,0)),DESK!$L$2:$L$601,1)&gt;1," and "&amp;(COUNTIFS(DESK!$F$2:$F$601,INDEX(DESK!$F$2:$F$601,MATCH(64,DESK!$AR$2:$AR$601,0)),DESK!$L$2:$L$601,1)-1)&amp;" more",""))</f>
        <v/>
      </c>
      <c r="F72" s="28" t="str">
        <f>IF(B72="","",IF(C72="B",INDEX(DESK!$AD$2:$AD$601,MATCH(64,DESK!$AR$2:$AR$601,0)),""))</f>
        <v/>
      </c>
      <c r="G72" s="28" t="str">
        <f>IF(B72="","",INDEX(DESK!$AV$2:$AV$601,MATCH(64,DESK!$AR$2:$AR$601,0)))</f>
        <v/>
      </c>
      <c r="I72" s="21"/>
      <c r="J72" s="20"/>
      <c r="K72" s="20"/>
      <c r="L72" s="20"/>
      <c r="M72" s="23" t="str">
        <f t="shared" si="0"/>
        <v/>
      </c>
    </row>
    <row r="73" spans="1:13" x14ac:dyDescent="0.35">
      <c r="A73" s="28">
        <v>65</v>
      </c>
      <c r="B73" s="43" t="str">
        <f>IF(SETTINGS!$B$22&lt;&gt;"YES","",IFERROR(IF(OR($J$3="Everyone",INDEX(DESK!$AV$2:$AV$601,MATCH(65,DESK!$AR$2:$AR$601,0))="SEND"),"91"&amp;INDEX(DESK!$F$2:$F$601,MATCH(65,DESK!$AR$2:$AR$601,0)),""),""))</f>
        <v/>
      </c>
      <c r="C73" s="28" t="str">
        <f>IF(B73="","",IF(INDEX(DESK!$AC$2:$AC$601,MATCH(65,DESK!$AR$2:$AR$601,0))="YES","A","B"))</f>
        <v/>
      </c>
      <c r="D73" s="28" t="str">
        <f>IF(B73="","",INDEX(DESK!$AQ$2:$AQ$601,MATCH(65,DESK!$AR$2:$AR$601,0)))</f>
        <v/>
      </c>
      <c r="E73" s="28" t="str">
        <f>IF(B73="","",INDEX(DESK!$B$2:$B$601,MATCH(65,DESK!$AR$2:$AR$601,0))&amp;IF(COUNTIFS(DESK!$F$2:$F$601,INDEX(DESK!$F$2:$F$601,MATCH(65,DESK!$AR$2:$AR$601,0)),DESK!$L$2:$L$601,1)&gt;1," and "&amp;(COUNTIFS(DESK!$F$2:$F$601,INDEX(DESK!$F$2:$F$601,MATCH(65,DESK!$AR$2:$AR$601,0)),DESK!$L$2:$L$601,1)-1)&amp;" more",""))</f>
        <v/>
      </c>
      <c r="F73" s="28" t="str">
        <f>IF(B73="","",IF(C73="B",INDEX(DESK!$AD$2:$AD$601,MATCH(65,DESK!$AR$2:$AR$601,0)),""))</f>
        <v/>
      </c>
      <c r="G73" s="28" t="str">
        <f>IF(B73="","",INDEX(DESK!$AV$2:$AV$601,MATCH(65,DESK!$AR$2:$AR$601,0)))</f>
        <v/>
      </c>
      <c r="I73" s="21"/>
      <c r="J73" s="20"/>
      <c r="K73" s="20"/>
      <c r="L73" s="20"/>
      <c r="M73" s="23" t="str">
        <f t="shared" ref="M73:M136" si="1">IF(I73="","",RIGHT(SUBSTITUTE(SUBSTITUTE(I73&amp;""," ",""),"+",""),10))</f>
        <v/>
      </c>
    </row>
    <row r="74" spans="1:13" x14ac:dyDescent="0.35">
      <c r="A74" s="28">
        <v>66</v>
      </c>
      <c r="B74" s="43" t="str">
        <f>IF(SETTINGS!$B$22&lt;&gt;"YES","",IFERROR(IF(OR($J$3="Everyone",INDEX(DESK!$AV$2:$AV$601,MATCH(66,DESK!$AR$2:$AR$601,0))="SEND"),"91"&amp;INDEX(DESK!$F$2:$F$601,MATCH(66,DESK!$AR$2:$AR$601,0)),""),""))</f>
        <v/>
      </c>
      <c r="C74" s="28" t="str">
        <f>IF(B74="","",IF(INDEX(DESK!$AC$2:$AC$601,MATCH(66,DESK!$AR$2:$AR$601,0))="YES","A","B"))</f>
        <v/>
      </c>
      <c r="D74" s="28" t="str">
        <f>IF(B74="","",INDEX(DESK!$AQ$2:$AQ$601,MATCH(66,DESK!$AR$2:$AR$601,0)))</f>
        <v/>
      </c>
      <c r="E74" s="28" t="str">
        <f>IF(B74="","",INDEX(DESK!$B$2:$B$601,MATCH(66,DESK!$AR$2:$AR$601,0))&amp;IF(COUNTIFS(DESK!$F$2:$F$601,INDEX(DESK!$F$2:$F$601,MATCH(66,DESK!$AR$2:$AR$601,0)),DESK!$L$2:$L$601,1)&gt;1," and "&amp;(COUNTIFS(DESK!$F$2:$F$601,INDEX(DESK!$F$2:$F$601,MATCH(66,DESK!$AR$2:$AR$601,0)),DESK!$L$2:$L$601,1)-1)&amp;" more",""))</f>
        <v/>
      </c>
      <c r="F74" s="28" t="str">
        <f>IF(B74="","",IF(C74="B",INDEX(DESK!$AD$2:$AD$601,MATCH(66,DESK!$AR$2:$AR$601,0)),""))</f>
        <v/>
      </c>
      <c r="G74" s="28" t="str">
        <f>IF(B74="","",INDEX(DESK!$AV$2:$AV$601,MATCH(66,DESK!$AR$2:$AR$601,0)))</f>
        <v/>
      </c>
      <c r="I74" s="21"/>
      <c r="J74" s="20"/>
      <c r="K74" s="20"/>
      <c r="L74" s="20"/>
      <c r="M74" s="23" t="str">
        <f t="shared" si="1"/>
        <v/>
      </c>
    </row>
    <row r="75" spans="1:13" x14ac:dyDescent="0.35">
      <c r="A75" s="28">
        <v>67</v>
      </c>
      <c r="B75" s="43" t="str">
        <f>IF(SETTINGS!$B$22&lt;&gt;"YES","",IFERROR(IF(OR($J$3="Everyone",INDEX(DESK!$AV$2:$AV$601,MATCH(67,DESK!$AR$2:$AR$601,0))="SEND"),"91"&amp;INDEX(DESK!$F$2:$F$601,MATCH(67,DESK!$AR$2:$AR$601,0)),""),""))</f>
        <v/>
      </c>
      <c r="C75" s="28" t="str">
        <f>IF(B75="","",IF(INDEX(DESK!$AC$2:$AC$601,MATCH(67,DESK!$AR$2:$AR$601,0))="YES","A","B"))</f>
        <v/>
      </c>
      <c r="D75" s="28" t="str">
        <f>IF(B75="","",INDEX(DESK!$AQ$2:$AQ$601,MATCH(67,DESK!$AR$2:$AR$601,0)))</f>
        <v/>
      </c>
      <c r="E75" s="28" t="str">
        <f>IF(B75="","",INDEX(DESK!$B$2:$B$601,MATCH(67,DESK!$AR$2:$AR$601,0))&amp;IF(COUNTIFS(DESK!$F$2:$F$601,INDEX(DESK!$F$2:$F$601,MATCH(67,DESK!$AR$2:$AR$601,0)),DESK!$L$2:$L$601,1)&gt;1," and "&amp;(COUNTIFS(DESK!$F$2:$F$601,INDEX(DESK!$F$2:$F$601,MATCH(67,DESK!$AR$2:$AR$601,0)),DESK!$L$2:$L$601,1)-1)&amp;" more",""))</f>
        <v/>
      </c>
      <c r="F75" s="28" t="str">
        <f>IF(B75="","",IF(C75="B",INDEX(DESK!$AD$2:$AD$601,MATCH(67,DESK!$AR$2:$AR$601,0)),""))</f>
        <v/>
      </c>
      <c r="G75" s="28" t="str">
        <f>IF(B75="","",INDEX(DESK!$AV$2:$AV$601,MATCH(67,DESK!$AR$2:$AR$601,0)))</f>
        <v/>
      </c>
      <c r="I75" s="21"/>
      <c r="J75" s="20"/>
      <c r="K75" s="20"/>
      <c r="L75" s="20"/>
      <c r="M75" s="23" t="str">
        <f t="shared" si="1"/>
        <v/>
      </c>
    </row>
    <row r="76" spans="1:13" x14ac:dyDescent="0.35">
      <c r="A76" s="28">
        <v>68</v>
      </c>
      <c r="B76" s="43" t="str">
        <f>IF(SETTINGS!$B$22&lt;&gt;"YES","",IFERROR(IF(OR($J$3="Everyone",INDEX(DESK!$AV$2:$AV$601,MATCH(68,DESK!$AR$2:$AR$601,0))="SEND"),"91"&amp;INDEX(DESK!$F$2:$F$601,MATCH(68,DESK!$AR$2:$AR$601,0)),""),""))</f>
        <v/>
      </c>
      <c r="C76" s="28" t="str">
        <f>IF(B76="","",IF(INDEX(DESK!$AC$2:$AC$601,MATCH(68,DESK!$AR$2:$AR$601,0))="YES","A","B"))</f>
        <v/>
      </c>
      <c r="D76" s="28" t="str">
        <f>IF(B76="","",INDEX(DESK!$AQ$2:$AQ$601,MATCH(68,DESK!$AR$2:$AR$601,0)))</f>
        <v/>
      </c>
      <c r="E76" s="28" t="str">
        <f>IF(B76="","",INDEX(DESK!$B$2:$B$601,MATCH(68,DESK!$AR$2:$AR$601,0))&amp;IF(COUNTIFS(DESK!$F$2:$F$601,INDEX(DESK!$F$2:$F$601,MATCH(68,DESK!$AR$2:$AR$601,0)),DESK!$L$2:$L$601,1)&gt;1," and "&amp;(COUNTIFS(DESK!$F$2:$F$601,INDEX(DESK!$F$2:$F$601,MATCH(68,DESK!$AR$2:$AR$601,0)),DESK!$L$2:$L$601,1)-1)&amp;" more",""))</f>
        <v/>
      </c>
      <c r="F76" s="28" t="str">
        <f>IF(B76="","",IF(C76="B",INDEX(DESK!$AD$2:$AD$601,MATCH(68,DESK!$AR$2:$AR$601,0)),""))</f>
        <v/>
      </c>
      <c r="G76" s="28" t="str">
        <f>IF(B76="","",INDEX(DESK!$AV$2:$AV$601,MATCH(68,DESK!$AR$2:$AR$601,0)))</f>
        <v/>
      </c>
      <c r="I76" s="21"/>
      <c r="J76" s="20"/>
      <c r="K76" s="20"/>
      <c r="L76" s="20"/>
      <c r="M76" s="23" t="str">
        <f t="shared" si="1"/>
        <v/>
      </c>
    </row>
    <row r="77" spans="1:13" x14ac:dyDescent="0.35">
      <c r="A77" s="28">
        <v>69</v>
      </c>
      <c r="B77" s="43" t="str">
        <f>IF(SETTINGS!$B$22&lt;&gt;"YES","",IFERROR(IF(OR($J$3="Everyone",INDEX(DESK!$AV$2:$AV$601,MATCH(69,DESK!$AR$2:$AR$601,0))="SEND"),"91"&amp;INDEX(DESK!$F$2:$F$601,MATCH(69,DESK!$AR$2:$AR$601,0)),""),""))</f>
        <v/>
      </c>
      <c r="C77" s="28" t="str">
        <f>IF(B77="","",IF(INDEX(DESK!$AC$2:$AC$601,MATCH(69,DESK!$AR$2:$AR$601,0))="YES","A","B"))</f>
        <v/>
      </c>
      <c r="D77" s="28" t="str">
        <f>IF(B77="","",INDEX(DESK!$AQ$2:$AQ$601,MATCH(69,DESK!$AR$2:$AR$601,0)))</f>
        <v/>
      </c>
      <c r="E77" s="28" t="str">
        <f>IF(B77="","",INDEX(DESK!$B$2:$B$601,MATCH(69,DESK!$AR$2:$AR$601,0))&amp;IF(COUNTIFS(DESK!$F$2:$F$601,INDEX(DESK!$F$2:$F$601,MATCH(69,DESK!$AR$2:$AR$601,0)),DESK!$L$2:$L$601,1)&gt;1," and "&amp;(COUNTIFS(DESK!$F$2:$F$601,INDEX(DESK!$F$2:$F$601,MATCH(69,DESK!$AR$2:$AR$601,0)),DESK!$L$2:$L$601,1)-1)&amp;" more",""))</f>
        <v/>
      </c>
      <c r="F77" s="28" t="str">
        <f>IF(B77="","",IF(C77="B",INDEX(DESK!$AD$2:$AD$601,MATCH(69,DESK!$AR$2:$AR$601,0)),""))</f>
        <v/>
      </c>
      <c r="G77" s="28" t="str">
        <f>IF(B77="","",INDEX(DESK!$AV$2:$AV$601,MATCH(69,DESK!$AR$2:$AR$601,0)))</f>
        <v/>
      </c>
      <c r="I77" s="21"/>
      <c r="J77" s="20"/>
      <c r="K77" s="20"/>
      <c r="L77" s="20"/>
      <c r="M77" s="23" t="str">
        <f t="shared" si="1"/>
        <v/>
      </c>
    </row>
    <row r="78" spans="1:13" x14ac:dyDescent="0.35">
      <c r="A78" s="28">
        <v>70</v>
      </c>
      <c r="B78" s="43" t="str">
        <f>IF(SETTINGS!$B$22&lt;&gt;"YES","",IFERROR(IF(OR($J$3="Everyone",INDEX(DESK!$AV$2:$AV$601,MATCH(70,DESK!$AR$2:$AR$601,0))="SEND"),"91"&amp;INDEX(DESK!$F$2:$F$601,MATCH(70,DESK!$AR$2:$AR$601,0)),""),""))</f>
        <v/>
      </c>
      <c r="C78" s="28" t="str">
        <f>IF(B78="","",IF(INDEX(DESK!$AC$2:$AC$601,MATCH(70,DESK!$AR$2:$AR$601,0))="YES","A","B"))</f>
        <v/>
      </c>
      <c r="D78" s="28" t="str">
        <f>IF(B78="","",INDEX(DESK!$AQ$2:$AQ$601,MATCH(70,DESK!$AR$2:$AR$601,0)))</f>
        <v/>
      </c>
      <c r="E78" s="28" t="str">
        <f>IF(B78="","",INDEX(DESK!$B$2:$B$601,MATCH(70,DESK!$AR$2:$AR$601,0))&amp;IF(COUNTIFS(DESK!$F$2:$F$601,INDEX(DESK!$F$2:$F$601,MATCH(70,DESK!$AR$2:$AR$601,0)),DESK!$L$2:$L$601,1)&gt;1," and "&amp;(COUNTIFS(DESK!$F$2:$F$601,INDEX(DESK!$F$2:$F$601,MATCH(70,DESK!$AR$2:$AR$601,0)),DESK!$L$2:$L$601,1)-1)&amp;" more",""))</f>
        <v/>
      </c>
      <c r="F78" s="28" t="str">
        <f>IF(B78="","",IF(C78="B",INDEX(DESK!$AD$2:$AD$601,MATCH(70,DESK!$AR$2:$AR$601,0)),""))</f>
        <v/>
      </c>
      <c r="G78" s="28" t="str">
        <f>IF(B78="","",INDEX(DESK!$AV$2:$AV$601,MATCH(70,DESK!$AR$2:$AR$601,0)))</f>
        <v/>
      </c>
      <c r="I78" s="21"/>
      <c r="J78" s="20"/>
      <c r="K78" s="20"/>
      <c r="L78" s="20"/>
      <c r="M78" s="23" t="str">
        <f t="shared" si="1"/>
        <v/>
      </c>
    </row>
    <row r="79" spans="1:13" x14ac:dyDescent="0.35">
      <c r="A79" s="28">
        <v>71</v>
      </c>
      <c r="B79" s="43" t="str">
        <f>IF(SETTINGS!$B$22&lt;&gt;"YES","",IFERROR(IF(OR($J$3="Everyone",INDEX(DESK!$AV$2:$AV$601,MATCH(71,DESK!$AR$2:$AR$601,0))="SEND"),"91"&amp;INDEX(DESK!$F$2:$F$601,MATCH(71,DESK!$AR$2:$AR$601,0)),""),""))</f>
        <v/>
      </c>
      <c r="C79" s="28" t="str">
        <f>IF(B79="","",IF(INDEX(DESK!$AC$2:$AC$601,MATCH(71,DESK!$AR$2:$AR$601,0))="YES","A","B"))</f>
        <v/>
      </c>
      <c r="D79" s="28" t="str">
        <f>IF(B79="","",INDEX(DESK!$AQ$2:$AQ$601,MATCH(71,DESK!$AR$2:$AR$601,0)))</f>
        <v/>
      </c>
      <c r="E79" s="28" t="str">
        <f>IF(B79="","",INDEX(DESK!$B$2:$B$601,MATCH(71,DESK!$AR$2:$AR$601,0))&amp;IF(COUNTIFS(DESK!$F$2:$F$601,INDEX(DESK!$F$2:$F$601,MATCH(71,DESK!$AR$2:$AR$601,0)),DESK!$L$2:$L$601,1)&gt;1," and "&amp;(COUNTIFS(DESK!$F$2:$F$601,INDEX(DESK!$F$2:$F$601,MATCH(71,DESK!$AR$2:$AR$601,0)),DESK!$L$2:$L$601,1)-1)&amp;" more",""))</f>
        <v/>
      </c>
      <c r="F79" s="28" t="str">
        <f>IF(B79="","",IF(C79="B",INDEX(DESK!$AD$2:$AD$601,MATCH(71,DESK!$AR$2:$AR$601,0)),""))</f>
        <v/>
      </c>
      <c r="G79" s="28" t="str">
        <f>IF(B79="","",INDEX(DESK!$AV$2:$AV$601,MATCH(71,DESK!$AR$2:$AR$601,0)))</f>
        <v/>
      </c>
      <c r="I79" s="21"/>
      <c r="J79" s="20"/>
      <c r="K79" s="20"/>
      <c r="L79" s="20"/>
      <c r="M79" s="23" t="str">
        <f t="shared" si="1"/>
        <v/>
      </c>
    </row>
    <row r="80" spans="1:13" x14ac:dyDescent="0.35">
      <c r="A80" s="28">
        <v>72</v>
      </c>
      <c r="B80" s="43" t="str">
        <f>IF(SETTINGS!$B$22&lt;&gt;"YES","",IFERROR(IF(OR($J$3="Everyone",INDEX(DESK!$AV$2:$AV$601,MATCH(72,DESK!$AR$2:$AR$601,0))="SEND"),"91"&amp;INDEX(DESK!$F$2:$F$601,MATCH(72,DESK!$AR$2:$AR$601,0)),""),""))</f>
        <v/>
      </c>
      <c r="C80" s="28" t="str">
        <f>IF(B80="","",IF(INDEX(DESK!$AC$2:$AC$601,MATCH(72,DESK!$AR$2:$AR$601,0))="YES","A","B"))</f>
        <v/>
      </c>
      <c r="D80" s="28" t="str">
        <f>IF(B80="","",INDEX(DESK!$AQ$2:$AQ$601,MATCH(72,DESK!$AR$2:$AR$601,0)))</f>
        <v/>
      </c>
      <c r="E80" s="28" t="str">
        <f>IF(B80="","",INDEX(DESK!$B$2:$B$601,MATCH(72,DESK!$AR$2:$AR$601,0))&amp;IF(COUNTIFS(DESK!$F$2:$F$601,INDEX(DESK!$F$2:$F$601,MATCH(72,DESK!$AR$2:$AR$601,0)),DESK!$L$2:$L$601,1)&gt;1," and "&amp;(COUNTIFS(DESK!$F$2:$F$601,INDEX(DESK!$F$2:$F$601,MATCH(72,DESK!$AR$2:$AR$601,0)),DESK!$L$2:$L$601,1)-1)&amp;" more",""))</f>
        <v/>
      </c>
      <c r="F80" s="28" t="str">
        <f>IF(B80="","",IF(C80="B",INDEX(DESK!$AD$2:$AD$601,MATCH(72,DESK!$AR$2:$AR$601,0)),""))</f>
        <v/>
      </c>
      <c r="G80" s="28" t="str">
        <f>IF(B80="","",INDEX(DESK!$AV$2:$AV$601,MATCH(72,DESK!$AR$2:$AR$601,0)))</f>
        <v/>
      </c>
      <c r="I80" s="21"/>
      <c r="J80" s="20"/>
      <c r="K80" s="20"/>
      <c r="L80" s="20"/>
      <c r="M80" s="23" t="str">
        <f t="shared" si="1"/>
        <v/>
      </c>
    </row>
    <row r="81" spans="1:13" x14ac:dyDescent="0.35">
      <c r="A81" s="28">
        <v>73</v>
      </c>
      <c r="B81" s="43" t="str">
        <f>IF(SETTINGS!$B$22&lt;&gt;"YES","",IFERROR(IF(OR($J$3="Everyone",INDEX(DESK!$AV$2:$AV$601,MATCH(73,DESK!$AR$2:$AR$601,0))="SEND"),"91"&amp;INDEX(DESK!$F$2:$F$601,MATCH(73,DESK!$AR$2:$AR$601,0)),""),""))</f>
        <v/>
      </c>
      <c r="C81" s="28" t="str">
        <f>IF(B81="","",IF(INDEX(DESK!$AC$2:$AC$601,MATCH(73,DESK!$AR$2:$AR$601,0))="YES","A","B"))</f>
        <v/>
      </c>
      <c r="D81" s="28" t="str">
        <f>IF(B81="","",INDEX(DESK!$AQ$2:$AQ$601,MATCH(73,DESK!$AR$2:$AR$601,0)))</f>
        <v/>
      </c>
      <c r="E81" s="28" t="str">
        <f>IF(B81="","",INDEX(DESK!$B$2:$B$601,MATCH(73,DESK!$AR$2:$AR$601,0))&amp;IF(COUNTIFS(DESK!$F$2:$F$601,INDEX(DESK!$F$2:$F$601,MATCH(73,DESK!$AR$2:$AR$601,0)),DESK!$L$2:$L$601,1)&gt;1," and "&amp;(COUNTIFS(DESK!$F$2:$F$601,INDEX(DESK!$F$2:$F$601,MATCH(73,DESK!$AR$2:$AR$601,0)),DESK!$L$2:$L$601,1)-1)&amp;" more",""))</f>
        <v/>
      </c>
      <c r="F81" s="28" t="str">
        <f>IF(B81="","",IF(C81="B",INDEX(DESK!$AD$2:$AD$601,MATCH(73,DESK!$AR$2:$AR$601,0)),""))</f>
        <v/>
      </c>
      <c r="G81" s="28" t="str">
        <f>IF(B81="","",INDEX(DESK!$AV$2:$AV$601,MATCH(73,DESK!$AR$2:$AR$601,0)))</f>
        <v/>
      </c>
      <c r="I81" s="21"/>
      <c r="J81" s="20"/>
      <c r="K81" s="20"/>
      <c r="L81" s="20"/>
      <c r="M81" s="23" t="str">
        <f t="shared" si="1"/>
        <v/>
      </c>
    </row>
    <row r="82" spans="1:13" x14ac:dyDescent="0.35">
      <c r="A82" s="28">
        <v>74</v>
      </c>
      <c r="B82" s="43" t="str">
        <f>IF(SETTINGS!$B$22&lt;&gt;"YES","",IFERROR(IF(OR($J$3="Everyone",INDEX(DESK!$AV$2:$AV$601,MATCH(74,DESK!$AR$2:$AR$601,0))="SEND"),"91"&amp;INDEX(DESK!$F$2:$F$601,MATCH(74,DESK!$AR$2:$AR$601,0)),""),""))</f>
        <v/>
      </c>
      <c r="C82" s="28" t="str">
        <f>IF(B82="","",IF(INDEX(DESK!$AC$2:$AC$601,MATCH(74,DESK!$AR$2:$AR$601,0))="YES","A","B"))</f>
        <v/>
      </c>
      <c r="D82" s="28" t="str">
        <f>IF(B82="","",INDEX(DESK!$AQ$2:$AQ$601,MATCH(74,DESK!$AR$2:$AR$601,0)))</f>
        <v/>
      </c>
      <c r="E82" s="28" t="str">
        <f>IF(B82="","",INDEX(DESK!$B$2:$B$601,MATCH(74,DESK!$AR$2:$AR$601,0))&amp;IF(COUNTIFS(DESK!$F$2:$F$601,INDEX(DESK!$F$2:$F$601,MATCH(74,DESK!$AR$2:$AR$601,0)),DESK!$L$2:$L$601,1)&gt;1," and "&amp;(COUNTIFS(DESK!$F$2:$F$601,INDEX(DESK!$F$2:$F$601,MATCH(74,DESK!$AR$2:$AR$601,0)),DESK!$L$2:$L$601,1)-1)&amp;" more",""))</f>
        <v/>
      </c>
      <c r="F82" s="28" t="str">
        <f>IF(B82="","",IF(C82="B",INDEX(DESK!$AD$2:$AD$601,MATCH(74,DESK!$AR$2:$AR$601,0)),""))</f>
        <v/>
      </c>
      <c r="G82" s="28" t="str">
        <f>IF(B82="","",INDEX(DESK!$AV$2:$AV$601,MATCH(74,DESK!$AR$2:$AR$601,0)))</f>
        <v/>
      </c>
      <c r="I82" s="21"/>
      <c r="J82" s="20"/>
      <c r="K82" s="20"/>
      <c r="L82" s="20"/>
      <c r="M82" s="23" t="str">
        <f t="shared" si="1"/>
        <v/>
      </c>
    </row>
    <row r="83" spans="1:13" x14ac:dyDescent="0.35">
      <c r="A83" s="28">
        <v>75</v>
      </c>
      <c r="B83" s="43" t="str">
        <f>IF(SETTINGS!$B$22&lt;&gt;"YES","",IFERROR(IF(OR($J$3="Everyone",INDEX(DESK!$AV$2:$AV$601,MATCH(75,DESK!$AR$2:$AR$601,0))="SEND"),"91"&amp;INDEX(DESK!$F$2:$F$601,MATCH(75,DESK!$AR$2:$AR$601,0)),""),""))</f>
        <v/>
      </c>
      <c r="C83" s="28" t="str">
        <f>IF(B83="","",IF(INDEX(DESK!$AC$2:$AC$601,MATCH(75,DESK!$AR$2:$AR$601,0))="YES","A","B"))</f>
        <v/>
      </c>
      <c r="D83" s="28" t="str">
        <f>IF(B83="","",INDEX(DESK!$AQ$2:$AQ$601,MATCH(75,DESK!$AR$2:$AR$601,0)))</f>
        <v/>
      </c>
      <c r="E83" s="28" t="str">
        <f>IF(B83="","",INDEX(DESK!$B$2:$B$601,MATCH(75,DESK!$AR$2:$AR$601,0))&amp;IF(COUNTIFS(DESK!$F$2:$F$601,INDEX(DESK!$F$2:$F$601,MATCH(75,DESK!$AR$2:$AR$601,0)),DESK!$L$2:$L$601,1)&gt;1," and "&amp;(COUNTIFS(DESK!$F$2:$F$601,INDEX(DESK!$F$2:$F$601,MATCH(75,DESK!$AR$2:$AR$601,0)),DESK!$L$2:$L$601,1)-1)&amp;" more",""))</f>
        <v/>
      </c>
      <c r="F83" s="28" t="str">
        <f>IF(B83="","",IF(C83="B",INDEX(DESK!$AD$2:$AD$601,MATCH(75,DESK!$AR$2:$AR$601,0)),""))</f>
        <v/>
      </c>
      <c r="G83" s="28" t="str">
        <f>IF(B83="","",INDEX(DESK!$AV$2:$AV$601,MATCH(75,DESK!$AR$2:$AR$601,0)))</f>
        <v/>
      </c>
      <c r="I83" s="21"/>
      <c r="J83" s="20"/>
      <c r="K83" s="20"/>
      <c r="L83" s="20"/>
      <c r="M83" s="23" t="str">
        <f t="shared" si="1"/>
        <v/>
      </c>
    </row>
    <row r="84" spans="1:13" x14ac:dyDescent="0.35">
      <c r="A84" s="28">
        <v>76</v>
      </c>
      <c r="B84" s="43" t="str">
        <f>IF(SETTINGS!$B$22&lt;&gt;"YES","",IFERROR(IF(OR($J$3="Everyone",INDEX(DESK!$AV$2:$AV$601,MATCH(76,DESK!$AR$2:$AR$601,0))="SEND"),"91"&amp;INDEX(DESK!$F$2:$F$601,MATCH(76,DESK!$AR$2:$AR$601,0)),""),""))</f>
        <v/>
      </c>
      <c r="C84" s="28" t="str">
        <f>IF(B84="","",IF(INDEX(DESK!$AC$2:$AC$601,MATCH(76,DESK!$AR$2:$AR$601,0))="YES","A","B"))</f>
        <v/>
      </c>
      <c r="D84" s="28" t="str">
        <f>IF(B84="","",INDEX(DESK!$AQ$2:$AQ$601,MATCH(76,DESK!$AR$2:$AR$601,0)))</f>
        <v/>
      </c>
      <c r="E84" s="28" t="str">
        <f>IF(B84="","",INDEX(DESK!$B$2:$B$601,MATCH(76,DESK!$AR$2:$AR$601,0))&amp;IF(COUNTIFS(DESK!$F$2:$F$601,INDEX(DESK!$F$2:$F$601,MATCH(76,DESK!$AR$2:$AR$601,0)),DESK!$L$2:$L$601,1)&gt;1," and "&amp;(COUNTIFS(DESK!$F$2:$F$601,INDEX(DESK!$F$2:$F$601,MATCH(76,DESK!$AR$2:$AR$601,0)),DESK!$L$2:$L$601,1)-1)&amp;" more",""))</f>
        <v/>
      </c>
      <c r="F84" s="28" t="str">
        <f>IF(B84="","",IF(C84="B",INDEX(DESK!$AD$2:$AD$601,MATCH(76,DESK!$AR$2:$AR$601,0)),""))</f>
        <v/>
      </c>
      <c r="G84" s="28" t="str">
        <f>IF(B84="","",INDEX(DESK!$AV$2:$AV$601,MATCH(76,DESK!$AR$2:$AR$601,0)))</f>
        <v/>
      </c>
      <c r="I84" s="21"/>
      <c r="J84" s="20"/>
      <c r="K84" s="20"/>
      <c r="L84" s="20"/>
      <c r="M84" s="23" t="str">
        <f t="shared" si="1"/>
        <v/>
      </c>
    </row>
    <row r="85" spans="1:13" x14ac:dyDescent="0.35">
      <c r="A85" s="28">
        <v>77</v>
      </c>
      <c r="B85" s="43" t="str">
        <f>IF(SETTINGS!$B$22&lt;&gt;"YES","",IFERROR(IF(OR($J$3="Everyone",INDEX(DESK!$AV$2:$AV$601,MATCH(77,DESK!$AR$2:$AR$601,0))="SEND"),"91"&amp;INDEX(DESK!$F$2:$F$601,MATCH(77,DESK!$AR$2:$AR$601,0)),""),""))</f>
        <v/>
      </c>
      <c r="C85" s="28" t="str">
        <f>IF(B85="","",IF(INDEX(DESK!$AC$2:$AC$601,MATCH(77,DESK!$AR$2:$AR$601,0))="YES","A","B"))</f>
        <v/>
      </c>
      <c r="D85" s="28" t="str">
        <f>IF(B85="","",INDEX(DESK!$AQ$2:$AQ$601,MATCH(77,DESK!$AR$2:$AR$601,0)))</f>
        <v/>
      </c>
      <c r="E85" s="28" t="str">
        <f>IF(B85="","",INDEX(DESK!$B$2:$B$601,MATCH(77,DESK!$AR$2:$AR$601,0))&amp;IF(COUNTIFS(DESK!$F$2:$F$601,INDEX(DESK!$F$2:$F$601,MATCH(77,DESK!$AR$2:$AR$601,0)),DESK!$L$2:$L$601,1)&gt;1," and "&amp;(COUNTIFS(DESK!$F$2:$F$601,INDEX(DESK!$F$2:$F$601,MATCH(77,DESK!$AR$2:$AR$601,0)),DESK!$L$2:$L$601,1)-1)&amp;" more",""))</f>
        <v/>
      </c>
      <c r="F85" s="28" t="str">
        <f>IF(B85="","",IF(C85="B",INDEX(DESK!$AD$2:$AD$601,MATCH(77,DESK!$AR$2:$AR$601,0)),""))</f>
        <v/>
      </c>
      <c r="G85" s="28" t="str">
        <f>IF(B85="","",INDEX(DESK!$AV$2:$AV$601,MATCH(77,DESK!$AR$2:$AR$601,0)))</f>
        <v/>
      </c>
      <c r="I85" s="21"/>
      <c r="J85" s="20"/>
      <c r="K85" s="20"/>
      <c r="L85" s="20"/>
      <c r="M85" s="23" t="str">
        <f t="shared" si="1"/>
        <v/>
      </c>
    </row>
    <row r="86" spans="1:13" x14ac:dyDescent="0.35">
      <c r="A86" s="28">
        <v>78</v>
      </c>
      <c r="B86" s="43" t="str">
        <f>IF(SETTINGS!$B$22&lt;&gt;"YES","",IFERROR(IF(OR($J$3="Everyone",INDEX(DESK!$AV$2:$AV$601,MATCH(78,DESK!$AR$2:$AR$601,0))="SEND"),"91"&amp;INDEX(DESK!$F$2:$F$601,MATCH(78,DESK!$AR$2:$AR$601,0)),""),""))</f>
        <v/>
      </c>
      <c r="C86" s="28" t="str">
        <f>IF(B86="","",IF(INDEX(DESK!$AC$2:$AC$601,MATCH(78,DESK!$AR$2:$AR$601,0))="YES","A","B"))</f>
        <v/>
      </c>
      <c r="D86" s="28" t="str">
        <f>IF(B86="","",INDEX(DESK!$AQ$2:$AQ$601,MATCH(78,DESK!$AR$2:$AR$601,0)))</f>
        <v/>
      </c>
      <c r="E86" s="28" t="str">
        <f>IF(B86="","",INDEX(DESK!$B$2:$B$601,MATCH(78,DESK!$AR$2:$AR$601,0))&amp;IF(COUNTIFS(DESK!$F$2:$F$601,INDEX(DESK!$F$2:$F$601,MATCH(78,DESK!$AR$2:$AR$601,0)),DESK!$L$2:$L$601,1)&gt;1," and "&amp;(COUNTIFS(DESK!$F$2:$F$601,INDEX(DESK!$F$2:$F$601,MATCH(78,DESK!$AR$2:$AR$601,0)),DESK!$L$2:$L$601,1)-1)&amp;" more",""))</f>
        <v/>
      </c>
      <c r="F86" s="28" t="str">
        <f>IF(B86="","",IF(C86="B",INDEX(DESK!$AD$2:$AD$601,MATCH(78,DESK!$AR$2:$AR$601,0)),""))</f>
        <v/>
      </c>
      <c r="G86" s="28" t="str">
        <f>IF(B86="","",INDEX(DESK!$AV$2:$AV$601,MATCH(78,DESK!$AR$2:$AR$601,0)))</f>
        <v/>
      </c>
      <c r="I86" s="21"/>
      <c r="J86" s="20"/>
      <c r="K86" s="20"/>
      <c r="L86" s="20"/>
      <c r="M86" s="23" t="str">
        <f t="shared" si="1"/>
        <v/>
      </c>
    </row>
    <row r="87" spans="1:13" x14ac:dyDescent="0.35">
      <c r="A87" s="28">
        <v>79</v>
      </c>
      <c r="B87" s="43" t="str">
        <f>IF(SETTINGS!$B$22&lt;&gt;"YES","",IFERROR(IF(OR($J$3="Everyone",INDEX(DESK!$AV$2:$AV$601,MATCH(79,DESK!$AR$2:$AR$601,0))="SEND"),"91"&amp;INDEX(DESK!$F$2:$F$601,MATCH(79,DESK!$AR$2:$AR$601,0)),""),""))</f>
        <v/>
      </c>
      <c r="C87" s="28" t="str">
        <f>IF(B87="","",IF(INDEX(DESK!$AC$2:$AC$601,MATCH(79,DESK!$AR$2:$AR$601,0))="YES","A","B"))</f>
        <v/>
      </c>
      <c r="D87" s="28" t="str">
        <f>IF(B87="","",INDEX(DESK!$AQ$2:$AQ$601,MATCH(79,DESK!$AR$2:$AR$601,0)))</f>
        <v/>
      </c>
      <c r="E87" s="28" t="str">
        <f>IF(B87="","",INDEX(DESK!$B$2:$B$601,MATCH(79,DESK!$AR$2:$AR$601,0))&amp;IF(COUNTIFS(DESK!$F$2:$F$601,INDEX(DESK!$F$2:$F$601,MATCH(79,DESK!$AR$2:$AR$601,0)),DESK!$L$2:$L$601,1)&gt;1," and "&amp;(COUNTIFS(DESK!$F$2:$F$601,INDEX(DESK!$F$2:$F$601,MATCH(79,DESK!$AR$2:$AR$601,0)),DESK!$L$2:$L$601,1)-1)&amp;" more",""))</f>
        <v/>
      </c>
      <c r="F87" s="28" t="str">
        <f>IF(B87="","",IF(C87="B",INDEX(DESK!$AD$2:$AD$601,MATCH(79,DESK!$AR$2:$AR$601,0)),""))</f>
        <v/>
      </c>
      <c r="G87" s="28" t="str">
        <f>IF(B87="","",INDEX(DESK!$AV$2:$AV$601,MATCH(79,DESK!$AR$2:$AR$601,0)))</f>
        <v/>
      </c>
      <c r="I87" s="21"/>
      <c r="J87" s="20"/>
      <c r="K87" s="20"/>
      <c r="L87" s="20"/>
      <c r="M87" s="23" t="str">
        <f t="shared" si="1"/>
        <v/>
      </c>
    </row>
    <row r="88" spans="1:13" x14ac:dyDescent="0.35">
      <c r="A88" s="28">
        <v>80</v>
      </c>
      <c r="B88" s="43" t="str">
        <f>IF(SETTINGS!$B$22&lt;&gt;"YES","",IFERROR(IF(OR($J$3="Everyone",INDEX(DESK!$AV$2:$AV$601,MATCH(80,DESK!$AR$2:$AR$601,0))="SEND"),"91"&amp;INDEX(DESK!$F$2:$F$601,MATCH(80,DESK!$AR$2:$AR$601,0)),""),""))</f>
        <v/>
      </c>
      <c r="C88" s="28" t="str">
        <f>IF(B88="","",IF(INDEX(DESK!$AC$2:$AC$601,MATCH(80,DESK!$AR$2:$AR$601,0))="YES","A","B"))</f>
        <v/>
      </c>
      <c r="D88" s="28" t="str">
        <f>IF(B88="","",INDEX(DESK!$AQ$2:$AQ$601,MATCH(80,DESK!$AR$2:$AR$601,0)))</f>
        <v/>
      </c>
      <c r="E88" s="28" t="str">
        <f>IF(B88="","",INDEX(DESK!$B$2:$B$601,MATCH(80,DESK!$AR$2:$AR$601,0))&amp;IF(COUNTIFS(DESK!$F$2:$F$601,INDEX(DESK!$F$2:$F$601,MATCH(80,DESK!$AR$2:$AR$601,0)),DESK!$L$2:$L$601,1)&gt;1," and "&amp;(COUNTIFS(DESK!$F$2:$F$601,INDEX(DESK!$F$2:$F$601,MATCH(80,DESK!$AR$2:$AR$601,0)),DESK!$L$2:$L$601,1)-1)&amp;" more",""))</f>
        <v/>
      </c>
      <c r="F88" s="28" t="str">
        <f>IF(B88="","",IF(C88="B",INDEX(DESK!$AD$2:$AD$601,MATCH(80,DESK!$AR$2:$AR$601,0)),""))</f>
        <v/>
      </c>
      <c r="G88" s="28" t="str">
        <f>IF(B88="","",INDEX(DESK!$AV$2:$AV$601,MATCH(80,DESK!$AR$2:$AR$601,0)))</f>
        <v/>
      </c>
      <c r="I88" s="21"/>
      <c r="J88" s="20"/>
      <c r="K88" s="20"/>
      <c r="L88" s="20"/>
      <c r="M88" s="23" t="str">
        <f t="shared" si="1"/>
        <v/>
      </c>
    </row>
    <row r="89" spans="1:13" x14ac:dyDescent="0.35">
      <c r="A89" s="28">
        <v>81</v>
      </c>
      <c r="B89" s="43" t="str">
        <f>IF(SETTINGS!$B$22&lt;&gt;"YES","",IFERROR(IF(OR($J$3="Everyone",INDEX(DESK!$AV$2:$AV$601,MATCH(81,DESK!$AR$2:$AR$601,0))="SEND"),"91"&amp;INDEX(DESK!$F$2:$F$601,MATCH(81,DESK!$AR$2:$AR$601,0)),""),""))</f>
        <v/>
      </c>
      <c r="C89" s="28" t="str">
        <f>IF(B89="","",IF(INDEX(DESK!$AC$2:$AC$601,MATCH(81,DESK!$AR$2:$AR$601,0))="YES","A","B"))</f>
        <v/>
      </c>
      <c r="D89" s="28" t="str">
        <f>IF(B89="","",INDEX(DESK!$AQ$2:$AQ$601,MATCH(81,DESK!$AR$2:$AR$601,0)))</f>
        <v/>
      </c>
      <c r="E89" s="28" t="str">
        <f>IF(B89="","",INDEX(DESK!$B$2:$B$601,MATCH(81,DESK!$AR$2:$AR$601,0))&amp;IF(COUNTIFS(DESK!$F$2:$F$601,INDEX(DESK!$F$2:$F$601,MATCH(81,DESK!$AR$2:$AR$601,0)),DESK!$L$2:$L$601,1)&gt;1," and "&amp;(COUNTIFS(DESK!$F$2:$F$601,INDEX(DESK!$F$2:$F$601,MATCH(81,DESK!$AR$2:$AR$601,0)),DESK!$L$2:$L$601,1)-1)&amp;" more",""))</f>
        <v/>
      </c>
      <c r="F89" s="28" t="str">
        <f>IF(B89="","",IF(C89="B",INDEX(DESK!$AD$2:$AD$601,MATCH(81,DESK!$AR$2:$AR$601,0)),""))</f>
        <v/>
      </c>
      <c r="G89" s="28" t="str">
        <f>IF(B89="","",INDEX(DESK!$AV$2:$AV$601,MATCH(81,DESK!$AR$2:$AR$601,0)))</f>
        <v/>
      </c>
      <c r="I89" s="21"/>
      <c r="J89" s="20"/>
      <c r="K89" s="20"/>
      <c r="L89" s="20"/>
      <c r="M89" s="23" t="str">
        <f t="shared" si="1"/>
        <v/>
      </c>
    </row>
    <row r="90" spans="1:13" x14ac:dyDescent="0.35">
      <c r="A90" s="28">
        <v>82</v>
      </c>
      <c r="B90" s="43" t="str">
        <f>IF(SETTINGS!$B$22&lt;&gt;"YES","",IFERROR(IF(OR($J$3="Everyone",INDEX(DESK!$AV$2:$AV$601,MATCH(82,DESK!$AR$2:$AR$601,0))="SEND"),"91"&amp;INDEX(DESK!$F$2:$F$601,MATCH(82,DESK!$AR$2:$AR$601,0)),""),""))</f>
        <v/>
      </c>
      <c r="C90" s="28" t="str">
        <f>IF(B90="","",IF(INDEX(DESK!$AC$2:$AC$601,MATCH(82,DESK!$AR$2:$AR$601,0))="YES","A","B"))</f>
        <v/>
      </c>
      <c r="D90" s="28" t="str">
        <f>IF(B90="","",INDEX(DESK!$AQ$2:$AQ$601,MATCH(82,DESK!$AR$2:$AR$601,0)))</f>
        <v/>
      </c>
      <c r="E90" s="28" t="str">
        <f>IF(B90="","",INDEX(DESK!$B$2:$B$601,MATCH(82,DESK!$AR$2:$AR$601,0))&amp;IF(COUNTIFS(DESK!$F$2:$F$601,INDEX(DESK!$F$2:$F$601,MATCH(82,DESK!$AR$2:$AR$601,0)),DESK!$L$2:$L$601,1)&gt;1," and "&amp;(COUNTIFS(DESK!$F$2:$F$601,INDEX(DESK!$F$2:$F$601,MATCH(82,DESK!$AR$2:$AR$601,0)),DESK!$L$2:$L$601,1)-1)&amp;" more",""))</f>
        <v/>
      </c>
      <c r="F90" s="28" t="str">
        <f>IF(B90="","",IF(C90="B",INDEX(DESK!$AD$2:$AD$601,MATCH(82,DESK!$AR$2:$AR$601,0)),""))</f>
        <v/>
      </c>
      <c r="G90" s="28" t="str">
        <f>IF(B90="","",INDEX(DESK!$AV$2:$AV$601,MATCH(82,DESK!$AR$2:$AR$601,0)))</f>
        <v/>
      </c>
      <c r="I90" s="21"/>
      <c r="J90" s="20"/>
      <c r="K90" s="20"/>
      <c r="L90" s="20"/>
      <c r="M90" s="23" t="str">
        <f t="shared" si="1"/>
        <v/>
      </c>
    </row>
    <row r="91" spans="1:13" x14ac:dyDescent="0.35">
      <c r="A91" s="28">
        <v>83</v>
      </c>
      <c r="B91" s="43" t="str">
        <f>IF(SETTINGS!$B$22&lt;&gt;"YES","",IFERROR(IF(OR($J$3="Everyone",INDEX(DESK!$AV$2:$AV$601,MATCH(83,DESK!$AR$2:$AR$601,0))="SEND"),"91"&amp;INDEX(DESK!$F$2:$F$601,MATCH(83,DESK!$AR$2:$AR$601,0)),""),""))</f>
        <v/>
      </c>
      <c r="C91" s="28" t="str">
        <f>IF(B91="","",IF(INDEX(DESK!$AC$2:$AC$601,MATCH(83,DESK!$AR$2:$AR$601,0))="YES","A","B"))</f>
        <v/>
      </c>
      <c r="D91" s="28" t="str">
        <f>IF(B91="","",INDEX(DESK!$AQ$2:$AQ$601,MATCH(83,DESK!$AR$2:$AR$601,0)))</f>
        <v/>
      </c>
      <c r="E91" s="28" t="str">
        <f>IF(B91="","",INDEX(DESK!$B$2:$B$601,MATCH(83,DESK!$AR$2:$AR$601,0))&amp;IF(COUNTIFS(DESK!$F$2:$F$601,INDEX(DESK!$F$2:$F$601,MATCH(83,DESK!$AR$2:$AR$601,0)),DESK!$L$2:$L$601,1)&gt;1," and "&amp;(COUNTIFS(DESK!$F$2:$F$601,INDEX(DESK!$F$2:$F$601,MATCH(83,DESK!$AR$2:$AR$601,0)),DESK!$L$2:$L$601,1)-1)&amp;" more",""))</f>
        <v/>
      </c>
      <c r="F91" s="28" t="str">
        <f>IF(B91="","",IF(C91="B",INDEX(DESK!$AD$2:$AD$601,MATCH(83,DESK!$AR$2:$AR$601,0)),""))</f>
        <v/>
      </c>
      <c r="G91" s="28" t="str">
        <f>IF(B91="","",INDEX(DESK!$AV$2:$AV$601,MATCH(83,DESK!$AR$2:$AR$601,0)))</f>
        <v/>
      </c>
      <c r="I91" s="21"/>
      <c r="J91" s="20"/>
      <c r="K91" s="20"/>
      <c r="L91" s="20"/>
      <c r="M91" s="23" t="str">
        <f t="shared" si="1"/>
        <v/>
      </c>
    </row>
    <row r="92" spans="1:13" x14ac:dyDescent="0.35">
      <c r="A92" s="28">
        <v>84</v>
      </c>
      <c r="B92" s="43" t="str">
        <f>IF(SETTINGS!$B$22&lt;&gt;"YES","",IFERROR(IF(OR($J$3="Everyone",INDEX(DESK!$AV$2:$AV$601,MATCH(84,DESK!$AR$2:$AR$601,0))="SEND"),"91"&amp;INDEX(DESK!$F$2:$F$601,MATCH(84,DESK!$AR$2:$AR$601,0)),""),""))</f>
        <v/>
      </c>
      <c r="C92" s="28" t="str">
        <f>IF(B92="","",IF(INDEX(DESK!$AC$2:$AC$601,MATCH(84,DESK!$AR$2:$AR$601,0))="YES","A","B"))</f>
        <v/>
      </c>
      <c r="D92" s="28" t="str">
        <f>IF(B92="","",INDEX(DESK!$AQ$2:$AQ$601,MATCH(84,DESK!$AR$2:$AR$601,0)))</f>
        <v/>
      </c>
      <c r="E92" s="28" t="str">
        <f>IF(B92="","",INDEX(DESK!$B$2:$B$601,MATCH(84,DESK!$AR$2:$AR$601,0))&amp;IF(COUNTIFS(DESK!$F$2:$F$601,INDEX(DESK!$F$2:$F$601,MATCH(84,DESK!$AR$2:$AR$601,0)),DESK!$L$2:$L$601,1)&gt;1," and "&amp;(COUNTIFS(DESK!$F$2:$F$601,INDEX(DESK!$F$2:$F$601,MATCH(84,DESK!$AR$2:$AR$601,0)),DESK!$L$2:$L$601,1)-1)&amp;" more",""))</f>
        <v/>
      </c>
      <c r="F92" s="28" t="str">
        <f>IF(B92="","",IF(C92="B",INDEX(DESK!$AD$2:$AD$601,MATCH(84,DESK!$AR$2:$AR$601,0)),""))</f>
        <v/>
      </c>
      <c r="G92" s="28" t="str">
        <f>IF(B92="","",INDEX(DESK!$AV$2:$AV$601,MATCH(84,DESK!$AR$2:$AR$601,0)))</f>
        <v/>
      </c>
      <c r="I92" s="21"/>
      <c r="J92" s="20"/>
      <c r="K92" s="20"/>
      <c r="L92" s="20"/>
      <c r="M92" s="23" t="str">
        <f t="shared" si="1"/>
        <v/>
      </c>
    </row>
    <row r="93" spans="1:13" x14ac:dyDescent="0.35">
      <c r="A93" s="28">
        <v>85</v>
      </c>
      <c r="B93" s="43" t="str">
        <f>IF(SETTINGS!$B$22&lt;&gt;"YES","",IFERROR(IF(OR($J$3="Everyone",INDEX(DESK!$AV$2:$AV$601,MATCH(85,DESK!$AR$2:$AR$601,0))="SEND"),"91"&amp;INDEX(DESK!$F$2:$F$601,MATCH(85,DESK!$AR$2:$AR$601,0)),""),""))</f>
        <v/>
      </c>
      <c r="C93" s="28" t="str">
        <f>IF(B93="","",IF(INDEX(DESK!$AC$2:$AC$601,MATCH(85,DESK!$AR$2:$AR$601,0))="YES","A","B"))</f>
        <v/>
      </c>
      <c r="D93" s="28" t="str">
        <f>IF(B93="","",INDEX(DESK!$AQ$2:$AQ$601,MATCH(85,DESK!$AR$2:$AR$601,0)))</f>
        <v/>
      </c>
      <c r="E93" s="28" t="str">
        <f>IF(B93="","",INDEX(DESK!$B$2:$B$601,MATCH(85,DESK!$AR$2:$AR$601,0))&amp;IF(COUNTIFS(DESK!$F$2:$F$601,INDEX(DESK!$F$2:$F$601,MATCH(85,DESK!$AR$2:$AR$601,0)),DESK!$L$2:$L$601,1)&gt;1," and "&amp;(COUNTIFS(DESK!$F$2:$F$601,INDEX(DESK!$F$2:$F$601,MATCH(85,DESK!$AR$2:$AR$601,0)),DESK!$L$2:$L$601,1)-1)&amp;" more",""))</f>
        <v/>
      </c>
      <c r="F93" s="28" t="str">
        <f>IF(B93="","",IF(C93="B",INDEX(DESK!$AD$2:$AD$601,MATCH(85,DESK!$AR$2:$AR$601,0)),""))</f>
        <v/>
      </c>
      <c r="G93" s="28" t="str">
        <f>IF(B93="","",INDEX(DESK!$AV$2:$AV$601,MATCH(85,DESK!$AR$2:$AR$601,0)))</f>
        <v/>
      </c>
      <c r="I93" s="21"/>
      <c r="J93" s="20"/>
      <c r="K93" s="20"/>
      <c r="L93" s="20"/>
      <c r="M93" s="23" t="str">
        <f t="shared" si="1"/>
        <v/>
      </c>
    </row>
    <row r="94" spans="1:13" x14ac:dyDescent="0.35">
      <c r="A94" s="28">
        <v>86</v>
      </c>
      <c r="B94" s="43" t="str">
        <f>IF(SETTINGS!$B$22&lt;&gt;"YES","",IFERROR(IF(OR($J$3="Everyone",INDEX(DESK!$AV$2:$AV$601,MATCH(86,DESK!$AR$2:$AR$601,0))="SEND"),"91"&amp;INDEX(DESK!$F$2:$F$601,MATCH(86,DESK!$AR$2:$AR$601,0)),""),""))</f>
        <v/>
      </c>
      <c r="C94" s="28" t="str">
        <f>IF(B94="","",IF(INDEX(DESK!$AC$2:$AC$601,MATCH(86,DESK!$AR$2:$AR$601,0))="YES","A","B"))</f>
        <v/>
      </c>
      <c r="D94" s="28" t="str">
        <f>IF(B94="","",INDEX(DESK!$AQ$2:$AQ$601,MATCH(86,DESK!$AR$2:$AR$601,0)))</f>
        <v/>
      </c>
      <c r="E94" s="28" t="str">
        <f>IF(B94="","",INDEX(DESK!$B$2:$B$601,MATCH(86,DESK!$AR$2:$AR$601,0))&amp;IF(COUNTIFS(DESK!$F$2:$F$601,INDEX(DESK!$F$2:$F$601,MATCH(86,DESK!$AR$2:$AR$601,0)),DESK!$L$2:$L$601,1)&gt;1," and "&amp;(COUNTIFS(DESK!$F$2:$F$601,INDEX(DESK!$F$2:$F$601,MATCH(86,DESK!$AR$2:$AR$601,0)),DESK!$L$2:$L$601,1)-1)&amp;" more",""))</f>
        <v/>
      </c>
      <c r="F94" s="28" t="str">
        <f>IF(B94="","",IF(C94="B",INDEX(DESK!$AD$2:$AD$601,MATCH(86,DESK!$AR$2:$AR$601,0)),""))</f>
        <v/>
      </c>
      <c r="G94" s="28" t="str">
        <f>IF(B94="","",INDEX(DESK!$AV$2:$AV$601,MATCH(86,DESK!$AR$2:$AR$601,0)))</f>
        <v/>
      </c>
      <c r="I94" s="21"/>
      <c r="J94" s="20"/>
      <c r="K94" s="20"/>
      <c r="L94" s="20"/>
      <c r="M94" s="23" t="str">
        <f t="shared" si="1"/>
        <v/>
      </c>
    </row>
    <row r="95" spans="1:13" x14ac:dyDescent="0.35">
      <c r="A95" s="28">
        <v>87</v>
      </c>
      <c r="B95" s="43" t="str">
        <f>IF(SETTINGS!$B$22&lt;&gt;"YES","",IFERROR(IF(OR($J$3="Everyone",INDEX(DESK!$AV$2:$AV$601,MATCH(87,DESK!$AR$2:$AR$601,0))="SEND"),"91"&amp;INDEX(DESK!$F$2:$F$601,MATCH(87,DESK!$AR$2:$AR$601,0)),""),""))</f>
        <v/>
      </c>
      <c r="C95" s="28" t="str">
        <f>IF(B95="","",IF(INDEX(DESK!$AC$2:$AC$601,MATCH(87,DESK!$AR$2:$AR$601,0))="YES","A","B"))</f>
        <v/>
      </c>
      <c r="D95" s="28" t="str">
        <f>IF(B95="","",INDEX(DESK!$AQ$2:$AQ$601,MATCH(87,DESK!$AR$2:$AR$601,0)))</f>
        <v/>
      </c>
      <c r="E95" s="28" t="str">
        <f>IF(B95="","",INDEX(DESK!$B$2:$B$601,MATCH(87,DESK!$AR$2:$AR$601,0))&amp;IF(COUNTIFS(DESK!$F$2:$F$601,INDEX(DESK!$F$2:$F$601,MATCH(87,DESK!$AR$2:$AR$601,0)),DESK!$L$2:$L$601,1)&gt;1," and "&amp;(COUNTIFS(DESK!$F$2:$F$601,INDEX(DESK!$F$2:$F$601,MATCH(87,DESK!$AR$2:$AR$601,0)),DESK!$L$2:$L$601,1)-1)&amp;" more",""))</f>
        <v/>
      </c>
      <c r="F95" s="28" t="str">
        <f>IF(B95="","",IF(C95="B",INDEX(DESK!$AD$2:$AD$601,MATCH(87,DESK!$AR$2:$AR$601,0)),""))</f>
        <v/>
      </c>
      <c r="G95" s="28" t="str">
        <f>IF(B95="","",INDEX(DESK!$AV$2:$AV$601,MATCH(87,DESK!$AR$2:$AR$601,0)))</f>
        <v/>
      </c>
      <c r="I95" s="21"/>
      <c r="J95" s="20"/>
      <c r="K95" s="20"/>
      <c r="L95" s="20"/>
      <c r="M95" s="23" t="str">
        <f t="shared" si="1"/>
        <v/>
      </c>
    </row>
    <row r="96" spans="1:13" x14ac:dyDescent="0.35">
      <c r="A96" s="28">
        <v>88</v>
      </c>
      <c r="B96" s="43" t="str">
        <f>IF(SETTINGS!$B$22&lt;&gt;"YES","",IFERROR(IF(OR($J$3="Everyone",INDEX(DESK!$AV$2:$AV$601,MATCH(88,DESK!$AR$2:$AR$601,0))="SEND"),"91"&amp;INDEX(DESK!$F$2:$F$601,MATCH(88,DESK!$AR$2:$AR$601,0)),""),""))</f>
        <v/>
      </c>
      <c r="C96" s="28" t="str">
        <f>IF(B96="","",IF(INDEX(DESK!$AC$2:$AC$601,MATCH(88,DESK!$AR$2:$AR$601,0))="YES","A","B"))</f>
        <v/>
      </c>
      <c r="D96" s="28" t="str">
        <f>IF(B96="","",INDEX(DESK!$AQ$2:$AQ$601,MATCH(88,DESK!$AR$2:$AR$601,0)))</f>
        <v/>
      </c>
      <c r="E96" s="28" t="str">
        <f>IF(B96="","",INDEX(DESK!$B$2:$B$601,MATCH(88,DESK!$AR$2:$AR$601,0))&amp;IF(COUNTIFS(DESK!$F$2:$F$601,INDEX(DESK!$F$2:$F$601,MATCH(88,DESK!$AR$2:$AR$601,0)),DESK!$L$2:$L$601,1)&gt;1," and "&amp;(COUNTIFS(DESK!$F$2:$F$601,INDEX(DESK!$F$2:$F$601,MATCH(88,DESK!$AR$2:$AR$601,0)),DESK!$L$2:$L$601,1)-1)&amp;" more",""))</f>
        <v/>
      </c>
      <c r="F96" s="28" t="str">
        <f>IF(B96="","",IF(C96="B",INDEX(DESK!$AD$2:$AD$601,MATCH(88,DESK!$AR$2:$AR$601,0)),""))</f>
        <v/>
      </c>
      <c r="G96" s="28" t="str">
        <f>IF(B96="","",INDEX(DESK!$AV$2:$AV$601,MATCH(88,DESK!$AR$2:$AR$601,0)))</f>
        <v/>
      </c>
      <c r="I96" s="21"/>
      <c r="J96" s="20"/>
      <c r="K96" s="20"/>
      <c r="L96" s="20"/>
      <c r="M96" s="23" t="str">
        <f t="shared" si="1"/>
        <v/>
      </c>
    </row>
    <row r="97" spans="1:13" x14ac:dyDescent="0.35">
      <c r="A97" s="28">
        <v>89</v>
      </c>
      <c r="B97" s="43" t="str">
        <f>IF(SETTINGS!$B$22&lt;&gt;"YES","",IFERROR(IF(OR($J$3="Everyone",INDEX(DESK!$AV$2:$AV$601,MATCH(89,DESK!$AR$2:$AR$601,0))="SEND"),"91"&amp;INDEX(DESK!$F$2:$F$601,MATCH(89,DESK!$AR$2:$AR$601,0)),""),""))</f>
        <v/>
      </c>
      <c r="C97" s="28" t="str">
        <f>IF(B97="","",IF(INDEX(DESK!$AC$2:$AC$601,MATCH(89,DESK!$AR$2:$AR$601,0))="YES","A","B"))</f>
        <v/>
      </c>
      <c r="D97" s="28" t="str">
        <f>IF(B97="","",INDEX(DESK!$AQ$2:$AQ$601,MATCH(89,DESK!$AR$2:$AR$601,0)))</f>
        <v/>
      </c>
      <c r="E97" s="28" t="str">
        <f>IF(B97="","",INDEX(DESK!$B$2:$B$601,MATCH(89,DESK!$AR$2:$AR$601,0))&amp;IF(COUNTIFS(DESK!$F$2:$F$601,INDEX(DESK!$F$2:$F$601,MATCH(89,DESK!$AR$2:$AR$601,0)),DESK!$L$2:$L$601,1)&gt;1," and "&amp;(COUNTIFS(DESK!$F$2:$F$601,INDEX(DESK!$F$2:$F$601,MATCH(89,DESK!$AR$2:$AR$601,0)),DESK!$L$2:$L$601,1)-1)&amp;" more",""))</f>
        <v/>
      </c>
      <c r="F97" s="28" t="str">
        <f>IF(B97="","",IF(C97="B",INDEX(DESK!$AD$2:$AD$601,MATCH(89,DESK!$AR$2:$AR$601,0)),""))</f>
        <v/>
      </c>
      <c r="G97" s="28" t="str">
        <f>IF(B97="","",INDEX(DESK!$AV$2:$AV$601,MATCH(89,DESK!$AR$2:$AR$601,0)))</f>
        <v/>
      </c>
      <c r="I97" s="21"/>
      <c r="J97" s="20"/>
      <c r="K97" s="20"/>
      <c r="L97" s="20"/>
      <c r="M97" s="23" t="str">
        <f t="shared" si="1"/>
        <v/>
      </c>
    </row>
    <row r="98" spans="1:13" x14ac:dyDescent="0.35">
      <c r="A98" s="28">
        <v>90</v>
      </c>
      <c r="B98" s="43" t="str">
        <f>IF(SETTINGS!$B$22&lt;&gt;"YES","",IFERROR(IF(OR($J$3="Everyone",INDEX(DESK!$AV$2:$AV$601,MATCH(90,DESK!$AR$2:$AR$601,0))="SEND"),"91"&amp;INDEX(DESK!$F$2:$F$601,MATCH(90,DESK!$AR$2:$AR$601,0)),""),""))</f>
        <v/>
      </c>
      <c r="C98" s="28" t="str">
        <f>IF(B98="","",IF(INDEX(DESK!$AC$2:$AC$601,MATCH(90,DESK!$AR$2:$AR$601,0))="YES","A","B"))</f>
        <v/>
      </c>
      <c r="D98" s="28" t="str">
        <f>IF(B98="","",INDEX(DESK!$AQ$2:$AQ$601,MATCH(90,DESK!$AR$2:$AR$601,0)))</f>
        <v/>
      </c>
      <c r="E98" s="28" t="str">
        <f>IF(B98="","",INDEX(DESK!$B$2:$B$601,MATCH(90,DESK!$AR$2:$AR$601,0))&amp;IF(COUNTIFS(DESK!$F$2:$F$601,INDEX(DESK!$F$2:$F$601,MATCH(90,DESK!$AR$2:$AR$601,0)),DESK!$L$2:$L$601,1)&gt;1," and "&amp;(COUNTIFS(DESK!$F$2:$F$601,INDEX(DESK!$F$2:$F$601,MATCH(90,DESK!$AR$2:$AR$601,0)),DESK!$L$2:$L$601,1)-1)&amp;" more",""))</f>
        <v/>
      </c>
      <c r="F98" s="28" t="str">
        <f>IF(B98="","",IF(C98="B",INDEX(DESK!$AD$2:$AD$601,MATCH(90,DESK!$AR$2:$AR$601,0)),""))</f>
        <v/>
      </c>
      <c r="G98" s="28" t="str">
        <f>IF(B98="","",INDEX(DESK!$AV$2:$AV$601,MATCH(90,DESK!$AR$2:$AR$601,0)))</f>
        <v/>
      </c>
      <c r="I98" s="21"/>
      <c r="J98" s="20"/>
      <c r="K98" s="20"/>
      <c r="L98" s="20"/>
      <c r="M98" s="23" t="str">
        <f t="shared" si="1"/>
        <v/>
      </c>
    </row>
    <row r="99" spans="1:13" x14ac:dyDescent="0.35">
      <c r="A99" s="28">
        <v>91</v>
      </c>
      <c r="B99" s="43" t="str">
        <f>IF(SETTINGS!$B$22&lt;&gt;"YES","",IFERROR(IF(OR($J$3="Everyone",INDEX(DESK!$AV$2:$AV$601,MATCH(91,DESK!$AR$2:$AR$601,0))="SEND"),"91"&amp;INDEX(DESK!$F$2:$F$601,MATCH(91,DESK!$AR$2:$AR$601,0)),""),""))</f>
        <v/>
      </c>
      <c r="C99" s="28" t="str">
        <f>IF(B99="","",IF(INDEX(DESK!$AC$2:$AC$601,MATCH(91,DESK!$AR$2:$AR$601,0))="YES","A","B"))</f>
        <v/>
      </c>
      <c r="D99" s="28" t="str">
        <f>IF(B99="","",INDEX(DESK!$AQ$2:$AQ$601,MATCH(91,DESK!$AR$2:$AR$601,0)))</f>
        <v/>
      </c>
      <c r="E99" s="28" t="str">
        <f>IF(B99="","",INDEX(DESK!$B$2:$B$601,MATCH(91,DESK!$AR$2:$AR$601,0))&amp;IF(COUNTIFS(DESK!$F$2:$F$601,INDEX(DESK!$F$2:$F$601,MATCH(91,DESK!$AR$2:$AR$601,0)),DESK!$L$2:$L$601,1)&gt;1," and "&amp;(COUNTIFS(DESK!$F$2:$F$601,INDEX(DESK!$F$2:$F$601,MATCH(91,DESK!$AR$2:$AR$601,0)),DESK!$L$2:$L$601,1)-1)&amp;" more",""))</f>
        <v/>
      </c>
      <c r="F99" s="28" t="str">
        <f>IF(B99="","",IF(C99="B",INDEX(DESK!$AD$2:$AD$601,MATCH(91,DESK!$AR$2:$AR$601,0)),""))</f>
        <v/>
      </c>
      <c r="G99" s="28" t="str">
        <f>IF(B99="","",INDEX(DESK!$AV$2:$AV$601,MATCH(91,DESK!$AR$2:$AR$601,0)))</f>
        <v/>
      </c>
      <c r="I99" s="21"/>
      <c r="J99" s="20"/>
      <c r="K99" s="20"/>
      <c r="L99" s="20"/>
      <c r="M99" s="23" t="str">
        <f t="shared" si="1"/>
        <v/>
      </c>
    </row>
    <row r="100" spans="1:13" x14ac:dyDescent="0.35">
      <c r="A100" s="28">
        <v>92</v>
      </c>
      <c r="B100" s="43" t="str">
        <f>IF(SETTINGS!$B$22&lt;&gt;"YES","",IFERROR(IF(OR($J$3="Everyone",INDEX(DESK!$AV$2:$AV$601,MATCH(92,DESK!$AR$2:$AR$601,0))="SEND"),"91"&amp;INDEX(DESK!$F$2:$F$601,MATCH(92,DESK!$AR$2:$AR$601,0)),""),""))</f>
        <v/>
      </c>
      <c r="C100" s="28" t="str">
        <f>IF(B100="","",IF(INDEX(DESK!$AC$2:$AC$601,MATCH(92,DESK!$AR$2:$AR$601,0))="YES","A","B"))</f>
        <v/>
      </c>
      <c r="D100" s="28" t="str">
        <f>IF(B100="","",INDEX(DESK!$AQ$2:$AQ$601,MATCH(92,DESK!$AR$2:$AR$601,0)))</f>
        <v/>
      </c>
      <c r="E100" s="28" t="str">
        <f>IF(B100="","",INDEX(DESK!$B$2:$B$601,MATCH(92,DESK!$AR$2:$AR$601,0))&amp;IF(COUNTIFS(DESK!$F$2:$F$601,INDEX(DESK!$F$2:$F$601,MATCH(92,DESK!$AR$2:$AR$601,0)),DESK!$L$2:$L$601,1)&gt;1," and "&amp;(COUNTIFS(DESK!$F$2:$F$601,INDEX(DESK!$F$2:$F$601,MATCH(92,DESK!$AR$2:$AR$601,0)),DESK!$L$2:$L$601,1)-1)&amp;" more",""))</f>
        <v/>
      </c>
      <c r="F100" s="28" t="str">
        <f>IF(B100="","",IF(C100="B",INDEX(DESK!$AD$2:$AD$601,MATCH(92,DESK!$AR$2:$AR$601,0)),""))</f>
        <v/>
      </c>
      <c r="G100" s="28" t="str">
        <f>IF(B100="","",INDEX(DESK!$AV$2:$AV$601,MATCH(92,DESK!$AR$2:$AR$601,0)))</f>
        <v/>
      </c>
      <c r="I100" s="21"/>
      <c r="J100" s="20"/>
      <c r="K100" s="20"/>
      <c r="L100" s="20"/>
      <c r="M100" s="23" t="str">
        <f t="shared" si="1"/>
        <v/>
      </c>
    </row>
    <row r="101" spans="1:13" x14ac:dyDescent="0.35">
      <c r="A101" s="28">
        <v>93</v>
      </c>
      <c r="B101" s="43" t="str">
        <f>IF(SETTINGS!$B$22&lt;&gt;"YES","",IFERROR(IF(OR($J$3="Everyone",INDEX(DESK!$AV$2:$AV$601,MATCH(93,DESK!$AR$2:$AR$601,0))="SEND"),"91"&amp;INDEX(DESK!$F$2:$F$601,MATCH(93,DESK!$AR$2:$AR$601,0)),""),""))</f>
        <v/>
      </c>
      <c r="C101" s="28" t="str">
        <f>IF(B101="","",IF(INDEX(DESK!$AC$2:$AC$601,MATCH(93,DESK!$AR$2:$AR$601,0))="YES","A","B"))</f>
        <v/>
      </c>
      <c r="D101" s="28" t="str">
        <f>IF(B101="","",INDEX(DESK!$AQ$2:$AQ$601,MATCH(93,DESK!$AR$2:$AR$601,0)))</f>
        <v/>
      </c>
      <c r="E101" s="28" t="str">
        <f>IF(B101="","",INDEX(DESK!$B$2:$B$601,MATCH(93,DESK!$AR$2:$AR$601,0))&amp;IF(COUNTIFS(DESK!$F$2:$F$601,INDEX(DESK!$F$2:$F$601,MATCH(93,DESK!$AR$2:$AR$601,0)),DESK!$L$2:$L$601,1)&gt;1," and "&amp;(COUNTIFS(DESK!$F$2:$F$601,INDEX(DESK!$F$2:$F$601,MATCH(93,DESK!$AR$2:$AR$601,0)),DESK!$L$2:$L$601,1)-1)&amp;" more",""))</f>
        <v/>
      </c>
      <c r="F101" s="28" t="str">
        <f>IF(B101="","",IF(C101="B",INDEX(DESK!$AD$2:$AD$601,MATCH(93,DESK!$AR$2:$AR$601,0)),""))</f>
        <v/>
      </c>
      <c r="G101" s="28" t="str">
        <f>IF(B101="","",INDEX(DESK!$AV$2:$AV$601,MATCH(93,DESK!$AR$2:$AR$601,0)))</f>
        <v/>
      </c>
      <c r="I101" s="21"/>
      <c r="J101" s="20"/>
      <c r="K101" s="20"/>
      <c r="L101" s="20"/>
      <c r="M101" s="23" t="str">
        <f t="shared" si="1"/>
        <v/>
      </c>
    </row>
    <row r="102" spans="1:13" x14ac:dyDescent="0.35">
      <c r="A102" s="28">
        <v>94</v>
      </c>
      <c r="B102" s="43" t="str">
        <f>IF(SETTINGS!$B$22&lt;&gt;"YES","",IFERROR(IF(OR($J$3="Everyone",INDEX(DESK!$AV$2:$AV$601,MATCH(94,DESK!$AR$2:$AR$601,0))="SEND"),"91"&amp;INDEX(DESK!$F$2:$F$601,MATCH(94,DESK!$AR$2:$AR$601,0)),""),""))</f>
        <v/>
      </c>
      <c r="C102" s="28" t="str">
        <f>IF(B102="","",IF(INDEX(DESK!$AC$2:$AC$601,MATCH(94,DESK!$AR$2:$AR$601,0))="YES","A","B"))</f>
        <v/>
      </c>
      <c r="D102" s="28" t="str">
        <f>IF(B102="","",INDEX(DESK!$AQ$2:$AQ$601,MATCH(94,DESK!$AR$2:$AR$601,0)))</f>
        <v/>
      </c>
      <c r="E102" s="28" t="str">
        <f>IF(B102="","",INDEX(DESK!$B$2:$B$601,MATCH(94,DESK!$AR$2:$AR$601,0))&amp;IF(COUNTIFS(DESK!$F$2:$F$601,INDEX(DESK!$F$2:$F$601,MATCH(94,DESK!$AR$2:$AR$601,0)),DESK!$L$2:$L$601,1)&gt;1," and "&amp;(COUNTIFS(DESK!$F$2:$F$601,INDEX(DESK!$F$2:$F$601,MATCH(94,DESK!$AR$2:$AR$601,0)),DESK!$L$2:$L$601,1)-1)&amp;" more",""))</f>
        <v/>
      </c>
      <c r="F102" s="28" t="str">
        <f>IF(B102="","",IF(C102="B",INDEX(DESK!$AD$2:$AD$601,MATCH(94,DESK!$AR$2:$AR$601,0)),""))</f>
        <v/>
      </c>
      <c r="G102" s="28" t="str">
        <f>IF(B102="","",INDEX(DESK!$AV$2:$AV$601,MATCH(94,DESK!$AR$2:$AR$601,0)))</f>
        <v/>
      </c>
      <c r="I102" s="21"/>
      <c r="J102" s="20"/>
      <c r="K102" s="20"/>
      <c r="L102" s="20"/>
      <c r="M102" s="23" t="str">
        <f t="shared" si="1"/>
        <v/>
      </c>
    </row>
    <row r="103" spans="1:13" x14ac:dyDescent="0.35">
      <c r="A103" s="28">
        <v>95</v>
      </c>
      <c r="B103" s="43" t="str">
        <f>IF(SETTINGS!$B$22&lt;&gt;"YES","",IFERROR(IF(OR($J$3="Everyone",INDEX(DESK!$AV$2:$AV$601,MATCH(95,DESK!$AR$2:$AR$601,0))="SEND"),"91"&amp;INDEX(DESK!$F$2:$F$601,MATCH(95,DESK!$AR$2:$AR$601,0)),""),""))</f>
        <v/>
      </c>
      <c r="C103" s="28" t="str">
        <f>IF(B103="","",IF(INDEX(DESK!$AC$2:$AC$601,MATCH(95,DESK!$AR$2:$AR$601,0))="YES","A","B"))</f>
        <v/>
      </c>
      <c r="D103" s="28" t="str">
        <f>IF(B103="","",INDEX(DESK!$AQ$2:$AQ$601,MATCH(95,DESK!$AR$2:$AR$601,0)))</f>
        <v/>
      </c>
      <c r="E103" s="28" t="str">
        <f>IF(B103="","",INDEX(DESK!$B$2:$B$601,MATCH(95,DESK!$AR$2:$AR$601,0))&amp;IF(COUNTIFS(DESK!$F$2:$F$601,INDEX(DESK!$F$2:$F$601,MATCH(95,DESK!$AR$2:$AR$601,0)),DESK!$L$2:$L$601,1)&gt;1," and "&amp;(COUNTIFS(DESK!$F$2:$F$601,INDEX(DESK!$F$2:$F$601,MATCH(95,DESK!$AR$2:$AR$601,0)),DESK!$L$2:$L$601,1)-1)&amp;" more",""))</f>
        <v/>
      </c>
      <c r="F103" s="28" t="str">
        <f>IF(B103="","",IF(C103="B",INDEX(DESK!$AD$2:$AD$601,MATCH(95,DESK!$AR$2:$AR$601,0)),""))</f>
        <v/>
      </c>
      <c r="G103" s="28" t="str">
        <f>IF(B103="","",INDEX(DESK!$AV$2:$AV$601,MATCH(95,DESK!$AR$2:$AR$601,0)))</f>
        <v/>
      </c>
      <c r="I103" s="21"/>
      <c r="J103" s="20"/>
      <c r="K103" s="20"/>
      <c r="L103" s="20"/>
      <c r="M103" s="23" t="str">
        <f t="shared" si="1"/>
        <v/>
      </c>
    </row>
    <row r="104" spans="1:13" x14ac:dyDescent="0.35">
      <c r="A104" s="28">
        <v>96</v>
      </c>
      <c r="B104" s="43" t="str">
        <f>IF(SETTINGS!$B$22&lt;&gt;"YES","",IFERROR(IF(OR($J$3="Everyone",INDEX(DESK!$AV$2:$AV$601,MATCH(96,DESK!$AR$2:$AR$601,0))="SEND"),"91"&amp;INDEX(DESK!$F$2:$F$601,MATCH(96,DESK!$AR$2:$AR$601,0)),""),""))</f>
        <v/>
      </c>
      <c r="C104" s="28" t="str">
        <f>IF(B104="","",IF(INDEX(DESK!$AC$2:$AC$601,MATCH(96,DESK!$AR$2:$AR$601,0))="YES","A","B"))</f>
        <v/>
      </c>
      <c r="D104" s="28" t="str">
        <f>IF(B104="","",INDEX(DESK!$AQ$2:$AQ$601,MATCH(96,DESK!$AR$2:$AR$601,0)))</f>
        <v/>
      </c>
      <c r="E104" s="28" t="str">
        <f>IF(B104="","",INDEX(DESK!$B$2:$B$601,MATCH(96,DESK!$AR$2:$AR$601,0))&amp;IF(COUNTIFS(DESK!$F$2:$F$601,INDEX(DESK!$F$2:$F$601,MATCH(96,DESK!$AR$2:$AR$601,0)),DESK!$L$2:$L$601,1)&gt;1," and "&amp;(COUNTIFS(DESK!$F$2:$F$601,INDEX(DESK!$F$2:$F$601,MATCH(96,DESK!$AR$2:$AR$601,0)),DESK!$L$2:$L$601,1)-1)&amp;" more",""))</f>
        <v/>
      </c>
      <c r="F104" s="28" t="str">
        <f>IF(B104="","",IF(C104="B",INDEX(DESK!$AD$2:$AD$601,MATCH(96,DESK!$AR$2:$AR$601,0)),""))</f>
        <v/>
      </c>
      <c r="G104" s="28" t="str">
        <f>IF(B104="","",INDEX(DESK!$AV$2:$AV$601,MATCH(96,DESK!$AR$2:$AR$601,0)))</f>
        <v/>
      </c>
      <c r="I104" s="21"/>
      <c r="J104" s="20"/>
      <c r="K104" s="20"/>
      <c r="L104" s="20"/>
      <c r="M104" s="23" t="str">
        <f t="shared" si="1"/>
        <v/>
      </c>
    </row>
    <row r="105" spans="1:13" x14ac:dyDescent="0.35">
      <c r="A105" s="28">
        <v>97</v>
      </c>
      <c r="B105" s="43" t="str">
        <f>IF(SETTINGS!$B$22&lt;&gt;"YES","",IFERROR(IF(OR($J$3="Everyone",INDEX(DESK!$AV$2:$AV$601,MATCH(97,DESK!$AR$2:$AR$601,0))="SEND"),"91"&amp;INDEX(DESK!$F$2:$F$601,MATCH(97,DESK!$AR$2:$AR$601,0)),""),""))</f>
        <v/>
      </c>
      <c r="C105" s="28" t="str">
        <f>IF(B105="","",IF(INDEX(DESK!$AC$2:$AC$601,MATCH(97,DESK!$AR$2:$AR$601,0))="YES","A","B"))</f>
        <v/>
      </c>
      <c r="D105" s="28" t="str">
        <f>IF(B105="","",INDEX(DESK!$AQ$2:$AQ$601,MATCH(97,DESK!$AR$2:$AR$601,0)))</f>
        <v/>
      </c>
      <c r="E105" s="28" t="str">
        <f>IF(B105="","",INDEX(DESK!$B$2:$B$601,MATCH(97,DESK!$AR$2:$AR$601,0))&amp;IF(COUNTIFS(DESK!$F$2:$F$601,INDEX(DESK!$F$2:$F$601,MATCH(97,DESK!$AR$2:$AR$601,0)),DESK!$L$2:$L$601,1)&gt;1," and "&amp;(COUNTIFS(DESK!$F$2:$F$601,INDEX(DESK!$F$2:$F$601,MATCH(97,DESK!$AR$2:$AR$601,0)),DESK!$L$2:$L$601,1)-1)&amp;" more",""))</f>
        <v/>
      </c>
      <c r="F105" s="28" t="str">
        <f>IF(B105="","",IF(C105="B",INDEX(DESK!$AD$2:$AD$601,MATCH(97,DESK!$AR$2:$AR$601,0)),""))</f>
        <v/>
      </c>
      <c r="G105" s="28" t="str">
        <f>IF(B105="","",INDEX(DESK!$AV$2:$AV$601,MATCH(97,DESK!$AR$2:$AR$601,0)))</f>
        <v/>
      </c>
      <c r="I105" s="21"/>
      <c r="J105" s="20"/>
      <c r="K105" s="20"/>
      <c r="L105" s="20"/>
      <c r="M105" s="23" t="str">
        <f t="shared" si="1"/>
        <v/>
      </c>
    </row>
    <row r="106" spans="1:13" x14ac:dyDescent="0.35">
      <c r="A106" s="28">
        <v>98</v>
      </c>
      <c r="B106" s="43" t="str">
        <f>IF(SETTINGS!$B$22&lt;&gt;"YES","",IFERROR(IF(OR($J$3="Everyone",INDEX(DESK!$AV$2:$AV$601,MATCH(98,DESK!$AR$2:$AR$601,0))="SEND"),"91"&amp;INDEX(DESK!$F$2:$F$601,MATCH(98,DESK!$AR$2:$AR$601,0)),""),""))</f>
        <v/>
      </c>
      <c r="C106" s="28" t="str">
        <f>IF(B106="","",IF(INDEX(DESK!$AC$2:$AC$601,MATCH(98,DESK!$AR$2:$AR$601,0))="YES","A","B"))</f>
        <v/>
      </c>
      <c r="D106" s="28" t="str">
        <f>IF(B106="","",INDEX(DESK!$AQ$2:$AQ$601,MATCH(98,DESK!$AR$2:$AR$601,0)))</f>
        <v/>
      </c>
      <c r="E106" s="28" t="str">
        <f>IF(B106="","",INDEX(DESK!$B$2:$B$601,MATCH(98,DESK!$AR$2:$AR$601,0))&amp;IF(COUNTIFS(DESK!$F$2:$F$601,INDEX(DESK!$F$2:$F$601,MATCH(98,DESK!$AR$2:$AR$601,0)),DESK!$L$2:$L$601,1)&gt;1," and "&amp;(COUNTIFS(DESK!$F$2:$F$601,INDEX(DESK!$F$2:$F$601,MATCH(98,DESK!$AR$2:$AR$601,0)),DESK!$L$2:$L$601,1)-1)&amp;" more",""))</f>
        <v/>
      </c>
      <c r="F106" s="28" t="str">
        <f>IF(B106="","",IF(C106="B",INDEX(DESK!$AD$2:$AD$601,MATCH(98,DESK!$AR$2:$AR$601,0)),""))</f>
        <v/>
      </c>
      <c r="G106" s="28" t="str">
        <f>IF(B106="","",INDEX(DESK!$AV$2:$AV$601,MATCH(98,DESK!$AR$2:$AR$601,0)))</f>
        <v/>
      </c>
      <c r="I106" s="21"/>
      <c r="J106" s="20"/>
      <c r="K106" s="20"/>
      <c r="L106" s="20"/>
      <c r="M106" s="23" t="str">
        <f t="shared" si="1"/>
        <v/>
      </c>
    </row>
    <row r="107" spans="1:13" x14ac:dyDescent="0.35">
      <c r="A107" s="28">
        <v>99</v>
      </c>
      <c r="B107" s="43" t="str">
        <f>IF(SETTINGS!$B$22&lt;&gt;"YES","",IFERROR(IF(OR($J$3="Everyone",INDEX(DESK!$AV$2:$AV$601,MATCH(99,DESK!$AR$2:$AR$601,0))="SEND"),"91"&amp;INDEX(DESK!$F$2:$F$601,MATCH(99,DESK!$AR$2:$AR$601,0)),""),""))</f>
        <v/>
      </c>
      <c r="C107" s="28" t="str">
        <f>IF(B107="","",IF(INDEX(DESK!$AC$2:$AC$601,MATCH(99,DESK!$AR$2:$AR$601,0))="YES","A","B"))</f>
        <v/>
      </c>
      <c r="D107" s="28" t="str">
        <f>IF(B107="","",INDEX(DESK!$AQ$2:$AQ$601,MATCH(99,DESK!$AR$2:$AR$601,0)))</f>
        <v/>
      </c>
      <c r="E107" s="28" t="str">
        <f>IF(B107="","",INDEX(DESK!$B$2:$B$601,MATCH(99,DESK!$AR$2:$AR$601,0))&amp;IF(COUNTIFS(DESK!$F$2:$F$601,INDEX(DESK!$F$2:$F$601,MATCH(99,DESK!$AR$2:$AR$601,0)),DESK!$L$2:$L$601,1)&gt;1," and "&amp;(COUNTIFS(DESK!$F$2:$F$601,INDEX(DESK!$F$2:$F$601,MATCH(99,DESK!$AR$2:$AR$601,0)),DESK!$L$2:$L$601,1)-1)&amp;" more",""))</f>
        <v/>
      </c>
      <c r="F107" s="28" t="str">
        <f>IF(B107="","",IF(C107="B",INDEX(DESK!$AD$2:$AD$601,MATCH(99,DESK!$AR$2:$AR$601,0)),""))</f>
        <v/>
      </c>
      <c r="G107" s="28" t="str">
        <f>IF(B107="","",INDEX(DESK!$AV$2:$AV$601,MATCH(99,DESK!$AR$2:$AR$601,0)))</f>
        <v/>
      </c>
      <c r="I107" s="21"/>
      <c r="J107" s="20"/>
      <c r="K107" s="20"/>
      <c r="L107" s="20"/>
      <c r="M107" s="23" t="str">
        <f t="shared" si="1"/>
        <v/>
      </c>
    </row>
    <row r="108" spans="1:13" x14ac:dyDescent="0.35">
      <c r="A108" s="28">
        <v>100</v>
      </c>
      <c r="B108" s="43" t="str">
        <f>IF(SETTINGS!$B$22&lt;&gt;"YES","",IFERROR(IF(OR($J$3="Everyone",INDEX(DESK!$AV$2:$AV$601,MATCH(100,DESK!$AR$2:$AR$601,0))="SEND"),"91"&amp;INDEX(DESK!$F$2:$F$601,MATCH(100,DESK!$AR$2:$AR$601,0)),""),""))</f>
        <v/>
      </c>
      <c r="C108" s="28" t="str">
        <f>IF(B108="","",IF(INDEX(DESK!$AC$2:$AC$601,MATCH(100,DESK!$AR$2:$AR$601,0))="YES","A","B"))</f>
        <v/>
      </c>
      <c r="D108" s="28" t="str">
        <f>IF(B108="","",INDEX(DESK!$AQ$2:$AQ$601,MATCH(100,DESK!$AR$2:$AR$601,0)))</f>
        <v/>
      </c>
      <c r="E108" s="28" t="str">
        <f>IF(B108="","",INDEX(DESK!$B$2:$B$601,MATCH(100,DESK!$AR$2:$AR$601,0))&amp;IF(COUNTIFS(DESK!$F$2:$F$601,INDEX(DESK!$F$2:$F$601,MATCH(100,DESK!$AR$2:$AR$601,0)),DESK!$L$2:$L$601,1)&gt;1," and "&amp;(COUNTIFS(DESK!$F$2:$F$601,INDEX(DESK!$F$2:$F$601,MATCH(100,DESK!$AR$2:$AR$601,0)),DESK!$L$2:$L$601,1)-1)&amp;" more",""))</f>
        <v/>
      </c>
      <c r="F108" s="28" t="str">
        <f>IF(B108="","",IF(C108="B",INDEX(DESK!$AD$2:$AD$601,MATCH(100,DESK!$AR$2:$AR$601,0)),""))</f>
        <v/>
      </c>
      <c r="G108" s="28" t="str">
        <f>IF(B108="","",INDEX(DESK!$AV$2:$AV$601,MATCH(100,DESK!$AR$2:$AR$601,0)))</f>
        <v/>
      </c>
      <c r="I108" s="21"/>
      <c r="J108" s="20"/>
      <c r="K108" s="20"/>
      <c r="L108" s="20"/>
      <c r="M108" s="23" t="str">
        <f t="shared" si="1"/>
        <v/>
      </c>
    </row>
    <row r="109" spans="1:13" x14ac:dyDescent="0.35">
      <c r="A109" s="28">
        <v>101</v>
      </c>
      <c r="B109" s="43" t="str">
        <f>IF(SETTINGS!$B$22&lt;&gt;"YES","",IFERROR(IF(OR($J$3="Everyone",INDEX(DESK!$AV$2:$AV$601,MATCH(101,DESK!$AR$2:$AR$601,0))="SEND"),"91"&amp;INDEX(DESK!$F$2:$F$601,MATCH(101,DESK!$AR$2:$AR$601,0)),""),""))</f>
        <v/>
      </c>
      <c r="C109" s="28" t="str">
        <f>IF(B109="","",IF(INDEX(DESK!$AC$2:$AC$601,MATCH(101,DESK!$AR$2:$AR$601,0))="YES","A","B"))</f>
        <v/>
      </c>
      <c r="D109" s="28" t="str">
        <f>IF(B109="","",INDEX(DESK!$AQ$2:$AQ$601,MATCH(101,DESK!$AR$2:$AR$601,0)))</f>
        <v/>
      </c>
      <c r="E109" s="28" t="str">
        <f>IF(B109="","",INDEX(DESK!$B$2:$B$601,MATCH(101,DESK!$AR$2:$AR$601,0))&amp;IF(COUNTIFS(DESK!$F$2:$F$601,INDEX(DESK!$F$2:$F$601,MATCH(101,DESK!$AR$2:$AR$601,0)),DESK!$L$2:$L$601,1)&gt;1," and "&amp;(COUNTIFS(DESK!$F$2:$F$601,INDEX(DESK!$F$2:$F$601,MATCH(101,DESK!$AR$2:$AR$601,0)),DESK!$L$2:$L$601,1)-1)&amp;" more",""))</f>
        <v/>
      </c>
      <c r="F109" s="28" t="str">
        <f>IF(B109="","",IF(C109="B",INDEX(DESK!$AD$2:$AD$601,MATCH(101,DESK!$AR$2:$AR$601,0)),""))</f>
        <v/>
      </c>
      <c r="G109" s="28" t="str">
        <f>IF(B109="","",INDEX(DESK!$AV$2:$AV$601,MATCH(101,DESK!$AR$2:$AR$601,0)))</f>
        <v/>
      </c>
      <c r="I109" s="21"/>
      <c r="J109" s="20"/>
      <c r="K109" s="20"/>
      <c r="L109" s="20"/>
      <c r="M109" s="23" t="str">
        <f t="shared" si="1"/>
        <v/>
      </c>
    </row>
    <row r="110" spans="1:13" x14ac:dyDescent="0.35">
      <c r="A110" s="28">
        <v>102</v>
      </c>
      <c r="B110" s="43" t="str">
        <f>IF(SETTINGS!$B$22&lt;&gt;"YES","",IFERROR(IF(OR($J$3="Everyone",INDEX(DESK!$AV$2:$AV$601,MATCH(102,DESK!$AR$2:$AR$601,0))="SEND"),"91"&amp;INDEX(DESK!$F$2:$F$601,MATCH(102,DESK!$AR$2:$AR$601,0)),""),""))</f>
        <v/>
      </c>
      <c r="C110" s="28" t="str">
        <f>IF(B110="","",IF(INDEX(DESK!$AC$2:$AC$601,MATCH(102,DESK!$AR$2:$AR$601,0))="YES","A","B"))</f>
        <v/>
      </c>
      <c r="D110" s="28" t="str">
        <f>IF(B110="","",INDEX(DESK!$AQ$2:$AQ$601,MATCH(102,DESK!$AR$2:$AR$601,0)))</f>
        <v/>
      </c>
      <c r="E110" s="28" t="str">
        <f>IF(B110="","",INDEX(DESK!$B$2:$B$601,MATCH(102,DESK!$AR$2:$AR$601,0))&amp;IF(COUNTIFS(DESK!$F$2:$F$601,INDEX(DESK!$F$2:$F$601,MATCH(102,DESK!$AR$2:$AR$601,0)),DESK!$L$2:$L$601,1)&gt;1," and "&amp;(COUNTIFS(DESK!$F$2:$F$601,INDEX(DESK!$F$2:$F$601,MATCH(102,DESK!$AR$2:$AR$601,0)),DESK!$L$2:$L$601,1)-1)&amp;" more",""))</f>
        <v/>
      </c>
      <c r="F110" s="28" t="str">
        <f>IF(B110="","",IF(C110="B",INDEX(DESK!$AD$2:$AD$601,MATCH(102,DESK!$AR$2:$AR$601,0)),""))</f>
        <v/>
      </c>
      <c r="G110" s="28" t="str">
        <f>IF(B110="","",INDEX(DESK!$AV$2:$AV$601,MATCH(102,DESK!$AR$2:$AR$601,0)))</f>
        <v/>
      </c>
      <c r="I110" s="21"/>
      <c r="J110" s="20"/>
      <c r="K110" s="20"/>
      <c r="L110" s="20"/>
      <c r="M110" s="23" t="str">
        <f t="shared" si="1"/>
        <v/>
      </c>
    </row>
    <row r="111" spans="1:13" x14ac:dyDescent="0.35">
      <c r="A111" s="28">
        <v>103</v>
      </c>
      <c r="B111" s="43" t="str">
        <f>IF(SETTINGS!$B$22&lt;&gt;"YES","",IFERROR(IF(OR($J$3="Everyone",INDEX(DESK!$AV$2:$AV$601,MATCH(103,DESK!$AR$2:$AR$601,0))="SEND"),"91"&amp;INDEX(DESK!$F$2:$F$601,MATCH(103,DESK!$AR$2:$AR$601,0)),""),""))</f>
        <v/>
      </c>
      <c r="C111" s="28" t="str">
        <f>IF(B111="","",IF(INDEX(DESK!$AC$2:$AC$601,MATCH(103,DESK!$AR$2:$AR$601,0))="YES","A","B"))</f>
        <v/>
      </c>
      <c r="D111" s="28" t="str">
        <f>IF(B111="","",INDEX(DESK!$AQ$2:$AQ$601,MATCH(103,DESK!$AR$2:$AR$601,0)))</f>
        <v/>
      </c>
      <c r="E111" s="28" t="str">
        <f>IF(B111="","",INDEX(DESK!$B$2:$B$601,MATCH(103,DESK!$AR$2:$AR$601,0))&amp;IF(COUNTIFS(DESK!$F$2:$F$601,INDEX(DESK!$F$2:$F$601,MATCH(103,DESK!$AR$2:$AR$601,0)),DESK!$L$2:$L$601,1)&gt;1," and "&amp;(COUNTIFS(DESK!$F$2:$F$601,INDEX(DESK!$F$2:$F$601,MATCH(103,DESK!$AR$2:$AR$601,0)),DESK!$L$2:$L$601,1)-1)&amp;" more",""))</f>
        <v/>
      </c>
      <c r="F111" s="28" t="str">
        <f>IF(B111="","",IF(C111="B",INDEX(DESK!$AD$2:$AD$601,MATCH(103,DESK!$AR$2:$AR$601,0)),""))</f>
        <v/>
      </c>
      <c r="G111" s="28" t="str">
        <f>IF(B111="","",INDEX(DESK!$AV$2:$AV$601,MATCH(103,DESK!$AR$2:$AR$601,0)))</f>
        <v/>
      </c>
      <c r="I111" s="21"/>
      <c r="J111" s="20"/>
      <c r="K111" s="20"/>
      <c r="L111" s="20"/>
      <c r="M111" s="23" t="str">
        <f t="shared" si="1"/>
        <v/>
      </c>
    </row>
    <row r="112" spans="1:13" x14ac:dyDescent="0.35">
      <c r="A112" s="28">
        <v>104</v>
      </c>
      <c r="B112" s="43" t="str">
        <f>IF(SETTINGS!$B$22&lt;&gt;"YES","",IFERROR(IF(OR($J$3="Everyone",INDEX(DESK!$AV$2:$AV$601,MATCH(104,DESK!$AR$2:$AR$601,0))="SEND"),"91"&amp;INDEX(DESK!$F$2:$F$601,MATCH(104,DESK!$AR$2:$AR$601,0)),""),""))</f>
        <v/>
      </c>
      <c r="C112" s="28" t="str">
        <f>IF(B112="","",IF(INDEX(DESK!$AC$2:$AC$601,MATCH(104,DESK!$AR$2:$AR$601,0))="YES","A","B"))</f>
        <v/>
      </c>
      <c r="D112" s="28" t="str">
        <f>IF(B112="","",INDEX(DESK!$AQ$2:$AQ$601,MATCH(104,DESK!$AR$2:$AR$601,0)))</f>
        <v/>
      </c>
      <c r="E112" s="28" t="str">
        <f>IF(B112="","",INDEX(DESK!$B$2:$B$601,MATCH(104,DESK!$AR$2:$AR$601,0))&amp;IF(COUNTIFS(DESK!$F$2:$F$601,INDEX(DESK!$F$2:$F$601,MATCH(104,DESK!$AR$2:$AR$601,0)),DESK!$L$2:$L$601,1)&gt;1," and "&amp;(COUNTIFS(DESK!$F$2:$F$601,INDEX(DESK!$F$2:$F$601,MATCH(104,DESK!$AR$2:$AR$601,0)),DESK!$L$2:$L$601,1)-1)&amp;" more",""))</f>
        <v/>
      </c>
      <c r="F112" s="28" t="str">
        <f>IF(B112="","",IF(C112="B",INDEX(DESK!$AD$2:$AD$601,MATCH(104,DESK!$AR$2:$AR$601,0)),""))</f>
        <v/>
      </c>
      <c r="G112" s="28" t="str">
        <f>IF(B112="","",INDEX(DESK!$AV$2:$AV$601,MATCH(104,DESK!$AR$2:$AR$601,0)))</f>
        <v/>
      </c>
      <c r="I112" s="21"/>
      <c r="J112" s="20"/>
      <c r="K112" s="20"/>
      <c r="L112" s="20"/>
      <c r="M112" s="23" t="str">
        <f t="shared" si="1"/>
        <v/>
      </c>
    </row>
    <row r="113" spans="1:13" x14ac:dyDescent="0.35">
      <c r="A113" s="28">
        <v>105</v>
      </c>
      <c r="B113" s="43" t="str">
        <f>IF(SETTINGS!$B$22&lt;&gt;"YES","",IFERROR(IF(OR($J$3="Everyone",INDEX(DESK!$AV$2:$AV$601,MATCH(105,DESK!$AR$2:$AR$601,0))="SEND"),"91"&amp;INDEX(DESK!$F$2:$F$601,MATCH(105,DESK!$AR$2:$AR$601,0)),""),""))</f>
        <v/>
      </c>
      <c r="C113" s="28" t="str">
        <f>IF(B113="","",IF(INDEX(DESK!$AC$2:$AC$601,MATCH(105,DESK!$AR$2:$AR$601,0))="YES","A","B"))</f>
        <v/>
      </c>
      <c r="D113" s="28" t="str">
        <f>IF(B113="","",INDEX(DESK!$AQ$2:$AQ$601,MATCH(105,DESK!$AR$2:$AR$601,0)))</f>
        <v/>
      </c>
      <c r="E113" s="28" t="str">
        <f>IF(B113="","",INDEX(DESK!$B$2:$B$601,MATCH(105,DESK!$AR$2:$AR$601,0))&amp;IF(COUNTIFS(DESK!$F$2:$F$601,INDEX(DESK!$F$2:$F$601,MATCH(105,DESK!$AR$2:$AR$601,0)),DESK!$L$2:$L$601,1)&gt;1," and "&amp;(COUNTIFS(DESK!$F$2:$F$601,INDEX(DESK!$F$2:$F$601,MATCH(105,DESK!$AR$2:$AR$601,0)),DESK!$L$2:$L$601,1)-1)&amp;" more",""))</f>
        <v/>
      </c>
      <c r="F113" s="28" t="str">
        <f>IF(B113="","",IF(C113="B",INDEX(DESK!$AD$2:$AD$601,MATCH(105,DESK!$AR$2:$AR$601,0)),""))</f>
        <v/>
      </c>
      <c r="G113" s="28" t="str">
        <f>IF(B113="","",INDEX(DESK!$AV$2:$AV$601,MATCH(105,DESK!$AR$2:$AR$601,0)))</f>
        <v/>
      </c>
      <c r="I113" s="21"/>
      <c r="J113" s="20"/>
      <c r="K113" s="20"/>
      <c r="L113" s="20"/>
      <c r="M113" s="23" t="str">
        <f t="shared" si="1"/>
        <v/>
      </c>
    </row>
    <row r="114" spans="1:13" x14ac:dyDescent="0.35">
      <c r="A114" s="28">
        <v>106</v>
      </c>
      <c r="B114" s="43" t="str">
        <f>IF(SETTINGS!$B$22&lt;&gt;"YES","",IFERROR(IF(OR($J$3="Everyone",INDEX(DESK!$AV$2:$AV$601,MATCH(106,DESK!$AR$2:$AR$601,0))="SEND"),"91"&amp;INDEX(DESK!$F$2:$F$601,MATCH(106,DESK!$AR$2:$AR$601,0)),""),""))</f>
        <v/>
      </c>
      <c r="C114" s="28" t="str">
        <f>IF(B114="","",IF(INDEX(DESK!$AC$2:$AC$601,MATCH(106,DESK!$AR$2:$AR$601,0))="YES","A","B"))</f>
        <v/>
      </c>
      <c r="D114" s="28" t="str">
        <f>IF(B114="","",INDEX(DESK!$AQ$2:$AQ$601,MATCH(106,DESK!$AR$2:$AR$601,0)))</f>
        <v/>
      </c>
      <c r="E114" s="28" t="str">
        <f>IF(B114="","",INDEX(DESK!$B$2:$B$601,MATCH(106,DESK!$AR$2:$AR$601,0))&amp;IF(COUNTIFS(DESK!$F$2:$F$601,INDEX(DESK!$F$2:$F$601,MATCH(106,DESK!$AR$2:$AR$601,0)),DESK!$L$2:$L$601,1)&gt;1," and "&amp;(COUNTIFS(DESK!$F$2:$F$601,INDEX(DESK!$F$2:$F$601,MATCH(106,DESK!$AR$2:$AR$601,0)),DESK!$L$2:$L$601,1)-1)&amp;" more",""))</f>
        <v/>
      </c>
      <c r="F114" s="28" t="str">
        <f>IF(B114="","",IF(C114="B",INDEX(DESK!$AD$2:$AD$601,MATCH(106,DESK!$AR$2:$AR$601,0)),""))</f>
        <v/>
      </c>
      <c r="G114" s="28" t="str">
        <f>IF(B114="","",INDEX(DESK!$AV$2:$AV$601,MATCH(106,DESK!$AR$2:$AR$601,0)))</f>
        <v/>
      </c>
      <c r="I114" s="21"/>
      <c r="J114" s="20"/>
      <c r="K114" s="20"/>
      <c r="L114" s="20"/>
      <c r="M114" s="23" t="str">
        <f t="shared" si="1"/>
        <v/>
      </c>
    </row>
    <row r="115" spans="1:13" x14ac:dyDescent="0.35">
      <c r="A115" s="28">
        <v>107</v>
      </c>
      <c r="B115" s="43" t="str">
        <f>IF(SETTINGS!$B$22&lt;&gt;"YES","",IFERROR(IF(OR($J$3="Everyone",INDEX(DESK!$AV$2:$AV$601,MATCH(107,DESK!$AR$2:$AR$601,0))="SEND"),"91"&amp;INDEX(DESK!$F$2:$F$601,MATCH(107,DESK!$AR$2:$AR$601,0)),""),""))</f>
        <v/>
      </c>
      <c r="C115" s="28" t="str">
        <f>IF(B115="","",IF(INDEX(DESK!$AC$2:$AC$601,MATCH(107,DESK!$AR$2:$AR$601,0))="YES","A","B"))</f>
        <v/>
      </c>
      <c r="D115" s="28" t="str">
        <f>IF(B115="","",INDEX(DESK!$AQ$2:$AQ$601,MATCH(107,DESK!$AR$2:$AR$601,0)))</f>
        <v/>
      </c>
      <c r="E115" s="28" t="str">
        <f>IF(B115="","",INDEX(DESK!$B$2:$B$601,MATCH(107,DESK!$AR$2:$AR$601,0))&amp;IF(COUNTIFS(DESK!$F$2:$F$601,INDEX(DESK!$F$2:$F$601,MATCH(107,DESK!$AR$2:$AR$601,0)),DESK!$L$2:$L$601,1)&gt;1," and "&amp;(COUNTIFS(DESK!$F$2:$F$601,INDEX(DESK!$F$2:$F$601,MATCH(107,DESK!$AR$2:$AR$601,0)),DESK!$L$2:$L$601,1)-1)&amp;" more",""))</f>
        <v/>
      </c>
      <c r="F115" s="28" t="str">
        <f>IF(B115="","",IF(C115="B",INDEX(DESK!$AD$2:$AD$601,MATCH(107,DESK!$AR$2:$AR$601,0)),""))</f>
        <v/>
      </c>
      <c r="G115" s="28" t="str">
        <f>IF(B115="","",INDEX(DESK!$AV$2:$AV$601,MATCH(107,DESK!$AR$2:$AR$601,0)))</f>
        <v/>
      </c>
      <c r="I115" s="21"/>
      <c r="J115" s="20"/>
      <c r="K115" s="20"/>
      <c r="L115" s="20"/>
      <c r="M115" s="23" t="str">
        <f t="shared" si="1"/>
        <v/>
      </c>
    </row>
    <row r="116" spans="1:13" x14ac:dyDescent="0.35">
      <c r="A116" s="28">
        <v>108</v>
      </c>
      <c r="B116" s="43" t="str">
        <f>IF(SETTINGS!$B$22&lt;&gt;"YES","",IFERROR(IF(OR($J$3="Everyone",INDEX(DESK!$AV$2:$AV$601,MATCH(108,DESK!$AR$2:$AR$601,0))="SEND"),"91"&amp;INDEX(DESK!$F$2:$F$601,MATCH(108,DESK!$AR$2:$AR$601,0)),""),""))</f>
        <v/>
      </c>
      <c r="C116" s="28" t="str">
        <f>IF(B116="","",IF(INDEX(DESK!$AC$2:$AC$601,MATCH(108,DESK!$AR$2:$AR$601,0))="YES","A","B"))</f>
        <v/>
      </c>
      <c r="D116" s="28" t="str">
        <f>IF(B116="","",INDEX(DESK!$AQ$2:$AQ$601,MATCH(108,DESK!$AR$2:$AR$601,0)))</f>
        <v/>
      </c>
      <c r="E116" s="28" t="str">
        <f>IF(B116="","",INDEX(DESK!$B$2:$B$601,MATCH(108,DESK!$AR$2:$AR$601,0))&amp;IF(COUNTIFS(DESK!$F$2:$F$601,INDEX(DESK!$F$2:$F$601,MATCH(108,DESK!$AR$2:$AR$601,0)),DESK!$L$2:$L$601,1)&gt;1," and "&amp;(COUNTIFS(DESK!$F$2:$F$601,INDEX(DESK!$F$2:$F$601,MATCH(108,DESK!$AR$2:$AR$601,0)),DESK!$L$2:$L$601,1)-1)&amp;" more",""))</f>
        <v/>
      </c>
      <c r="F116" s="28" t="str">
        <f>IF(B116="","",IF(C116="B",INDEX(DESK!$AD$2:$AD$601,MATCH(108,DESK!$AR$2:$AR$601,0)),""))</f>
        <v/>
      </c>
      <c r="G116" s="28" t="str">
        <f>IF(B116="","",INDEX(DESK!$AV$2:$AV$601,MATCH(108,DESK!$AR$2:$AR$601,0)))</f>
        <v/>
      </c>
      <c r="I116" s="21"/>
      <c r="J116" s="20"/>
      <c r="K116" s="20"/>
      <c r="L116" s="20"/>
      <c r="M116" s="23" t="str">
        <f t="shared" si="1"/>
        <v/>
      </c>
    </row>
    <row r="117" spans="1:13" x14ac:dyDescent="0.35">
      <c r="A117" s="28">
        <v>109</v>
      </c>
      <c r="B117" s="43" t="str">
        <f>IF(SETTINGS!$B$22&lt;&gt;"YES","",IFERROR(IF(OR($J$3="Everyone",INDEX(DESK!$AV$2:$AV$601,MATCH(109,DESK!$AR$2:$AR$601,0))="SEND"),"91"&amp;INDEX(DESK!$F$2:$F$601,MATCH(109,DESK!$AR$2:$AR$601,0)),""),""))</f>
        <v/>
      </c>
      <c r="C117" s="28" t="str">
        <f>IF(B117="","",IF(INDEX(DESK!$AC$2:$AC$601,MATCH(109,DESK!$AR$2:$AR$601,0))="YES","A","B"))</f>
        <v/>
      </c>
      <c r="D117" s="28" t="str">
        <f>IF(B117="","",INDEX(DESK!$AQ$2:$AQ$601,MATCH(109,DESK!$AR$2:$AR$601,0)))</f>
        <v/>
      </c>
      <c r="E117" s="28" t="str">
        <f>IF(B117="","",INDEX(DESK!$B$2:$B$601,MATCH(109,DESK!$AR$2:$AR$601,0))&amp;IF(COUNTIFS(DESK!$F$2:$F$601,INDEX(DESK!$F$2:$F$601,MATCH(109,DESK!$AR$2:$AR$601,0)),DESK!$L$2:$L$601,1)&gt;1," and "&amp;(COUNTIFS(DESK!$F$2:$F$601,INDEX(DESK!$F$2:$F$601,MATCH(109,DESK!$AR$2:$AR$601,0)),DESK!$L$2:$L$601,1)-1)&amp;" more",""))</f>
        <v/>
      </c>
      <c r="F117" s="28" t="str">
        <f>IF(B117="","",IF(C117="B",INDEX(DESK!$AD$2:$AD$601,MATCH(109,DESK!$AR$2:$AR$601,0)),""))</f>
        <v/>
      </c>
      <c r="G117" s="28" t="str">
        <f>IF(B117="","",INDEX(DESK!$AV$2:$AV$601,MATCH(109,DESK!$AR$2:$AR$601,0)))</f>
        <v/>
      </c>
      <c r="I117" s="21"/>
      <c r="J117" s="20"/>
      <c r="K117" s="20"/>
      <c r="L117" s="20"/>
      <c r="M117" s="23" t="str">
        <f t="shared" si="1"/>
        <v/>
      </c>
    </row>
    <row r="118" spans="1:13" x14ac:dyDescent="0.35">
      <c r="A118" s="28">
        <v>110</v>
      </c>
      <c r="B118" s="43" t="str">
        <f>IF(SETTINGS!$B$22&lt;&gt;"YES","",IFERROR(IF(OR($J$3="Everyone",INDEX(DESK!$AV$2:$AV$601,MATCH(110,DESK!$AR$2:$AR$601,0))="SEND"),"91"&amp;INDEX(DESK!$F$2:$F$601,MATCH(110,DESK!$AR$2:$AR$601,0)),""),""))</f>
        <v/>
      </c>
      <c r="C118" s="28" t="str">
        <f>IF(B118="","",IF(INDEX(DESK!$AC$2:$AC$601,MATCH(110,DESK!$AR$2:$AR$601,0))="YES","A","B"))</f>
        <v/>
      </c>
      <c r="D118" s="28" t="str">
        <f>IF(B118="","",INDEX(DESK!$AQ$2:$AQ$601,MATCH(110,DESK!$AR$2:$AR$601,0)))</f>
        <v/>
      </c>
      <c r="E118" s="28" t="str">
        <f>IF(B118="","",INDEX(DESK!$B$2:$B$601,MATCH(110,DESK!$AR$2:$AR$601,0))&amp;IF(COUNTIFS(DESK!$F$2:$F$601,INDEX(DESK!$F$2:$F$601,MATCH(110,DESK!$AR$2:$AR$601,0)),DESK!$L$2:$L$601,1)&gt;1," and "&amp;(COUNTIFS(DESK!$F$2:$F$601,INDEX(DESK!$F$2:$F$601,MATCH(110,DESK!$AR$2:$AR$601,0)),DESK!$L$2:$L$601,1)-1)&amp;" more",""))</f>
        <v/>
      </c>
      <c r="F118" s="28" t="str">
        <f>IF(B118="","",IF(C118="B",INDEX(DESK!$AD$2:$AD$601,MATCH(110,DESK!$AR$2:$AR$601,0)),""))</f>
        <v/>
      </c>
      <c r="G118" s="28" t="str">
        <f>IF(B118="","",INDEX(DESK!$AV$2:$AV$601,MATCH(110,DESK!$AR$2:$AR$601,0)))</f>
        <v/>
      </c>
      <c r="I118" s="21"/>
      <c r="J118" s="20"/>
      <c r="K118" s="20"/>
      <c r="L118" s="20"/>
      <c r="M118" s="23" t="str">
        <f t="shared" si="1"/>
        <v/>
      </c>
    </row>
    <row r="119" spans="1:13" x14ac:dyDescent="0.35">
      <c r="A119" s="28">
        <v>111</v>
      </c>
      <c r="B119" s="43" t="str">
        <f>IF(SETTINGS!$B$22&lt;&gt;"YES","",IFERROR(IF(OR($J$3="Everyone",INDEX(DESK!$AV$2:$AV$601,MATCH(111,DESK!$AR$2:$AR$601,0))="SEND"),"91"&amp;INDEX(DESK!$F$2:$F$601,MATCH(111,DESK!$AR$2:$AR$601,0)),""),""))</f>
        <v/>
      </c>
      <c r="C119" s="28" t="str">
        <f>IF(B119="","",IF(INDEX(DESK!$AC$2:$AC$601,MATCH(111,DESK!$AR$2:$AR$601,0))="YES","A","B"))</f>
        <v/>
      </c>
      <c r="D119" s="28" t="str">
        <f>IF(B119="","",INDEX(DESK!$AQ$2:$AQ$601,MATCH(111,DESK!$AR$2:$AR$601,0)))</f>
        <v/>
      </c>
      <c r="E119" s="28" t="str">
        <f>IF(B119="","",INDEX(DESK!$B$2:$B$601,MATCH(111,DESK!$AR$2:$AR$601,0))&amp;IF(COUNTIFS(DESK!$F$2:$F$601,INDEX(DESK!$F$2:$F$601,MATCH(111,DESK!$AR$2:$AR$601,0)),DESK!$L$2:$L$601,1)&gt;1," and "&amp;(COUNTIFS(DESK!$F$2:$F$601,INDEX(DESK!$F$2:$F$601,MATCH(111,DESK!$AR$2:$AR$601,0)),DESK!$L$2:$L$601,1)-1)&amp;" more",""))</f>
        <v/>
      </c>
      <c r="F119" s="28" t="str">
        <f>IF(B119="","",IF(C119="B",INDEX(DESK!$AD$2:$AD$601,MATCH(111,DESK!$AR$2:$AR$601,0)),""))</f>
        <v/>
      </c>
      <c r="G119" s="28" t="str">
        <f>IF(B119="","",INDEX(DESK!$AV$2:$AV$601,MATCH(111,DESK!$AR$2:$AR$601,0)))</f>
        <v/>
      </c>
      <c r="I119" s="21"/>
      <c r="J119" s="20"/>
      <c r="K119" s="20"/>
      <c r="L119" s="20"/>
      <c r="M119" s="23" t="str">
        <f t="shared" si="1"/>
        <v/>
      </c>
    </row>
    <row r="120" spans="1:13" x14ac:dyDescent="0.35">
      <c r="A120" s="28">
        <v>112</v>
      </c>
      <c r="B120" s="43" t="str">
        <f>IF(SETTINGS!$B$22&lt;&gt;"YES","",IFERROR(IF(OR($J$3="Everyone",INDEX(DESK!$AV$2:$AV$601,MATCH(112,DESK!$AR$2:$AR$601,0))="SEND"),"91"&amp;INDEX(DESK!$F$2:$F$601,MATCH(112,DESK!$AR$2:$AR$601,0)),""),""))</f>
        <v/>
      </c>
      <c r="C120" s="28" t="str">
        <f>IF(B120="","",IF(INDEX(DESK!$AC$2:$AC$601,MATCH(112,DESK!$AR$2:$AR$601,0))="YES","A","B"))</f>
        <v/>
      </c>
      <c r="D120" s="28" t="str">
        <f>IF(B120="","",INDEX(DESK!$AQ$2:$AQ$601,MATCH(112,DESK!$AR$2:$AR$601,0)))</f>
        <v/>
      </c>
      <c r="E120" s="28" t="str">
        <f>IF(B120="","",INDEX(DESK!$B$2:$B$601,MATCH(112,DESK!$AR$2:$AR$601,0))&amp;IF(COUNTIFS(DESK!$F$2:$F$601,INDEX(DESK!$F$2:$F$601,MATCH(112,DESK!$AR$2:$AR$601,0)),DESK!$L$2:$L$601,1)&gt;1," and "&amp;(COUNTIFS(DESK!$F$2:$F$601,INDEX(DESK!$F$2:$F$601,MATCH(112,DESK!$AR$2:$AR$601,0)),DESK!$L$2:$L$601,1)-1)&amp;" more",""))</f>
        <v/>
      </c>
      <c r="F120" s="28" t="str">
        <f>IF(B120="","",IF(C120="B",INDEX(DESK!$AD$2:$AD$601,MATCH(112,DESK!$AR$2:$AR$601,0)),""))</f>
        <v/>
      </c>
      <c r="G120" s="28" t="str">
        <f>IF(B120="","",INDEX(DESK!$AV$2:$AV$601,MATCH(112,DESK!$AR$2:$AR$601,0)))</f>
        <v/>
      </c>
      <c r="I120" s="21"/>
      <c r="J120" s="20"/>
      <c r="K120" s="20"/>
      <c r="L120" s="20"/>
      <c r="M120" s="23" t="str">
        <f t="shared" si="1"/>
        <v/>
      </c>
    </row>
    <row r="121" spans="1:13" x14ac:dyDescent="0.35">
      <c r="A121" s="28">
        <v>113</v>
      </c>
      <c r="B121" s="43" t="str">
        <f>IF(SETTINGS!$B$22&lt;&gt;"YES","",IFERROR(IF(OR($J$3="Everyone",INDEX(DESK!$AV$2:$AV$601,MATCH(113,DESK!$AR$2:$AR$601,0))="SEND"),"91"&amp;INDEX(DESK!$F$2:$F$601,MATCH(113,DESK!$AR$2:$AR$601,0)),""),""))</f>
        <v/>
      </c>
      <c r="C121" s="28" t="str">
        <f>IF(B121="","",IF(INDEX(DESK!$AC$2:$AC$601,MATCH(113,DESK!$AR$2:$AR$601,0))="YES","A","B"))</f>
        <v/>
      </c>
      <c r="D121" s="28" t="str">
        <f>IF(B121="","",INDEX(DESK!$AQ$2:$AQ$601,MATCH(113,DESK!$AR$2:$AR$601,0)))</f>
        <v/>
      </c>
      <c r="E121" s="28" t="str">
        <f>IF(B121="","",INDEX(DESK!$B$2:$B$601,MATCH(113,DESK!$AR$2:$AR$601,0))&amp;IF(COUNTIFS(DESK!$F$2:$F$601,INDEX(DESK!$F$2:$F$601,MATCH(113,DESK!$AR$2:$AR$601,0)),DESK!$L$2:$L$601,1)&gt;1," and "&amp;(COUNTIFS(DESK!$F$2:$F$601,INDEX(DESK!$F$2:$F$601,MATCH(113,DESK!$AR$2:$AR$601,0)),DESK!$L$2:$L$601,1)-1)&amp;" more",""))</f>
        <v/>
      </c>
      <c r="F121" s="28" t="str">
        <f>IF(B121="","",IF(C121="B",INDEX(DESK!$AD$2:$AD$601,MATCH(113,DESK!$AR$2:$AR$601,0)),""))</f>
        <v/>
      </c>
      <c r="G121" s="28" t="str">
        <f>IF(B121="","",INDEX(DESK!$AV$2:$AV$601,MATCH(113,DESK!$AR$2:$AR$601,0)))</f>
        <v/>
      </c>
      <c r="I121" s="21"/>
      <c r="J121" s="20"/>
      <c r="K121" s="20"/>
      <c r="L121" s="20"/>
      <c r="M121" s="23" t="str">
        <f t="shared" si="1"/>
        <v/>
      </c>
    </row>
    <row r="122" spans="1:13" x14ac:dyDescent="0.35">
      <c r="A122" s="28">
        <v>114</v>
      </c>
      <c r="B122" s="43" t="str">
        <f>IF(SETTINGS!$B$22&lt;&gt;"YES","",IFERROR(IF(OR($J$3="Everyone",INDEX(DESK!$AV$2:$AV$601,MATCH(114,DESK!$AR$2:$AR$601,0))="SEND"),"91"&amp;INDEX(DESK!$F$2:$F$601,MATCH(114,DESK!$AR$2:$AR$601,0)),""),""))</f>
        <v/>
      </c>
      <c r="C122" s="28" t="str">
        <f>IF(B122="","",IF(INDEX(DESK!$AC$2:$AC$601,MATCH(114,DESK!$AR$2:$AR$601,0))="YES","A","B"))</f>
        <v/>
      </c>
      <c r="D122" s="28" t="str">
        <f>IF(B122="","",INDEX(DESK!$AQ$2:$AQ$601,MATCH(114,DESK!$AR$2:$AR$601,0)))</f>
        <v/>
      </c>
      <c r="E122" s="28" t="str">
        <f>IF(B122="","",INDEX(DESK!$B$2:$B$601,MATCH(114,DESK!$AR$2:$AR$601,0))&amp;IF(COUNTIFS(DESK!$F$2:$F$601,INDEX(DESK!$F$2:$F$601,MATCH(114,DESK!$AR$2:$AR$601,0)),DESK!$L$2:$L$601,1)&gt;1," and "&amp;(COUNTIFS(DESK!$F$2:$F$601,INDEX(DESK!$F$2:$F$601,MATCH(114,DESK!$AR$2:$AR$601,0)),DESK!$L$2:$L$601,1)-1)&amp;" more",""))</f>
        <v/>
      </c>
      <c r="F122" s="28" t="str">
        <f>IF(B122="","",IF(C122="B",INDEX(DESK!$AD$2:$AD$601,MATCH(114,DESK!$AR$2:$AR$601,0)),""))</f>
        <v/>
      </c>
      <c r="G122" s="28" t="str">
        <f>IF(B122="","",INDEX(DESK!$AV$2:$AV$601,MATCH(114,DESK!$AR$2:$AR$601,0)))</f>
        <v/>
      </c>
      <c r="I122" s="21"/>
      <c r="J122" s="20"/>
      <c r="K122" s="20"/>
      <c r="L122" s="20"/>
      <c r="M122" s="23" t="str">
        <f t="shared" si="1"/>
        <v/>
      </c>
    </row>
    <row r="123" spans="1:13" x14ac:dyDescent="0.35">
      <c r="A123" s="28">
        <v>115</v>
      </c>
      <c r="B123" s="43" t="str">
        <f>IF(SETTINGS!$B$22&lt;&gt;"YES","",IFERROR(IF(OR($J$3="Everyone",INDEX(DESK!$AV$2:$AV$601,MATCH(115,DESK!$AR$2:$AR$601,0))="SEND"),"91"&amp;INDEX(DESK!$F$2:$F$601,MATCH(115,DESK!$AR$2:$AR$601,0)),""),""))</f>
        <v/>
      </c>
      <c r="C123" s="28" t="str">
        <f>IF(B123="","",IF(INDEX(DESK!$AC$2:$AC$601,MATCH(115,DESK!$AR$2:$AR$601,0))="YES","A","B"))</f>
        <v/>
      </c>
      <c r="D123" s="28" t="str">
        <f>IF(B123="","",INDEX(DESK!$AQ$2:$AQ$601,MATCH(115,DESK!$AR$2:$AR$601,0)))</f>
        <v/>
      </c>
      <c r="E123" s="28" t="str">
        <f>IF(B123="","",INDEX(DESK!$B$2:$B$601,MATCH(115,DESK!$AR$2:$AR$601,0))&amp;IF(COUNTIFS(DESK!$F$2:$F$601,INDEX(DESK!$F$2:$F$601,MATCH(115,DESK!$AR$2:$AR$601,0)),DESK!$L$2:$L$601,1)&gt;1," and "&amp;(COUNTIFS(DESK!$F$2:$F$601,INDEX(DESK!$F$2:$F$601,MATCH(115,DESK!$AR$2:$AR$601,0)),DESK!$L$2:$L$601,1)-1)&amp;" more",""))</f>
        <v/>
      </c>
      <c r="F123" s="28" t="str">
        <f>IF(B123="","",IF(C123="B",INDEX(DESK!$AD$2:$AD$601,MATCH(115,DESK!$AR$2:$AR$601,0)),""))</f>
        <v/>
      </c>
      <c r="G123" s="28" t="str">
        <f>IF(B123="","",INDEX(DESK!$AV$2:$AV$601,MATCH(115,DESK!$AR$2:$AR$601,0)))</f>
        <v/>
      </c>
      <c r="I123" s="21"/>
      <c r="J123" s="20"/>
      <c r="K123" s="20"/>
      <c r="L123" s="20"/>
      <c r="M123" s="23" t="str">
        <f t="shared" si="1"/>
        <v/>
      </c>
    </row>
    <row r="124" spans="1:13" x14ac:dyDescent="0.35">
      <c r="A124" s="28">
        <v>116</v>
      </c>
      <c r="B124" s="43" t="str">
        <f>IF(SETTINGS!$B$22&lt;&gt;"YES","",IFERROR(IF(OR($J$3="Everyone",INDEX(DESK!$AV$2:$AV$601,MATCH(116,DESK!$AR$2:$AR$601,0))="SEND"),"91"&amp;INDEX(DESK!$F$2:$F$601,MATCH(116,DESK!$AR$2:$AR$601,0)),""),""))</f>
        <v/>
      </c>
      <c r="C124" s="28" t="str">
        <f>IF(B124="","",IF(INDEX(DESK!$AC$2:$AC$601,MATCH(116,DESK!$AR$2:$AR$601,0))="YES","A","B"))</f>
        <v/>
      </c>
      <c r="D124" s="28" t="str">
        <f>IF(B124="","",INDEX(DESK!$AQ$2:$AQ$601,MATCH(116,DESK!$AR$2:$AR$601,0)))</f>
        <v/>
      </c>
      <c r="E124" s="28" t="str">
        <f>IF(B124="","",INDEX(DESK!$B$2:$B$601,MATCH(116,DESK!$AR$2:$AR$601,0))&amp;IF(COUNTIFS(DESK!$F$2:$F$601,INDEX(DESK!$F$2:$F$601,MATCH(116,DESK!$AR$2:$AR$601,0)),DESK!$L$2:$L$601,1)&gt;1," and "&amp;(COUNTIFS(DESK!$F$2:$F$601,INDEX(DESK!$F$2:$F$601,MATCH(116,DESK!$AR$2:$AR$601,0)),DESK!$L$2:$L$601,1)-1)&amp;" more",""))</f>
        <v/>
      </c>
      <c r="F124" s="28" t="str">
        <f>IF(B124="","",IF(C124="B",INDEX(DESK!$AD$2:$AD$601,MATCH(116,DESK!$AR$2:$AR$601,0)),""))</f>
        <v/>
      </c>
      <c r="G124" s="28" t="str">
        <f>IF(B124="","",INDEX(DESK!$AV$2:$AV$601,MATCH(116,DESK!$AR$2:$AR$601,0)))</f>
        <v/>
      </c>
      <c r="I124" s="21"/>
      <c r="J124" s="20"/>
      <c r="K124" s="20"/>
      <c r="L124" s="20"/>
      <c r="M124" s="23" t="str">
        <f t="shared" si="1"/>
        <v/>
      </c>
    </row>
    <row r="125" spans="1:13" x14ac:dyDescent="0.35">
      <c r="A125" s="28">
        <v>117</v>
      </c>
      <c r="B125" s="43" t="str">
        <f>IF(SETTINGS!$B$22&lt;&gt;"YES","",IFERROR(IF(OR($J$3="Everyone",INDEX(DESK!$AV$2:$AV$601,MATCH(117,DESK!$AR$2:$AR$601,0))="SEND"),"91"&amp;INDEX(DESK!$F$2:$F$601,MATCH(117,DESK!$AR$2:$AR$601,0)),""),""))</f>
        <v/>
      </c>
      <c r="C125" s="28" t="str">
        <f>IF(B125="","",IF(INDEX(DESK!$AC$2:$AC$601,MATCH(117,DESK!$AR$2:$AR$601,0))="YES","A","B"))</f>
        <v/>
      </c>
      <c r="D125" s="28" t="str">
        <f>IF(B125="","",INDEX(DESK!$AQ$2:$AQ$601,MATCH(117,DESK!$AR$2:$AR$601,0)))</f>
        <v/>
      </c>
      <c r="E125" s="28" t="str">
        <f>IF(B125="","",INDEX(DESK!$B$2:$B$601,MATCH(117,DESK!$AR$2:$AR$601,0))&amp;IF(COUNTIFS(DESK!$F$2:$F$601,INDEX(DESK!$F$2:$F$601,MATCH(117,DESK!$AR$2:$AR$601,0)),DESK!$L$2:$L$601,1)&gt;1," and "&amp;(COUNTIFS(DESK!$F$2:$F$601,INDEX(DESK!$F$2:$F$601,MATCH(117,DESK!$AR$2:$AR$601,0)),DESK!$L$2:$L$601,1)-1)&amp;" more",""))</f>
        <v/>
      </c>
      <c r="F125" s="28" t="str">
        <f>IF(B125="","",IF(C125="B",INDEX(DESK!$AD$2:$AD$601,MATCH(117,DESK!$AR$2:$AR$601,0)),""))</f>
        <v/>
      </c>
      <c r="G125" s="28" t="str">
        <f>IF(B125="","",INDEX(DESK!$AV$2:$AV$601,MATCH(117,DESK!$AR$2:$AR$601,0)))</f>
        <v/>
      </c>
      <c r="I125" s="21"/>
      <c r="J125" s="20"/>
      <c r="K125" s="20"/>
      <c r="L125" s="20"/>
      <c r="M125" s="23" t="str">
        <f t="shared" si="1"/>
        <v/>
      </c>
    </row>
    <row r="126" spans="1:13" x14ac:dyDescent="0.35">
      <c r="A126" s="28">
        <v>118</v>
      </c>
      <c r="B126" s="43" t="str">
        <f>IF(SETTINGS!$B$22&lt;&gt;"YES","",IFERROR(IF(OR($J$3="Everyone",INDEX(DESK!$AV$2:$AV$601,MATCH(118,DESK!$AR$2:$AR$601,0))="SEND"),"91"&amp;INDEX(DESK!$F$2:$F$601,MATCH(118,DESK!$AR$2:$AR$601,0)),""),""))</f>
        <v/>
      </c>
      <c r="C126" s="28" t="str">
        <f>IF(B126="","",IF(INDEX(DESK!$AC$2:$AC$601,MATCH(118,DESK!$AR$2:$AR$601,0))="YES","A","B"))</f>
        <v/>
      </c>
      <c r="D126" s="28" t="str">
        <f>IF(B126="","",INDEX(DESK!$AQ$2:$AQ$601,MATCH(118,DESK!$AR$2:$AR$601,0)))</f>
        <v/>
      </c>
      <c r="E126" s="28" t="str">
        <f>IF(B126="","",INDEX(DESK!$B$2:$B$601,MATCH(118,DESK!$AR$2:$AR$601,0))&amp;IF(COUNTIFS(DESK!$F$2:$F$601,INDEX(DESK!$F$2:$F$601,MATCH(118,DESK!$AR$2:$AR$601,0)),DESK!$L$2:$L$601,1)&gt;1," and "&amp;(COUNTIFS(DESK!$F$2:$F$601,INDEX(DESK!$F$2:$F$601,MATCH(118,DESK!$AR$2:$AR$601,0)),DESK!$L$2:$L$601,1)-1)&amp;" more",""))</f>
        <v/>
      </c>
      <c r="F126" s="28" t="str">
        <f>IF(B126="","",IF(C126="B",INDEX(DESK!$AD$2:$AD$601,MATCH(118,DESK!$AR$2:$AR$601,0)),""))</f>
        <v/>
      </c>
      <c r="G126" s="28" t="str">
        <f>IF(B126="","",INDEX(DESK!$AV$2:$AV$601,MATCH(118,DESK!$AR$2:$AR$601,0)))</f>
        <v/>
      </c>
      <c r="I126" s="21"/>
      <c r="J126" s="20"/>
      <c r="K126" s="20"/>
      <c r="L126" s="20"/>
      <c r="M126" s="23" t="str">
        <f t="shared" si="1"/>
        <v/>
      </c>
    </row>
    <row r="127" spans="1:13" x14ac:dyDescent="0.35">
      <c r="A127" s="28">
        <v>119</v>
      </c>
      <c r="B127" s="43" t="str">
        <f>IF(SETTINGS!$B$22&lt;&gt;"YES","",IFERROR(IF(OR($J$3="Everyone",INDEX(DESK!$AV$2:$AV$601,MATCH(119,DESK!$AR$2:$AR$601,0))="SEND"),"91"&amp;INDEX(DESK!$F$2:$F$601,MATCH(119,DESK!$AR$2:$AR$601,0)),""),""))</f>
        <v/>
      </c>
      <c r="C127" s="28" t="str">
        <f>IF(B127="","",IF(INDEX(DESK!$AC$2:$AC$601,MATCH(119,DESK!$AR$2:$AR$601,0))="YES","A","B"))</f>
        <v/>
      </c>
      <c r="D127" s="28" t="str">
        <f>IF(B127="","",INDEX(DESK!$AQ$2:$AQ$601,MATCH(119,DESK!$AR$2:$AR$601,0)))</f>
        <v/>
      </c>
      <c r="E127" s="28" t="str">
        <f>IF(B127="","",INDEX(DESK!$B$2:$B$601,MATCH(119,DESK!$AR$2:$AR$601,0))&amp;IF(COUNTIFS(DESK!$F$2:$F$601,INDEX(DESK!$F$2:$F$601,MATCH(119,DESK!$AR$2:$AR$601,0)),DESK!$L$2:$L$601,1)&gt;1," and "&amp;(COUNTIFS(DESK!$F$2:$F$601,INDEX(DESK!$F$2:$F$601,MATCH(119,DESK!$AR$2:$AR$601,0)),DESK!$L$2:$L$601,1)-1)&amp;" more",""))</f>
        <v/>
      </c>
      <c r="F127" s="28" t="str">
        <f>IF(B127="","",IF(C127="B",INDEX(DESK!$AD$2:$AD$601,MATCH(119,DESK!$AR$2:$AR$601,0)),""))</f>
        <v/>
      </c>
      <c r="G127" s="28" t="str">
        <f>IF(B127="","",INDEX(DESK!$AV$2:$AV$601,MATCH(119,DESK!$AR$2:$AR$601,0)))</f>
        <v/>
      </c>
      <c r="I127" s="21"/>
      <c r="J127" s="20"/>
      <c r="K127" s="20"/>
      <c r="L127" s="20"/>
      <c r="M127" s="23" t="str">
        <f t="shared" si="1"/>
        <v/>
      </c>
    </row>
    <row r="128" spans="1:13" x14ac:dyDescent="0.35">
      <c r="A128" s="28">
        <v>120</v>
      </c>
      <c r="B128" s="43" t="str">
        <f>IF(SETTINGS!$B$22&lt;&gt;"YES","",IFERROR(IF(OR($J$3="Everyone",INDEX(DESK!$AV$2:$AV$601,MATCH(120,DESK!$AR$2:$AR$601,0))="SEND"),"91"&amp;INDEX(DESK!$F$2:$F$601,MATCH(120,DESK!$AR$2:$AR$601,0)),""),""))</f>
        <v/>
      </c>
      <c r="C128" s="28" t="str">
        <f>IF(B128="","",IF(INDEX(DESK!$AC$2:$AC$601,MATCH(120,DESK!$AR$2:$AR$601,0))="YES","A","B"))</f>
        <v/>
      </c>
      <c r="D128" s="28" t="str">
        <f>IF(B128="","",INDEX(DESK!$AQ$2:$AQ$601,MATCH(120,DESK!$AR$2:$AR$601,0)))</f>
        <v/>
      </c>
      <c r="E128" s="28" t="str">
        <f>IF(B128="","",INDEX(DESK!$B$2:$B$601,MATCH(120,DESK!$AR$2:$AR$601,0))&amp;IF(COUNTIFS(DESK!$F$2:$F$601,INDEX(DESK!$F$2:$F$601,MATCH(120,DESK!$AR$2:$AR$601,0)),DESK!$L$2:$L$601,1)&gt;1," and "&amp;(COUNTIFS(DESK!$F$2:$F$601,INDEX(DESK!$F$2:$F$601,MATCH(120,DESK!$AR$2:$AR$601,0)),DESK!$L$2:$L$601,1)-1)&amp;" more",""))</f>
        <v/>
      </c>
      <c r="F128" s="28" t="str">
        <f>IF(B128="","",IF(C128="B",INDEX(DESK!$AD$2:$AD$601,MATCH(120,DESK!$AR$2:$AR$601,0)),""))</f>
        <v/>
      </c>
      <c r="G128" s="28" t="str">
        <f>IF(B128="","",INDEX(DESK!$AV$2:$AV$601,MATCH(120,DESK!$AR$2:$AR$601,0)))</f>
        <v/>
      </c>
      <c r="I128" s="21"/>
      <c r="J128" s="20"/>
      <c r="K128" s="20"/>
      <c r="L128" s="20"/>
      <c r="M128" s="23" t="str">
        <f t="shared" si="1"/>
        <v/>
      </c>
    </row>
    <row r="129" spans="1:13" x14ac:dyDescent="0.35">
      <c r="A129" s="28">
        <v>121</v>
      </c>
      <c r="B129" s="43" t="str">
        <f>IF(SETTINGS!$B$22&lt;&gt;"YES","",IFERROR(IF(OR($J$3="Everyone",INDEX(DESK!$AV$2:$AV$601,MATCH(121,DESK!$AR$2:$AR$601,0))="SEND"),"91"&amp;INDEX(DESK!$F$2:$F$601,MATCH(121,DESK!$AR$2:$AR$601,0)),""),""))</f>
        <v/>
      </c>
      <c r="C129" s="28" t="str">
        <f>IF(B129="","",IF(INDEX(DESK!$AC$2:$AC$601,MATCH(121,DESK!$AR$2:$AR$601,0))="YES","A","B"))</f>
        <v/>
      </c>
      <c r="D129" s="28" t="str">
        <f>IF(B129="","",INDEX(DESK!$AQ$2:$AQ$601,MATCH(121,DESK!$AR$2:$AR$601,0)))</f>
        <v/>
      </c>
      <c r="E129" s="28" t="str">
        <f>IF(B129="","",INDEX(DESK!$B$2:$B$601,MATCH(121,DESK!$AR$2:$AR$601,0))&amp;IF(COUNTIFS(DESK!$F$2:$F$601,INDEX(DESK!$F$2:$F$601,MATCH(121,DESK!$AR$2:$AR$601,0)),DESK!$L$2:$L$601,1)&gt;1," and "&amp;(COUNTIFS(DESK!$F$2:$F$601,INDEX(DESK!$F$2:$F$601,MATCH(121,DESK!$AR$2:$AR$601,0)),DESK!$L$2:$L$601,1)-1)&amp;" more",""))</f>
        <v/>
      </c>
      <c r="F129" s="28" t="str">
        <f>IF(B129="","",IF(C129="B",INDEX(DESK!$AD$2:$AD$601,MATCH(121,DESK!$AR$2:$AR$601,0)),""))</f>
        <v/>
      </c>
      <c r="G129" s="28" t="str">
        <f>IF(B129="","",INDEX(DESK!$AV$2:$AV$601,MATCH(121,DESK!$AR$2:$AR$601,0)))</f>
        <v/>
      </c>
      <c r="I129" s="21"/>
      <c r="J129" s="20"/>
      <c r="K129" s="20"/>
      <c r="L129" s="20"/>
      <c r="M129" s="23" t="str">
        <f t="shared" si="1"/>
        <v/>
      </c>
    </row>
    <row r="130" spans="1:13" x14ac:dyDescent="0.35">
      <c r="A130" s="28">
        <v>122</v>
      </c>
      <c r="B130" s="43" t="str">
        <f>IF(SETTINGS!$B$22&lt;&gt;"YES","",IFERROR(IF(OR($J$3="Everyone",INDEX(DESK!$AV$2:$AV$601,MATCH(122,DESK!$AR$2:$AR$601,0))="SEND"),"91"&amp;INDEX(DESK!$F$2:$F$601,MATCH(122,DESK!$AR$2:$AR$601,0)),""),""))</f>
        <v/>
      </c>
      <c r="C130" s="28" t="str">
        <f>IF(B130="","",IF(INDEX(DESK!$AC$2:$AC$601,MATCH(122,DESK!$AR$2:$AR$601,0))="YES","A","B"))</f>
        <v/>
      </c>
      <c r="D130" s="28" t="str">
        <f>IF(B130="","",INDEX(DESK!$AQ$2:$AQ$601,MATCH(122,DESK!$AR$2:$AR$601,0)))</f>
        <v/>
      </c>
      <c r="E130" s="28" t="str">
        <f>IF(B130="","",INDEX(DESK!$B$2:$B$601,MATCH(122,DESK!$AR$2:$AR$601,0))&amp;IF(COUNTIFS(DESK!$F$2:$F$601,INDEX(DESK!$F$2:$F$601,MATCH(122,DESK!$AR$2:$AR$601,0)),DESK!$L$2:$L$601,1)&gt;1," and "&amp;(COUNTIFS(DESK!$F$2:$F$601,INDEX(DESK!$F$2:$F$601,MATCH(122,DESK!$AR$2:$AR$601,0)),DESK!$L$2:$L$601,1)-1)&amp;" more",""))</f>
        <v/>
      </c>
      <c r="F130" s="28" t="str">
        <f>IF(B130="","",IF(C130="B",INDEX(DESK!$AD$2:$AD$601,MATCH(122,DESK!$AR$2:$AR$601,0)),""))</f>
        <v/>
      </c>
      <c r="G130" s="28" t="str">
        <f>IF(B130="","",INDEX(DESK!$AV$2:$AV$601,MATCH(122,DESK!$AR$2:$AR$601,0)))</f>
        <v/>
      </c>
      <c r="I130" s="21"/>
      <c r="J130" s="20"/>
      <c r="K130" s="20"/>
      <c r="L130" s="20"/>
      <c r="M130" s="23" t="str">
        <f t="shared" si="1"/>
        <v/>
      </c>
    </row>
    <row r="131" spans="1:13" x14ac:dyDescent="0.35">
      <c r="A131" s="28">
        <v>123</v>
      </c>
      <c r="B131" s="43" t="str">
        <f>IF(SETTINGS!$B$22&lt;&gt;"YES","",IFERROR(IF(OR($J$3="Everyone",INDEX(DESK!$AV$2:$AV$601,MATCH(123,DESK!$AR$2:$AR$601,0))="SEND"),"91"&amp;INDEX(DESK!$F$2:$F$601,MATCH(123,DESK!$AR$2:$AR$601,0)),""),""))</f>
        <v/>
      </c>
      <c r="C131" s="28" t="str">
        <f>IF(B131="","",IF(INDEX(DESK!$AC$2:$AC$601,MATCH(123,DESK!$AR$2:$AR$601,0))="YES","A","B"))</f>
        <v/>
      </c>
      <c r="D131" s="28" t="str">
        <f>IF(B131="","",INDEX(DESK!$AQ$2:$AQ$601,MATCH(123,DESK!$AR$2:$AR$601,0)))</f>
        <v/>
      </c>
      <c r="E131" s="28" t="str">
        <f>IF(B131="","",INDEX(DESK!$B$2:$B$601,MATCH(123,DESK!$AR$2:$AR$601,0))&amp;IF(COUNTIFS(DESK!$F$2:$F$601,INDEX(DESK!$F$2:$F$601,MATCH(123,DESK!$AR$2:$AR$601,0)),DESK!$L$2:$L$601,1)&gt;1," and "&amp;(COUNTIFS(DESK!$F$2:$F$601,INDEX(DESK!$F$2:$F$601,MATCH(123,DESK!$AR$2:$AR$601,0)),DESK!$L$2:$L$601,1)-1)&amp;" more",""))</f>
        <v/>
      </c>
      <c r="F131" s="28" t="str">
        <f>IF(B131="","",IF(C131="B",INDEX(DESK!$AD$2:$AD$601,MATCH(123,DESK!$AR$2:$AR$601,0)),""))</f>
        <v/>
      </c>
      <c r="G131" s="28" t="str">
        <f>IF(B131="","",INDEX(DESK!$AV$2:$AV$601,MATCH(123,DESK!$AR$2:$AR$601,0)))</f>
        <v/>
      </c>
      <c r="I131" s="21"/>
      <c r="J131" s="20"/>
      <c r="K131" s="20"/>
      <c r="L131" s="20"/>
      <c r="M131" s="23" t="str">
        <f t="shared" si="1"/>
        <v/>
      </c>
    </row>
    <row r="132" spans="1:13" x14ac:dyDescent="0.35">
      <c r="A132" s="28">
        <v>124</v>
      </c>
      <c r="B132" s="43" t="str">
        <f>IF(SETTINGS!$B$22&lt;&gt;"YES","",IFERROR(IF(OR($J$3="Everyone",INDEX(DESK!$AV$2:$AV$601,MATCH(124,DESK!$AR$2:$AR$601,0))="SEND"),"91"&amp;INDEX(DESK!$F$2:$F$601,MATCH(124,DESK!$AR$2:$AR$601,0)),""),""))</f>
        <v/>
      </c>
      <c r="C132" s="28" t="str">
        <f>IF(B132="","",IF(INDEX(DESK!$AC$2:$AC$601,MATCH(124,DESK!$AR$2:$AR$601,0))="YES","A","B"))</f>
        <v/>
      </c>
      <c r="D132" s="28" t="str">
        <f>IF(B132="","",INDEX(DESK!$AQ$2:$AQ$601,MATCH(124,DESK!$AR$2:$AR$601,0)))</f>
        <v/>
      </c>
      <c r="E132" s="28" t="str">
        <f>IF(B132="","",INDEX(DESK!$B$2:$B$601,MATCH(124,DESK!$AR$2:$AR$601,0))&amp;IF(COUNTIFS(DESK!$F$2:$F$601,INDEX(DESK!$F$2:$F$601,MATCH(124,DESK!$AR$2:$AR$601,0)),DESK!$L$2:$L$601,1)&gt;1," and "&amp;(COUNTIFS(DESK!$F$2:$F$601,INDEX(DESK!$F$2:$F$601,MATCH(124,DESK!$AR$2:$AR$601,0)),DESK!$L$2:$L$601,1)-1)&amp;" more",""))</f>
        <v/>
      </c>
      <c r="F132" s="28" t="str">
        <f>IF(B132="","",IF(C132="B",INDEX(DESK!$AD$2:$AD$601,MATCH(124,DESK!$AR$2:$AR$601,0)),""))</f>
        <v/>
      </c>
      <c r="G132" s="28" t="str">
        <f>IF(B132="","",INDEX(DESK!$AV$2:$AV$601,MATCH(124,DESK!$AR$2:$AR$601,0)))</f>
        <v/>
      </c>
      <c r="I132" s="21"/>
      <c r="J132" s="20"/>
      <c r="K132" s="20"/>
      <c r="L132" s="20"/>
      <c r="M132" s="23" t="str">
        <f t="shared" si="1"/>
        <v/>
      </c>
    </row>
    <row r="133" spans="1:13" x14ac:dyDescent="0.35">
      <c r="A133" s="28">
        <v>125</v>
      </c>
      <c r="B133" s="43" t="str">
        <f>IF(SETTINGS!$B$22&lt;&gt;"YES","",IFERROR(IF(OR($J$3="Everyone",INDEX(DESK!$AV$2:$AV$601,MATCH(125,DESK!$AR$2:$AR$601,0))="SEND"),"91"&amp;INDEX(DESK!$F$2:$F$601,MATCH(125,DESK!$AR$2:$AR$601,0)),""),""))</f>
        <v/>
      </c>
      <c r="C133" s="28" t="str">
        <f>IF(B133="","",IF(INDEX(DESK!$AC$2:$AC$601,MATCH(125,DESK!$AR$2:$AR$601,0))="YES","A","B"))</f>
        <v/>
      </c>
      <c r="D133" s="28" t="str">
        <f>IF(B133="","",INDEX(DESK!$AQ$2:$AQ$601,MATCH(125,DESK!$AR$2:$AR$601,0)))</f>
        <v/>
      </c>
      <c r="E133" s="28" t="str">
        <f>IF(B133="","",INDEX(DESK!$B$2:$B$601,MATCH(125,DESK!$AR$2:$AR$601,0))&amp;IF(COUNTIFS(DESK!$F$2:$F$601,INDEX(DESK!$F$2:$F$601,MATCH(125,DESK!$AR$2:$AR$601,0)),DESK!$L$2:$L$601,1)&gt;1," and "&amp;(COUNTIFS(DESK!$F$2:$F$601,INDEX(DESK!$F$2:$F$601,MATCH(125,DESK!$AR$2:$AR$601,0)),DESK!$L$2:$L$601,1)-1)&amp;" more",""))</f>
        <v/>
      </c>
      <c r="F133" s="28" t="str">
        <f>IF(B133="","",IF(C133="B",INDEX(DESK!$AD$2:$AD$601,MATCH(125,DESK!$AR$2:$AR$601,0)),""))</f>
        <v/>
      </c>
      <c r="G133" s="28" t="str">
        <f>IF(B133="","",INDEX(DESK!$AV$2:$AV$601,MATCH(125,DESK!$AR$2:$AR$601,0)))</f>
        <v/>
      </c>
      <c r="I133" s="21"/>
      <c r="J133" s="20"/>
      <c r="K133" s="20"/>
      <c r="L133" s="20"/>
      <c r="M133" s="23" t="str">
        <f t="shared" si="1"/>
        <v/>
      </c>
    </row>
    <row r="134" spans="1:13" x14ac:dyDescent="0.35">
      <c r="A134" s="28">
        <v>126</v>
      </c>
      <c r="B134" s="43" t="str">
        <f>IF(SETTINGS!$B$22&lt;&gt;"YES","",IFERROR(IF(OR($J$3="Everyone",INDEX(DESK!$AV$2:$AV$601,MATCH(126,DESK!$AR$2:$AR$601,0))="SEND"),"91"&amp;INDEX(DESK!$F$2:$F$601,MATCH(126,DESK!$AR$2:$AR$601,0)),""),""))</f>
        <v/>
      </c>
      <c r="C134" s="28" t="str">
        <f>IF(B134="","",IF(INDEX(DESK!$AC$2:$AC$601,MATCH(126,DESK!$AR$2:$AR$601,0))="YES","A","B"))</f>
        <v/>
      </c>
      <c r="D134" s="28" t="str">
        <f>IF(B134="","",INDEX(DESK!$AQ$2:$AQ$601,MATCH(126,DESK!$AR$2:$AR$601,0)))</f>
        <v/>
      </c>
      <c r="E134" s="28" t="str">
        <f>IF(B134="","",INDEX(DESK!$B$2:$B$601,MATCH(126,DESK!$AR$2:$AR$601,0))&amp;IF(COUNTIFS(DESK!$F$2:$F$601,INDEX(DESK!$F$2:$F$601,MATCH(126,DESK!$AR$2:$AR$601,0)),DESK!$L$2:$L$601,1)&gt;1," and "&amp;(COUNTIFS(DESK!$F$2:$F$601,INDEX(DESK!$F$2:$F$601,MATCH(126,DESK!$AR$2:$AR$601,0)),DESK!$L$2:$L$601,1)-1)&amp;" more",""))</f>
        <v/>
      </c>
      <c r="F134" s="28" t="str">
        <f>IF(B134="","",IF(C134="B",INDEX(DESK!$AD$2:$AD$601,MATCH(126,DESK!$AR$2:$AR$601,0)),""))</f>
        <v/>
      </c>
      <c r="G134" s="28" t="str">
        <f>IF(B134="","",INDEX(DESK!$AV$2:$AV$601,MATCH(126,DESK!$AR$2:$AR$601,0)))</f>
        <v/>
      </c>
      <c r="I134" s="21"/>
      <c r="J134" s="20"/>
      <c r="K134" s="20"/>
      <c r="L134" s="20"/>
      <c r="M134" s="23" t="str">
        <f t="shared" si="1"/>
        <v/>
      </c>
    </row>
    <row r="135" spans="1:13" x14ac:dyDescent="0.35">
      <c r="A135" s="28">
        <v>127</v>
      </c>
      <c r="B135" s="43" t="str">
        <f>IF(SETTINGS!$B$22&lt;&gt;"YES","",IFERROR(IF(OR($J$3="Everyone",INDEX(DESK!$AV$2:$AV$601,MATCH(127,DESK!$AR$2:$AR$601,0))="SEND"),"91"&amp;INDEX(DESK!$F$2:$F$601,MATCH(127,DESK!$AR$2:$AR$601,0)),""),""))</f>
        <v/>
      </c>
      <c r="C135" s="28" t="str">
        <f>IF(B135="","",IF(INDEX(DESK!$AC$2:$AC$601,MATCH(127,DESK!$AR$2:$AR$601,0))="YES","A","B"))</f>
        <v/>
      </c>
      <c r="D135" s="28" t="str">
        <f>IF(B135="","",INDEX(DESK!$AQ$2:$AQ$601,MATCH(127,DESK!$AR$2:$AR$601,0)))</f>
        <v/>
      </c>
      <c r="E135" s="28" t="str">
        <f>IF(B135="","",INDEX(DESK!$B$2:$B$601,MATCH(127,DESK!$AR$2:$AR$601,0))&amp;IF(COUNTIFS(DESK!$F$2:$F$601,INDEX(DESK!$F$2:$F$601,MATCH(127,DESK!$AR$2:$AR$601,0)),DESK!$L$2:$L$601,1)&gt;1," and "&amp;(COUNTIFS(DESK!$F$2:$F$601,INDEX(DESK!$F$2:$F$601,MATCH(127,DESK!$AR$2:$AR$601,0)),DESK!$L$2:$L$601,1)-1)&amp;" more",""))</f>
        <v/>
      </c>
      <c r="F135" s="28" t="str">
        <f>IF(B135="","",IF(C135="B",INDEX(DESK!$AD$2:$AD$601,MATCH(127,DESK!$AR$2:$AR$601,0)),""))</f>
        <v/>
      </c>
      <c r="G135" s="28" t="str">
        <f>IF(B135="","",INDEX(DESK!$AV$2:$AV$601,MATCH(127,DESK!$AR$2:$AR$601,0)))</f>
        <v/>
      </c>
      <c r="I135" s="21"/>
      <c r="J135" s="20"/>
      <c r="K135" s="20"/>
      <c r="L135" s="20"/>
      <c r="M135" s="23" t="str">
        <f t="shared" si="1"/>
        <v/>
      </c>
    </row>
    <row r="136" spans="1:13" x14ac:dyDescent="0.35">
      <c r="A136" s="28">
        <v>128</v>
      </c>
      <c r="B136" s="43" t="str">
        <f>IF(SETTINGS!$B$22&lt;&gt;"YES","",IFERROR(IF(OR($J$3="Everyone",INDEX(DESK!$AV$2:$AV$601,MATCH(128,DESK!$AR$2:$AR$601,0))="SEND"),"91"&amp;INDEX(DESK!$F$2:$F$601,MATCH(128,DESK!$AR$2:$AR$601,0)),""),""))</f>
        <v/>
      </c>
      <c r="C136" s="28" t="str">
        <f>IF(B136="","",IF(INDEX(DESK!$AC$2:$AC$601,MATCH(128,DESK!$AR$2:$AR$601,0))="YES","A","B"))</f>
        <v/>
      </c>
      <c r="D136" s="28" t="str">
        <f>IF(B136="","",INDEX(DESK!$AQ$2:$AQ$601,MATCH(128,DESK!$AR$2:$AR$601,0)))</f>
        <v/>
      </c>
      <c r="E136" s="28" t="str">
        <f>IF(B136="","",INDEX(DESK!$B$2:$B$601,MATCH(128,DESK!$AR$2:$AR$601,0))&amp;IF(COUNTIFS(DESK!$F$2:$F$601,INDEX(DESK!$F$2:$F$601,MATCH(128,DESK!$AR$2:$AR$601,0)),DESK!$L$2:$L$601,1)&gt;1," and "&amp;(COUNTIFS(DESK!$F$2:$F$601,INDEX(DESK!$F$2:$F$601,MATCH(128,DESK!$AR$2:$AR$601,0)),DESK!$L$2:$L$601,1)-1)&amp;" more",""))</f>
        <v/>
      </c>
      <c r="F136" s="28" t="str">
        <f>IF(B136="","",IF(C136="B",INDEX(DESK!$AD$2:$AD$601,MATCH(128,DESK!$AR$2:$AR$601,0)),""))</f>
        <v/>
      </c>
      <c r="G136" s="28" t="str">
        <f>IF(B136="","",INDEX(DESK!$AV$2:$AV$601,MATCH(128,DESK!$AR$2:$AR$601,0)))</f>
        <v/>
      </c>
      <c r="I136" s="21"/>
      <c r="J136" s="20"/>
      <c r="K136" s="20"/>
      <c r="L136" s="20"/>
      <c r="M136" s="23" t="str">
        <f t="shared" si="1"/>
        <v/>
      </c>
    </row>
    <row r="137" spans="1:13" x14ac:dyDescent="0.35">
      <c r="A137" s="28">
        <v>129</v>
      </c>
      <c r="B137" s="43" t="str">
        <f>IF(SETTINGS!$B$22&lt;&gt;"YES","",IFERROR(IF(OR($J$3="Everyone",INDEX(DESK!$AV$2:$AV$601,MATCH(129,DESK!$AR$2:$AR$601,0))="SEND"),"91"&amp;INDEX(DESK!$F$2:$F$601,MATCH(129,DESK!$AR$2:$AR$601,0)),""),""))</f>
        <v/>
      </c>
      <c r="C137" s="28" t="str">
        <f>IF(B137="","",IF(INDEX(DESK!$AC$2:$AC$601,MATCH(129,DESK!$AR$2:$AR$601,0))="YES","A","B"))</f>
        <v/>
      </c>
      <c r="D137" s="28" t="str">
        <f>IF(B137="","",INDEX(DESK!$AQ$2:$AQ$601,MATCH(129,DESK!$AR$2:$AR$601,0)))</f>
        <v/>
      </c>
      <c r="E137" s="28" t="str">
        <f>IF(B137="","",INDEX(DESK!$B$2:$B$601,MATCH(129,DESK!$AR$2:$AR$601,0))&amp;IF(COUNTIFS(DESK!$F$2:$F$601,INDEX(DESK!$F$2:$F$601,MATCH(129,DESK!$AR$2:$AR$601,0)),DESK!$L$2:$L$601,1)&gt;1," and "&amp;(COUNTIFS(DESK!$F$2:$F$601,INDEX(DESK!$F$2:$F$601,MATCH(129,DESK!$AR$2:$AR$601,0)),DESK!$L$2:$L$601,1)-1)&amp;" more",""))</f>
        <v/>
      </c>
      <c r="F137" s="28" t="str">
        <f>IF(B137="","",IF(C137="B",INDEX(DESK!$AD$2:$AD$601,MATCH(129,DESK!$AR$2:$AR$601,0)),""))</f>
        <v/>
      </c>
      <c r="G137" s="28" t="str">
        <f>IF(B137="","",INDEX(DESK!$AV$2:$AV$601,MATCH(129,DESK!$AR$2:$AR$601,0)))</f>
        <v/>
      </c>
      <c r="I137" s="21"/>
      <c r="J137" s="20"/>
      <c r="K137" s="20"/>
      <c r="L137" s="20"/>
      <c r="M137" s="23" t="str">
        <f t="shared" ref="M137:M200" si="2">IF(I137="","",RIGHT(SUBSTITUTE(SUBSTITUTE(I137&amp;""," ",""),"+",""),10))</f>
        <v/>
      </c>
    </row>
    <row r="138" spans="1:13" x14ac:dyDescent="0.35">
      <c r="A138" s="28">
        <v>130</v>
      </c>
      <c r="B138" s="43" t="str">
        <f>IF(SETTINGS!$B$22&lt;&gt;"YES","",IFERROR(IF(OR($J$3="Everyone",INDEX(DESK!$AV$2:$AV$601,MATCH(130,DESK!$AR$2:$AR$601,0))="SEND"),"91"&amp;INDEX(DESK!$F$2:$F$601,MATCH(130,DESK!$AR$2:$AR$601,0)),""),""))</f>
        <v/>
      </c>
      <c r="C138" s="28" t="str">
        <f>IF(B138="","",IF(INDEX(DESK!$AC$2:$AC$601,MATCH(130,DESK!$AR$2:$AR$601,0))="YES","A","B"))</f>
        <v/>
      </c>
      <c r="D138" s="28" t="str">
        <f>IF(B138="","",INDEX(DESK!$AQ$2:$AQ$601,MATCH(130,DESK!$AR$2:$AR$601,0)))</f>
        <v/>
      </c>
      <c r="E138" s="28" t="str">
        <f>IF(B138="","",INDEX(DESK!$B$2:$B$601,MATCH(130,DESK!$AR$2:$AR$601,0))&amp;IF(COUNTIFS(DESK!$F$2:$F$601,INDEX(DESK!$F$2:$F$601,MATCH(130,DESK!$AR$2:$AR$601,0)),DESK!$L$2:$L$601,1)&gt;1," and "&amp;(COUNTIFS(DESK!$F$2:$F$601,INDEX(DESK!$F$2:$F$601,MATCH(130,DESK!$AR$2:$AR$601,0)),DESK!$L$2:$L$601,1)-1)&amp;" more",""))</f>
        <v/>
      </c>
      <c r="F138" s="28" t="str">
        <f>IF(B138="","",IF(C138="B",INDEX(DESK!$AD$2:$AD$601,MATCH(130,DESK!$AR$2:$AR$601,0)),""))</f>
        <v/>
      </c>
      <c r="G138" s="28" t="str">
        <f>IF(B138="","",INDEX(DESK!$AV$2:$AV$601,MATCH(130,DESK!$AR$2:$AR$601,0)))</f>
        <v/>
      </c>
      <c r="I138" s="21"/>
      <c r="J138" s="20"/>
      <c r="K138" s="20"/>
      <c r="L138" s="20"/>
      <c r="M138" s="23" t="str">
        <f t="shared" si="2"/>
        <v/>
      </c>
    </row>
    <row r="139" spans="1:13" x14ac:dyDescent="0.35">
      <c r="A139" s="28">
        <v>131</v>
      </c>
      <c r="B139" s="43" t="str">
        <f>IF(SETTINGS!$B$22&lt;&gt;"YES","",IFERROR(IF(OR($J$3="Everyone",INDEX(DESK!$AV$2:$AV$601,MATCH(131,DESK!$AR$2:$AR$601,0))="SEND"),"91"&amp;INDEX(DESK!$F$2:$F$601,MATCH(131,DESK!$AR$2:$AR$601,0)),""),""))</f>
        <v/>
      </c>
      <c r="C139" s="28" t="str">
        <f>IF(B139="","",IF(INDEX(DESK!$AC$2:$AC$601,MATCH(131,DESK!$AR$2:$AR$601,0))="YES","A","B"))</f>
        <v/>
      </c>
      <c r="D139" s="28" t="str">
        <f>IF(B139="","",INDEX(DESK!$AQ$2:$AQ$601,MATCH(131,DESK!$AR$2:$AR$601,0)))</f>
        <v/>
      </c>
      <c r="E139" s="28" t="str">
        <f>IF(B139="","",INDEX(DESK!$B$2:$B$601,MATCH(131,DESK!$AR$2:$AR$601,0))&amp;IF(COUNTIFS(DESK!$F$2:$F$601,INDEX(DESK!$F$2:$F$601,MATCH(131,DESK!$AR$2:$AR$601,0)),DESK!$L$2:$L$601,1)&gt;1," and "&amp;(COUNTIFS(DESK!$F$2:$F$601,INDEX(DESK!$F$2:$F$601,MATCH(131,DESK!$AR$2:$AR$601,0)),DESK!$L$2:$L$601,1)-1)&amp;" more",""))</f>
        <v/>
      </c>
      <c r="F139" s="28" t="str">
        <f>IF(B139="","",IF(C139="B",INDEX(DESK!$AD$2:$AD$601,MATCH(131,DESK!$AR$2:$AR$601,0)),""))</f>
        <v/>
      </c>
      <c r="G139" s="28" t="str">
        <f>IF(B139="","",INDEX(DESK!$AV$2:$AV$601,MATCH(131,DESK!$AR$2:$AR$601,0)))</f>
        <v/>
      </c>
      <c r="I139" s="21"/>
      <c r="J139" s="20"/>
      <c r="K139" s="20"/>
      <c r="L139" s="20"/>
      <c r="M139" s="23" t="str">
        <f t="shared" si="2"/>
        <v/>
      </c>
    </row>
    <row r="140" spans="1:13" x14ac:dyDescent="0.35">
      <c r="A140" s="28">
        <v>132</v>
      </c>
      <c r="B140" s="43" t="str">
        <f>IF(SETTINGS!$B$22&lt;&gt;"YES","",IFERROR(IF(OR($J$3="Everyone",INDEX(DESK!$AV$2:$AV$601,MATCH(132,DESK!$AR$2:$AR$601,0))="SEND"),"91"&amp;INDEX(DESK!$F$2:$F$601,MATCH(132,DESK!$AR$2:$AR$601,0)),""),""))</f>
        <v/>
      </c>
      <c r="C140" s="28" t="str">
        <f>IF(B140="","",IF(INDEX(DESK!$AC$2:$AC$601,MATCH(132,DESK!$AR$2:$AR$601,0))="YES","A","B"))</f>
        <v/>
      </c>
      <c r="D140" s="28" t="str">
        <f>IF(B140="","",INDEX(DESK!$AQ$2:$AQ$601,MATCH(132,DESK!$AR$2:$AR$601,0)))</f>
        <v/>
      </c>
      <c r="E140" s="28" t="str">
        <f>IF(B140="","",INDEX(DESK!$B$2:$B$601,MATCH(132,DESK!$AR$2:$AR$601,0))&amp;IF(COUNTIFS(DESK!$F$2:$F$601,INDEX(DESK!$F$2:$F$601,MATCH(132,DESK!$AR$2:$AR$601,0)),DESK!$L$2:$L$601,1)&gt;1," and "&amp;(COUNTIFS(DESK!$F$2:$F$601,INDEX(DESK!$F$2:$F$601,MATCH(132,DESK!$AR$2:$AR$601,0)),DESK!$L$2:$L$601,1)-1)&amp;" more",""))</f>
        <v/>
      </c>
      <c r="F140" s="28" t="str">
        <f>IF(B140="","",IF(C140="B",INDEX(DESK!$AD$2:$AD$601,MATCH(132,DESK!$AR$2:$AR$601,0)),""))</f>
        <v/>
      </c>
      <c r="G140" s="28" t="str">
        <f>IF(B140="","",INDEX(DESK!$AV$2:$AV$601,MATCH(132,DESK!$AR$2:$AR$601,0)))</f>
        <v/>
      </c>
      <c r="I140" s="21"/>
      <c r="J140" s="20"/>
      <c r="K140" s="20"/>
      <c r="L140" s="20"/>
      <c r="M140" s="23" t="str">
        <f t="shared" si="2"/>
        <v/>
      </c>
    </row>
    <row r="141" spans="1:13" x14ac:dyDescent="0.35">
      <c r="A141" s="28">
        <v>133</v>
      </c>
      <c r="B141" s="43" t="str">
        <f>IF(SETTINGS!$B$22&lt;&gt;"YES","",IFERROR(IF(OR($J$3="Everyone",INDEX(DESK!$AV$2:$AV$601,MATCH(133,DESK!$AR$2:$AR$601,0))="SEND"),"91"&amp;INDEX(DESK!$F$2:$F$601,MATCH(133,DESK!$AR$2:$AR$601,0)),""),""))</f>
        <v/>
      </c>
      <c r="C141" s="28" t="str">
        <f>IF(B141="","",IF(INDEX(DESK!$AC$2:$AC$601,MATCH(133,DESK!$AR$2:$AR$601,0))="YES","A","B"))</f>
        <v/>
      </c>
      <c r="D141" s="28" t="str">
        <f>IF(B141="","",INDEX(DESK!$AQ$2:$AQ$601,MATCH(133,DESK!$AR$2:$AR$601,0)))</f>
        <v/>
      </c>
      <c r="E141" s="28" t="str">
        <f>IF(B141="","",INDEX(DESK!$B$2:$B$601,MATCH(133,DESK!$AR$2:$AR$601,0))&amp;IF(COUNTIFS(DESK!$F$2:$F$601,INDEX(DESK!$F$2:$F$601,MATCH(133,DESK!$AR$2:$AR$601,0)),DESK!$L$2:$L$601,1)&gt;1," and "&amp;(COUNTIFS(DESK!$F$2:$F$601,INDEX(DESK!$F$2:$F$601,MATCH(133,DESK!$AR$2:$AR$601,0)),DESK!$L$2:$L$601,1)-1)&amp;" more",""))</f>
        <v/>
      </c>
      <c r="F141" s="28" t="str">
        <f>IF(B141="","",IF(C141="B",INDEX(DESK!$AD$2:$AD$601,MATCH(133,DESK!$AR$2:$AR$601,0)),""))</f>
        <v/>
      </c>
      <c r="G141" s="28" t="str">
        <f>IF(B141="","",INDEX(DESK!$AV$2:$AV$601,MATCH(133,DESK!$AR$2:$AR$601,0)))</f>
        <v/>
      </c>
      <c r="I141" s="21"/>
      <c r="J141" s="20"/>
      <c r="K141" s="20"/>
      <c r="L141" s="20"/>
      <c r="M141" s="23" t="str">
        <f t="shared" si="2"/>
        <v/>
      </c>
    </row>
    <row r="142" spans="1:13" x14ac:dyDescent="0.35">
      <c r="A142" s="28">
        <v>134</v>
      </c>
      <c r="B142" s="43" t="str">
        <f>IF(SETTINGS!$B$22&lt;&gt;"YES","",IFERROR(IF(OR($J$3="Everyone",INDEX(DESK!$AV$2:$AV$601,MATCH(134,DESK!$AR$2:$AR$601,0))="SEND"),"91"&amp;INDEX(DESK!$F$2:$F$601,MATCH(134,DESK!$AR$2:$AR$601,0)),""),""))</f>
        <v/>
      </c>
      <c r="C142" s="28" t="str">
        <f>IF(B142="","",IF(INDEX(DESK!$AC$2:$AC$601,MATCH(134,DESK!$AR$2:$AR$601,0))="YES","A","B"))</f>
        <v/>
      </c>
      <c r="D142" s="28" t="str">
        <f>IF(B142="","",INDEX(DESK!$AQ$2:$AQ$601,MATCH(134,DESK!$AR$2:$AR$601,0)))</f>
        <v/>
      </c>
      <c r="E142" s="28" t="str">
        <f>IF(B142="","",INDEX(DESK!$B$2:$B$601,MATCH(134,DESK!$AR$2:$AR$601,0))&amp;IF(COUNTIFS(DESK!$F$2:$F$601,INDEX(DESK!$F$2:$F$601,MATCH(134,DESK!$AR$2:$AR$601,0)),DESK!$L$2:$L$601,1)&gt;1," and "&amp;(COUNTIFS(DESK!$F$2:$F$601,INDEX(DESK!$F$2:$F$601,MATCH(134,DESK!$AR$2:$AR$601,0)),DESK!$L$2:$L$601,1)-1)&amp;" more",""))</f>
        <v/>
      </c>
      <c r="F142" s="28" t="str">
        <f>IF(B142="","",IF(C142="B",INDEX(DESK!$AD$2:$AD$601,MATCH(134,DESK!$AR$2:$AR$601,0)),""))</f>
        <v/>
      </c>
      <c r="G142" s="28" t="str">
        <f>IF(B142="","",INDEX(DESK!$AV$2:$AV$601,MATCH(134,DESK!$AR$2:$AR$601,0)))</f>
        <v/>
      </c>
      <c r="I142" s="21"/>
      <c r="J142" s="20"/>
      <c r="K142" s="20"/>
      <c r="L142" s="20"/>
      <c r="M142" s="23" t="str">
        <f t="shared" si="2"/>
        <v/>
      </c>
    </row>
    <row r="143" spans="1:13" x14ac:dyDescent="0.35">
      <c r="A143" s="28">
        <v>135</v>
      </c>
      <c r="B143" s="43" t="str">
        <f>IF(SETTINGS!$B$22&lt;&gt;"YES","",IFERROR(IF(OR($J$3="Everyone",INDEX(DESK!$AV$2:$AV$601,MATCH(135,DESK!$AR$2:$AR$601,0))="SEND"),"91"&amp;INDEX(DESK!$F$2:$F$601,MATCH(135,DESK!$AR$2:$AR$601,0)),""),""))</f>
        <v/>
      </c>
      <c r="C143" s="28" t="str">
        <f>IF(B143="","",IF(INDEX(DESK!$AC$2:$AC$601,MATCH(135,DESK!$AR$2:$AR$601,0))="YES","A","B"))</f>
        <v/>
      </c>
      <c r="D143" s="28" t="str">
        <f>IF(B143="","",INDEX(DESK!$AQ$2:$AQ$601,MATCH(135,DESK!$AR$2:$AR$601,0)))</f>
        <v/>
      </c>
      <c r="E143" s="28" t="str">
        <f>IF(B143="","",INDEX(DESK!$B$2:$B$601,MATCH(135,DESK!$AR$2:$AR$601,0))&amp;IF(COUNTIFS(DESK!$F$2:$F$601,INDEX(DESK!$F$2:$F$601,MATCH(135,DESK!$AR$2:$AR$601,0)),DESK!$L$2:$L$601,1)&gt;1," and "&amp;(COUNTIFS(DESK!$F$2:$F$601,INDEX(DESK!$F$2:$F$601,MATCH(135,DESK!$AR$2:$AR$601,0)),DESK!$L$2:$L$601,1)-1)&amp;" more",""))</f>
        <v/>
      </c>
      <c r="F143" s="28" t="str">
        <f>IF(B143="","",IF(C143="B",INDEX(DESK!$AD$2:$AD$601,MATCH(135,DESK!$AR$2:$AR$601,0)),""))</f>
        <v/>
      </c>
      <c r="G143" s="28" t="str">
        <f>IF(B143="","",INDEX(DESK!$AV$2:$AV$601,MATCH(135,DESK!$AR$2:$AR$601,0)))</f>
        <v/>
      </c>
      <c r="I143" s="21"/>
      <c r="J143" s="20"/>
      <c r="K143" s="20"/>
      <c r="L143" s="20"/>
      <c r="M143" s="23" t="str">
        <f t="shared" si="2"/>
        <v/>
      </c>
    </row>
    <row r="144" spans="1:13" x14ac:dyDescent="0.35">
      <c r="A144" s="28">
        <v>136</v>
      </c>
      <c r="B144" s="43" t="str">
        <f>IF(SETTINGS!$B$22&lt;&gt;"YES","",IFERROR(IF(OR($J$3="Everyone",INDEX(DESK!$AV$2:$AV$601,MATCH(136,DESK!$AR$2:$AR$601,0))="SEND"),"91"&amp;INDEX(DESK!$F$2:$F$601,MATCH(136,DESK!$AR$2:$AR$601,0)),""),""))</f>
        <v/>
      </c>
      <c r="C144" s="28" t="str">
        <f>IF(B144="","",IF(INDEX(DESK!$AC$2:$AC$601,MATCH(136,DESK!$AR$2:$AR$601,0))="YES","A","B"))</f>
        <v/>
      </c>
      <c r="D144" s="28" t="str">
        <f>IF(B144="","",INDEX(DESK!$AQ$2:$AQ$601,MATCH(136,DESK!$AR$2:$AR$601,0)))</f>
        <v/>
      </c>
      <c r="E144" s="28" t="str">
        <f>IF(B144="","",INDEX(DESK!$B$2:$B$601,MATCH(136,DESK!$AR$2:$AR$601,0))&amp;IF(COUNTIFS(DESK!$F$2:$F$601,INDEX(DESK!$F$2:$F$601,MATCH(136,DESK!$AR$2:$AR$601,0)),DESK!$L$2:$L$601,1)&gt;1," and "&amp;(COUNTIFS(DESK!$F$2:$F$601,INDEX(DESK!$F$2:$F$601,MATCH(136,DESK!$AR$2:$AR$601,0)),DESK!$L$2:$L$601,1)-1)&amp;" more",""))</f>
        <v/>
      </c>
      <c r="F144" s="28" t="str">
        <f>IF(B144="","",IF(C144="B",INDEX(DESK!$AD$2:$AD$601,MATCH(136,DESK!$AR$2:$AR$601,0)),""))</f>
        <v/>
      </c>
      <c r="G144" s="28" t="str">
        <f>IF(B144="","",INDEX(DESK!$AV$2:$AV$601,MATCH(136,DESK!$AR$2:$AR$601,0)))</f>
        <v/>
      </c>
      <c r="I144" s="21"/>
      <c r="J144" s="20"/>
      <c r="K144" s="20"/>
      <c r="L144" s="20"/>
      <c r="M144" s="23" t="str">
        <f t="shared" si="2"/>
        <v/>
      </c>
    </row>
    <row r="145" spans="1:13" x14ac:dyDescent="0.35">
      <c r="A145" s="28">
        <v>137</v>
      </c>
      <c r="B145" s="43" t="str">
        <f>IF(SETTINGS!$B$22&lt;&gt;"YES","",IFERROR(IF(OR($J$3="Everyone",INDEX(DESK!$AV$2:$AV$601,MATCH(137,DESK!$AR$2:$AR$601,0))="SEND"),"91"&amp;INDEX(DESK!$F$2:$F$601,MATCH(137,DESK!$AR$2:$AR$601,0)),""),""))</f>
        <v/>
      </c>
      <c r="C145" s="28" t="str">
        <f>IF(B145="","",IF(INDEX(DESK!$AC$2:$AC$601,MATCH(137,DESK!$AR$2:$AR$601,0))="YES","A","B"))</f>
        <v/>
      </c>
      <c r="D145" s="28" t="str">
        <f>IF(B145="","",INDEX(DESK!$AQ$2:$AQ$601,MATCH(137,DESK!$AR$2:$AR$601,0)))</f>
        <v/>
      </c>
      <c r="E145" s="28" t="str">
        <f>IF(B145="","",INDEX(DESK!$B$2:$B$601,MATCH(137,DESK!$AR$2:$AR$601,0))&amp;IF(COUNTIFS(DESK!$F$2:$F$601,INDEX(DESK!$F$2:$F$601,MATCH(137,DESK!$AR$2:$AR$601,0)),DESK!$L$2:$L$601,1)&gt;1," and "&amp;(COUNTIFS(DESK!$F$2:$F$601,INDEX(DESK!$F$2:$F$601,MATCH(137,DESK!$AR$2:$AR$601,0)),DESK!$L$2:$L$601,1)-1)&amp;" more",""))</f>
        <v/>
      </c>
      <c r="F145" s="28" t="str">
        <f>IF(B145="","",IF(C145="B",INDEX(DESK!$AD$2:$AD$601,MATCH(137,DESK!$AR$2:$AR$601,0)),""))</f>
        <v/>
      </c>
      <c r="G145" s="28" t="str">
        <f>IF(B145="","",INDEX(DESK!$AV$2:$AV$601,MATCH(137,DESK!$AR$2:$AR$601,0)))</f>
        <v/>
      </c>
      <c r="I145" s="21"/>
      <c r="J145" s="20"/>
      <c r="K145" s="20"/>
      <c r="L145" s="20"/>
      <c r="M145" s="23" t="str">
        <f t="shared" si="2"/>
        <v/>
      </c>
    </row>
    <row r="146" spans="1:13" x14ac:dyDescent="0.35">
      <c r="A146" s="28">
        <v>138</v>
      </c>
      <c r="B146" s="43" t="str">
        <f>IF(SETTINGS!$B$22&lt;&gt;"YES","",IFERROR(IF(OR($J$3="Everyone",INDEX(DESK!$AV$2:$AV$601,MATCH(138,DESK!$AR$2:$AR$601,0))="SEND"),"91"&amp;INDEX(DESK!$F$2:$F$601,MATCH(138,DESK!$AR$2:$AR$601,0)),""),""))</f>
        <v/>
      </c>
      <c r="C146" s="28" t="str">
        <f>IF(B146="","",IF(INDEX(DESK!$AC$2:$AC$601,MATCH(138,DESK!$AR$2:$AR$601,0))="YES","A","B"))</f>
        <v/>
      </c>
      <c r="D146" s="28" t="str">
        <f>IF(B146="","",INDEX(DESK!$AQ$2:$AQ$601,MATCH(138,DESK!$AR$2:$AR$601,0)))</f>
        <v/>
      </c>
      <c r="E146" s="28" t="str">
        <f>IF(B146="","",INDEX(DESK!$B$2:$B$601,MATCH(138,DESK!$AR$2:$AR$601,0))&amp;IF(COUNTIFS(DESK!$F$2:$F$601,INDEX(DESK!$F$2:$F$601,MATCH(138,DESK!$AR$2:$AR$601,0)),DESK!$L$2:$L$601,1)&gt;1," and "&amp;(COUNTIFS(DESK!$F$2:$F$601,INDEX(DESK!$F$2:$F$601,MATCH(138,DESK!$AR$2:$AR$601,0)),DESK!$L$2:$L$601,1)-1)&amp;" more",""))</f>
        <v/>
      </c>
      <c r="F146" s="28" t="str">
        <f>IF(B146="","",IF(C146="B",INDEX(DESK!$AD$2:$AD$601,MATCH(138,DESK!$AR$2:$AR$601,0)),""))</f>
        <v/>
      </c>
      <c r="G146" s="28" t="str">
        <f>IF(B146="","",INDEX(DESK!$AV$2:$AV$601,MATCH(138,DESK!$AR$2:$AR$601,0)))</f>
        <v/>
      </c>
      <c r="I146" s="21"/>
      <c r="J146" s="20"/>
      <c r="K146" s="20"/>
      <c r="L146" s="20"/>
      <c r="M146" s="23" t="str">
        <f t="shared" si="2"/>
        <v/>
      </c>
    </row>
    <row r="147" spans="1:13" x14ac:dyDescent="0.35">
      <c r="A147" s="28">
        <v>139</v>
      </c>
      <c r="B147" s="43" t="str">
        <f>IF(SETTINGS!$B$22&lt;&gt;"YES","",IFERROR(IF(OR($J$3="Everyone",INDEX(DESK!$AV$2:$AV$601,MATCH(139,DESK!$AR$2:$AR$601,0))="SEND"),"91"&amp;INDEX(DESK!$F$2:$F$601,MATCH(139,DESK!$AR$2:$AR$601,0)),""),""))</f>
        <v/>
      </c>
      <c r="C147" s="28" t="str">
        <f>IF(B147="","",IF(INDEX(DESK!$AC$2:$AC$601,MATCH(139,DESK!$AR$2:$AR$601,0))="YES","A","B"))</f>
        <v/>
      </c>
      <c r="D147" s="28" t="str">
        <f>IF(B147="","",INDEX(DESK!$AQ$2:$AQ$601,MATCH(139,DESK!$AR$2:$AR$601,0)))</f>
        <v/>
      </c>
      <c r="E147" s="28" t="str">
        <f>IF(B147="","",INDEX(DESK!$B$2:$B$601,MATCH(139,DESK!$AR$2:$AR$601,0))&amp;IF(COUNTIFS(DESK!$F$2:$F$601,INDEX(DESK!$F$2:$F$601,MATCH(139,DESK!$AR$2:$AR$601,0)),DESK!$L$2:$L$601,1)&gt;1," and "&amp;(COUNTIFS(DESK!$F$2:$F$601,INDEX(DESK!$F$2:$F$601,MATCH(139,DESK!$AR$2:$AR$601,0)),DESK!$L$2:$L$601,1)-1)&amp;" more",""))</f>
        <v/>
      </c>
      <c r="F147" s="28" t="str">
        <f>IF(B147="","",IF(C147="B",INDEX(DESK!$AD$2:$AD$601,MATCH(139,DESK!$AR$2:$AR$601,0)),""))</f>
        <v/>
      </c>
      <c r="G147" s="28" t="str">
        <f>IF(B147="","",INDEX(DESK!$AV$2:$AV$601,MATCH(139,DESK!$AR$2:$AR$601,0)))</f>
        <v/>
      </c>
      <c r="I147" s="21"/>
      <c r="J147" s="20"/>
      <c r="K147" s="20"/>
      <c r="L147" s="20"/>
      <c r="M147" s="23" t="str">
        <f t="shared" si="2"/>
        <v/>
      </c>
    </row>
    <row r="148" spans="1:13" x14ac:dyDescent="0.35">
      <c r="A148" s="28">
        <v>140</v>
      </c>
      <c r="B148" s="43" t="str">
        <f>IF(SETTINGS!$B$22&lt;&gt;"YES","",IFERROR(IF(OR($J$3="Everyone",INDEX(DESK!$AV$2:$AV$601,MATCH(140,DESK!$AR$2:$AR$601,0))="SEND"),"91"&amp;INDEX(DESK!$F$2:$F$601,MATCH(140,DESK!$AR$2:$AR$601,0)),""),""))</f>
        <v/>
      </c>
      <c r="C148" s="28" t="str">
        <f>IF(B148="","",IF(INDEX(DESK!$AC$2:$AC$601,MATCH(140,DESK!$AR$2:$AR$601,0))="YES","A","B"))</f>
        <v/>
      </c>
      <c r="D148" s="28" t="str">
        <f>IF(B148="","",INDEX(DESK!$AQ$2:$AQ$601,MATCH(140,DESK!$AR$2:$AR$601,0)))</f>
        <v/>
      </c>
      <c r="E148" s="28" t="str">
        <f>IF(B148="","",INDEX(DESK!$B$2:$B$601,MATCH(140,DESK!$AR$2:$AR$601,0))&amp;IF(COUNTIFS(DESK!$F$2:$F$601,INDEX(DESK!$F$2:$F$601,MATCH(140,DESK!$AR$2:$AR$601,0)),DESK!$L$2:$L$601,1)&gt;1," and "&amp;(COUNTIFS(DESK!$F$2:$F$601,INDEX(DESK!$F$2:$F$601,MATCH(140,DESK!$AR$2:$AR$601,0)),DESK!$L$2:$L$601,1)-1)&amp;" more",""))</f>
        <v/>
      </c>
      <c r="F148" s="28" t="str">
        <f>IF(B148="","",IF(C148="B",INDEX(DESK!$AD$2:$AD$601,MATCH(140,DESK!$AR$2:$AR$601,0)),""))</f>
        <v/>
      </c>
      <c r="G148" s="28" t="str">
        <f>IF(B148="","",INDEX(DESK!$AV$2:$AV$601,MATCH(140,DESK!$AR$2:$AR$601,0)))</f>
        <v/>
      </c>
      <c r="I148" s="21"/>
      <c r="J148" s="20"/>
      <c r="K148" s="20"/>
      <c r="L148" s="20"/>
      <c r="M148" s="23" t="str">
        <f t="shared" si="2"/>
        <v/>
      </c>
    </row>
    <row r="149" spans="1:13" x14ac:dyDescent="0.35">
      <c r="A149" s="28">
        <v>141</v>
      </c>
      <c r="B149" s="43" t="str">
        <f>IF(SETTINGS!$B$22&lt;&gt;"YES","",IFERROR(IF(OR($J$3="Everyone",INDEX(DESK!$AV$2:$AV$601,MATCH(141,DESK!$AR$2:$AR$601,0))="SEND"),"91"&amp;INDEX(DESK!$F$2:$F$601,MATCH(141,DESK!$AR$2:$AR$601,0)),""),""))</f>
        <v/>
      </c>
      <c r="C149" s="28" t="str">
        <f>IF(B149="","",IF(INDEX(DESK!$AC$2:$AC$601,MATCH(141,DESK!$AR$2:$AR$601,0))="YES","A","B"))</f>
        <v/>
      </c>
      <c r="D149" s="28" t="str">
        <f>IF(B149="","",INDEX(DESK!$AQ$2:$AQ$601,MATCH(141,DESK!$AR$2:$AR$601,0)))</f>
        <v/>
      </c>
      <c r="E149" s="28" t="str">
        <f>IF(B149="","",INDEX(DESK!$B$2:$B$601,MATCH(141,DESK!$AR$2:$AR$601,0))&amp;IF(COUNTIFS(DESK!$F$2:$F$601,INDEX(DESK!$F$2:$F$601,MATCH(141,DESK!$AR$2:$AR$601,0)),DESK!$L$2:$L$601,1)&gt;1," and "&amp;(COUNTIFS(DESK!$F$2:$F$601,INDEX(DESK!$F$2:$F$601,MATCH(141,DESK!$AR$2:$AR$601,0)),DESK!$L$2:$L$601,1)-1)&amp;" more",""))</f>
        <v/>
      </c>
      <c r="F149" s="28" t="str">
        <f>IF(B149="","",IF(C149="B",INDEX(DESK!$AD$2:$AD$601,MATCH(141,DESK!$AR$2:$AR$601,0)),""))</f>
        <v/>
      </c>
      <c r="G149" s="28" t="str">
        <f>IF(B149="","",INDEX(DESK!$AV$2:$AV$601,MATCH(141,DESK!$AR$2:$AR$601,0)))</f>
        <v/>
      </c>
      <c r="I149" s="21"/>
      <c r="J149" s="20"/>
      <c r="K149" s="20"/>
      <c r="L149" s="20"/>
      <c r="M149" s="23" t="str">
        <f t="shared" si="2"/>
        <v/>
      </c>
    </row>
    <row r="150" spans="1:13" x14ac:dyDescent="0.35">
      <c r="A150" s="28">
        <v>142</v>
      </c>
      <c r="B150" s="43" t="str">
        <f>IF(SETTINGS!$B$22&lt;&gt;"YES","",IFERROR(IF(OR($J$3="Everyone",INDEX(DESK!$AV$2:$AV$601,MATCH(142,DESK!$AR$2:$AR$601,0))="SEND"),"91"&amp;INDEX(DESK!$F$2:$F$601,MATCH(142,DESK!$AR$2:$AR$601,0)),""),""))</f>
        <v/>
      </c>
      <c r="C150" s="28" t="str">
        <f>IF(B150="","",IF(INDEX(DESK!$AC$2:$AC$601,MATCH(142,DESK!$AR$2:$AR$601,0))="YES","A","B"))</f>
        <v/>
      </c>
      <c r="D150" s="28" t="str">
        <f>IF(B150="","",INDEX(DESK!$AQ$2:$AQ$601,MATCH(142,DESK!$AR$2:$AR$601,0)))</f>
        <v/>
      </c>
      <c r="E150" s="28" t="str">
        <f>IF(B150="","",INDEX(DESK!$B$2:$B$601,MATCH(142,DESK!$AR$2:$AR$601,0))&amp;IF(COUNTIFS(DESK!$F$2:$F$601,INDEX(DESK!$F$2:$F$601,MATCH(142,DESK!$AR$2:$AR$601,0)),DESK!$L$2:$L$601,1)&gt;1," and "&amp;(COUNTIFS(DESK!$F$2:$F$601,INDEX(DESK!$F$2:$F$601,MATCH(142,DESK!$AR$2:$AR$601,0)),DESK!$L$2:$L$601,1)-1)&amp;" more",""))</f>
        <v/>
      </c>
      <c r="F150" s="28" t="str">
        <f>IF(B150="","",IF(C150="B",INDEX(DESK!$AD$2:$AD$601,MATCH(142,DESK!$AR$2:$AR$601,0)),""))</f>
        <v/>
      </c>
      <c r="G150" s="28" t="str">
        <f>IF(B150="","",INDEX(DESK!$AV$2:$AV$601,MATCH(142,DESK!$AR$2:$AR$601,0)))</f>
        <v/>
      </c>
      <c r="I150" s="21"/>
      <c r="J150" s="20"/>
      <c r="K150" s="20"/>
      <c r="L150" s="20"/>
      <c r="M150" s="23" t="str">
        <f t="shared" si="2"/>
        <v/>
      </c>
    </row>
    <row r="151" spans="1:13" x14ac:dyDescent="0.35">
      <c r="A151" s="28">
        <v>143</v>
      </c>
      <c r="B151" s="43" t="str">
        <f>IF(SETTINGS!$B$22&lt;&gt;"YES","",IFERROR(IF(OR($J$3="Everyone",INDEX(DESK!$AV$2:$AV$601,MATCH(143,DESK!$AR$2:$AR$601,0))="SEND"),"91"&amp;INDEX(DESK!$F$2:$F$601,MATCH(143,DESK!$AR$2:$AR$601,0)),""),""))</f>
        <v/>
      </c>
      <c r="C151" s="28" t="str">
        <f>IF(B151="","",IF(INDEX(DESK!$AC$2:$AC$601,MATCH(143,DESK!$AR$2:$AR$601,0))="YES","A","B"))</f>
        <v/>
      </c>
      <c r="D151" s="28" t="str">
        <f>IF(B151="","",INDEX(DESK!$AQ$2:$AQ$601,MATCH(143,DESK!$AR$2:$AR$601,0)))</f>
        <v/>
      </c>
      <c r="E151" s="28" t="str">
        <f>IF(B151="","",INDEX(DESK!$B$2:$B$601,MATCH(143,DESK!$AR$2:$AR$601,0))&amp;IF(COUNTIFS(DESK!$F$2:$F$601,INDEX(DESK!$F$2:$F$601,MATCH(143,DESK!$AR$2:$AR$601,0)),DESK!$L$2:$L$601,1)&gt;1," and "&amp;(COUNTIFS(DESK!$F$2:$F$601,INDEX(DESK!$F$2:$F$601,MATCH(143,DESK!$AR$2:$AR$601,0)),DESK!$L$2:$L$601,1)-1)&amp;" more",""))</f>
        <v/>
      </c>
      <c r="F151" s="28" t="str">
        <f>IF(B151="","",IF(C151="B",INDEX(DESK!$AD$2:$AD$601,MATCH(143,DESK!$AR$2:$AR$601,0)),""))</f>
        <v/>
      </c>
      <c r="G151" s="28" t="str">
        <f>IF(B151="","",INDEX(DESK!$AV$2:$AV$601,MATCH(143,DESK!$AR$2:$AR$601,0)))</f>
        <v/>
      </c>
      <c r="I151" s="21"/>
      <c r="J151" s="20"/>
      <c r="K151" s="20"/>
      <c r="L151" s="20"/>
      <c r="M151" s="23" t="str">
        <f t="shared" si="2"/>
        <v/>
      </c>
    </row>
    <row r="152" spans="1:13" x14ac:dyDescent="0.35">
      <c r="A152" s="28">
        <v>144</v>
      </c>
      <c r="B152" s="43" t="str">
        <f>IF(SETTINGS!$B$22&lt;&gt;"YES","",IFERROR(IF(OR($J$3="Everyone",INDEX(DESK!$AV$2:$AV$601,MATCH(144,DESK!$AR$2:$AR$601,0))="SEND"),"91"&amp;INDEX(DESK!$F$2:$F$601,MATCH(144,DESK!$AR$2:$AR$601,0)),""),""))</f>
        <v/>
      </c>
      <c r="C152" s="28" t="str">
        <f>IF(B152="","",IF(INDEX(DESK!$AC$2:$AC$601,MATCH(144,DESK!$AR$2:$AR$601,0))="YES","A","B"))</f>
        <v/>
      </c>
      <c r="D152" s="28" t="str">
        <f>IF(B152="","",INDEX(DESK!$AQ$2:$AQ$601,MATCH(144,DESK!$AR$2:$AR$601,0)))</f>
        <v/>
      </c>
      <c r="E152" s="28" t="str">
        <f>IF(B152="","",INDEX(DESK!$B$2:$B$601,MATCH(144,DESK!$AR$2:$AR$601,0))&amp;IF(COUNTIFS(DESK!$F$2:$F$601,INDEX(DESK!$F$2:$F$601,MATCH(144,DESK!$AR$2:$AR$601,0)),DESK!$L$2:$L$601,1)&gt;1," and "&amp;(COUNTIFS(DESK!$F$2:$F$601,INDEX(DESK!$F$2:$F$601,MATCH(144,DESK!$AR$2:$AR$601,0)),DESK!$L$2:$L$601,1)-1)&amp;" more",""))</f>
        <v/>
      </c>
      <c r="F152" s="28" t="str">
        <f>IF(B152="","",IF(C152="B",INDEX(DESK!$AD$2:$AD$601,MATCH(144,DESK!$AR$2:$AR$601,0)),""))</f>
        <v/>
      </c>
      <c r="G152" s="28" t="str">
        <f>IF(B152="","",INDEX(DESK!$AV$2:$AV$601,MATCH(144,DESK!$AR$2:$AR$601,0)))</f>
        <v/>
      </c>
      <c r="I152" s="21"/>
      <c r="J152" s="20"/>
      <c r="K152" s="20"/>
      <c r="L152" s="20"/>
      <c r="M152" s="23" t="str">
        <f t="shared" si="2"/>
        <v/>
      </c>
    </row>
    <row r="153" spans="1:13" x14ac:dyDescent="0.35">
      <c r="A153" s="28">
        <v>145</v>
      </c>
      <c r="B153" s="43" t="str">
        <f>IF(SETTINGS!$B$22&lt;&gt;"YES","",IFERROR(IF(OR($J$3="Everyone",INDEX(DESK!$AV$2:$AV$601,MATCH(145,DESK!$AR$2:$AR$601,0))="SEND"),"91"&amp;INDEX(DESK!$F$2:$F$601,MATCH(145,DESK!$AR$2:$AR$601,0)),""),""))</f>
        <v/>
      </c>
      <c r="C153" s="28" t="str">
        <f>IF(B153="","",IF(INDEX(DESK!$AC$2:$AC$601,MATCH(145,DESK!$AR$2:$AR$601,0))="YES","A","B"))</f>
        <v/>
      </c>
      <c r="D153" s="28" t="str">
        <f>IF(B153="","",INDEX(DESK!$AQ$2:$AQ$601,MATCH(145,DESK!$AR$2:$AR$601,0)))</f>
        <v/>
      </c>
      <c r="E153" s="28" t="str">
        <f>IF(B153="","",INDEX(DESK!$B$2:$B$601,MATCH(145,DESK!$AR$2:$AR$601,0))&amp;IF(COUNTIFS(DESK!$F$2:$F$601,INDEX(DESK!$F$2:$F$601,MATCH(145,DESK!$AR$2:$AR$601,0)),DESK!$L$2:$L$601,1)&gt;1," and "&amp;(COUNTIFS(DESK!$F$2:$F$601,INDEX(DESK!$F$2:$F$601,MATCH(145,DESK!$AR$2:$AR$601,0)),DESK!$L$2:$L$601,1)-1)&amp;" more",""))</f>
        <v/>
      </c>
      <c r="F153" s="28" t="str">
        <f>IF(B153="","",IF(C153="B",INDEX(DESK!$AD$2:$AD$601,MATCH(145,DESK!$AR$2:$AR$601,0)),""))</f>
        <v/>
      </c>
      <c r="G153" s="28" t="str">
        <f>IF(B153="","",INDEX(DESK!$AV$2:$AV$601,MATCH(145,DESK!$AR$2:$AR$601,0)))</f>
        <v/>
      </c>
      <c r="I153" s="21"/>
      <c r="J153" s="20"/>
      <c r="K153" s="20"/>
      <c r="L153" s="20"/>
      <c r="M153" s="23" t="str">
        <f t="shared" si="2"/>
        <v/>
      </c>
    </row>
    <row r="154" spans="1:13" x14ac:dyDescent="0.35">
      <c r="A154" s="28">
        <v>146</v>
      </c>
      <c r="B154" s="43" t="str">
        <f>IF(SETTINGS!$B$22&lt;&gt;"YES","",IFERROR(IF(OR($J$3="Everyone",INDEX(DESK!$AV$2:$AV$601,MATCH(146,DESK!$AR$2:$AR$601,0))="SEND"),"91"&amp;INDEX(DESK!$F$2:$F$601,MATCH(146,DESK!$AR$2:$AR$601,0)),""),""))</f>
        <v/>
      </c>
      <c r="C154" s="28" t="str">
        <f>IF(B154="","",IF(INDEX(DESK!$AC$2:$AC$601,MATCH(146,DESK!$AR$2:$AR$601,0))="YES","A","B"))</f>
        <v/>
      </c>
      <c r="D154" s="28" t="str">
        <f>IF(B154="","",INDEX(DESK!$AQ$2:$AQ$601,MATCH(146,DESK!$AR$2:$AR$601,0)))</f>
        <v/>
      </c>
      <c r="E154" s="28" t="str">
        <f>IF(B154="","",INDEX(DESK!$B$2:$B$601,MATCH(146,DESK!$AR$2:$AR$601,0))&amp;IF(COUNTIFS(DESK!$F$2:$F$601,INDEX(DESK!$F$2:$F$601,MATCH(146,DESK!$AR$2:$AR$601,0)),DESK!$L$2:$L$601,1)&gt;1," and "&amp;(COUNTIFS(DESK!$F$2:$F$601,INDEX(DESK!$F$2:$F$601,MATCH(146,DESK!$AR$2:$AR$601,0)),DESK!$L$2:$L$601,1)-1)&amp;" more",""))</f>
        <v/>
      </c>
      <c r="F154" s="28" t="str">
        <f>IF(B154="","",IF(C154="B",INDEX(DESK!$AD$2:$AD$601,MATCH(146,DESK!$AR$2:$AR$601,0)),""))</f>
        <v/>
      </c>
      <c r="G154" s="28" t="str">
        <f>IF(B154="","",INDEX(DESK!$AV$2:$AV$601,MATCH(146,DESK!$AR$2:$AR$601,0)))</f>
        <v/>
      </c>
      <c r="I154" s="21"/>
      <c r="J154" s="20"/>
      <c r="K154" s="20"/>
      <c r="L154" s="20"/>
      <c r="M154" s="23" t="str">
        <f t="shared" si="2"/>
        <v/>
      </c>
    </row>
    <row r="155" spans="1:13" x14ac:dyDescent="0.35">
      <c r="A155" s="28">
        <v>147</v>
      </c>
      <c r="B155" s="43" t="str">
        <f>IF(SETTINGS!$B$22&lt;&gt;"YES","",IFERROR(IF(OR($J$3="Everyone",INDEX(DESK!$AV$2:$AV$601,MATCH(147,DESK!$AR$2:$AR$601,0))="SEND"),"91"&amp;INDEX(DESK!$F$2:$F$601,MATCH(147,DESK!$AR$2:$AR$601,0)),""),""))</f>
        <v/>
      </c>
      <c r="C155" s="28" t="str">
        <f>IF(B155="","",IF(INDEX(DESK!$AC$2:$AC$601,MATCH(147,DESK!$AR$2:$AR$601,0))="YES","A","B"))</f>
        <v/>
      </c>
      <c r="D155" s="28" t="str">
        <f>IF(B155="","",INDEX(DESK!$AQ$2:$AQ$601,MATCH(147,DESK!$AR$2:$AR$601,0)))</f>
        <v/>
      </c>
      <c r="E155" s="28" t="str">
        <f>IF(B155="","",INDEX(DESK!$B$2:$B$601,MATCH(147,DESK!$AR$2:$AR$601,0))&amp;IF(COUNTIFS(DESK!$F$2:$F$601,INDEX(DESK!$F$2:$F$601,MATCH(147,DESK!$AR$2:$AR$601,0)),DESK!$L$2:$L$601,1)&gt;1," and "&amp;(COUNTIFS(DESK!$F$2:$F$601,INDEX(DESK!$F$2:$F$601,MATCH(147,DESK!$AR$2:$AR$601,0)),DESK!$L$2:$L$601,1)-1)&amp;" more",""))</f>
        <v/>
      </c>
      <c r="F155" s="28" t="str">
        <f>IF(B155="","",IF(C155="B",INDEX(DESK!$AD$2:$AD$601,MATCH(147,DESK!$AR$2:$AR$601,0)),""))</f>
        <v/>
      </c>
      <c r="G155" s="28" t="str">
        <f>IF(B155="","",INDEX(DESK!$AV$2:$AV$601,MATCH(147,DESK!$AR$2:$AR$601,0)))</f>
        <v/>
      </c>
      <c r="I155" s="21"/>
      <c r="J155" s="20"/>
      <c r="K155" s="20"/>
      <c r="L155" s="20"/>
      <c r="M155" s="23" t="str">
        <f t="shared" si="2"/>
        <v/>
      </c>
    </row>
    <row r="156" spans="1:13" x14ac:dyDescent="0.35">
      <c r="A156" s="28">
        <v>148</v>
      </c>
      <c r="B156" s="43" t="str">
        <f>IF(SETTINGS!$B$22&lt;&gt;"YES","",IFERROR(IF(OR($J$3="Everyone",INDEX(DESK!$AV$2:$AV$601,MATCH(148,DESK!$AR$2:$AR$601,0))="SEND"),"91"&amp;INDEX(DESK!$F$2:$F$601,MATCH(148,DESK!$AR$2:$AR$601,0)),""),""))</f>
        <v/>
      </c>
      <c r="C156" s="28" t="str">
        <f>IF(B156="","",IF(INDEX(DESK!$AC$2:$AC$601,MATCH(148,DESK!$AR$2:$AR$601,0))="YES","A","B"))</f>
        <v/>
      </c>
      <c r="D156" s="28" t="str">
        <f>IF(B156="","",INDEX(DESK!$AQ$2:$AQ$601,MATCH(148,DESK!$AR$2:$AR$601,0)))</f>
        <v/>
      </c>
      <c r="E156" s="28" t="str">
        <f>IF(B156="","",INDEX(DESK!$B$2:$B$601,MATCH(148,DESK!$AR$2:$AR$601,0))&amp;IF(COUNTIFS(DESK!$F$2:$F$601,INDEX(DESK!$F$2:$F$601,MATCH(148,DESK!$AR$2:$AR$601,0)),DESK!$L$2:$L$601,1)&gt;1," and "&amp;(COUNTIFS(DESK!$F$2:$F$601,INDEX(DESK!$F$2:$F$601,MATCH(148,DESK!$AR$2:$AR$601,0)),DESK!$L$2:$L$601,1)-1)&amp;" more",""))</f>
        <v/>
      </c>
      <c r="F156" s="28" t="str">
        <f>IF(B156="","",IF(C156="B",INDEX(DESK!$AD$2:$AD$601,MATCH(148,DESK!$AR$2:$AR$601,0)),""))</f>
        <v/>
      </c>
      <c r="G156" s="28" t="str">
        <f>IF(B156="","",INDEX(DESK!$AV$2:$AV$601,MATCH(148,DESK!$AR$2:$AR$601,0)))</f>
        <v/>
      </c>
      <c r="I156" s="21"/>
      <c r="J156" s="20"/>
      <c r="K156" s="20"/>
      <c r="L156" s="20"/>
      <c r="M156" s="23" t="str">
        <f t="shared" si="2"/>
        <v/>
      </c>
    </row>
    <row r="157" spans="1:13" x14ac:dyDescent="0.35">
      <c r="A157" s="28">
        <v>149</v>
      </c>
      <c r="B157" s="43" t="str">
        <f>IF(SETTINGS!$B$22&lt;&gt;"YES","",IFERROR(IF(OR($J$3="Everyone",INDEX(DESK!$AV$2:$AV$601,MATCH(149,DESK!$AR$2:$AR$601,0))="SEND"),"91"&amp;INDEX(DESK!$F$2:$F$601,MATCH(149,DESK!$AR$2:$AR$601,0)),""),""))</f>
        <v/>
      </c>
      <c r="C157" s="28" t="str">
        <f>IF(B157="","",IF(INDEX(DESK!$AC$2:$AC$601,MATCH(149,DESK!$AR$2:$AR$601,0))="YES","A","B"))</f>
        <v/>
      </c>
      <c r="D157" s="28" t="str">
        <f>IF(B157="","",INDEX(DESK!$AQ$2:$AQ$601,MATCH(149,DESK!$AR$2:$AR$601,0)))</f>
        <v/>
      </c>
      <c r="E157" s="28" t="str">
        <f>IF(B157="","",INDEX(DESK!$B$2:$B$601,MATCH(149,DESK!$AR$2:$AR$601,0))&amp;IF(COUNTIFS(DESK!$F$2:$F$601,INDEX(DESK!$F$2:$F$601,MATCH(149,DESK!$AR$2:$AR$601,0)),DESK!$L$2:$L$601,1)&gt;1," and "&amp;(COUNTIFS(DESK!$F$2:$F$601,INDEX(DESK!$F$2:$F$601,MATCH(149,DESK!$AR$2:$AR$601,0)),DESK!$L$2:$L$601,1)-1)&amp;" more",""))</f>
        <v/>
      </c>
      <c r="F157" s="28" t="str">
        <f>IF(B157="","",IF(C157="B",INDEX(DESK!$AD$2:$AD$601,MATCH(149,DESK!$AR$2:$AR$601,0)),""))</f>
        <v/>
      </c>
      <c r="G157" s="28" t="str">
        <f>IF(B157="","",INDEX(DESK!$AV$2:$AV$601,MATCH(149,DESK!$AR$2:$AR$601,0)))</f>
        <v/>
      </c>
      <c r="I157" s="21"/>
      <c r="J157" s="20"/>
      <c r="K157" s="20"/>
      <c r="L157" s="20"/>
      <c r="M157" s="23" t="str">
        <f t="shared" si="2"/>
        <v/>
      </c>
    </row>
    <row r="158" spans="1:13" x14ac:dyDescent="0.35">
      <c r="A158" s="28">
        <v>150</v>
      </c>
      <c r="B158" s="43" t="str">
        <f>IF(SETTINGS!$B$22&lt;&gt;"YES","",IFERROR(IF(OR($J$3="Everyone",INDEX(DESK!$AV$2:$AV$601,MATCH(150,DESK!$AR$2:$AR$601,0))="SEND"),"91"&amp;INDEX(DESK!$F$2:$F$601,MATCH(150,DESK!$AR$2:$AR$601,0)),""),""))</f>
        <v/>
      </c>
      <c r="C158" s="28" t="str">
        <f>IF(B158="","",IF(INDEX(DESK!$AC$2:$AC$601,MATCH(150,DESK!$AR$2:$AR$601,0))="YES","A","B"))</f>
        <v/>
      </c>
      <c r="D158" s="28" t="str">
        <f>IF(B158="","",INDEX(DESK!$AQ$2:$AQ$601,MATCH(150,DESK!$AR$2:$AR$601,0)))</f>
        <v/>
      </c>
      <c r="E158" s="28" t="str">
        <f>IF(B158="","",INDEX(DESK!$B$2:$B$601,MATCH(150,DESK!$AR$2:$AR$601,0))&amp;IF(COUNTIFS(DESK!$F$2:$F$601,INDEX(DESK!$F$2:$F$601,MATCH(150,DESK!$AR$2:$AR$601,0)),DESK!$L$2:$L$601,1)&gt;1," and "&amp;(COUNTIFS(DESK!$F$2:$F$601,INDEX(DESK!$F$2:$F$601,MATCH(150,DESK!$AR$2:$AR$601,0)),DESK!$L$2:$L$601,1)-1)&amp;" more",""))</f>
        <v/>
      </c>
      <c r="F158" s="28" t="str">
        <f>IF(B158="","",IF(C158="B",INDEX(DESK!$AD$2:$AD$601,MATCH(150,DESK!$AR$2:$AR$601,0)),""))</f>
        <v/>
      </c>
      <c r="G158" s="28" t="str">
        <f>IF(B158="","",INDEX(DESK!$AV$2:$AV$601,MATCH(150,DESK!$AR$2:$AR$601,0)))</f>
        <v/>
      </c>
      <c r="I158" s="21"/>
      <c r="J158" s="20"/>
      <c r="K158" s="20"/>
      <c r="L158" s="20"/>
      <c r="M158" s="23" t="str">
        <f t="shared" si="2"/>
        <v/>
      </c>
    </row>
    <row r="159" spans="1:13" x14ac:dyDescent="0.35">
      <c r="A159" s="28">
        <v>151</v>
      </c>
      <c r="B159" s="43" t="str">
        <f>IF(SETTINGS!$B$22&lt;&gt;"YES","",IFERROR(IF(OR($J$3="Everyone",INDEX(DESK!$AV$2:$AV$601,MATCH(151,DESK!$AR$2:$AR$601,0))="SEND"),"91"&amp;INDEX(DESK!$F$2:$F$601,MATCH(151,DESK!$AR$2:$AR$601,0)),""),""))</f>
        <v/>
      </c>
      <c r="C159" s="28" t="str">
        <f>IF(B159="","",IF(INDEX(DESK!$AC$2:$AC$601,MATCH(151,DESK!$AR$2:$AR$601,0))="YES","A","B"))</f>
        <v/>
      </c>
      <c r="D159" s="28" t="str">
        <f>IF(B159="","",INDEX(DESK!$AQ$2:$AQ$601,MATCH(151,DESK!$AR$2:$AR$601,0)))</f>
        <v/>
      </c>
      <c r="E159" s="28" t="str">
        <f>IF(B159="","",INDEX(DESK!$B$2:$B$601,MATCH(151,DESK!$AR$2:$AR$601,0))&amp;IF(COUNTIFS(DESK!$F$2:$F$601,INDEX(DESK!$F$2:$F$601,MATCH(151,DESK!$AR$2:$AR$601,0)),DESK!$L$2:$L$601,1)&gt;1," and "&amp;(COUNTIFS(DESK!$F$2:$F$601,INDEX(DESK!$F$2:$F$601,MATCH(151,DESK!$AR$2:$AR$601,0)),DESK!$L$2:$L$601,1)-1)&amp;" more",""))</f>
        <v/>
      </c>
      <c r="F159" s="28" t="str">
        <f>IF(B159="","",IF(C159="B",INDEX(DESK!$AD$2:$AD$601,MATCH(151,DESK!$AR$2:$AR$601,0)),""))</f>
        <v/>
      </c>
      <c r="G159" s="28" t="str">
        <f>IF(B159="","",INDEX(DESK!$AV$2:$AV$601,MATCH(151,DESK!$AR$2:$AR$601,0)))</f>
        <v/>
      </c>
      <c r="I159" s="21"/>
      <c r="J159" s="20"/>
      <c r="K159" s="20"/>
      <c r="L159" s="20"/>
      <c r="M159" s="23" t="str">
        <f t="shared" si="2"/>
        <v/>
      </c>
    </row>
    <row r="160" spans="1:13" x14ac:dyDescent="0.35">
      <c r="A160" s="28">
        <v>152</v>
      </c>
      <c r="B160" s="43" t="str">
        <f>IF(SETTINGS!$B$22&lt;&gt;"YES","",IFERROR(IF(OR($J$3="Everyone",INDEX(DESK!$AV$2:$AV$601,MATCH(152,DESK!$AR$2:$AR$601,0))="SEND"),"91"&amp;INDEX(DESK!$F$2:$F$601,MATCH(152,DESK!$AR$2:$AR$601,0)),""),""))</f>
        <v/>
      </c>
      <c r="C160" s="28" t="str">
        <f>IF(B160="","",IF(INDEX(DESK!$AC$2:$AC$601,MATCH(152,DESK!$AR$2:$AR$601,0))="YES","A","B"))</f>
        <v/>
      </c>
      <c r="D160" s="28" t="str">
        <f>IF(B160="","",INDEX(DESK!$AQ$2:$AQ$601,MATCH(152,DESK!$AR$2:$AR$601,0)))</f>
        <v/>
      </c>
      <c r="E160" s="28" t="str">
        <f>IF(B160="","",INDEX(DESK!$B$2:$B$601,MATCH(152,DESK!$AR$2:$AR$601,0))&amp;IF(COUNTIFS(DESK!$F$2:$F$601,INDEX(DESK!$F$2:$F$601,MATCH(152,DESK!$AR$2:$AR$601,0)),DESK!$L$2:$L$601,1)&gt;1," and "&amp;(COUNTIFS(DESK!$F$2:$F$601,INDEX(DESK!$F$2:$F$601,MATCH(152,DESK!$AR$2:$AR$601,0)),DESK!$L$2:$L$601,1)-1)&amp;" more",""))</f>
        <v/>
      </c>
      <c r="F160" s="28" t="str">
        <f>IF(B160="","",IF(C160="B",INDEX(DESK!$AD$2:$AD$601,MATCH(152,DESK!$AR$2:$AR$601,0)),""))</f>
        <v/>
      </c>
      <c r="G160" s="28" t="str">
        <f>IF(B160="","",INDEX(DESK!$AV$2:$AV$601,MATCH(152,DESK!$AR$2:$AR$601,0)))</f>
        <v/>
      </c>
      <c r="I160" s="21"/>
      <c r="J160" s="20"/>
      <c r="K160" s="20"/>
      <c r="L160" s="20"/>
      <c r="M160" s="23" t="str">
        <f t="shared" si="2"/>
        <v/>
      </c>
    </row>
    <row r="161" spans="1:13" x14ac:dyDescent="0.35">
      <c r="A161" s="28">
        <v>153</v>
      </c>
      <c r="B161" s="43" t="str">
        <f>IF(SETTINGS!$B$22&lt;&gt;"YES","",IFERROR(IF(OR($J$3="Everyone",INDEX(DESK!$AV$2:$AV$601,MATCH(153,DESK!$AR$2:$AR$601,0))="SEND"),"91"&amp;INDEX(DESK!$F$2:$F$601,MATCH(153,DESK!$AR$2:$AR$601,0)),""),""))</f>
        <v/>
      </c>
      <c r="C161" s="28" t="str">
        <f>IF(B161="","",IF(INDEX(DESK!$AC$2:$AC$601,MATCH(153,DESK!$AR$2:$AR$601,0))="YES","A","B"))</f>
        <v/>
      </c>
      <c r="D161" s="28" t="str">
        <f>IF(B161="","",INDEX(DESK!$AQ$2:$AQ$601,MATCH(153,DESK!$AR$2:$AR$601,0)))</f>
        <v/>
      </c>
      <c r="E161" s="28" t="str">
        <f>IF(B161="","",INDEX(DESK!$B$2:$B$601,MATCH(153,DESK!$AR$2:$AR$601,0))&amp;IF(COUNTIFS(DESK!$F$2:$F$601,INDEX(DESK!$F$2:$F$601,MATCH(153,DESK!$AR$2:$AR$601,0)),DESK!$L$2:$L$601,1)&gt;1," and "&amp;(COUNTIFS(DESK!$F$2:$F$601,INDEX(DESK!$F$2:$F$601,MATCH(153,DESK!$AR$2:$AR$601,0)),DESK!$L$2:$L$601,1)-1)&amp;" more",""))</f>
        <v/>
      </c>
      <c r="F161" s="28" t="str">
        <f>IF(B161="","",IF(C161="B",INDEX(DESK!$AD$2:$AD$601,MATCH(153,DESK!$AR$2:$AR$601,0)),""))</f>
        <v/>
      </c>
      <c r="G161" s="28" t="str">
        <f>IF(B161="","",INDEX(DESK!$AV$2:$AV$601,MATCH(153,DESK!$AR$2:$AR$601,0)))</f>
        <v/>
      </c>
      <c r="I161" s="21"/>
      <c r="J161" s="20"/>
      <c r="K161" s="20"/>
      <c r="L161" s="20"/>
      <c r="M161" s="23" t="str">
        <f t="shared" si="2"/>
        <v/>
      </c>
    </row>
    <row r="162" spans="1:13" x14ac:dyDescent="0.35">
      <c r="A162" s="28">
        <v>154</v>
      </c>
      <c r="B162" s="43" t="str">
        <f>IF(SETTINGS!$B$22&lt;&gt;"YES","",IFERROR(IF(OR($J$3="Everyone",INDEX(DESK!$AV$2:$AV$601,MATCH(154,DESK!$AR$2:$AR$601,0))="SEND"),"91"&amp;INDEX(DESK!$F$2:$F$601,MATCH(154,DESK!$AR$2:$AR$601,0)),""),""))</f>
        <v/>
      </c>
      <c r="C162" s="28" t="str">
        <f>IF(B162="","",IF(INDEX(DESK!$AC$2:$AC$601,MATCH(154,DESK!$AR$2:$AR$601,0))="YES","A","B"))</f>
        <v/>
      </c>
      <c r="D162" s="28" t="str">
        <f>IF(B162="","",INDEX(DESK!$AQ$2:$AQ$601,MATCH(154,DESK!$AR$2:$AR$601,0)))</f>
        <v/>
      </c>
      <c r="E162" s="28" t="str">
        <f>IF(B162="","",INDEX(DESK!$B$2:$B$601,MATCH(154,DESK!$AR$2:$AR$601,0))&amp;IF(COUNTIFS(DESK!$F$2:$F$601,INDEX(DESK!$F$2:$F$601,MATCH(154,DESK!$AR$2:$AR$601,0)),DESK!$L$2:$L$601,1)&gt;1," and "&amp;(COUNTIFS(DESK!$F$2:$F$601,INDEX(DESK!$F$2:$F$601,MATCH(154,DESK!$AR$2:$AR$601,0)),DESK!$L$2:$L$601,1)-1)&amp;" more",""))</f>
        <v/>
      </c>
      <c r="F162" s="28" t="str">
        <f>IF(B162="","",IF(C162="B",INDEX(DESK!$AD$2:$AD$601,MATCH(154,DESK!$AR$2:$AR$601,0)),""))</f>
        <v/>
      </c>
      <c r="G162" s="28" t="str">
        <f>IF(B162="","",INDEX(DESK!$AV$2:$AV$601,MATCH(154,DESK!$AR$2:$AR$601,0)))</f>
        <v/>
      </c>
      <c r="I162" s="21"/>
      <c r="J162" s="20"/>
      <c r="K162" s="20"/>
      <c r="L162" s="20"/>
      <c r="M162" s="23" t="str">
        <f t="shared" si="2"/>
        <v/>
      </c>
    </row>
    <row r="163" spans="1:13" x14ac:dyDescent="0.35">
      <c r="A163" s="28">
        <v>155</v>
      </c>
      <c r="B163" s="43" t="str">
        <f>IF(SETTINGS!$B$22&lt;&gt;"YES","",IFERROR(IF(OR($J$3="Everyone",INDEX(DESK!$AV$2:$AV$601,MATCH(155,DESK!$AR$2:$AR$601,0))="SEND"),"91"&amp;INDEX(DESK!$F$2:$F$601,MATCH(155,DESK!$AR$2:$AR$601,0)),""),""))</f>
        <v/>
      </c>
      <c r="C163" s="28" t="str">
        <f>IF(B163="","",IF(INDEX(DESK!$AC$2:$AC$601,MATCH(155,DESK!$AR$2:$AR$601,0))="YES","A","B"))</f>
        <v/>
      </c>
      <c r="D163" s="28" t="str">
        <f>IF(B163="","",INDEX(DESK!$AQ$2:$AQ$601,MATCH(155,DESK!$AR$2:$AR$601,0)))</f>
        <v/>
      </c>
      <c r="E163" s="28" t="str">
        <f>IF(B163="","",INDEX(DESK!$B$2:$B$601,MATCH(155,DESK!$AR$2:$AR$601,0))&amp;IF(COUNTIFS(DESK!$F$2:$F$601,INDEX(DESK!$F$2:$F$601,MATCH(155,DESK!$AR$2:$AR$601,0)),DESK!$L$2:$L$601,1)&gt;1," and "&amp;(COUNTIFS(DESK!$F$2:$F$601,INDEX(DESK!$F$2:$F$601,MATCH(155,DESK!$AR$2:$AR$601,0)),DESK!$L$2:$L$601,1)-1)&amp;" more",""))</f>
        <v/>
      </c>
      <c r="F163" s="28" t="str">
        <f>IF(B163="","",IF(C163="B",INDEX(DESK!$AD$2:$AD$601,MATCH(155,DESK!$AR$2:$AR$601,0)),""))</f>
        <v/>
      </c>
      <c r="G163" s="28" t="str">
        <f>IF(B163="","",INDEX(DESK!$AV$2:$AV$601,MATCH(155,DESK!$AR$2:$AR$601,0)))</f>
        <v/>
      </c>
      <c r="I163" s="21"/>
      <c r="J163" s="20"/>
      <c r="K163" s="20"/>
      <c r="L163" s="20"/>
      <c r="M163" s="23" t="str">
        <f t="shared" si="2"/>
        <v/>
      </c>
    </row>
    <row r="164" spans="1:13" x14ac:dyDescent="0.35">
      <c r="A164" s="28">
        <v>156</v>
      </c>
      <c r="B164" s="43" t="str">
        <f>IF(SETTINGS!$B$22&lt;&gt;"YES","",IFERROR(IF(OR($J$3="Everyone",INDEX(DESK!$AV$2:$AV$601,MATCH(156,DESK!$AR$2:$AR$601,0))="SEND"),"91"&amp;INDEX(DESK!$F$2:$F$601,MATCH(156,DESK!$AR$2:$AR$601,0)),""),""))</f>
        <v/>
      </c>
      <c r="C164" s="28" t="str">
        <f>IF(B164="","",IF(INDEX(DESK!$AC$2:$AC$601,MATCH(156,DESK!$AR$2:$AR$601,0))="YES","A","B"))</f>
        <v/>
      </c>
      <c r="D164" s="28" t="str">
        <f>IF(B164="","",INDEX(DESK!$AQ$2:$AQ$601,MATCH(156,DESK!$AR$2:$AR$601,0)))</f>
        <v/>
      </c>
      <c r="E164" s="28" t="str">
        <f>IF(B164="","",INDEX(DESK!$B$2:$B$601,MATCH(156,DESK!$AR$2:$AR$601,0))&amp;IF(COUNTIFS(DESK!$F$2:$F$601,INDEX(DESK!$F$2:$F$601,MATCH(156,DESK!$AR$2:$AR$601,0)),DESK!$L$2:$L$601,1)&gt;1," and "&amp;(COUNTIFS(DESK!$F$2:$F$601,INDEX(DESK!$F$2:$F$601,MATCH(156,DESK!$AR$2:$AR$601,0)),DESK!$L$2:$L$601,1)-1)&amp;" more",""))</f>
        <v/>
      </c>
      <c r="F164" s="28" t="str">
        <f>IF(B164="","",IF(C164="B",INDEX(DESK!$AD$2:$AD$601,MATCH(156,DESK!$AR$2:$AR$601,0)),""))</f>
        <v/>
      </c>
      <c r="G164" s="28" t="str">
        <f>IF(B164="","",INDEX(DESK!$AV$2:$AV$601,MATCH(156,DESK!$AR$2:$AR$601,0)))</f>
        <v/>
      </c>
      <c r="I164" s="21"/>
      <c r="J164" s="20"/>
      <c r="K164" s="20"/>
      <c r="L164" s="20"/>
      <c r="M164" s="23" t="str">
        <f t="shared" si="2"/>
        <v/>
      </c>
    </row>
    <row r="165" spans="1:13" x14ac:dyDescent="0.35">
      <c r="A165" s="28">
        <v>157</v>
      </c>
      <c r="B165" s="43" t="str">
        <f>IF(SETTINGS!$B$22&lt;&gt;"YES","",IFERROR(IF(OR($J$3="Everyone",INDEX(DESK!$AV$2:$AV$601,MATCH(157,DESK!$AR$2:$AR$601,0))="SEND"),"91"&amp;INDEX(DESK!$F$2:$F$601,MATCH(157,DESK!$AR$2:$AR$601,0)),""),""))</f>
        <v/>
      </c>
      <c r="C165" s="28" t="str">
        <f>IF(B165="","",IF(INDEX(DESK!$AC$2:$AC$601,MATCH(157,DESK!$AR$2:$AR$601,0))="YES","A","B"))</f>
        <v/>
      </c>
      <c r="D165" s="28" t="str">
        <f>IF(B165="","",INDEX(DESK!$AQ$2:$AQ$601,MATCH(157,DESK!$AR$2:$AR$601,0)))</f>
        <v/>
      </c>
      <c r="E165" s="28" t="str">
        <f>IF(B165="","",INDEX(DESK!$B$2:$B$601,MATCH(157,DESK!$AR$2:$AR$601,0))&amp;IF(COUNTIFS(DESK!$F$2:$F$601,INDEX(DESK!$F$2:$F$601,MATCH(157,DESK!$AR$2:$AR$601,0)),DESK!$L$2:$L$601,1)&gt;1," and "&amp;(COUNTIFS(DESK!$F$2:$F$601,INDEX(DESK!$F$2:$F$601,MATCH(157,DESK!$AR$2:$AR$601,0)),DESK!$L$2:$L$601,1)-1)&amp;" more",""))</f>
        <v/>
      </c>
      <c r="F165" s="28" t="str">
        <f>IF(B165="","",IF(C165="B",INDEX(DESK!$AD$2:$AD$601,MATCH(157,DESK!$AR$2:$AR$601,0)),""))</f>
        <v/>
      </c>
      <c r="G165" s="28" t="str">
        <f>IF(B165="","",INDEX(DESK!$AV$2:$AV$601,MATCH(157,DESK!$AR$2:$AR$601,0)))</f>
        <v/>
      </c>
      <c r="I165" s="21"/>
      <c r="J165" s="20"/>
      <c r="K165" s="20"/>
      <c r="L165" s="20"/>
      <c r="M165" s="23" t="str">
        <f t="shared" si="2"/>
        <v/>
      </c>
    </row>
    <row r="166" spans="1:13" x14ac:dyDescent="0.35">
      <c r="A166" s="28">
        <v>158</v>
      </c>
      <c r="B166" s="43" t="str">
        <f>IF(SETTINGS!$B$22&lt;&gt;"YES","",IFERROR(IF(OR($J$3="Everyone",INDEX(DESK!$AV$2:$AV$601,MATCH(158,DESK!$AR$2:$AR$601,0))="SEND"),"91"&amp;INDEX(DESK!$F$2:$F$601,MATCH(158,DESK!$AR$2:$AR$601,0)),""),""))</f>
        <v/>
      </c>
      <c r="C166" s="28" t="str">
        <f>IF(B166="","",IF(INDEX(DESK!$AC$2:$AC$601,MATCH(158,DESK!$AR$2:$AR$601,0))="YES","A","B"))</f>
        <v/>
      </c>
      <c r="D166" s="28" t="str">
        <f>IF(B166="","",INDEX(DESK!$AQ$2:$AQ$601,MATCH(158,DESK!$AR$2:$AR$601,0)))</f>
        <v/>
      </c>
      <c r="E166" s="28" t="str">
        <f>IF(B166="","",INDEX(DESK!$B$2:$B$601,MATCH(158,DESK!$AR$2:$AR$601,0))&amp;IF(COUNTIFS(DESK!$F$2:$F$601,INDEX(DESK!$F$2:$F$601,MATCH(158,DESK!$AR$2:$AR$601,0)),DESK!$L$2:$L$601,1)&gt;1," and "&amp;(COUNTIFS(DESK!$F$2:$F$601,INDEX(DESK!$F$2:$F$601,MATCH(158,DESK!$AR$2:$AR$601,0)),DESK!$L$2:$L$601,1)-1)&amp;" more",""))</f>
        <v/>
      </c>
      <c r="F166" s="28" t="str">
        <f>IF(B166="","",IF(C166="B",INDEX(DESK!$AD$2:$AD$601,MATCH(158,DESK!$AR$2:$AR$601,0)),""))</f>
        <v/>
      </c>
      <c r="G166" s="28" t="str">
        <f>IF(B166="","",INDEX(DESK!$AV$2:$AV$601,MATCH(158,DESK!$AR$2:$AR$601,0)))</f>
        <v/>
      </c>
      <c r="I166" s="21"/>
      <c r="J166" s="20"/>
      <c r="K166" s="20"/>
      <c r="L166" s="20"/>
      <c r="M166" s="23" t="str">
        <f t="shared" si="2"/>
        <v/>
      </c>
    </row>
    <row r="167" spans="1:13" x14ac:dyDescent="0.35">
      <c r="A167" s="28">
        <v>159</v>
      </c>
      <c r="B167" s="43" t="str">
        <f>IF(SETTINGS!$B$22&lt;&gt;"YES","",IFERROR(IF(OR($J$3="Everyone",INDEX(DESK!$AV$2:$AV$601,MATCH(159,DESK!$AR$2:$AR$601,0))="SEND"),"91"&amp;INDEX(DESK!$F$2:$F$601,MATCH(159,DESK!$AR$2:$AR$601,0)),""),""))</f>
        <v/>
      </c>
      <c r="C167" s="28" t="str">
        <f>IF(B167="","",IF(INDEX(DESK!$AC$2:$AC$601,MATCH(159,DESK!$AR$2:$AR$601,0))="YES","A","B"))</f>
        <v/>
      </c>
      <c r="D167" s="28" t="str">
        <f>IF(B167="","",INDEX(DESK!$AQ$2:$AQ$601,MATCH(159,DESK!$AR$2:$AR$601,0)))</f>
        <v/>
      </c>
      <c r="E167" s="28" t="str">
        <f>IF(B167="","",INDEX(DESK!$B$2:$B$601,MATCH(159,DESK!$AR$2:$AR$601,0))&amp;IF(COUNTIFS(DESK!$F$2:$F$601,INDEX(DESK!$F$2:$F$601,MATCH(159,DESK!$AR$2:$AR$601,0)),DESK!$L$2:$L$601,1)&gt;1," and "&amp;(COUNTIFS(DESK!$F$2:$F$601,INDEX(DESK!$F$2:$F$601,MATCH(159,DESK!$AR$2:$AR$601,0)),DESK!$L$2:$L$601,1)-1)&amp;" more",""))</f>
        <v/>
      </c>
      <c r="F167" s="28" t="str">
        <f>IF(B167="","",IF(C167="B",INDEX(DESK!$AD$2:$AD$601,MATCH(159,DESK!$AR$2:$AR$601,0)),""))</f>
        <v/>
      </c>
      <c r="G167" s="28" t="str">
        <f>IF(B167="","",INDEX(DESK!$AV$2:$AV$601,MATCH(159,DESK!$AR$2:$AR$601,0)))</f>
        <v/>
      </c>
      <c r="I167" s="21"/>
      <c r="J167" s="20"/>
      <c r="K167" s="20"/>
      <c r="L167" s="20"/>
      <c r="M167" s="23" t="str">
        <f t="shared" si="2"/>
        <v/>
      </c>
    </row>
    <row r="168" spans="1:13" x14ac:dyDescent="0.35">
      <c r="A168" s="28">
        <v>160</v>
      </c>
      <c r="B168" s="43" t="str">
        <f>IF(SETTINGS!$B$22&lt;&gt;"YES","",IFERROR(IF(OR($J$3="Everyone",INDEX(DESK!$AV$2:$AV$601,MATCH(160,DESK!$AR$2:$AR$601,0))="SEND"),"91"&amp;INDEX(DESK!$F$2:$F$601,MATCH(160,DESK!$AR$2:$AR$601,0)),""),""))</f>
        <v/>
      </c>
      <c r="C168" s="28" t="str">
        <f>IF(B168="","",IF(INDEX(DESK!$AC$2:$AC$601,MATCH(160,DESK!$AR$2:$AR$601,0))="YES","A","B"))</f>
        <v/>
      </c>
      <c r="D168" s="28" t="str">
        <f>IF(B168="","",INDEX(DESK!$AQ$2:$AQ$601,MATCH(160,DESK!$AR$2:$AR$601,0)))</f>
        <v/>
      </c>
      <c r="E168" s="28" t="str">
        <f>IF(B168="","",INDEX(DESK!$B$2:$B$601,MATCH(160,DESK!$AR$2:$AR$601,0))&amp;IF(COUNTIFS(DESK!$F$2:$F$601,INDEX(DESK!$F$2:$F$601,MATCH(160,DESK!$AR$2:$AR$601,0)),DESK!$L$2:$L$601,1)&gt;1," and "&amp;(COUNTIFS(DESK!$F$2:$F$601,INDEX(DESK!$F$2:$F$601,MATCH(160,DESK!$AR$2:$AR$601,0)),DESK!$L$2:$L$601,1)-1)&amp;" more",""))</f>
        <v/>
      </c>
      <c r="F168" s="28" t="str">
        <f>IF(B168="","",IF(C168="B",INDEX(DESK!$AD$2:$AD$601,MATCH(160,DESK!$AR$2:$AR$601,0)),""))</f>
        <v/>
      </c>
      <c r="G168" s="28" t="str">
        <f>IF(B168="","",INDEX(DESK!$AV$2:$AV$601,MATCH(160,DESK!$AR$2:$AR$601,0)))</f>
        <v/>
      </c>
      <c r="I168" s="21"/>
      <c r="J168" s="20"/>
      <c r="K168" s="20"/>
      <c r="L168" s="20"/>
      <c r="M168" s="23" t="str">
        <f t="shared" si="2"/>
        <v/>
      </c>
    </row>
    <row r="169" spans="1:13" x14ac:dyDescent="0.35">
      <c r="A169" s="28">
        <v>161</v>
      </c>
      <c r="B169" s="43" t="str">
        <f>IF(SETTINGS!$B$22&lt;&gt;"YES","",IFERROR(IF(OR($J$3="Everyone",INDEX(DESK!$AV$2:$AV$601,MATCH(161,DESK!$AR$2:$AR$601,0))="SEND"),"91"&amp;INDEX(DESK!$F$2:$F$601,MATCH(161,DESK!$AR$2:$AR$601,0)),""),""))</f>
        <v/>
      </c>
      <c r="C169" s="28" t="str">
        <f>IF(B169="","",IF(INDEX(DESK!$AC$2:$AC$601,MATCH(161,DESK!$AR$2:$AR$601,0))="YES","A","B"))</f>
        <v/>
      </c>
      <c r="D169" s="28" t="str">
        <f>IF(B169="","",INDEX(DESK!$AQ$2:$AQ$601,MATCH(161,DESK!$AR$2:$AR$601,0)))</f>
        <v/>
      </c>
      <c r="E169" s="28" t="str">
        <f>IF(B169="","",INDEX(DESK!$B$2:$B$601,MATCH(161,DESK!$AR$2:$AR$601,0))&amp;IF(COUNTIFS(DESK!$F$2:$F$601,INDEX(DESK!$F$2:$F$601,MATCH(161,DESK!$AR$2:$AR$601,0)),DESK!$L$2:$L$601,1)&gt;1," and "&amp;(COUNTIFS(DESK!$F$2:$F$601,INDEX(DESK!$F$2:$F$601,MATCH(161,DESK!$AR$2:$AR$601,0)),DESK!$L$2:$L$601,1)-1)&amp;" more",""))</f>
        <v/>
      </c>
      <c r="F169" s="28" t="str">
        <f>IF(B169="","",IF(C169="B",INDEX(DESK!$AD$2:$AD$601,MATCH(161,DESK!$AR$2:$AR$601,0)),""))</f>
        <v/>
      </c>
      <c r="G169" s="28" t="str">
        <f>IF(B169="","",INDEX(DESK!$AV$2:$AV$601,MATCH(161,DESK!$AR$2:$AR$601,0)))</f>
        <v/>
      </c>
      <c r="I169" s="21"/>
      <c r="J169" s="20"/>
      <c r="K169" s="20"/>
      <c r="L169" s="20"/>
      <c r="M169" s="23" t="str">
        <f t="shared" si="2"/>
        <v/>
      </c>
    </row>
    <row r="170" spans="1:13" x14ac:dyDescent="0.35">
      <c r="A170" s="28">
        <v>162</v>
      </c>
      <c r="B170" s="43" t="str">
        <f>IF(SETTINGS!$B$22&lt;&gt;"YES","",IFERROR(IF(OR($J$3="Everyone",INDEX(DESK!$AV$2:$AV$601,MATCH(162,DESK!$AR$2:$AR$601,0))="SEND"),"91"&amp;INDEX(DESK!$F$2:$F$601,MATCH(162,DESK!$AR$2:$AR$601,0)),""),""))</f>
        <v/>
      </c>
      <c r="C170" s="28" t="str">
        <f>IF(B170="","",IF(INDEX(DESK!$AC$2:$AC$601,MATCH(162,DESK!$AR$2:$AR$601,0))="YES","A","B"))</f>
        <v/>
      </c>
      <c r="D170" s="28" t="str">
        <f>IF(B170="","",INDEX(DESK!$AQ$2:$AQ$601,MATCH(162,DESK!$AR$2:$AR$601,0)))</f>
        <v/>
      </c>
      <c r="E170" s="28" t="str">
        <f>IF(B170="","",INDEX(DESK!$B$2:$B$601,MATCH(162,DESK!$AR$2:$AR$601,0))&amp;IF(COUNTIFS(DESK!$F$2:$F$601,INDEX(DESK!$F$2:$F$601,MATCH(162,DESK!$AR$2:$AR$601,0)),DESK!$L$2:$L$601,1)&gt;1," and "&amp;(COUNTIFS(DESK!$F$2:$F$601,INDEX(DESK!$F$2:$F$601,MATCH(162,DESK!$AR$2:$AR$601,0)),DESK!$L$2:$L$601,1)-1)&amp;" more",""))</f>
        <v/>
      </c>
      <c r="F170" s="28" t="str">
        <f>IF(B170="","",IF(C170="B",INDEX(DESK!$AD$2:$AD$601,MATCH(162,DESK!$AR$2:$AR$601,0)),""))</f>
        <v/>
      </c>
      <c r="G170" s="28" t="str">
        <f>IF(B170="","",INDEX(DESK!$AV$2:$AV$601,MATCH(162,DESK!$AR$2:$AR$601,0)))</f>
        <v/>
      </c>
      <c r="I170" s="21"/>
      <c r="J170" s="20"/>
      <c r="K170" s="20"/>
      <c r="L170" s="20"/>
      <c r="M170" s="23" t="str">
        <f t="shared" si="2"/>
        <v/>
      </c>
    </row>
    <row r="171" spans="1:13" x14ac:dyDescent="0.35">
      <c r="A171" s="28">
        <v>163</v>
      </c>
      <c r="B171" s="43" t="str">
        <f>IF(SETTINGS!$B$22&lt;&gt;"YES","",IFERROR(IF(OR($J$3="Everyone",INDEX(DESK!$AV$2:$AV$601,MATCH(163,DESK!$AR$2:$AR$601,0))="SEND"),"91"&amp;INDEX(DESK!$F$2:$F$601,MATCH(163,DESK!$AR$2:$AR$601,0)),""),""))</f>
        <v/>
      </c>
      <c r="C171" s="28" t="str">
        <f>IF(B171="","",IF(INDEX(DESK!$AC$2:$AC$601,MATCH(163,DESK!$AR$2:$AR$601,0))="YES","A","B"))</f>
        <v/>
      </c>
      <c r="D171" s="28" t="str">
        <f>IF(B171="","",INDEX(DESK!$AQ$2:$AQ$601,MATCH(163,DESK!$AR$2:$AR$601,0)))</f>
        <v/>
      </c>
      <c r="E171" s="28" t="str">
        <f>IF(B171="","",INDEX(DESK!$B$2:$B$601,MATCH(163,DESK!$AR$2:$AR$601,0))&amp;IF(COUNTIFS(DESK!$F$2:$F$601,INDEX(DESK!$F$2:$F$601,MATCH(163,DESK!$AR$2:$AR$601,0)),DESK!$L$2:$L$601,1)&gt;1," and "&amp;(COUNTIFS(DESK!$F$2:$F$601,INDEX(DESK!$F$2:$F$601,MATCH(163,DESK!$AR$2:$AR$601,0)),DESK!$L$2:$L$601,1)-1)&amp;" more",""))</f>
        <v/>
      </c>
      <c r="F171" s="28" t="str">
        <f>IF(B171="","",IF(C171="B",INDEX(DESK!$AD$2:$AD$601,MATCH(163,DESK!$AR$2:$AR$601,0)),""))</f>
        <v/>
      </c>
      <c r="G171" s="28" t="str">
        <f>IF(B171="","",INDEX(DESK!$AV$2:$AV$601,MATCH(163,DESK!$AR$2:$AR$601,0)))</f>
        <v/>
      </c>
      <c r="I171" s="21"/>
      <c r="J171" s="20"/>
      <c r="K171" s="20"/>
      <c r="L171" s="20"/>
      <c r="M171" s="23" t="str">
        <f t="shared" si="2"/>
        <v/>
      </c>
    </row>
    <row r="172" spans="1:13" x14ac:dyDescent="0.35">
      <c r="A172" s="28">
        <v>164</v>
      </c>
      <c r="B172" s="43" t="str">
        <f>IF(SETTINGS!$B$22&lt;&gt;"YES","",IFERROR(IF(OR($J$3="Everyone",INDEX(DESK!$AV$2:$AV$601,MATCH(164,DESK!$AR$2:$AR$601,0))="SEND"),"91"&amp;INDEX(DESK!$F$2:$F$601,MATCH(164,DESK!$AR$2:$AR$601,0)),""),""))</f>
        <v/>
      </c>
      <c r="C172" s="28" t="str">
        <f>IF(B172="","",IF(INDEX(DESK!$AC$2:$AC$601,MATCH(164,DESK!$AR$2:$AR$601,0))="YES","A","B"))</f>
        <v/>
      </c>
      <c r="D172" s="28" t="str">
        <f>IF(B172="","",INDEX(DESK!$AQ$2:$AQ$601,MATCH(164,DESK!$AR$2:$AR$601,0)))</f>
        <v/>
      </c>
      <c r="E172" s="28" t="str">
        <f>IF(B172="","",INDEX(DESK!$B$2:$B$601,MATCH(164,DESK!$AR$2:$AR$601,0))&amp;IF(COUNTIFS(DESK!$F$2:$F$601,INDEX(DESK!$F$2:$F$601,MATCH(164,DESK!$AR$2:$AR$601,0)),DESK!$L$2:$L$601,1)&gt;1," and "&amp;(COUNTIFS(DESK!$F$2:$F$601,INDEX(DESK!$F$2:$F$601,MATCH(164,DESK!$AR$2:$AR$601,0)),DESK!$L$2:$L$601,1)-1)&amp;" more",""))</f>
        <v/>
      </c>
      <c r="F172" s="28" t="str">
        <f>IF(B172="","",IF(C172="B",INDEX(DESK!$AD$2:$AD$601,MATCH(164,DESK!$AR$2:$AR$601,0)),""))</f>
        <v/>
      </c>
      <c r="G172" s="28" t="str">
        <f>IF(B172="","",INDEX(DESK!$AV$2:$AV$601,MATCH(164,DESK!$AR$2:$AR$601,0)))</f>
        <v/>
      </c>
      <c r="I172" s="21"/>
      <c r="J172" s="20"/>
      <c r="K172" s="20"/>
      <c r="L172" s="20"/>
      <c r="M172" s="23" t="str">
        <f t="shared" si="2"/>
        <v/>
      </c>
    </row>
    <row r="173" spans="1:13" x14ac:dyDescent="0.35">
      <c r="A173" s="28">
        <v>165</v>
      </c>
      <c r="B173" s="43" t="str">
        <f>IF(SETTINGS!$B$22&lt;&gt;"YES","",IFERROR(IF(OR($J$3="Everyone",INDEX(DESK!$AV$2:$AV$601,MATCH(165,DESK!$AR$2:$AR$601,0))="SEND"),"91"&amp;INDEX(DESK!$F$2:$F$601,MATCH(165,DESK!$AR$2:$AR$601,0)),""),""))</f>
        <v/>
      </c>
      <c r="C173" s="28" t="str">
        <f>IF(B173="","",IF(INDEX(DESK!$AC$2:$AC$601,MATCH(165,DESK!$AR$2:$AR$601,0))="YES","A","B"))</f>
        <v/>
      </c>
      <c r="D173" s="28" t="str">
        <f>IF(B173="","",INDEX(DESK!$AQ$2:$AQ$601,MATCH(165,DESK!$AR$2:$AR$601,0)))</f>
        <v/>
      </c>
      <c r="E173" s="28" t="str">
        <f>IF(B173="","",INDEX(DESK!$B$2:$B$601,MATCH(165,DESK!$AR$2:$AR$601,0))&amp;IF(COUNTIFS(DESK!$F$2:$F$601,INDEX(DESK!$F$2:$F$601,MATCH(165,DESK!$AR$2:$AR$601,0)),DESK!$L$2:$L$601,1)&gt;1," and "&amp;(COUNTIFS(DESK!$F$2:$F$601,INDEX(DESK!$F$2:$F$601,MATCH(165,DESK!$AR$2:$AR$601,0)),DESK!$L$2:$L$601,1)-1)&amp;" more",""))</f>
        <v/>
      </c>
      <c r="F173" s="28" t="str">
        <f>IF(B173="","",IF(C173="B",INDEX(DESK!$AD$2:$AD$601,MATCH(165,DESK!$AR$2:$AR$601,0)),""))</f>
        <v/>
      </c>
      <c r="G173" s="28" t="str">
        <f>IF(B173="","",INDEX(DESK!$AV$2:$AV$601,MATCH(165,DESK!$AR$2:$AR$601,0)))</f>
        <v/>
      </c>
      <c r="I173" s="21"/>
      <c r="J173" s="20"/>
      <c r="K173" s="20"/>
      <c r="L173" s="20"/>
      <c r="M173" s="23" t="str">
        <f t="shared" si="2"/>
        <v/>
      </c>
    </row>
    <row r="174" spans="1:13" x14ac:dyDescent="0.35">
      <c r="A174" s="28">
        <v>166</v>
      </c>
      <c r="B174" s="43" t="str">
        <f>IF(SETTINGS!$B$22&lt;&gt;"YES","",IFERROR(IF(OR($J$3="Everyone",INDEX(DESK!$AV$2:$AV$601,MATCH(166,DESK!$AR$2:$AR$601,0))="SEND"),"91"&amp;INDEX(DESK!$F$2:$F$601,MATCH(166,DESK!$AR$2:$AR$601,0)),""),""))</f>
        <v/>
      </c>
      <c r="C174" s="28" t="str">
        <f>IF(B174="","",IF(INDEX(DESK!$AC$2:$AC$601,MATCH(166,DESK!$AR$2:$AR$601,0))="YES","A","B"))</f>
        <v/>
      </c>
      <c r="D174" s="28" t="str">
        <f>IF(B174="","",INDEX(DESK!$AQ$2:$AQ$601,MATCH(166,DESK!$AR$2:$AR$601,0)))</f>
        <v/>
      </c>
      <c r="E174" s="28" t="str">
        <f>IF(B174="","",INDEX(DESK!$B$2:$B$601,MATCH(166,DESK!$AR$2:$AR$601,0))&amp;IF(COUNTIFS(DESK!$F$2:$F$601,INDEX(DESK!$F$2:$F$601,MATCH(166,DESK!$AR$2:$AR$601,0)),DESK!$L$2:$L$601,1)&gt;1," and "&amp;(COUNTIFS(DESK!$F$2:$F$601,INDEX(DESK!$F$2:$F$601,MATCH(166,DESK!$AR$2:$AR$601,0)),DESK!$L$2:$L$601,1)-1)&amp;" more",""))</f>
        <v/>
      </c>
      <c r="F174" s="28" t="str">
        <f>IF(B174="","",IF(C174="B",INDEX(DESK!$AD$2:$AD$601,MATCH(166,DESK!$AR$2:$AR$601,0)),""))</f>
        <v/>
      </c>
      <c r="G174" s="28" t="str">
        <f>IF(B174="","",INDEX(DESK!$AV$2:$AV$601,MATCH(166,DESK!$AR$2:$AR$601,0)))</f>
        <v/>
      </c>
      <c r="I174" s="21"/>
      <c r="J174" s="20"/>
      <c r="K174" s="20"/>
      <c r="L174" s="20"/>
      <c r="M174" s="23" t="str">
        <f t="shared" si="2"/>
        <v/>
      </c>
    </row>
    <row r="175" spans="1:13" x14ac:dyDescent="0.35">
      <c r="A175" s="28">
        <v>167</v>
      </c>
      <c r="B175" s="43" t="str">
        <f>IF(SETTINGS!$B$22&lt;&gt;"YES","",IFERROR(IF(OR($J$3="Everyone",INDEX(DESK!$AV$2:$AV$601,MATCH(167,DESK!$AR$2:$AR$601,0))="SEND"),"91"&amp;INDEX(DESK!$F$2:$F$601,MATCH(167,DESK!$AR$2:$AR$601,0)),""),""))</f>
        <v/>
      </c>
      <c r="C175" s="28" t="str">
        <f>IF(B175="","",IF(INDEX(DESK!$AC$2:$AC$601,MATCH(167,DESK!$AR$2:$AR$601,0))="YES","A","B"))</f>
        <v/>
      </c>
      <c r="D175" s="28" t="str">
        <f>IF(B175="","",INDEX(DESK!$AQ$2:$AQ$601,MATCH(167,DESK!$AR$2:$AR$601,0)))</f>
        <v/>
      </c>
      <c r="E175" s="28" t="str">
        <f>IF(B175="","",INDEX(DESK!$B$2:$B$601,MATCH(167,DESK!$AR$2:$AR$601,0))&amp;IF(COUNTIFS(DESK!$F$2:$F$601,INDEX(DESK!$F$2:$F$601,MATCH(167,DESK!$AR$2:$AR$601,0)),DESK!$L$2:$L$601,1)&gt;1," and "&amp;(COUNTIFS(DESK!$F$2:$F$601,INDEX(DESK!$F$2:$F$601,MATCH(167,DESK!$AR$2:$AR$601,0)),DESK!$L$2:$L$601,1)-1)&amp;" more",""))</f>
        <v/>
      </c>
      <c r="F175" s="28" t="str">
        <f>IF(B175="","",IF(C175="B",INDEX(DESK!$AD$2:$AD$601,MATCH(167,DESK!$AR$2:$AR$601,0)),""))</f>
        <v/>
      </c>
      <c r="G175" s="28" t="str">
        <f>IF(B175="","",INDEX(DESK!$AV$2:$AV$601,MATCH(167,DESK!$AR$2:$AR$601,0)))</f>
        <v/>
      </c>
      <c r="I175" s="21"/>
      <c r="J175" s="20"/>
      <c r="K175" s="20"/>
      <c r="L175" s="20"/>
      <c r="M175" s="23" t="str">
        <f t="shared" si="2"/>
        <v/>
      </c>
    </row>
    <row r="176" spans="1:13" x14ac:dyDescent="0.35">
      <c r="A176" s="28">
        <v>168</v>
      </c>
      <c r="B176" s="43" t="str">
        <f>IF(SETTINGS!$B$22&lt;&gt;"YES","",IFERROR(IF(OR($J$3="Everyone",INDEX(DESK!$AV$2:$AV$601,MATCH(168,DESK!$AR$2:$AR$601,0))="SEND"),"91"&amp;INDEX(DESK!$F$2:$F$601,MATCH(168,DESK!$AR$2:$AR$601,0)),""),""))</f>
        <v/>
      </c>
      <c r="C176" s="28" t="str">
        <f>IF(B176="","",IF(INDEX(DESK!$AC$2:$AC$601,MATCH(168,DESK!$AR$2:$AR$601,0))="YES","A","B"))</f>
        <v/>
      </c>
      <c r="D176" s="28" t="str">
        <f>IF(B176="","",INDEX(DESK!$AQ$2:$AQ$601,MATCH(168,DESK!$AR$2:$AR$601,0)))</f>
        <v/>
      </c>
      <c r="E176" s="28" t="str">
        <f>IF(B176="","",INDEX(DESK!$B$2:$B$601,MATCH(168,DESK!$AR$2:$AR$601,0))&amp;IF(COUNTIFS(DESK!$F$2:$F$601,INDEX(DESK!$F$2:$F$601,MATCH(168,DESK!$AR$2:$AR$601,0)),DESK!$L$2:$L$601,1)&gt;1," and "&amp;(COUNTIFS(DESK!$F$2:$F$601,INDEX(DESK!$F$2:$F$601,MATCH(168,DESK!$AR$2:$AR$601,0)),DESK!$L$2:$L$601,1)-1)&amp;" more",""))</f>
        <v/>
      </c>
      <c r="F176" s="28" t="str">
        <f>IF(B176="","",IF(C176="B",INDEX(DESK!$AD$2:$AD$601,MATCH(168,DESK!$AR$2:$AR$601,0)),""))</f>
        <v/>
      </c>
      <c r="G176" s="28" t="str">
        <f>IF(B176="","",INDEX(DESK!$AV$2:$AV$601,MATCH(168,DESK!$AR$2:$AR$601,0)))</f>
        <v/>
      </c>
      <c r="I176" s="21"/>
      <c r="J176" s="20"/>
      <c r="K176" s="20"/>
      <c r="L176" s="20"/>
      <c r="M176" s="23" t="str">
        <f t="shared" si="2"/>
        <v/>
      </c>
    </row>
    <row r="177" spans="1:13" x14ac:dyDescent="0.35">
      <c r="A177" s="28">
        <v>169</v>
      </c>
      <c r="B177" s="43" t="str">
        <f>IF(SETTINGS!$B$22&lt;&gt;"YES","",IFERROR(IF(OR($J$3="Everyone",INDEX(DESK!$AV$2:$AV$601,MATCH(169,DESK!$AR$2:$AR$601,0))="SEND"),"91"&amp;INDEX(DESK!$F$2:$F$601,MATCH(169,DESK!$AR$2:$AR$601,0)),""),""))</f>
        <v/>
      </c>
      <c r="C177" s="28" t="str">
        <f>IF(B177="","",IF(INDEX(DESK!$AC$2:$AC$601,MATCH(169,DESK!$AR$2:$AR$601,0))="YES","A","B"))</f>
        <v/>
      </c>
      <c r="D177" s="28" t="str">
        <f>IF(B177="","",INDEX(DESK!$AQ$2:$AQ$601,MATCH(169,DESK!$AR$2:$AR$601,0)))</f>
        <v/>
      </c>
      <c r="E177" s="28" t="str">
        <f>IF(B177="","",INDEX(DESK!$B$2:$B$601,MATCH(169,DESK!$AR$2:$AR$601,0))&amp;IF(COUNTIFS(DESK!$F$2:$F$601,INDEX(DESK!$F$2:$F$601,MATCH(169,DESK!$AR$2:$AR$601,0)),DESK!$L$2:$L$601,1)&gt;1," and "&amp;(COUNTIFS(DESK!$F$2:$F$601,INDEX(DESK!$F$2:$F$601,MATCH(169,DESK!$AR$2:$AR$601,0)),DESK!$L$2:$L$601,1)-1)&amp;" more",""))</f>
        <v/>
      </c>
      <c r="F177" s="28" t="str">
        <f>IF(B177="","",IF(C177="B",INDEX(DESK!$AD$2:$AD$601,MATCH(169,DESK!$AR$2:$AR$601,0)),""))</f>
        <v/>
      </c>
      <c r="G177" s="28" t="str">
        <f>IF(B177="","",INDEX(DESK!$AV$2:$AV$601,MATCH(169,DESK!$AR$2:$AR$601,0)))</f>
        <v/>
      </c>
      <c r="I177" s="21"/>
      <c r="J177" s="20"/>
      <c r="K177" s="20"/>
      <c r="L177" s="20"/>
      <c r="M177" s="23" t="str">
        <f t="shared" si="2"/>
        <v/>
      </c>
    </row>
    <row r="178" spans="1:13" x14ac:dyDescent="0.35">
      <c r="A178" s="28">
        <v>170</v>
      </c>
      <c r="B178" s="43" t="str">
        <f>IF(SETTINGS!$B$22&lt;&gt;"YES","",IFERROR(IF(OR($J$3="Everyone",INDEX(DESK!$AV$2:$AV$601,MATCH(170,DESK!$AR$2:$AR$601,0))="SEND"),"91"&amp;INDEX(DESK!$F$2:$F$601,MATCH(170,DESK!$AR$2:$AR$601,0)),""),""))</f>
        <v/>
      </c>
      <c r="C178" s="28" t="str">
        <f>IF(B178="","",IF(INDEX(DESK!$AC$2:$AC$601,MATCH(170,DESK!$AR$2:$AR$601,0))="YES","A","B"))</f>
        <v/>
      </c>
      <c r="D178" s="28" t="str">
        <f>IF(B178="","",INDEX(DESK!$AQ$2:$AQ$601,MATCH(170,DESK!$AR$2:$AR$601,0)))</f>
        <v/>
      </c>
      <c r="E178" s="28" t="str">
        <f>IF(B178="","",INDEX(DESK!$B$2:$B$601,MATCH(170,DESK!$AR$2:$AR$601,0))&amp;IF(COUNTIFS(DESK!$F$2:$F$601,INDEX(DESK!$F$2:$F$601,MATCH(170,DESK!$AR$2:$AR$601,0)),DESK!$L$2:$L$601,1)&gt;1," and "&amp;(COUNTIFS(DESK!$F$2:$F$601,INDEX(DESK!$F$2:$F$601,MATCH(170,DESK!$AR$2:$AR$601,0)),DESK!$L$2:$L$601,1)-1)&amp;" more",""))</f>
        <v/>
      </c>
      <c r="F178" s="28" t="str">
        <f>IF(B178="","",IF(C178="B",INDEX(DESK!$AD$2:$AD$601,MATCH(170,DESK!$AR$2:$AR$601,0)),""))</f>
        <v/>
      </c>
      <c r="G178" s="28" t="str">
        <f>IF(B178="","",INDEX(DESK!$AV$2:$AV$601,MATCH(170,DESK!$AR$2:$AR$601,0)))</f>
        <v/>
      </c>
      <c r="I178" s="21"/>
      <c r="J178" s="20"/>
      <c r="K178" s="20"/>
      <c r="L178" s="20"/>
      <c r="M178" s="23" t="str">
        <f t="shared" si="2"/>
        <v/>
      </c>
    </row>
    <row r="179" spans="1:13" x14ac:dyDescent="0.35">
      <c r="A179" s="28">
        <v>171</v>
      </c>
      <c r="B179" s="43" t="str">
        <f>IF(SETTINGS!$B$22&lt;&gt;"YES","",IFERROR(IF(OR($J$3="Everyone",INDEX(DESK!$AV$2:$AV$601,MATCH(171,DESK!$AR$2:$AR$601,0))="SEND"),"91"&amp;INDEX(DESK!$F$2:$F$601,MATCH(171,DESK!$AR$2:$AR$601,0)),""),""))</f>
        <v/>
      </c>
      <c r="C179" s="28" t="str">
        <f>IF(B179="","",IF(INDEX(DESK!$AC$2:$AC$601,MATCH(171,DESK!$AR$2:$AR$601,0))="YES","A","B"))</f>
        <v/>
      </c>
      <c r="D179" s="28" t="str">
        <f>IF(B179="","",INDEX(DESK!$AQ$2:$AQ$601,MATCH(171,DESK!$AR$2:$AR$601,0)))</f>
        <v/>
      </c>
      <c r="E179" s="28" t="str">
        <f>IF(B179="","",INDEX(DESK!$B$2:$B$601,MATCH(171,DESK!$AR$2:$AR$601,0))&amp;IF(COUNTIFS(DESK!$F$2:$F$601,INDEX(DESK!$F$2:$F$601,MATCH(171,DESK!$AR$2:$AR$601,0)),DESK!$L$2:$L$601,1)&gt;1," and "&amp;(COUNTIFS(DESK!$F$2:$F$601,INDEX(DESK!$F$2:$F$601,MATCH(171,DESK!$AR$2:$AR$601,0)),DESK!$L$2:$L$601,1)-1)&amp;" more",""))</f>
        <v/>
      </c>
      <c r="F179" s="28" t="str">
        <f>IF(B179="","",IF(C179="B",INDEX(DESK!$AD$2:$AD$601,MATCH(171,DESK!$AR$2:$AR$601,0)),""))</f>
        <v/>
      </c>
      <c r="G179" s="28" t="str">
        <f>IF(B179="","",INDEX(DESK!$AV$2:$AV$601,MATCH(171,DESK!$AR$2:$AR$601,0)))</f>
        <v/>
      </c>
      <c r="I179" s="21"/>
      <c r="J179" s="20"/>
      <c r="K179" s="20"/>
      <c r="L179" s="20"/>
      <c r="M179" s="23" t="str">
        <f t="shared" si="2"/>
        <v/>
      </c>
    </row>
    <row r="180" spans="1:13" x14ac:dyDescent="0.35">
      <c r="A180" s="28">
        <v>172</v>
      </c>
      <c r="B180" s="43" t="str">
        <f>IF(SETTINGS!$B$22&lt;&gt;"YES","",IFERROR(IF(OR($J$3="Everyone",INDEX(DESK!$AV$2:$AV$601,MATCH(172,DESK!$AR$2:$AR$601,0))="SEND"),"91"&amp;INDEX(DESK!$F$2:$F$601,MATCH(172,DESK!$AR$2:$AR$601,0)),""),""))</f>
        <v/>
      </c>
      <c r="C180" s="28" t="str">
        <f>IF(B180="","",IF(INDEX(DESK!$AC$2:$AC$601,MATCH(172,DESK!$AR$2:$AR$601,0))="YES","A","B"))</f>
        <v/>
      </c>
      <c r="D180" s="28" t="str">
        <f>IF(B180="","",INDEX(DESK!$AQ$2:$AQ$601,MATCH(172,DESK!$AR$2:$AR$601,0)))</f>
        <v/>
      </c>
      <c r="E180" s="28" t="str">
        <f>IF(B180="","",INDEX(DESK!$B$2:$B$601,MATCH(172,DESK!$AR$2:$AR$601,0))&amp;IF(COUNTIFS(DESK!$F$2:$F$601,INDEX(DESK!$F$2:$F$601,MATCH(172,DESK!$AR$2:$AR$601,0)),DESK!$L$2:$L$601,1)&gt;1," and "&amp;(COUNTIFS(DESK!$F$2:$F$601,INDEX(DESK!$F$2:$F$601,MATCH(172,DESK!$AR$2:$AR$601,0)),DESK!$L$2:$L$601,1)-1)&amp;" more",""))</f>
        <v/>
      </c>
      <c r="F180" s="28" t="str">
        <f>IF(B180="","",IF(C180="B",INDEX(DESK!$AD$2:$AD$601,MATCH(172,DESK!$AR$2:$AR$601,0)),""))</f>
        <v/>
      </c>
      <c r="G180" s="28" t="str">
        <f>IF(B180="","",INDEX(DESK!$AV$2:$AV$601,MATCH(172,DESK!$AR$2:$AR$601,0)))</f>
        <v/>
      </c>
      <c r="I180" s="21"/>
      <c r="J180" s="20"/>
      <c r="K180" s="20"/>
      <c r="L180" s="20"/>
      <c r="M180" s="23" t="str">
        <f t="shared" si="2"/>
        <v/>
      </c>
    </row>
    <row r="181" spans="1:13" x14ac:dyDescent="0.35">
      <c r="A181" s="28">
        <v>173</v>
      </c>
      <c r="B181" s="43" t="str">
        <f>IF(SETTINGS!$B$22&lt;&gt;"YES","",IFERROR(IF(OR($J$3="Everyone",INDEX(DESK!$AV$2:$AV$601,MATCH(173,DESK!$AR$2:$AR$601,0))="SEND"),"91"&amp;INDEX(DESK!$F$2:$F$601,MATCH(173,DESK!$AR$2:$AR$601,0)),""),""))</f>
        <v/>
      </c>
      <c r="C181" s="28" t="str">
        <f>IF(B181="","",IF(INDEX(DESK!$AC$2:$AC$601,MATCH(173,DESK!$AR$2:$AR$601,0))="YES","A","B"))</f>
        <v/>
      </c>
      <c r="D181" s="28" t="str">
        <f>IF(B181="","",INDEX(DESK!$AQ$2:$AQ$601,MATCH(173,DESK!$AR$2:$AR$601,0)))</f>
        <v/>
      </c>
      <c r="E181" s="28" t="str">
        <f>IF(B181="","",INDEX(DESK!$B$2:$B$601,MATCH(173,DESK!$AR$2:$AR$601,0))&amp;IF(COUNTIFS(DESK!$F$2:$F$601,INDEX(DESK!$F$2:$F$601,MATCH(173,DESK!$AR$2:$AR$601,0)),DESK!$L$2:$L$601,1)&gt;1," and "&amp;(COUNTIFS(DESK!$F$2:$F$601,INDEX(DESK!$F$2:$F$601,MATCH(173,DESK!$AR$2:$AR$601,0)),DESK!$L$2:$L$601,1)-1)&amp;" more",""))</f>
        <v/>
      </c>
      <c r="F181" s="28" t="str">
        <f>IF(B181="","",IF(C181="B",INDEX(DESK!$AD$2:$AD$601,MATCH(173,DESK!$AR$2:$AR$601,0)),""))</f>
        <v/>
      </c>
      <c r="G181" s="28" t="str">
        <f>IF(B181="","",INDEX(DESK!$AV$2:$AV$601,MATCH(173,DESK!$AR$2:$AR$601,0)))</f>
        <v/>
      </c>
      <c r="I181" s="21"/>
      <c r="J181" s="20"/>
      <c r="K181" s="20"/>
      <c r="L181" s="20"/>
      <c r="M181" s="23" t="str">
        <f t="shared" si="2"/>
        <v/>
      </c>
    </row>
    <row r="182" spans="1:13" x14ac:dyDescent="0.35">
      <c r="A182" s="28">
        <v>174</v>
      </c>
      <c r="B182" s="43" t="str">
        <f>IF(SETTINGS!$B$22&lt;&gt;"YES","",IFERROR(IF(OR($J$3="Everyone",INDEX(DESK!$AV$2:$AV$601,MATCH(174,DESK!$AR$2:$AR$601,0))="SEND"),"91"&amp;INDEX(DESK!$F$2:$F$601,MATCH(174,DESK!$AR$2:$AR$601,0)),""),""))</f>
        <v/>
      </c>
      <c r="C182" s="28" t="str">
        <f>IF(B182="","",IF(INDEX(DESK!$AC$2:$AC$601,MATCH(174,DESK!$AR$2:$AR$601,0))="YES","A","B"))</f>
        <v/>
      </c>
      <c r="D182" s="28" t="str">
        <f>IF(B182="","",INDEX(DESK!$AQ$2:$AQ$601,MATCH(174,DESK!$AR$2:$AR$601,0)))</f>
        <v/>
      </c>
      <c r="E182" s="28" t="str">
        <f>IF(B182="","",INDEX(DESK!$B$2:$B$601,MATCH(174,DESK!$AR$2:$AR$601,0))&amp;IF(COUNTIFS(DESK!$F$2:$F$601,INDEX(DESK!$F$2:$F$601,MATCH(174,DESK!$AR$2:$AR$601,0)),DESK!$L$2:$L$601,1)&gt;1," and "&amp;(COUNTIFS(DESK!$F$2:$F$601,INDEX(DESK!$F$2:$F$601,MATCH(174,DESK!$AR$2:$AR$601,0)),DESK!$L$2:$L$601,1)-1)&amp;" more",""))</f>
        <v/>
      </c>
      <c r="F182" s="28" t="str">
        <f>IF(B182="","",IF(C182="B",INDEX(DESK!$AD$2:$AD$601,MATCH(174,DESK!$AR$2:$AR$601,0)),""))</f>
        <v/>
      </c>
      <c r="G182" s="28" t="str">
        <f>IF(B182="","",INDEX(DESK!$AV$2:$AV$601,MATCH(174,DESK!$AR$2:$AR$601,0)))</f>
        <v/>
      </c>
      <c r="I182" s="21"/>
      <c r="J182" s="20"/>
      <c r="K182" s="20"/>
      <c r="L182" s="20"/>
      <c r="M182" s="23" t="str">
        <f t="shared" si="2"/>
        <v/>
      </c>
    </row>
    <row r="183" spans="1:13" x14ac:dyDescent="0.35">
      <c r="A183" s="28">
        <v>175</v>
      </c>
      <c r="B183" s="43" t="str">
        <f>IF(SETTINGS!$B$22&lt;&gt;"YES","",IFERROR(IF(OR($J$3="Everyone",INDEX(DESK!$AV$2:$AV$601,MATCH(175,DESK!$AR$2:$AR$601,0))="SEND"),"91"&amp;INDEX(DESK!$F$2:$F$601,MATCH(175,DESK!$AR$2:$AR$601,0)),""),""))</f>
        <v/>
      </c>
      <c r="C183" s="28" t="str">
        <f>IF(B183="","",IF(INDEX(DESK!$AC$2:$AC$601,MATCH(175,DESK!$AR$2:$AR$601,0))="YES","A","B"))</f>
        <v/>
      </c>
      <c r="D183" s="28" t="str">
        <f>IF(B183="","",INDEX(DESK!$AQ$2:$AQ$601,MATCH(175,DESK!$AR$2:$AR$601,0)))</f>
        <v/>
      </c>
      <c r="E183" s="28" t="str">
        <f>IF(B183="","",INDEX(DESK!$B$2:$B$601,MATCH(175,DESK!$AR$2:$AR$601,0))&amp;IF(COUNTIFS(DESK!$F$2:$F$601,INDEX(DESK!$F$2:$F$601,MATCH(175,DESK!$AR$2:$AR$601,0)),DESK!$L$2:$L$601,1)&gt;1," and "&amp;(COUNTIFS(DESK!$F$2:$F$601,INDEX(DESK!$F$2:$F$601,MATCH(175,DESK!$AR$2:$AR$601,0)),DESK!$L$2:$L$601,1)-1)&amp;" more",""))</f>
        <v/>
      </c>
      <c r="F183" s="28" t="str">
        <f>IF(B183="","",IF(C183="B",INDEX(DESK!$AD$2:$AD$601,MATCH(175,DESK!$AR$2:$AR$601,0)),""))</f>
        <v/>
      </c>
      <c r="G183" s="28" t="str">
        <f>IF(B183="","",INDEX(DESK!$AV$2:$AV$601,MATCH(175,DESK!$AR$2:$AR$601,0)))</f>
        <v/>
      </c>
      <c r="I183" s="21"/>
      <c r="J183" s="20"/>
      <c r="K183" s="20"/>
      <c r="L183" s="20"/>
      <c r="M183" s="23" t="str">
        <f t="shared" si="2"/>
        <v/>
      </c>
    </row>
    <row r="184" spans="1:13" x14ac:dyDescent="0.35">
      <c r="A184" s="28">
        <v>176</v>
      </c>
      <c r="B184" s="43" t="str">
        <f>IF(SETTINGS!$B$22&lt;&gt;"YES","",IFERROR(IF(OR($J$3="Everyone",INDEX(DESK!$AV$2:$AV$601,MATCH(176,DESK!$AR$2:$AR$601,0))="SEND"),"91"&amp;INDEX(DESK!$F$2:$F$601,MATCH(176,DESK!$AR$2:$AR$601,0)),""),""))</f>
        <v/>
      </c>
      <c r="C184" s="28" t="str">
        <f>IF(B184="","",IF(INDEX(DESK!$AC$2:$AC$601,MATCH(176,DESK!$AR$2:$AR$601,0))="YES","A","B"))</f>
        <v/>
      </c>
      <c r="D184" s="28" t="str">
        <f>IF(B184="","",INDEX(DESK!$AQ$2:$AQ$601,MATCH(176,DESK!$AR$2:$AR$601,0)))</f>
        <v/>
      </c>
      <c r="E184" s="28" t="str">
        <f>IF(B184="","",INDEX(DESK!$B$2:$B$601,MATCH(176,DESK!$AR$2:$AR$601,0))&amp;IF(COUNTIFS(DESK!$F$2:$F$601,INDEX(DESK!$F$2:$F$601,MATCH(176,DESK!$AR$2:$AR$601,0)),DESK!$L$2:$L$601,1)&gt;1," and "&amp;(COUNTIFS(DESK!$F$2:$F$601,INDEX(DESK!$F$2:$F$601,MATCH(176,DESK!$AR$2:$AR$601,0)),DESK!$L$2:$L$601,1)-1)&amp;" more",""))</f>
        <v/>
      </c>
      <c r="F184" s="28" t="str">
        <f>IF(B184="","",IF(C184="B",INDEX(DESK!$AD$2:$AD$601,MATCH(176,DESK!$AR$2:$AR$601,0)),""))</f>
        <v/>
      </c>
      <c r="G184" s="28" t="str">
        <f>IF(B184="","",INDEX(DESK!$AV$2:$AV$601,MATCH(176,DESK!$AR$2:$AR$601,0)))</f>
        <v/>
      </c>
      <c r="I184" s="21"/>
      <c r="J184" s="20"/>
      <c r="K184" s="20"/>
      <c r="L184" s="20"/>
      <c r="M184" s="23" t="str">
        <f t="shared" si="2"/>
        <v/>
      </c>
    </row>
    <row r="185" spans="1:13" x14ac:dyDescent="0.35">
      <c r="A185" s="28">
        <v>177</v>
      </c>
      <c r="B185" s="43" t="str">
        <f>IF(SETTINGS!$B$22&lt;&gt;"YES","",IFERROR(IF(OR($J$3="Everyone",INDEX(DESK!$AV$2:$AV$601,MATCH(177,DESK!$AR$2:$AR$601,0))="SEND"),"91"&amp;INDEX(DESK!$F$2:$F$601,MATCH(177,DESK!$AR$2:$AR$601,0)),""),""))</f>
        <v/>
      </c>
      <c r="C185" s="28" t="str">
        <f>IF(B185="","",IF(INDEX(DESK!$AC$2:$AC$601,MATCH(177,DESK!$AR$2:$AR$601,0))="YES","A","B"))</f>
        <v/>
      </c>
      <c r="D185" s="28" t="str">
        <f>IF(B185="","",INDEX(DESK!$AQ$2:$AQ$601,MATCH(177,DESK!$AR$2:$AR$601,0)))</f>
        <v/>
      </c>
      <c r="E185" s="28" t="str">
        <f>IF(B185="","",INDEX(DESK!$B$2:$B$601,MATCH(177,DESK!$AR$2:$AR$601,0))&amp;IF(COUNTIFS(DESK!$F$2:$F$601,INDEX(DESK!$F$2:$F$601,MATCH(177,DESK!$AR$2:$AR$601,0)),DESK!$L$2:$L$601,1)&gt;1," and "&amp;(COUNTIFS(DESK!$F$2:$F$601,INDEX(DESK!$F$2:$F$601,MATCH(177,DESK!$AR$2:$AR$601,0)),DESK!$L$2:$L$601,1)-1)&amp;" more",""))</f>
        <v/>
      </c>
      <c r="F185" s="28" t="str">
        <f>IF(B185="","",IF(C185="B",INDEX(DESK!$AD$2:$AD$601,MATCH(177,DESK!$AR$2:$AR$601,0)),""))</f>
        <v/>
      </c>
      <c r="G185" s="28" t="str">
        <f>IF(B185="","",INDEX(DESK!$AV$2:$AV$601,MATCH(177,DESK!$AR$2:$AR$601,0)))</f>
        <v/>
      </c>
      <c r="I185" s="21"/>
      <c r="J185" s="20"/>
      <c r="K185" s="20"/>
      <c r="L185" s="20"/>
      <c r="M185" s="23" t="str">
        <f t="shared" si="2"/>
        <v/>
      </c>
    </row>
    <row r="186" spans="1:13" x14ac:dyDescent="0.35">
      <c r="A186" s="28">
        <v>178</v>
      </c>
      <c r="B186" s="43" t="str">
        <f>IF(SETTINGS!$B$22&lt;&gt;"YES","",IFERROR(IF(OR($J$3="Everyone",INDEX(DESK!$AV$2:$AV$601,MATCH(178,DESK!$AR$2:$AR$601,0))="SEND"),"91"&amp;INDEX(DESK!$F$2:$F$601,MATCH(178,DESK!$AR$2:$AR$601,0)),""),""))</f>
        <v/>
      </c>
      <c r="C186" s="28" t="str">
        <f>IF(B186="","",IF(INDEX(DESK!$AC$2:$AC$601,MATCH(178,DESK!$AR$2:$AR$601,0))="YES","A","B"))</f>
        <v/>
      </c>
      <c r="D186" s="28" t="str">
        <f>IF(B186="","",INDEX(DESK!$AQ$2:$AQ$601,MATCH(178,DESK!$AR$2:$AR$601,0)))</f>
        <v/>
      </c>
      <c r="E186" s="28" t="str">
        <f>IF(B186="","",INDEX(DESK!$B$2:$B$601,MATCH(178,DESK!$AR$2:$AR$601,0))&amp;IF(COUNTIFS(DESK!$F$2:$F$601,INDEX(DESK!$F$2:$F$601,MATCH(178,DESK!$AR$2:$AR$601,0)),DESK!$L$2:$L$601,1)&gt;1," and "&amp;(COUNTIFS(DESK!$F$2:$F$601,INDEX(DESK!$F$2:$F$601,MATCH(178,DESK!$AR$2:$AR$601,0)),DESK!$L$2:$L$601,1)-1)&amp;" more",""))</f>
        <v/>
      </c>
      <c r="F186" s="28" t="str">
        <f>IF(B186="","",IF(C186="B",INDEX(DESK!$AD$2:$AD$601,MATCH(178,DESK!$AR$2:$AR$601,0)),""))</f>
        <v/>
      </c>
      <c r="G186" s="28" t="str">
        <f>IF(B186="","",INDEX(DESK!$AV$2:$AV$601,MATCH(178,DESK!$AR$2:$AR$601,0)))</f>
        <v/>
      </c>
      <c r="I186" s="21"/>
      <c r="J186" s="20"/>
      <c r="K186" s="20"/>
      <c r="L186" s="20"/>
      <c r="M186" s="23" t="str">
        <f t="shared" si="2"/>
        <v/>
      </c>
    </row>
    <row r="187" spans="1:13" x14ac:dyDescent="0.35">
      <c r="A187" s="28">
        <v>179</v>
      </c>
      <c r="B187" s="43" t="str">
        <f>IF(SETTINGS!$B$22&lt;&gt;"YES","",IFERROR(IF(OR($J$3="Everyone",INDEX(DESK!$AV$2:$AV$601,MATCH(179,DESK!$AR$2:$AR$601,0))="SEND"),"91"&amp;INDEX(DESK!$F$2:$F$601,MATCH(179,DESK!$AR$2:$AR$601,0)),""),""))</f>
        <v/>
      </c>
      <c r="C187" s="28" t="str">
        <f>IF(B187="","",IF(INDEX(DESK!$AC$2:$AC$601,MATCH(179,DESK!$AR$2:$AR$601,0))="YES","A","B"))</f>
        <v/>
      </c>
      <c r="D187" s="28" t="str">
        <f>IF(B187="","",INDEX(DESK!$AQ$2:$AQ$601,MATCH(179,DESK!$AR$2:$AR$601,0)))</f>
        <v/>
      </c>
      <c r="E187" s="28" t="str">
        <f>IF(B187="","",INDEX(DESK!$B$2:$B$601,MATCH(179,DESK!$AR$2:$AR$601,0))&amp;IF(COUNTIFS(DESK!$F$2:$F$601,INDEX(DESK!$F$2:$F$601,MATCH(179,DESK!$AR$2:$AR$601,0)),DESK!$L$2:$L$601,1)&gt;1," and "&amp;(COUNTIFS(DESK!$F$2:$F$601,INDEX(DESK!$F$2:$F$601,MATCH(179,DESK!$AR$2:$AR$601,0)),DESK!$L$2:$L$601,1)-1)&amp;" more",""))</f>
        <v/>
      </c>
      <c r="F187" s="28" t="str">
        <f>IF(B187="","",IF(C187="B",INDEX(DESK!$AD$2:$AD$601,MATCH(179,DESK!$AR$2:$AR$601,0)),""))</f>
        <v/>
      </c>
      <c r="G187" s="28" t="str">
        <f>IF(B187="","",INDEX(DESK!$AV$2:$AV$601,MATCH(179,DESK!$AR$2:$AR$601,0)))</f>
        <v/>
      </c>
      <c r="I187" s="21"/>
      <c r="J187" s="20"/>
      <c r="K187" s="20"/>
      <c r="L187" s="20"/>
      <c r="M187" s="23" t="str">
        <f t="shared" si="2"/>
        <v/>
      </c>
    </row>
    <row r="188" spans="1:13" x14ac:dyDescent="0.35">
      <c r="A188" s="28">
        <v>180</v>
      </c>
      <c r="B188" s="43" t="str">
        <f>IF(SETTINGS!$B$22&lt;&gt;"YES","",IFERROR(IF(OR($J$3="Everyone",INDEX(DESK!$AV$2:$AV$601,MATCH(180,DESK!$AR$2:$AR$601,0))="SEND"),"91"&amp;INDEX(DESK!$F$2:$F$601,MATCH(180,DESK!$AR$2:$AR$601,0)),""),""))</f>
        <v/>
      </c>
      <c r="C188" s="28" t="str">
        <f>IF(B188="","",IF(INDEX(DESK!$AC$2:$AC$601,MATCH(180,DESK!$AR$2:$AR$601,0))="YES","A","B"))</f>
        <v/>
      </c>
      <c r="D188" s="28" t="str">
        <f>IF(B188="","",INDEX(DESK!$AQ$2:$AQ$601,MATCH(180,DESK!$AR$2:$AR$601,0)))</f>
        <v/>
      </c>
      <c r="E188" s="28" t="str">
        <f>IF(B188="","",INDEX(DESK!$B$2:$B$601,MATCH(180,DESK!$AR$2:$AR$601,0))&amp;IF(COUNTIFS(DESK!$F$2:$F$601,INDEX(DESK!$F$2:$F$601,MATCH(180,DESK!$AR$2:$AR$601,0)),DESK!$L$2:$L$601,1)&gt;1," and "&amp;(COUNTIFS(DESK!$F$2:$F$601,INDEX(DESK!$F$2:$F$601,MATCH(180,DESK!$AR$2:$AR$601,0)),DESK!$L$2:$L$601,1)-1)&amp;" more",""))</f>
        <v/>
      </c>
      <c r="F188" s="28" t="str">
        <f>IF(B188="","",IF(C188="B",INDEX(DESK!$AD$2:$AD$601,MATCH(180,DESK!$AR$2:$AR$601,0)),""))</f>
        <v/>
      </c>
      <c r="G188" s="28" t="str">
        <f>IF(B188="","",INDEX(DESK!$AV$2:$AV$601,MATCH(180,DESK!$AR$2:$AR$601,0)))</f>
        <v/>
      </c>
      <c r="I188" s="21"/>
      <c r="J188" s="20"/>
      <c r="K188" s="20"/>
      <c r="L188" s="20"/>
      <c r="M188" s="23" t="str">
        <f t="shared" si="2"/>
        <v/>
      </c>
    </row>
    <row r="189" spans="1:13" x14ac:dyDescent="0.35">
      <c r="A189" s="28">
        <v>181</v>
      </c>
      <c r="B189" s="43" t="str">
        <f>IF(SETTINGS!$B$22&lt;&gt;"YES","",IFERROR(IF(OR($J$3="Everyone",INDEX(DESK!$AV$2:$AV$601,MATCH(181,DESK!$AR$2:$AR$601,0))="SEND"),"91"&amp;INDEX(DESK!$F$2:$F$601,MATCH(181,DESK!$AR$2:$AR$601,0)),""),""))</f>
        <v/>
      </c>
      <c r="C189" s="28" t="str">
        <f>IF(B189="","",IF(INDEX(DESK!$AC$2:$AC$601,MATCH(181,DESK!$AR$2:$AR$601,0))="YES","A","B"))</f>
        <v/>
      </c>
      <c r="D189" s="28" t="str">
        <f>IF(B189="","",INDEX(DESK!$AQ$2:$AQ$601,MATCH(181,DESK!$AR$2:$AR$601,0)))</f>
        <v/>
      </c>
      <c r="E189" s="28" t="str">
        <f>IF(B189="","",INDEX(DESK!$B$2:$B$601,MATCH(181,DESK!$AR$2:$AR$601,0))&amp;IF(COUNTIFS(DESK!$F$2:$F$601,INDEX(DESK!$F$2:$F$601,MATCH(181,DESK!$AR$2:$AR$601,0)),DESK!$L$2:$L$601,1)&gt;1," and "&amp;(COUNTIFS(DESK!$F$2:$F$601,INDEX(DESK!$F$2:$F$601,MATCH(181,DESK!$AR$2:$AR$601,0)),DESK!$L$2:$L$601,1)-1)&amp;" more",""))</f>
        <v/>
      </c>
      <c r="F189" s="28" t="str">
        <f>IF(B189="","",IF(C189="B",INDEX(DESK!$AD$2:$AD$601,MATCH(181,DESK!$AR$2:$AR$601,0)),""))</f>
        <v/>
      </c>
      <c r="G189" s="28" t="str">
        <f>IF(B189="","",INDEX(DESK!$AV$2:$AV$601,MATCH(181,DESK!$AR$2:$AR$601,0)))</f>
        <v/>
      </c>
      <c r="I189" s="21"/>
      <c r="J189" s="20"/>
      <c r="K189" s="20"/>
      <c r="L189" s="20"/>
      <c r="M189" s="23" t="str">
        <f t="shared" si="2"/>
        <v/>
      </c>
    </row>
    <row r="190" spans="1:13" x14ac:dyDescent="0.35">
      <c r="A190" s="28">
        <v>182</v>
      </c>
      <c r="B190" s="43" t="str">
        <f>IF(SETTINGS!$B$22&lt;&gt;"YES","",IFERROR(IF(OR($J$3="Everyone",INDEX(DESK!$AV$2:$AV$601,MATCH(182,DESK!$AR$2:$AR$601,0))="SEND"),"91"&amp;INDEX(DESK!$F$2:$F$601,MATCH(182,DESK!$AR$2:$AR$601,0)),""),""))</f>
        <v/>
      </c>
      <c r="C190" s="28" t="str">
        <f>IF(B190="","",IF(INDEX(DESK!$AC$2:$AC$601,MATCH(182,DESK!$AR$2:$AR$601,0))="YES","A","B"))</f>
        <v/>
      </c>
      <c r="D190" s="28" t="str">
        <f>IF(B190="","",INDEX(DESK!$AQ$2:$AQ$601,MATCH(182,DESK!$AR$2:$AR$601,0)))</f>
        <v/>
      </c>
      <c r="E190" s="28" t="str">
        <f>IF(B190="","",INDEX(DESK!$B$2:$B$601,MATCH(182,DESK!$AR$2:$AR$601,0))&amp;IF(COUNTIFS(DESK!$F$2:$F$601,INDEX(DESK!$F$2:$F$601,MATCH(182,DESK!$AR$2:$AR$601,0)),DESK!$L$2:$L$601,1)&gt;1," and "&amp;(COUNTIFS(DESK!$F$2:$F$601,INDEX(DESK!$F$2:$F$601,MATCH(182,DESK!$AR$2:$AR$601,0)),DESK!$L$2:$L$601,1)-1)&amp;" more",""))</f>
        <v/>
      </c>
      <c r="F190" s="28" t="str">
        <f>IF(B190="","",IF(C190="B",INDEX(DESK!$AD$2:$AD$601,MATCH(182,DESK!$AR$2:$AR$601,0)),""))</f>
        <v/>
      </c>
      <c r="G190" s="28" t="str">
        <f>IF(B190="","",INDEX(DESK!$AV$2:$AV$601,MATCH(182,DESK!$AR$2:$AR$601,0)))</f>
        <v/>
      </c>
      <c r="I190" s="21"/>
      <c r="J190" s="20"/>
      <c r="K190" s="20"/>
      <c r="L190" s="20"/>
      <c r="M190" s="23" t="str">
        <f t="shared" si="2"/>
        <v/>
      </c>
    </row>
    <row r="191" spans="1:13" x14ac:dyDescent="0.35">
      <c r="A191" s="28">
        <v>183</v>
      </c>
      <c r="B191" s="43" t="str">
        <f>IF(SETTINGS!$B$22&lt;&gt;"YES","",IFERROR(IF(OR($J$3="Everyone",INDEX(DESK!$AV$2:$AV$601,MATCH(183,DESK!$AR$2:$AR$601,0))="SEND"),"91"&amp;INDEX(DESK!$F$2:$F$601,MATCH(183,DESK!$AR$2:$AR$601,0)),""),""))</f>
        <v/>
      </c>
      <c r="C191" s="28" t="str">
        <f>IF(B191="","",IF(INDEX(DESK!$AC$2:$AC$601,MATCH(183,DESK!$AR$2:$AR$601,0))="YES","A","B"))</f>
        <v/>
      </c>
      <c r="D191" s="28" t="str">
        <f>IF(B191="","",INDEX(DESK!$AQ$2:$AQ$601,MATCH(183,DESK!$AR$2:$AR$601,0)))</f>
        <v/>
      </c>
      <c r="E191" s="28" t="str">
        <f>IF(B191="","",INDEX(DESK!$B$2:$B$601,MATCH(183,DESK!$AR$2:$AR$601,0))&amp;IF(COUNTIFS(DESK!$F$2:$F$601,INDEX(DESK!$F$2:$F$601,MATCH(183,DESK!$AR$2:$AR$601,0)),DESK!$L$2:$L$601,1)&gt;1," and "&amp;(COUNTIFS(DESK!$F$2:$F$601,INDEX(DESK!$F$2:$F$601,MATCH(183,DESK!$AR$2:$AR$601,0)),DESK!$L$2:$L$601,1)-1)&amp;" more",""))</f>
        <v/>
      </c>
      <c r="F191" s="28" t="str">
        <f>IF(B191="","",IF(C191="B",INDEX(DESK!$AD$2:$AD$601,MATCH(183,DESK!$AR$2:$AR$601,0)),""))</f>
        <v/>
      </c>
      <c r="G191" s="28" t="str">
        <f>IF(B191="","",INDEX(DESK!$AV$2:$AV$601,MATCH(183,DESK!$AR$2:$AR$601,0)))</f>
        <v/>
      </c>
      <c r="I191" s="21"/>
      <c r="J191" s="20"/>
      <c r="K191" s="20"/>
      <c r="L191" s="20"/>
      <c r="M191" s="23" t="str">
        <f t="shared" si="2"/>
        <v/>
      </c>
    </row>
    <row r="192" spans="1:13" x14ac:dyDescent="0.35">
      <c r="A192" s="28">
        <v>184</v>
      </c>
      <c r="B192" s="43" t="str">
        <f>IF(SETTINGS!$B$22&lt;&gt;"YES","",IFERROR(IF(OR($J$3="Everyone",INDEX(DESK!$AV$2:$AV$601,MATCH(184,DESK!$AR$2:$AR$601,0))="SEND"),"91"&amp;INDEX(DESK!$F$2:$F$601,MATCH(184,DESK!$AR$2:$AR$601,0)),""),""))</f>
        <v/>
      </c>
      <c r="C192" s="28" t="str">
        <f>IF(B192="","",IF(INDEX(DESK!$AC$2:$AC$601,MATCH(184,DESK!$AR$2:$AR$601,0))="YES","A","B"))</f>
        <v/>
      </c>
      <c r="D192" s="28" t="str">
        <f>IF(B192="","",INDEX(DESK!$AQ$2:$AQ$601,MATCH(184,DESK!$AR$2:$AR$601,0)))</f>
        <v/>
      </c>
      <c r="E192" s="28" t="str">
        <f>IF(B192="","",INDEX(DESK!$B$2:$B$601,MATCH(184,DESK!$AR$2:$AR$601,0))&amp;IF(COUNTIFS(DESK!$F$2:$F$601,INDEX(DESK!$F$2:$F$601,MATCH(184,DESK!$AR$2:$AR$601,0)),DESK!$L$2:$L$601,1)&gt;1," and "&amp;(COUNTIFS(DESK!$F$2:$F$601,INDEX(DESK!$F$2:$F$601,MATCH(184,DESK!$AR$2:$AR$601,0)),DESK!$L$2:$L$601,1)-1)&amp;" more",""))</f>
        <v/>
      </c>
      <c r="F192" s="28" t="str">
        <f>IF(B192="","",IF(C192="B",INDEX(DESK!$AD$2:$AD$601,MATCH(184,DESK!$AR$2:$AR$601,0)),""))</f>
        <v/>
      </c>
      <c r="G192" s="28" t="str">
        <f>IF(B192="","",INDEX(DESK!$AV$2:$AV$601,MATCH(184,DESK!$AR$2:$AR$601,0)))</f>
        <v/>
      </c>
      <c r="I192" s="21"/>
      <c r="J192" s="20"/>
      <c r="K192" s="20"/>
      <c r="L192" s="20"/>
      <c r="M192" s="23" t="str">
        <f t="shared" si="2"/>
        <v/>
      </c>
    </row>
    <row r="193" spans="1:13" x14ac:dyDescent="0.35">
      <c r="A193" s="28">
        <v>185</v>
      </c>
      <c r="B193" s="43" t="str">
        <f>IF(SETTINGS!$B$22&lt;&gt;"YES","",IFERROR(IF(OR($J$3="Everyone",INDEX(DESK!$AV$2:$AV$601,MATCH(185,DESK!$AR$2:$AR$601,0))="SEND"),"91"&amp;INDEX(DESK!$F$2:$F$601,MATCH(185,DESK!$AR$2:$AR$601,0)),""),""))</f>
        <v/>
      </c>
      <c r="C193" s="28" t="str">
        <f>IF(B193="","",IF(INDEX(DESK!$AC$2:$AC$601,MATCH(185,DESK!$AR$2:$AR$601,0))="YES","A","B"))</f>
        <v/>
      </c>
      <c r="D193" s="28" t="str">
        <f>IF(B193="","",INDEX(DESK!$AQ$2:$AQ$601,MATCH(185,DESK!$AR$2:$AR$601,0)))</f>
        <v/>
      </c>
      <c r="E193" s="28" t="str">
        <f>IF(B193="","",INDEX(DESK!$B$2:$B$601,MATCH(185,DESK!$AR$2:$AR$601,0))&amp;IF(COUNTIFS(DESK!$F$2:$F$601,INDEX(DESK!$F$2:$F$601,MATCH(185,DESK!$AR$2:$AR$601,0)),DESK!$L$2:$L$601,1)&gt;1," and "&amp;(COUNTIFS(DESK!$F$2:$F$601,INDEX(DESK!$F$2:$F$601,MATCH(185,DESK!$AR$2:$AR$601,0)),DESK!$L$2:$L$601,1)-1)&amp;" more",""))</f>
        <v/>
      </c>
      <c r="F193" s="28" t="str">
        <f>IF(B193="","",IF(C193="B",INDEX(DESK!$AD$2:$AD$601,MATCH(185,DESK!$AR$2:$AR$601,0)),""))</f>
        <v/>
      </c>
      <c r="G193" s="28" t="str">
        <f>IF(B193="","",INDEX(DESK!$AV$2:$AV$601,MATCH(185,DESK!$AR$2:$AR$601,0)))</f>
        <v/>
      </c>
      <c r="I193" s="21"/>
      <c r="J193" s="20"/>
      <c r="K193" s="20"/>
      <c r="L193" s="20"/>
      <c r="M193" s="23" t="str">
        <f t="shared" si="2"/>
        <v/>
      </c>
    </row>
    <row r="194" spans="1:13" x14ac:dyDescent="0.35">
      <c r="A194" s="28">
        <v>186</v>
      </c>
      <c r="B194" s="43" t="str">
        <f>IF(SETTINGS!$B$22&lt;&gt;"YES","",IFERROR(IF(OR($J$3="Everyone",INDEX(DESK!$AV$2:$AV$601,MATCH(186,DESK!$AR$2:$AR$601,0))="SEND"),"91"&amp;INDEX(DESK!$F$2:$F$601,MATCH(186,DESK!$AR$2:$AR$601,0)),""),""))</f>
        <v/>
      </c>
      <c r="C194" s="28" t="str">
        <f>IF(B194="","",IF(INDEX(DESK!$AC$2:$AC$601,MATCH(186,DESK!$AR$2:$AR$601,0))="YES","A","B"))</f>
        <v/>
      </c>
      <c r="D194" s="28" t="str">
        <f>IF(B194="","",INDEX(DESK!$AQ$2:$AQ$601,MATCH(186,DESK!$AR$2:$AR$601,0)))</f>
        <v/>
      </c>
      <c r="E194" s="28" t="str">
        <f>IF(B194="","",INDEX(DESK!$B$2:$B$601,MATCH(186,DESK!$AR$2:$AR$601,0))&amp;IF(COUNTIFS(DESK!$F$2:$F$601,INDEX(DESK!$F$2:$F$601,MATCH(186,DESK!$AR$2:$AR$601,0)),DESK!$L$2:$L$601,1)&gt;1," and "&amp;(COUNTIFS(DESK!$F$2:$F$601,INDEX(DESK!$F$2:$F$601,MATCH(186,DESK!$AR$2:$AR$601,0)),DESK!$L$2:$L$601,1)-1)&amp;" more",""))</f>
        <v/>
      </c>
      <c r="F194" s="28" t="str">
        <f>IF(B194="","",IF(C194="B",INDEX(DESK!$AD$2:$AD$601,MATCH(186,DESK!$AR$2:$AR$601,0)),""))</f>
        <v/>
      </c>
      <c r="G194" s="28" t="str">
        <f>IF(B194="","",INDEX(DESK!$AV$2:$AV$601,MATCH(186,DESK!$AR$2:$AR$601,0)))</f>
        <v/>
      </c>
      <c r="I194" s="21"/>
      <c r="J194" s="20"/>
      <c r="K194" s="20"/>
      <c r="L194" s="20"/>
      <c r="M194" s="23" t="str">
        <f t="shared" si="2"/>
        <v/>
      </c>
    </row>
    <row r="195" spans="1:13" x14ac:dyDescent="0.35">
      <c r="A195" s="28">
        <v>187</v>
      </c>
      <c r="B195" s="43" t="str">
        <f>IF(SETTINGS!$B$22&lt;&gt;"YES","",IFERROR(IF(OR($J$3="Everyone",INDEX(DESK!$AV$2:$AV$601,MATCH(187,DESK!$AR$2:$AR$601,0))="SEND"),"91"&amp;INDEX(DESK!$F$2:$F$601,MATCH(187,DESK!$AR$2:$AR$601,0)),""),""))</f>
        <v/>
      </c>
      <c r="C195" s="28" t="str">
        <f>IF(B195="","",IF(INDEX(DESK!$AC$2:$AC$601,MATCH(187,DESK!$AR$2:$AR$601,0))="YES","A","B"))</f>
        <v/>
      </c>
      <c r="D195" s="28" t="str">
        <f>IF(B195="","",INDEX(DESK!$AQ$2:$AQ$601,MATCH(187,DESK!$AR$2:$AR$601,0)))</f>
        <v/>
      </c>
      <c r="E195" s="28" t="str">
        <f>IF(B195="","",INDEX(DESK!$B$2:$B$601,MATCH(187,DESK!$AR$2:$AR$601,0))&amp;IF(COUNTIFS(DESK!$F$2:$F$601,INDEX(DESK!$F$2:$F$601,MATCH(187,DESK!$AR$2:$AR$601,0)),DESK!$L$2:$L$601,1)&gt;1," and "&amp;(COUNTIFS(DESK!$F$2:$F$601,INDEX(DESK!$F$2:$F$601,MATCH(187,DESK!$AR$2:$AR$601,0)),DESK!$L$2:$L$601,1)-1)&amp;" more",""))</f>
        <v/>
      </c>
      <c r="F195" s="28" t="str">
        <f>IF(B195="","",IF(C195="B",INDEX(DESK!$AD$2:$AD$601,MATCH(187,DESK!$AR$2:$AR$601,0)),""))</f>
        <v/>
      </c>
      <c r="G195" s="28" t="str">
        <f>IF(B195="","",INDEX(DESK!$AV$2:$AV$601,MATCH(187,DESK!$AR$2:$AR$601,0)))</f>
        <v/>
      </c>
      <c r="I195" s="21"/>
      <c r="J195" s="20"/>
      <c r="K195" s="20"/>
      <c r="L195" s="20"/>
      <c r="M195" s="23" t="str">
        <f t="shared" si="2"/>
        <v/>
      </c>
    </row>
    <row r="196" spans="1:13" x14ac:dyDescent="0.35">
      <c r="A196" s="28">
        <v>188</v>
      </c>
      <c r="B196" s="43" t="str">
        <f>IF(SETTINGS!$B$22&lt;&gt;"YES","",IFERROR(IF(OR($J$3="Everyone",INDEX(DESK!$AV$2:$AV$601,MATCH(188,DESK!$AR$2:$AR$601,0))="SEND"),"91"&amp;INDEX(DESK!$F$2:$F$601,MATCH(188,DESK!$AR$2:$AR$601,0)),""),""))</f>
        <v/>
      </c>
      <c r="C196" s="28" t="str">
        <f>IF(B196="","",IF(INDEX(DESK!$AC$2:$AC$601,MATCH(188,DESK!$AR$2:$AR$601,0))="YES","A","B"))</f>
        <v/>
      </c>
      <c r="D196" s="28" t="str">
        <f>IF(B196="","",INDEX(DESK!$AQ$2:$AQ$601,MATCH(188,DESK!$AR$2:$AR$601,0)))</f>
        <v/>
      </c>
      <c r="E196" s="28" t="str">
        <f>IF(B196="","",INDEX(DESK!$B$2:$B$601,MATCH(188,DESK!$AR$2:$AR$601,0))&amp;IF(COUNTIFS(DESK!$F$2:$F$601,INDEX(DESK!$F$2:$F$601,MATCH(188,DESK!$AR$2:$AR$601,0)),DESK!$L$2:$L$601,1)&gt;1," and "&amp;(COUNTIFS(DESK!$F$2:$F$601,INDEX(DESK!$F$2:$F$601,MATCH(188,DESK!$AR$2:$AR$601,0)),DESK!$L$2:$L$601,1)-1)&amp;" more",""))</f>
        <v/>
      </c>
      <c r="F196" s="28" t="str">
        <f>IF(B196="","",IF(C196="B",INDEX(DESK!$AD$2:$AD$601,MATCH(188,DESK!$AR$2:$AR$601,0)),""))</f>
        <v/>
      </c>
      <c r="G196" s="28" t="str">
        <f>IF(B196="","",INDEX(DESK!$AV$2:$AV$601,MATCH(188,DESK!$AR$2:$AR$601,0)))</f>
        <v/>
      </c>
      <c r="I196" s="21"/>
      <c r="J196" s="20"/>
      <c r="K196" s="20"/>
      <c r="L196" s="20"/>
      <c r="M196" s="23" t="str">
        <f t="shared" si="2"/>
        <v/>
      </c>
    </row>
    <row r="197" spans="1:13" x14ac:dyDescent="0.35">
      <c r="A197" s="28">
        <v>189</v>
      </c>
      <c r="B197" s="43" t="str">
        <f>IF(SETTINGS!$B$22&lt;&gt;"YES","",IFERROR(IF(OR($J$3="Everyone",INDEX(DESK!$AV$2:$AV$601,MATCH(189,DESK!$AR$2:$AR$601,0))="SEND"),"91"&amp;INDEX(DESK!$F$2:$F$601,MATCH(189,DESK!$AR$2:$AR$601,0)),""),""))</f>
        <v/>
      </c>
      <c r="C197" s="28" t="str">
        <f>IF(B197="","",IF(INDEX(DESK!$AC$2:$AC$601,MATCH(189,DESK!$AR$2:$AR$601,0))="YES","A","B"))</f>
        <v/>
      </c>
      <c r="D197" s="28" t="str">
        <f>IF(B197="","",INDEX(DESK!$AQ$2:$AQ$601,MATCH(189,DESK!$AR$2:$AR$601,0)))</f>
        <v/>
      </c>
      <c r="E197" s="28" t="str">
        <f>IF(B197="","",INDEX(DESK!$B$2:$B$601,MATCH(189,DESK!$AR$2:$AR$601,0))&amp;IF(COUNTIFS(DESK!$F$2:$F$601,INDEX(DESK!$F$2:$F$601,MATCH(189,DESK!$AR$2:$AR$601,0)),DESK!$L$2:$L$601,1)&gt;1," and "&amp;(COUNTIFS(DESK!$F$2:$F$601,INDEX(DESK!$F$2:$F$601,MATCH(189,DESK!$AR$2:$AR$601,0)),DESK!$L$2:$L$601,1)-1)&amp;" more",""))</f>
        <v/>
      </c>
      <c r="F197" s="28" t="str">
        <f>IF(B197="","",IF(C197="B",INDEX(DESK!$AD$2:$AD$601,MATCH(189,DESK!$AR$2:$AR$601,0)),""))</f>
        <v/>
      </c>
      <c r="G197" s="28" t="str">
        <f>IF(B197="","",INDEX(DESK!$AV$2:$AV$601,MATCH(189,DESK!$AR$2:$AR$601,0)))</f>
        <v/>
      </c>
      <c r="I197" s="21"/>
      <c r="J197" s="20"/>
      <c r="K197" s="20"/>
      <c r="L197" s="20"/>
      <c r="M197" s="23" t="str">
        <f t="shared" si="2"/>
        <v/>
      </c>
    </row>
    <row r="198" spans="1:13" x14ac:dyDescent="0.35">
      <c r="A198" s="28">
        <v>190</v>
      </c>
      <c r="B198" s="43" t="str">
        <f>IF(SETTINGS!$B$22&lt;&gt;"YES","",IFERROR(IF(OR($J$3="Everyone",INDEX(DESK!$AV$2:$AV$601,MATCH(190,DESK!$AR$2:$AR$601,0))="SEND"),"91"&amp;INDEX(DESK!$F$2:$F$601,MATCH(190,DESK!$AR$2:$AR$601,0)),""),""))</f>
        <v/>
      </c>
      <c r="C198" s="28" t="str">
        <f>IF(B198="","",IF(INDEX(DESK!$AC$2:$AC$601,MATCH(190,DESK!$AR$2:$AR$601,0))="YES","A","B"))</f>
        <v/>
      </c>
      <c r="D198" s="28" t="str">
        <f>IF(B198="","",INDEX(DESK!$AQ$2:$AQ$601,MATCH(190,DESK!$AR$2:$AR$601,0)))</f>
        <v/>
      </c>
      <c r="E198" s="28" t="str">
        <f>IF(B198="","",INDEX(DESK!$B$2:$B$601,MATCH(190,DESK!$AR$2:$AR$601,0))&amp;IF(COUNTIFS(DESK!$F$2:$F$601,INDEX(DESK!$F$2:$F$601,MATCH(190,DESK!$AR$2:$AR$601,0)),DESK!$L$2:$L$601,1)&gt;1," and "&amp;(COUNTIFS(DESK!$F$2:$F$601,INDEX(DESK!$F$2:$F$601,MATCH(190,DESK!$AR$2:$AR$601,0)),DESK!$L$2:$L$601,1)-1)&amp;" more",""))</f>
        <v/>
      </c>
      <c r="F198" s="28" t="str">
        <f>IF(B198="","",IF(C198="B",INDEX(DESK!$AD$2:$AD$601,MATCH(190,DESK!$AR$2:$AR$601,0)),""))</f>
        <v/>
      </c>
      <c r="G198" s="28" t="str">
        <f>IF(B198="","",INDEX(DESK!$AV$2:$AV$601,MATCH(190,DESK!$AR$2:$AR$601,0)))</f>
        <v/>
      </c>
      <c r="I198" s="21"/>
      <c r="J198" s="20"/>
      <c r="K198" s="20"/>
      <c r="L198" s="20"/>
      <c r="M198" s="23" t="str">
        <f t="shared" si="2"/>
        <v/>
      </c>
    </row>
    <row r="199" spans="1:13" x14ac:dyDescent="0.35">
      <c r="A199" s="28">
        <v>191</v>
      </c>
      <c r="B199" s="43" t="str">
        <f>IF(SETTINGS!$B$22&lt;&gt;"YES","",IFERROR(IF(OR($J$3="Everyone",INDEX(DESK!$AV$2:$AV$601,MATCH(191,DESK!$AR$2:$AR$601,0))="SEND"),"91"&amp;INDEX(DESK!$F$2:$F$601,MATCH(191,DESK!$AR$2:$AR$601,0)),""),""))</f>
        <v/>
      </c>
      <c r="C199" s="28" t="str">
        <f>IF(B199="","",IF(INDEX(DESK!$AC$2:$AC$601,MATCH(191,DESK!$AR$2:$AR$601,0))="YES","A","B"))</f>
        <v/>
      </c>
      <c r="D199" s="28" t="str">
        <f>IF(B199="","",INDEX(DESK!$AQ$2:$AQ$601,MATCH(191,DESK!$AR$2:$AR$601,0)))</f>
        <v/>
      </c>
      <c r="E199" s="28" t="str">
        <f>IF(B199="","",INDEX(DESK!$B$2:$B$601,MATCH(191,DESK!$AR$2:$AR$601,0))&amp;IF(COUNTIFS(DESK!$F$2:$F$601,INDEX(DESK!$F$2:$F$601,MATCH(191,DESK!$AR$2:$AR$601,0)),DESK!$L$2:$L$601,1)&gt;1," and "&amp;(COUNTIFS(DESK!$F$2:$F$601,INDEX(DESK!$F$2:$F$601,MATCH(191,DESK!$AR$2:$AR$601,0)),DESK!$L$2:$L$601,1)-1)&amp;" more",""))</f>
        <v/>
      </c>
      <c r="F199" s="28" t="str">
        <f>IF(B199="","",IF(C199="B",INDEX(DESK!$AD$2:$AD$601,MATCH(191,DESK!$AR$2:$AR$601,0)),""))</f>
        <v/>
      </c>
      <c r="G199" s="28" t="str">
        <f>IF(B199="","",INDEX(DESK!$AV$2:$AV$601,MATCH(191,DESK!$AR$2:$AR$601,0)))</f>
        <v/>
      </c>
      <c r="I199" s="21"/>
      <c r="J199" s="20"/>
      <c r="K199" s="20"/>
      <c r="L199" s="20"/>
      <c r="M199" s="23" t="str">
        <f t="shared" si="2"/>
        <v/>
      </c>
    </row>
    <row r="200" spans="1:13" x14ac:dyDescent="0.35">
      <c r="A200" s="28">
        <v>192</v>
      </c>
      <c r="B200" s="43" t="str">
        <f>IF(SETTINGS!$B$22&lt;&gt;"YES","",IFERROR(IF(OR($J$3="Everyone",INDEX(DESK!$AV$2:$AV$601,MATCH(192,DESK!$AR$2:$AR$601,0))="SEND"),"91"&amp;INDEX(DESK!$F$2:$F$601,MATCH(192,DESK!$AR$2:$AR$601,0)),""),""))</f>
        <v/>
      </c>
      <c r="C200" s="28" t="str">
        <f>IF(B200="","",IF(INDEX(DESK!$AC$2:$AC$601,MATCH(192,DESK!$AR$2:$AR$601,0))="YES","A","B"))</f>
        <v/>
      </c>
      <c r="D200" s="28" t="str">
        <f>IF(B200="","",INDEX(DESK!$AQ$2:$AQ$601,MATCH(192,DESK!$AR$2:$AR$601,0)))</f>
        <v/>
      </c>
      <c r="E200" s="28" t="str">
        <f>IF(B200="","",INDEX(DESK!$B$2:$B$601,MATCH(192,DESK!$AR$2:$AR$601,0))&amp;IF(COUNTIFS(DESK!$F$2:$F$601,INDEX(DESK!$F$2:$F$601,MATCH(192,DESK!$AR$2:$AR$601,0)),DESK!$L$2:$L$601,1)&gt;1," and "&amp;(COUNTIFS(DESK!$F$2:$F$601,INDEX(DESK!$F$2:$F$601,MATCH(192,DESK!$AR$2:$AR$601,0)),DESK!$L$2:$L$601,1)-1)&amp;" more",""))</f>
        <v/>
      </c>
      <c r="F200" s="28" t="str">
        <f>IF(B200="","",IF(C200="B",INDEX(DESK!$AD$2:$AD$601,MATCH(192,DESK!$AR$2:$AR$601,0)),""))</f>
        <v/>
      </c>
      <c r="G200" s="28" t="str">
        <f>IF(B200="","",INDEX(DESK!$AV$2:$AV$601,MATCH(192,DESK!$AR$2:$AR$601,0)))</f>
        <v/>
      </c>
      <c r="I200" s="21"/>
      <c r="J200" s="20"/>
      <c r="K200" s="20"/>
      <c r="L200" s="20"/>
      <c r="M200" s="23" t="str">
        <f t="shared" si="2"/>
        <v/>
      </c>
    </row>
    <row r="201" spans="1:13" x14ac:dyDescent="0.35">
      <c r="A201" s="28">
        <v>193</v>
      </c>
      <c r="B201" s="43" t="str">
        <f>IF(SETTINGS!$B$22&lt;&gt;"YES","",IFERROR(IF(OR($J$3="Everyone",INDEX(DESK!$AV$2:$AV$601,MATCH(193,DESK!$AR$2:$AR$601,0))="SEND"),"91"&amp;INDEX(DESK!$F$2:$F$601,MATCH(193,DESK!$AR$2:$AR$601,0)),""),""))</f>
        <v/>
      </c>
      <c r="C201" s="28" t="str">
        <f>IF(B201="","",IF(INDEX(DESK!$AC$2:$AC$601,MATCH(193,DESK!$AR$2:$AR$601,0))="YES","A","B"))</f>
        <v/>
      </c>
      <c r="D201" s="28" t="str">
        <f>IF(B201="","",INDEX(DESK!$AQ$2:$AQ$601,MATCH(193,DESK!$AR$2:$AR$601,0)))</f>
        <v/>
      </c>
      <c r="E201" s="28" t="str">
        <f>IF(B201="","",INDEX(DESK!$B$2:$B$601,MATCH(193,DESK!$AR$2:$AR$601,0))&amp;IF(COUNTIFS(DESK!$F$2:$F$601,INDEX(DESK!$F$2:$F$601,MATCH(193,DESK!$AR$2:$AR$601,0)),DESK!$L$2:$L$601,1)&gt;1," and "&amp;(COUNTIFS(DESK!$F$2:$F$601,INDEX(DESK!$F$2:$F$601,MATCH(193,DESK!$AR$2:$AR$601,0)),DESK!$L$2:$L$601,1)-1)&amp;" more",""))</f>
        <v/>
      </c>
      <c r="F201" s="28" t="str">
        <f>IF(B201="","",IF(C201="B",INDEX(DESK!$AD$2:$AD$601,MATCH(193,DESK!$AR$2:$AR$601,0)),""))</f>
        <v/>
      </c>
      <c r="G201" s="28" t="str">
        <f>IF(B201="","",INDEX(DESK!$AV$2:$AV$601,MATCH(193,DESK!$AR$2:$AR$601,0)))</f>
        <v/>
      </c>
      <c r="I201" s="21"/>
      <c r="J201" s="20"/>
      <c r="K201" s="20"/>
      <c r="L201" s="20"/>
      <c r="M201" s="23" t="str">
        <f t="shared" ref="M201:M264" si="3">IF(I201="","",RIGHT(SUBSTITUTE(SUBSTITUTE(I201&amp;""," ",""),"+",""),10))</f>
        <v/>
      </c>
    </row>
    <row r="202" spans="1:13" x14ac:dyDescent="0.35">
      <c r="A202" s="28">
        <v>194</v>
      </c>
      <c r="B202" s="43" t="str">
        <f>IF(SETTINGS!$B$22&lt;&gt;"YES","",IFERROR(IF(OR($J$3="Everyone",INDEX(DESK!$AV$2:$AV$601,MATCH(194,DESK!$AR$2:$AR$601,0))="SEND"),"91"&amp;INDEX(DESK!$F$2:$F$601,MATCH(194,DESK!$AR$2:$AR$601,0)),""),""))</f>
        <v/>
      </c>
      <c r="C202" s="28" t="str">
        <f>IF(B202="","",IF(INDEX(DESK!$AC$2:$AC$601,MATCH(194,DESK!$AR$2:$AR$601,0))="YES","A","B"))</f>
        <v/>
      </c>
      <c r="D202" s="28" t="str">
        <f>IF(B202="","",INDEX(DESK!$AQ$2:$AQ$601,MATCH(194,DESK!$AR$2:$AR$601,0)))</f>
        <v/>
      </c>
      <c r="E202" s="28" t="str">
        <f>IF(B202="","",INDEX(DESK!$B$2:$B$601,MATCH(194,DESK!$AR$2:$AR$601,0))&amp;IF(COUNTIFS(DESK!$F$2:$F$601,INDEX(DESK!$F$2:$F$601,MATCH(194,DESK!$AR$2:$AR$601,0)),DESK!$L$2:$L$601,1)&gt;1," and "&amp;(COUNTIFS(DESK!$F$2:$F$601,INDEX(DESK!$F$2:$F$601,MATCH(194,DESK!$AR$2:$AR$601,0)),DESK!$L$2:$L$601,1)-1)&amp;" more",""))</f>
        <v/>
      </c>
      <c r="F202" s="28" t="str">
        <f>IF(B202="","",IF(C202="B",INDEX(DESK!$AD$2:$AD$601,MATCH(194,DESK!$AR$2:$AR$601,0)),""))</f>
        <v/>
      </c>
      <c r="G202" s="28" t="str">
        <f>IF(B202="","",INDEX(DESK!$AV$2:$AV$601,MATCH(194,DESK!$AR$2:$AR$601,0)))</f>
        <v/>
      </c>
      <c r="I202" s="21"/>
      <c r="J202" s="20"/>
      <c r="K202" s="20"/>
      <c r="L202" s="20"/>
      <c r="M202" s="23" t="str">
        <f t="shared" si="3"/>
        <v/>
      </c>
    </row>
    <row r="203" spans="1:13" x14ac:dyDescent="0.35">
      <c r="A203" s="28">
        <v>195</v>
      </c>
      <c r="B203" s="43" t="str">
        <f>IF(SETTINGS!$B$22&lt;&gt;"YES","",IFERROR(IF(OR($J$3="Everyone",INDEX(DESK!$AV$2:$AV$601,MATCH(195,DESK!$AR$2:$AR$601,0))="SEND"),"91"&amp;INDEX(DESK!$F$2:$F$601,MATCH(195,DESK!$AR$2:$AR$601,0)),""),""))</f>
        <v/>
      </c>
      <c r="C203" s="28" t="str">
        <f>IF(B203="","",IF(INDEX(DESK!$AC$2:$AC$601,MATCH(195,DESK!$AR$2:$AR$601,0))="YES","A","B"))</f>
        <v/>
      </c>
      <c r="D203" s="28" t="str">
        <f>IF(B203="","",INDEX(DESK!$AQ$2:$AQ$601,MATCH(195,DESK!$AR$2:$AR$601,0)))</f>
        <v/>
      </c>
      <c r="E203" s="28" t="str">
        <f>IF(B203="","",INDEX(DESK!$B$2:$B$601,MATCH(195,DESK!$AR$2:$AR$601,0))&amp;IF(COUNTIFS(DESK!$F$2:$F$601,INDEX(DESK!$F$2:$F$601,MATCH(195,DESK!$AR$2:$AR$601,0)),DESK!$L$2:$L$601,1)&gt;1," and "&amp;(COUNTIFS(DESK!$F$2:$F$601,INDEX(DESK!$F$2:$F$601,MATCH(195,DESK!$AR$2:$AR$601,0)),DESK!$L$2:$L$601,1)-1)&amp;" more",""))</f>
        <v/>
      </c>
      <c r="F203" s="28" t="str">
        <f>IF(B203="","",IF(C203="B",INDEX(DESK!$AD$2:$AD$601,MATCH(195,DESK!$AR$2:$AR$601,0)),""))</f>
        <v/>
      </c>
      <c r="G203" s="28" t="str">
        <f>IF(B203="","",INDEX(DESK!$AV$2:$AV$601,MATCH(195,DESK!$AR$2:$AR$601,0)))</f>
        <v/>
      </c>
      <c r="I203" s="21"/>
      <c r="J203" s="20"/>
      <c r="K203" s="20"/>
      <c r="L203" s="20"/>
      <c r="M203" s="23" t="str">
        <f t="shared" si="3"/>
        <v/>
      </c>
    </row>
    <row r="204" spans="1:13" x14ac:dyDescent="0.35">
      <c r="A204" s="28">
        <v>196</v>
      </c>
      <c r="B204" s="43" t="str">
        <f>IF(SETTINGS!$B$22&lt;&gt;"YES","",IFERROR(IF(OR($J$3="Everyone",INDEX(DESK!$AV$2:$AV$601,MATCH(196,DESK!$AR$2:$AR$601,0))="SEND"),"91"&amp;INDEX(DESK!$F$2:$F$601,MATCH(196,DESK!$AR$2:$AR$601,0)),""),""))</f>
        <v/>
      </c>
      <c r="C204" s="28" t="str">
        <f>IF(B204="","",IF(INDEX(DESK!$AC$2:$AC$601,MATCH(196,DESK!$AR$2:$AR$601,0))="YES","A","B"))</f>
        <v/>
      </c>
      <c r="D204" s="28" t="str">
        <f>IF(B204="","",INDEX(DESK!$AQ$2:$AQ$601,MATCH(196,DESK!$AR$2:$AR$601,0)))</f>
        <v/>
      </c>
      <c r="E204" s="28" t="str">
        <f>IF(B204="","",INDEX(DESK!$B$2:$B$601,MATCH(196,DESK!$AR$2:$AR$601,0))&amp;IF(COUNTIFS(DESK!$F$2:$F$601,INDEX(DESK!$F$2:$F$601,MATCH(196,DESK!$AR$2:$AR$601,0)),DESK!$L$2:$L$601,1)&gt;1," and "&amp;(COUNTIFS(DESK!$F$2:$F$601,INDEX(DESK!$F$2:$F$601,MATCH(196,DESK!$AR$2:$AR$601,0)),DESK!$L$2:$L$601,1)-1)&amp;" more",""))</f>
        <v/>
      </c>
      <c r="F204" s="28" t="str">
        <f>IF(B204="","",IF(C204="B",INDEX(DESK!$AD$2:$AD$601,MATCH(196,DESK!$AR$2:$AR$601,0)),""))</f>
        <v/>
      </c>
      <c r="G204" s="28" t="str">
        <f>IF(B204="","",INDEX(DESK!$AV$2:$AV$601,MATCH(196,DESK!$AR$2:$AR$601,0)))</f>
        <v/>
      </c>
      <c r="I204" s="21"/>
      <c r="J204" s="20"/>
      <c r="K204" s="20"/>
      <c r="L204" s="20"/>
      <c r="M204" s="23" t="str">
        <f t="shared" si="3"/>
        <v/>
      </c>
    </row>
    <row r="205" spans="1:13" x14ac:dyDescent="0.35">
      <c r="A205" s="28">
        <v>197</v>
      </c>
      <c r="B205" s="43" t="str">
        <f>IF(SETTINGS!$B$22&lt;&gt;"YES","",IFERROR(IF(OR($J$3="Everyone",INDEX(DESK!$AV$2:$AV$601,MATCH(197,DESK!$AR$2:$AR$601,0))="SEND"),"91"&amp;INDEX(DESK!$F$2:$F$601,MATCH(197,DESK!$AR$2:$AR$601,0)),""),""))</f>
        <v/>
      </c>
      <c r="C205" s="28" t="str">
        <f>IF(B205="","",IF(INDEX(DESK!$AC$2:$AC$601,MATCH(197,DESK!$AR$2:$AR$601,0))="YES","A","B"))</f>
        <v/>
      </c>
      <c r="D205" s="28" t="str">
        <f>IF(B205="","",INDEX(DESK!$AQ$2:$AQ$601,MATCH(197,DESK!$AR$2:$AR$601,0)))</f>
        <v/>
      </c>
      <c r="E205" s="28" t="str">
        <f>IF(B205="","",INDEX(DESK!$B$2:$B$601,MATCH(197,DESK!$AR$2:$AR$601,0))&amp;IF(COUNTIFS(DESK!$F$2:$F$601,INDEX(DESK!$F$2:$F$601,MATCH(197,DESK!$AR$2:$AR$601,0)),DESK!$L$2:$L$601,1)&gt;1," and "&amp;(COUNTIFS(DESK!$F$2:$F$601,INDEX(DESK!$F$2:$F$601,MATCH(197,DESK!$AR$2:$AR$601,0)),DESK!$L$2:$L$601,1)-1)&amp;" more",""))</f>
        <v/>
      </c>
      <c r="F205" s="28" t="str">
        <f>IF(B205="","",IF(C205="B",INDEX(DESK!$AD$2:$AD$601,MATCH(197,DESK!$AR$2:$AR$601,0)),""))</f>
        <v/>
      </c>
      <c r="G205" s="28" t="str">
        <f>IF(B205="","",INDEX(DESK!$AV$2:$AV$601,MATCH(197,DESK!$AR$2:$AR$601,0)))</f>
        <v/>
      </c>
      <c r="I205" s="21"/>
      <c r="J205" s="20"/>
      <c r="K205" s="20"/>
      <c r="L205" s="20"/>
      <c r="M205" s="23" t="str">
        <f t="shared" si="3"/>
        <v/>
      </c>
    </row>
    <row r="206" spans="1:13" x14ac:dyDescent="0.35">
      <c r="A206" s="28">
        <v>198</v>
      </c>
      <c r="B206" s="43" t="str">
        <f>IF(SETTINGS!$B$22&lt;&gt;"YES","",IFERROR(IF(OR($J$3="Everyone",INDEX(DESK!$AV$2:$AV$601,MATCH(198,DESK!$AR$2:$AR$601,0))="SEND"),"91"&amp;INDEX(DESK!$F$2:$F$601,MATCH(198,DESK!$AR$2:$AR$601,0)),""),""))</f>
        <v/>
      </c>
      <c r="C206" s="28" t="str">
        <f>IF(B206="","",IF(INDEX(DESK!$AC$2:$AC$601,MATCH(198,DESK!$AR$2:$AR$601,0))="YES","A","B"))</f>
        <v/>
      </c>
      <c r="D206" s="28" t="str">
        <f>IF(B206="","",INDEX(DESK!$AQ$2:$AQ$601,MATCH(198,DESK!$AR$2:$AR$601,0)))</f>
        <v/>
      </c>
      <c r="E206" s="28" t="str">
        <f>IF(B206="","",INDEX(DESK!$B$2:$B$601,MATCH(198,DESK!$AR$2:$AR$601,0))&amp;IF(COUNTIFS(DESK!$F$2:$F$601,INDEX(DESK!$F$2:$F$601,MATCH(198,DESK!$AR$2:$AR$601,0)),DESK!$L$2:$L$601,1)&gt;1," and "&amp;(COUNTIFS(DESK!$F$2:$F$601,INDEX(DESK!$F$2:$F$601,MATCH(198,DESK!$AR$2:$AR$601,0)),DESK!$L$2:$L$601,1)-1)&amp;" more",""))</f>
        <v/>
      </c>
      <c r="F206" s="28" t="str">
        <f>IF(B206="","",IF(C206="B",INDEX(DESK!$AD$2:$AD$601,MATCH(198,DESK!$AR$2:$AR$601,0)),""))</f>
        <v/>
      </c>
      <c r="G206" s="28" t="str">
        <f>IF(B206="","",INDEX(DESK!$AV$2:$AV$601,MATCH(198,DESK!$AR$2:$AR$601,0)))</f>
        <v/>
      </c>
      <c r="I206" s="21"/>
      <c r="J206" s="20"/>
      <c r="K206" s="20"/>
      <c r="L206" s="20"/>
      <c r="M206" s="23" t="str">
        <f t="shared" si="3"/>
        <v/>
      </c>
    </row>
    <row r="207" spans="1:13" x14ac:dyDescent="0.35">
      <c r="A207" s="28">
        <v>199</v>
      </c>
      <c r="B207" s="43" t="str">
        <f>IF(SETTINGS!$B$22&lt;&gt;"YES","",IFERROR(IF(OR($J$3="Everyone",INDEX(DESK!$AV$2:$AV$601,MATCH(199,DESK!$AR$2:$AR$601,0))="SEND"),"91"&amp;INDEX(DESK!$F$2:$F$601,MATCH(199,DESK!$AR$2:$AR$601,0)),""),""))</f>
        <v/>
      </c>
      <c r="C207" s="28" t="str">
        <f>IF(B207="","",IF(INDEX(DESK!$AC$2:$AC$601,MATCH(199,DESK!$AR$2:$AR$601,0))="YES","A","B"))</f>
        <v/>
      </c>
      <c r="D207" s="28" t="str">
        <f>IF(B207="","",INDEX(DESK!$AQ$2:$AQ$601,MATCH(199,DESK!$AR$2:$AR$601,0)))</f>
        <v/>
      </c>
      <c r="E207" s="28" t="str">
        <f>IF(B207="","",INDEX(DESK!$B$2:$B$601,MATCH(199,DESK!$AR$2:$AR$601,0))&amp;IF(COUNTIFS(DESK!$F$2:$F$601,INDEX(DESK!$F$2:$F$601,MATCH(199,DESK!$AR$2:$AR$601,0)),DESK!$L$2:$L$601,1)&gt;1," and "&amp;(COUNTIFS(DESK!$F$2:$F$601,INDEX(DESK!$F$2:$F$601,MATCH(199,DESK!$AR$2:$AR$601,0)),DESK!$L$2:$L$601,1)-1)&amp;" more",""))</f>
        <v/>
      </c>
      <c r="F207" s="28" t="str">
        <f>IF(B207="","",IF(C207="B",INDEX(DESK!$AD$2:$AD$601,MATCH(199,DESK!$AR$2:$AR$601,0)),""))</f>
        <v/>
      </c>
      <c r="G207" s="28" t="str">
        <f>IF(B207="","",INDEX(DESK!$AV$2:$AV$601,MATCH(199,DESK!$AR$2:$AR$601,0)))</f>
        <v/>
      </c>
      <c r="I207" s="21"/>
      <c r="J207" s="20"/>
      <c r="K207" s="20"/>
      <c r="L207" s="20"/>
      <c r="M207" s="23" t="str">
        <f t="shared" si="3"/>
        <v/>
      </c>
    </row>
    <row r="208" spans="1:13" x14ac:dyDescent="0.35">
      <c r="A208" s="28">
        <v>200</v>
      </c>
      <c r="B208" s="43" t="str">
        <f>IF(SETTINGS!$B$22&lt;&gt;"YES","",IFERROR(IF(OR($J$3="Everyone",INDEX(DESK!$AV$2:$AV$601,MATCH(200,DESK!$AR$2:$AR$601,0))="SEND"),"91"&amp;INDEX(DESK!$F$2:$F$601,MATCH(200,DESK!$AR$2:$AR$601,0)),""),""))</f>
        <v/>
      </c>
      <c r="C208" s="28" t="str">
        <f>IF(B208="","",IF(INDEX(DESK!$AC$2:$AC$601,MATCH(200,DESK!$AR$2:$AR$601,0))="YES","A","B"))</f>
        <v/>
      </c>
      <c r="D208" s="28" t="str">
        <f>IF(B208="","",INDEX(DESK!$AQ$2:$AQ$601,MATCH(200,DESK!$AR$2:$AR$601,0)))</f>
        <v/>
      </c>
      <c r="E208" s="28" t="str">
        <f>IF(B208="","",INDEX(DESK!$B$2:$B$601,MATCH(200,DESK!$AR$2:$AR$601,0))&amp;IF(COUNTIFS(DESK!$F$2:$F$601,INDEX(DESK!$F$2:$F$601,MATCH(200,DESK!$AR$2:$AR$601,0)),DESK!$L$2:$L$601,1)&gt;1," and "&amp;(COUNTIFS(DESK!$F$2:$F$601,INDEX(DESK!$F$2:$F$601,MATCH(200,DESK!$AR$2:$AR$601,0)),DESK!$L$2:$L$601,1)-1)&amp;" more",""))</f>
        <v/>
      </c>
      <c r="F208" s="28" t="str">
        <f>IF(B208="","",IF(C208="B",INDEX(DESK!$AD$2:$AD$601,MATCH(200,DESK!$AR$2:$AR$601,0)),""))</f>
        <v/>
      </c>
      <c r="G208" s="28" t="str">
        <f>IF(B208="","",INDEX(DESK!$AV$2:$AV$601,MATCH(200,DESK!$AR$2:$AR$601,0)))</f>
        <v/>
      </c>
      <c r="I208" s="21"/>
      <c r="J208" s="20"/>
      <c r="K208" s="20"/>
      <c r="L208" s="20"/>
      <c r="M208" s="23" t="str">
        <f t="shared" si="3"/>
        <v/>
      </c>
    </row>
    <row r="209" spans="1:13" x14ac:dyDescent="0.35">
      <c r="A209" s="28">
        <v>201</v>
      </c>
      <c r="B209" s="43" t="str">
        <f>IF(SETTINGS!$B$22&lt;&gt;"YES","",IFERROR(IF(OR($J$3="Everyone",INDEX(DESK!$AV$2:$AV$601,MATCH(201,DESK!$AR$2:$AR$601,0))="SEND"),"91"&amp;INDEX(DESK!$F$2:$F$601,MATCH(201,DESK!$AR$2:$AR$601,0)),""),""))</f>
        <v/>
      </c>
      <c r="C209" s="28" t="str">
        <f>IF(B209="","",IF(INDEX(DESK!$AC$2:$AC$601,MATCH(201,DESK!$AR$2:$AR$601,0))="YES","A","B"))</f>
        <v/>
      </c>
      <c r="D209" s="28" t="str">
        <f>IF(B209="","",INDEX(DESK!$AQ$2:$AQ$601,MATCH(201,DESK!$AR$2:$AR$601,0)))</f>
        <v/>
      </c>
      <c r="E209" s="28" t="str">
        <f>IF(B209="","",INDEX(DESK!$B$2:$B$601,MATCH(201,DESK!$AR$2:$AR$601,0))&amp;IF(COUNTIFS(DESK!$F$2:$F$601,INDEX(DESK!$F$2:$F$601,MATCH(201,DESK!$AR$2:$AR$601,0)),DESK!$L$2:$L$601,1)&gt;1," and "&amp;(COUNTIFS(DESK!$F$2:$F$601,INDEX(DESK!$F$2:$F$601,MATCH(201,DESK!$AR$2:$AR$601,0)),DESK!$L$2:$L$601,1)-1)&amp;" more",""))</f>
        <v/>
      </c>
      <c r="F209" s="28" t="str">
        <f>IF(B209="","",IF(C209="B",INDEX(DESK!$AD$2:$AD$601,MATCH(201,DESK!$AR$2:$AR$601,0)),""))</f>
        <v/>
      </c>
      <c r="G209" s="28" t="str">
        <f>IF(B209="","",INDEX(DESK!$AV$2:$AV$601,MATCH(201,DESK!$AR$2:$AR$601,0)))</f>
        <v/>
      </c>
      <c r="I209" s="21"/>
      <c r="J209" s="20"/>
      <c r="K209" s="20"/>
      <c r="L209" s="20"/>
      <c r="M209" s="23" t="str">
        <f t="shared" si="3"/>
        <v/>
      </c>
    </row>
    <row r="210" spans="1:13" x14ac:dyDescent="0.35">
      <c r="A210" s="28">
        <v>202</v>
      </c>
      <c r="B210" s="43" t="str">
        <f>IF(SETTINGS!$B$22&lt;&gt;"YES","",IFERROR(IF(OR($J$3="Everyone",INDEX(DESK!$AV$2:$AV$601,MATCH(202,DESK!$AR$2:$AR$601,0))="SEND"),"91"&amp;INDEX(DESK!$F$2:$F$601,MATCH(202,DESK!$AR$2:$AR$601,0)),""),""))</f>
        <v/>
      </c>
      <c r="C210" s="28" t="str">
        <f>IF(B210="","",IF(INDEX(DESK!$AC$2:$AC$601,MATCH(202,DESK!$AR$2:$AR$601,0))="YES","A","B"))</f>
        <v/>
      </c>
      <c r="D210" s="28" t="str">
        <f>IF(B210="","",INDEX(DESK!$AQ$2:$AQ$601,MATCH(202,DESK!$AR$2:$AR$601,0)))</f>
        <v/>
      </c>
      <c r="E210" s="28" t="str">
        <f>IF(B210="","",INDEX(DESK!$B$2:$B$601,MATCH(202,DESK!$AR$2:$AR$601,0))&amp;IF(COUNTIFS(DESK!$F$2:$F$601,INDEX(DESK!$F$2:$F$601,MATCH(202,DESK!$AR$2:$AR$601,0)),DESK!$L$2:$L$601,1)&gt;1," and "&amp;(COUNTIFS(DESK!$F$2:$F$601,INDEX(DESK!$F$2:$F$601,MATCH(202,DESK!$AR$2:$AR$601,0)),DESK!$L$2:$L$601,1)-1)&amp;" more",""))</f>
        <v/>
      </c>
      <c r="F210" s="28" t="str">
        <f>IF(B210="","",IF(C210="B",INDEX(DESK!$AD$2:$AD$601,MATCH(202,DESK!$AR$2:$AR$601,0)),""))</f>
        <v/>
      </c>
      <c r="G210" s="28" t="str">
        <f>IF(B210="","",INDEX(DESK!$AV$2:$AV$601,MATCH(202,DESK!$AR$2:$AR$601,0)))</f>
        <v/>
      </c>
      <c r="I210" s="21"/>
      <c r="J210" s="20"/>
      <c r="K210" s="20"/>
      <c r="L210" s="20"/>
      <c r="M210" s="23" t="str">
        <f t="shared" si="3"/>
        <v/>
      </c>
    </row>
    <row r="211" spans="1:13" x14ac:dyDescent="0.35">
      <c r="A211" s="28">
        <v>203</v>
      </c>
      <c r="B211" s="43" t="str">
        <f>IF(SETTINGS!$B$22&lt;&gt;"YES","",IFERROR(IF(OR($J$3="Everyone",INDEX(DESK!$AV$2:$AV$601,MATCH(203,DESK!$AR$2:$AR$601,0))="SEND"),"91"&amp;INDEX(DESK!$F$2:$F$601,MATCH(203,DESK!$AR$2:$AR$601,0)),""),""))</f>
        <v/>
      </c>
      <c r="C211" s="28" t="str">
        <f>IF(B211="","",IF(INDEX(DESK!$AC$2:$AC$601,MATCH(203,DESK!$AR$2:$AR$601,0))="YES","A","B"))</f>
        <v/>
      </c>
      <c r="D211" s="28" t="str">
        <f>IF(B211="","",INDEX(DESK!$AQ$2:$AQ$601,MATCH(203,DESK!$AR$2:$AR$601,0)))</f>
        <v/>
      </c>
      <c r="E211" s="28" t="str">
        <f>IF(B211="","",INDEX(DESK!$B$2:$B$601,MATCH(203,DESK!$AR$2:$AR$601,0))&amp;IF(COUNTIFS(DESK!$F$2:$F$601,INDEX(DESK!$F$2:$F$601,MATCH(203,DESK!$AR$2:$AR$601,0)),DESK!$L$2:$L$601,1)&gt;1," and "&amp;(COUNTIFS(DESK!$F$2:$F$601,INDEX(DESK!$F$2:$F$601,MATCH(203,DESK!$AR$2:$AR$601,0)),DESK!$L$2:$L$601,1)-1)&amp;" more",""))</f>
        <v/>
      </c>
      <c r="F211" s="28" t="str">
        <f>IF(B211="","",IF(C211="B",INDEX(DESK!$AD$2:$AD$601,MATCH(203,DESK!$AR$2:$AR$601,0)),""))</f>
        <v/>
      </c>
      <c r="G211" s="28" t="str">
        <f>IF(B211="","",INDEX(DESK!$AV$2:$AV$601,MATCH(203,DESK!$AR$2:$AR$601,0)))</f>
        <v/>
      </c>
      <c r="I211" s="21"/>
      <c r="J211" s="20"/>
      <c r="K211" s="20"/>
      <c r="L211" s="20"/>
      <c r="M211" s="23" t="str">
        <f t="shared" si="3"/>
        <v/>
      </c>
    </row>
    <row r="212" spans="1:13" x14ac:dyDescent="0.35">
      <c r="A212" s="28">
        <v>204</v>
      </c>
      <c r="B212" s="43" t="str">
        <f>IF(SETTINGS!$B$22&lt;&gt;"YES","",IFERROR(IF(OR($J$3="Everyone",INDEX(DESK!$AV$2:$AV$601,MATCH(204,DESK!$AR$2:$AR$601,0))="SEND"),"91"&amp;INDEX(DESK!$F$2:$F$601,MATCH(204,DESK!$AR$2:$AR$601,0)),""),""))</f>
        <v/>
      </c>
      <c r="C212" s="28" t="str">
        <f>IF(B212="","",IF(INDEX(DESK!$AC$2:$AC$601,MATCH(204,DESK!$AR$2:$AR$601,0))="YES","A","B"))</f>
        <v/>
      </c>
      <c r="D212" s="28" t="str">
        <f>IF(B212="","",INDEX(DESK!$AQ$2:$AQ$601,MATCH(204,DESK!$AR$2:$AR$601,0)))</f>
        <v/>
      </c>
      <c r="E212" s="28" t="str">
        <f>IF(B212="","",INDEX(DESK!$B$2:$B$601,MATCH(204,DESK!$AR$2:$AR$601,0))&amp;IF(COUNTIFS(DESK!$F$2:$F$601,INDEX(DESK!$F$2:$F$601,MATCH(204,DESK!$AR$2:$AR$601,0)),DESK!$L$2:$L$601,1)&gt;1," and "&amp;(COUNTIFS(DESK!$F$2:$F$601,INDEX(DESK!$F$2:$F$601,MATCH(204,DESK!$AR$2:$AR$601,0)),DESK!$L$2:$L$601,1)-1)&amp;" more",""))</f>
        <v/>
      </c>
      <c r="F212" s="28" t="str">
        <f>IF(B212="","",IF(C212="B",INDEX(DESK!$AD$2:$AD$601,MATCH(204,DESK!$AR$2:$AR$601,0)),""))</f>
        <v/>
      </c>
      <c r="G212" s="28" t="str">
        <f>IF(B212="","",INDEX(DESK!$AV$2:$AV$601,MATCH(204,DESK!$AR$2:$AR$601,0)))</f>
        <v/>
      </c>
      <c r="I212" s="21"/>
      <c r="J212" s="20"/>
      <c r="K212" s="20"/>
      <c r="L212" s="20"/>
      <c r="M212" s="23" t="str">
        <f t="shared" si="3"/>
        <v/>
      </c>
    </row>
    <row r="213" spans="1:13" x14ac:dyDescent="0.35">
      <c r="A213" s="28">
        <v>205</v>
      </c>
      <c r="B213" s="43" t="str">
        <f>IF(SETTINGS!$B$22&lt;&gt;"YES","",IFERROR(IF(OR($J$3="Everyone",INDEX(DESK!$AV$2:$AV$601,MATCH(205,DESK!$AR$2:$AR$601,0))="SEND"),"91"&amp;INDEX(DESK!$F$2:$F$601,MATCH(205,DESK!$AR$2:$AR$601,0)),""),""))</f>
        <v/>
      </c>
      <c r="C213" s="28" t="str">
        <f>IF(B213="","",IF(INDEX(DESK!$AC$2:$AC$601,MATCH(205,DESK!$AR$2:$AR$601,0))="YES","A","B"))</f>
        <v/>
      </c>
      <c r="D213" s="28" t="str">
        <f>IF(B213="","",INDEX(DESK!$AQ$2:$AQ$601,MATCH(205,DESK!$AR$2:$AR$601,0)))</f>
        <v/>
      </c>
      <c r="E213" s="28" t="str">
        <f>IF(B213="","",INDEX(DESK!$B$2:$B$601,MATCH(205,DESK!$AR$2:$AR$601,0))&amp;IF(COUNTIFS(DESK!$F$2:$F$601,INDEX(DESK!$F$2:$F$601,MATCH(205,DESK!$AR$2:$AR$601,0)),DESK!$L$2:$L$601,1)&gt;1," and "&amp;(COUNTIFS(DESK!$F$2:$F$601,INDEX(DESK!$F$2:$F$601,MATCH(205,DESK!$AR$2:$AR$601,0)),DESK!$L$2:$L$601,1)-1)&amp;" more",""))</f>
        <v/>
      </c>
      <c r="F213" s="28" t="str">
        <f>IF(B213="","",IF(C213="B",INDEX(DESK!$AD$2:$AD$601,MATCH(205,DESK!$AR$2:$AR$601,0)),""))</f>
        <v/>
      </c>
      <c r="G213" s="28" t="str">
        <f>IF(B213="","",INDEX(DESK!$AV$2:$AV$601,MATCH(205,DESK!$AR$2:$AR$601,0)))</f>
        <v/>
      </c>
      <c r="I213" s="21"/>
      <c r="J213" s="20"/>
      <c r="K213" s="20"/>
      <c r="L213" s="20"/>
      <c r="M213" s="23" t="str">
        <f t="shared" si="3"/>
        <v/>
      </c>
    </row>
    <row r="214" spans="1:13" x14ac:dyDescent="0.35">
      <c r="A214" s="28">
        <v>206</v>
      </c>
      <c r="B214" s="43" t="str">
        <f>IF(SETTINGS!$B$22&lt;&gt;"YES","",IFERROR(IF(OR($J$3="Everyone",INDEX(DESK!$AV$2:$AV$601,MATCH(206,DESK!$AR$2:$AR$601,0))="SEND"),"91"&amp;INDEX(DESK!$F$2:$F$601,MATCH(206,DESK!$AR$2:$AR$601,0)),""),""))</f>
        <v/>
      </c>
      <c r="C214" s="28" t="str">
        <f>IF(B214="","",IF(INDEX(DESK!$AC$2:$AC$601,MATCH(206,DESK!$AR$2:$AR$601,0))="YES","A","B"))</f>
        <v/>
      </c>
      <c r="D214" s="28" t="str">
        <f>IF(B214="","",INDEX(DESK!$AQ$2:$AQ$601,MATCH(206,DESK!$AR$2:$AR$601,0)))</f>
        <v/>
      </c>
      <c r="E214" s="28" t="str">
        <f>IF(B214="","",INDEX(DESK!$B$2:$B$601,MATCH(206,DESK!$AR$2:$AR$601,0))&amp;IF(COUNTIFS(DESK!$F$2:$F$601,INDEX(DESK!$F$2:$F$601,MATCH(206,DESK!$AR$2:$AR$601,0)),DESK!$L$2:$L$601,1)&gt;1," and "&amp;(COUNTIFS(DESK!$F$2:$F$601,INDEX(DESK!$F$2:$F$601,MATCH(206,DESK!$AR$2:$AR$601,0)),DESK!$L$2:$L$601,1)-1)&amp;" more",""))</f>
        <v/>
      </c>
      <c r="F214" s="28" t="str">
        <f>IF(B214="","",IF(C214="B",INDEX(DESK!$AD$2:$AD$601,MATCH(206,DESK!$AR$2:$AR$601,0)),""))</f>
        <v/>
      </c>
      <c r="G214" s="28" t="str">
        <f>IF(B214="","",INDEX(DESK!$AV$2:$AV$601,MATCH(206,DESK!$AR$2:$AR$601,0)))</f>
        <v/>
      </c>
      <c r="I214" s="21"/>
      <c r="J214" s="20"/>
      <c r="K214" s="20"/>
      <c r="L214" s="20"/>
      <c r="M214" s="23" t="str">
        <f t="shared" si="3"/>
        <v/>
      </c>
    </row>
    <row r="215" spans="1:13" x14ac:dyDescent="0.35">
      <c r="A215" s="28">
        <v>207</v>
      </c>
      <c r="B215" s="43" t="str">
        <f>IF(SETTINGS!$B$22&lt;&gt;"YES","",IFERROR(IF(OR($J$3="Everyone",INDEX(DESK!$AV$2:$AV$601,MATCH(207,DESK!$AR$2:$AR$601,0))="SEND"),"91"&amp;INDEX(DESK!$F$2:$F$601,MATCH(207,DESK!$AR$2:$AR$601,0)),""),""))</f>
        <v/>
      </c>
      <c r="C215" s="28" t="str">
        <f>IF(B215="","",IF(INDEX(DESK!$AC$2:$AC$601,MATCH(207,DESK!$AR$2:$AR$601,0))="YES","A","B"))</f>
        <v/>
      </c>
      <c r="D215" s="28" t="str">
        <f>IF(B215="","",INDEX(DESK!$AQ$2:$AQ$601,MATCH(207,DESK!$AR$2:$AR$601,0)))</f>
        <v/>
      </c>
      <c r="E215" s="28" t="str">
        <f>IF(B215="","",INDEX(DESK!$B$2:$B$601,MATCH(207,DESK!$AR$2:$AR$601,0))&amp;IF(COUNTIFS(DESK!$F$2:$F$601,INDEX(DESK!$F$2:$F$601,MATCH(207,DESK!$AR$2:$AR$601,0)),DESK!$L$2:$L$601,1)&gt;1," and "&amp;(COUNTIFS(DESK!$F$2:$F$601,INDEX(DESK!$F$2:$F$601,MATCH(207,DESK!$AR$2:$AR$601,0)),DESK!$L$2:$L$601,1)-1)&amp;" more",""))</f>
        <v/>
      </c>
      <c r="F215" s="28" t="str">
        <f>IF(B215="","",IF(C215="B",INDEX(DESK!$AD$2:$AD$601,MATCH(207,DESK!$AR$2:$AR$601,0)),""))</f>
        <v/>
      </c>
      <c r="G215" s="28" t="str">
        <f>IF(B215="","",INDEX(DESK!$AV$2:$AV$601,MATCH(207,DESK!$AR$2:$AR$601,0)))</f>
        <v/>
      </c>
      <c r="I215" s="21"/>
      <c r="J215" s="20"/>
      <c r="K215" s="20"/>
      <c r="L215" s="20"/>
      <c r="M215" s="23" t="str">
        <f t="shared" si="3"/>
        <v/>
      </c>
    </row>
    <row r="216" spans="1:13" x14ac:dyDescent="0.35">
      <c r="A216" s="28">
        <v>208</v>
      </c>
      <c r="B216" s="43" t="str">
        <f>IF(SETTINGS!$B$22&lt;&gt;"YES","",IFERROR(IF(OR($J$3="Everyone",INDEX(DESK!$AV$2:$AV$601,MATCH(208,DESK!$AR$2:$AR$601,0))="SEND"),"91"&amp;INDEX(DESK!$F$2:$F$601,MATCH(208,DESK!$AR$2:$AR$601,0)),""),""))</f>
        <v/>
      </c>
      <c r="C216" s="28" t="str">
        <f>IF(B216="","",IF(INDEX(DESK!$AC$2:$AC$601,MATCH(208,DESK!$AR$2:$AR$601,0))="YES","A","B"))</f>
        <v/>
      </c>
      <c r="D216" s="28" t="str">
        <f>IF(B216="","",INDEX(DESK!$AQ$2:$AQ$601,MATCH(208,DESK!$AR$2:$AR$601,0)))</f>
        <v/>
      </c>
      <c r="E216" s="28" t="str">
        <f>IF(B216="","",INDEX(DESK!$B$2:$B$601,MATCH(208,DESK!$AR$2:$AR$601,0))&amp;IF(COUNTIFS(DESK!$F$2:$F$601,INDEX(DESK!$F$2:$F$601,MATCH(208,DESK!$AR$2:$AR$601,0)),DESK!$L$2:$L$601,1)&gt;1," and "&amp;(COUNTIFS(DESK!$F$2:$F$601,INDEX(DESK!$F$2:$F$601,MATCH(208,DESK!$AR$2:$AR$601,0)),DESK!$L$2:$L$601,1)-1)&amp;" more",""))</f>
        <v/>
      </c>
      <c r="F216" s="28" t="str">
        <f>IF(B216="","",IF(C216="B",INDEX(DESK!$AD$2:$AD$601,MATCH(208,DESK!$AR$2:$AR$601,0)),""))</f>
        <v/>
      </c>
      <c r="G216" s="28" t="str">
        <f>IF(B216="","",INDEX(DESK!$AV$2:$AV$601,MATCH(208,DESK!$AR$2:$AR$601,0)))</f>
        <v/>
      </c>
      <c r="I216" s="21"/>
      <c r="J216" s="20"/>
      <c r="K216" s="20"/>
      <c r="L216" s="20"/>
      <c r="M216" s="23" t="str">
        <f t="shared" si="3"/>
        <v/>
      </c>
    </row>
    <row r="217" spans="1:13" x14ac:dyDescent="0.35">
      <c r="A217" s="28">
        <v>209</v>
      </c>
      <c r="B217" s="43" t="str">
        <f>IF(SETTINGS!$B$22&lt;&gt;"YES","",IFERROR(IF(OR($J$3="Everyone",INDEX(DESK!$AV$2:$AV$601,MATCH(209,DESK!$AR$2:$AR$601,0))="SEND"),"91"&amp;INDEX(DESK!$F$2:$F$601,MATCH(209,DESK!$AR$2:$AR$601,0)),""),""))</f>
        <v/>
      </c>
      <c r="C217" s="28" t="str">
        <f>IF(B217="","",IF(INDEX(DESK!$AC$2:$AC$601,MATCH(209,DESK!$AR$2:$AR$601,0))="YES","A","B"))</f>
        <v/>
      </c>
      <c r="D217" s="28" t="str">
        <f>IF(B217="","",INDEX(DESK!$AQ$2:$AQ$601,MATCH(209,DESK!$AR$2:$AR$601,0)))</f>
        <v/>
      </c>
      <c r="E217" s="28" t="str">
        <f>IF(B217="","",INDEX(DESK!$B$2:$B$601,MATCH(209,DESK!$AR$2:$AR$601,0))&amp;IF(COUNTIFS(DESK!$F$2:$F$601,INDEX(DESK!$F$2:$F$601,MATCH(209,DESK!$AR$2:$AR$601,0)),DESK!$L$2:$L$601,1)&gt;1," and "&amp;(COUNTIFS(DESK!$F$2:$F$601,INDEX(DESK!$F$2:$F$601,MATCH(209,DESK!$AR$2:$AR$601,0)),DESK!$L$2:$L$601,1)-1)&amp;" more",""))</f>
        <v/>
      </c>
      <c r="F217" s="28" t="str">
        <f>IF(B217="","",IF(C217="B",INDEX(DESK!$AD$2:$AD$601,MATCH(209,DESK!$AR$2:$AR$601,0)),""))</f>
        <v/>
      </c>
      <c r="G217" s="28" t="str">
        <f>IF(B217="","",INDEX(DESK!$AV$2:$AV$601,MATCH(209,DESK!$AR$2:$AR$601,0)))</f>
        <v/>
      </c>
      <c r="I217" s="21"/>
      <c r="J217" s="20"/>
      <c r="K217" s="20"/>
      <c r="L217" s="20"/>
      <c r="M217" s="23" t="str">
        <f t="shared" si="3"/>
        <v/>
      </c>
    </row>
    <row r="218" spans="1:13" x14ac:dyDescent="0.35">
      <c r="A218" s="28">
        <v>210</v>
      </c>
      <c r="B218" s="43" t="str">
        <f>IF(SETTINGS!$B$22&lt;&gt;"YES","",IFERROR(IF(OR($J$3="Everyone",INDEX(DESK!$AV$2:$AV$601,MATCH(210,DESK!$AR$2:$AR$601,0))="SEND"),"91"&amp;INDEX(DESK!$F$2:$F$601,MATCH(210,DESK!$AR$2:$AR$601,0)),""),""))</f>
        <v/>
      </c>
      <c r="C218" s="28" t="str">
        <f>IF(B218="","",IF(INDEX(DESK!$AC$2:$AC$601,MATCH(210,DESK!$AR$2:$AR$601,0))="YES","A","B"))</f>
        <v/>
      </c>
      <c r="D218" s="28" t="str">
        <f>IF(B218="","",INDEX(DESK!$AQ$2:$AQ$601,MATCH(210,DESK!$AR$2:$AR$601,0)))</f>
        <v/>
      </c>
      <c r="E218" s="28" t="str">
        <f>IF(B218="","",INDEX(DESK!$B$2:$B$601,MATCH(210,DESK!$AR$2:$AR$601,0))&amp;IF(COUNTIFS(DESK!$F$2:$F$601,INDEX(DESK!$F$2:$F$601,MATCH(210,DESK!$AR$2:$AR$601,0)),DESK!$L$2:$L$601,1)&gt;1," and "&amp;(COUNTIFS(DESK!$F$2:$F$601,INDEX(DESK!$F$2:$F$601,MATCH(210,DESK!$AR$2:$AR$601,0)),DESK!$L$2:$L$601,1)-1)&amp;" more",""))</f>
        <v/>
      </c>
      <c r="F218" s="28" t="str">
        <f>IF(B218="","",IF(C218="B",INDEX(DESK!$AD$2:$AD$601,MATCH(210,DESK!$AR$2:$AR$601,0)),""))</f>
        <v/>
      </c>
      <c r="G218" s="28" t="str">
        <f>IF(B218="","",INDEX(DESK!$AV$2:$AV$601,MATCH(210,DESK!$AR$2:$AR$601,0)))</f>
        <v/>
      </c>
      <c r="I218" s="21"/>
      <c r="J218" s="20"/>
      <c r="K218" s="20"/>
      <c r="L218" s="20"/>
      <c r="M218" s="23" t="str">
        <f t="shared" si="3"/>
        <v/>
      </c>
    </row>
    <row r="219" spans="1:13" x14ac:dyDescent="0.35">
      <c r="A219" s="28">
        <v>211</v>
      </c>
      <c r="B219" s="43" t="str">
        <f>IF(SETTINGS!$B$22&lt;&gt;"YES","",IFERROR(IF(OR($J$3="Everyone",INDEX(DESK!$AV$2:$AV$601,MATCH(211,DESK!$AR$2:$AR$601,0))="SEND"),"91"&amp;INDEX(DESK!$F$2:$F$601,MATCH(211,DESK!$AR$2:$AR$601,0)),""),""))</f>
        <v/>
      </c>
      <c r="C219" s="28" t="str">
        <f>IF(B219="","",IF(INDEX(DESK!$AC$2:$AC$601,MATCH(211,DESK!$AR$2:$AR$601,0))="YES","A","B"))</f>
        <v/>
      </c>
      <c r="D219" s="28" t="str">
        <f>IF(B219="","",INDEX(DESK!$AQ$2:$AQ$601,MATCH(211,DESK!$AR$2:$AR$601,0)))</f>
        <v/>
      </c>
      <c r="E219" s="28" t="str">
        <f>IF(B219="","",INDEX(DESK!$B$2:$B$601,MATCH(211,DESK!$AR$2:$AR$601,0))&amp;IF(COUNTIFS(DESK!$F$2:$F$601,INDEX(DESK!$F$2:$F$601,MATCH(211,DESK!$AR$2:$AR$601,0)),DESK!$L$2:$L$601,1)&gt;1," and "&amp;(COUNTIFS(DESK!$F$2:$F$601,INDEX(DESK!$F$2:$F$601,MATCH(211,DESK!$AR$2:$AR$601,0)),DESK!$L$2:$L$601,1)-1)&amp;" more",""))</f>
        <v/>
      </c>
      <c r="F219" s="28" t="str">
        <f>IF(B219="","",IF(C219="B",INDEX(DESK!$AD$2:$AD$601,MATCH(211,DESK!$AR$2:$AR$601,0)),""))</f>
        <v/>
      </c>
      <c r="G219" s="28" t="str">
        <f>IF(B219="","",INDEX(DESK!$AV$2:$AV$601,MATCH(211,DESK!$AR$2:$AR$601,0)))</f>
        <v/>
      </c>
      <c r="I219" s="21"/>
      <c r="J219" s="20"/>
      <c r="K219" s="20"/>
      <c r="L219" s="20"/>
      <c r="M219" s="23" t="str">
        <f t="shared" si="3"/>
        <v/>
      </c>
    </row>
    <row r="220" spans="1:13" x14ac:dyDescent="0.35">
      <c r="A220" s="28">
        <v>212</v>
      </c>
      <c r="B220" s="43" t="str">
        <f>IF(SETTINGS!$B$22&lt;&gt;"YES","",IFERROR(IF(OR($J$3="Everyone",INDEX(DESK!$AV$2:$AV$601,MATCH(212,DESK!$AR$2:$AR$601,0))="SEND"),"91"&amp;INDEX(DESK!$F$2:$F$601,MATCH(212,DESK!$AR$2:$AR$601,0)),""),""))</f>
        <v/>
      </c>
      <c r="C220" s="28" t="str">
        <f>IF(B220="","",IF(INDEX(DESK!$AC$2:$AC$601,MATCH(212,DESK!$AR$2:$AR$601,0))="YES","A","B"))</f>
        <v/>
      </c>
      <c r="D220" s="28" t="str">
        <f>IF(B220="","",INDEX(DESK!$AQ$2:$AQ$601,MATCH(212,DESK!$AR$2:$AR$601,0)))</f>
        <v/>
      </c>
      <c r="E220" s="28" t="str">
        <f>IF(B220="","",INDEX(DESK!$B$2:$B$601,MATCH(212,DESK!$AR$2:$AR$601,0))&amp;IF(COUNTIFS(DESK!$F$2:$F$601,INDEX(DESK!$F$2:$F$601,MATCH(212,DESK!$AR$2:$AR$601,0)),DESK!$L$2:$L$601,1)&gt;1," and "&amp;(COUNTIFS(DESK!$F$2:$F$601,INDEX(DESK!$F$2:$F$601,MATCH(212,DESK!$AR$2:$AR$601,0)),DESK!$L$2:$L$601,1)-1)&amp;" more",""))</f>
        <v/>
      </c>
      <c r="F220" s="28" t="str">
        <f>IF(B220="","",IF(C220="B",INDEX(DESK!$AD$2:$AD$601,MATCH(212,DESK!$AR$2:$AR$601,0)),""))</f>
        <v/>
      </c>
      <c r="G220" s="28" t="str">
        <f>IF(B220="","",INDEX(DESK!$AV$2:$AV$601,MATCH(212,DESK!$AR$2:$AR$601,0)))</f>
        <v/>
      </c>
      <c r="I220" s="21"/>
      <c r="J220" s="20"/>
      <c r="K220" s="20"/>
      <c r="L220" s="20"/>
      <c r="M220" s="23" t="str">
        <f t="shared" si="3"/>
        <v/>
      </c>
    </row>
    <row r="221" spans="1:13" x14ac:dyDescent="0.35">
      <c r="A221" s="28">
        <v>213</v>
      </c>
      <c r="B221" s="43" t="str">
        <f>IF(SETTINGS!$B$22&lt;&gt;"YES","",IFERROR(IF(OR($J$3="Everyone",INDEX(DESK!$AV$2:$AV$601,MATCH(213,DESK!$AR$2:$AR$601,0))="SEND"),"91"&amp;INDEX(DESK!$F$2:$F$601,MATCH(213,DESK!$AR$2:$AR$601,0)),""),""))</f>
        <v/>
      </c>
      <c r="C221" s="28" t="str">
        <f>IF(B221="","",IF(INDEX(DESK!$AC$2:$AC$601,MATCH(213,DESK!$AR$2:$AR$601,0))="YES","A","B"))</f>
        <v/>
      </c>
      <c r="D221" s="28" t="str">
        <f>IF(B221="","",INDEX(DESK!$AQ$2:$AQ$601,MATCH(213,DESK!$AR$2:$AR$601,0)))</f>
        <v/>
      </c>
      <c r="E221" s="28" t="str">
        <f>IF(B221="","",INDEX(DESK!$B$2:$B$601,MATCH(213,DESK!$AR$2:$AR$601,0))&amp;IF(COUNTIFS(DESK!$F$2:$F$601,INDEX(DESK!$F$2:$F$601,MATCH(213,DESK!$AR$2:$AR$601,0)),DESK!$L$2:$L$601,1)&gt;1," and "&amp;(COUNTIFS(DESK!$F$2:$F$601,INDEX(DESK!$F$2:$F$601,MATCH(213,DESK!$AR$2:$AR$601,0)),DESK!$L$2:$L$601,1)-1)&amp;" more",""))</f>
        <v/>
      </c>
      <c r="F221" s="28" t="str">
        <f>IF(B221="","",IF(C221="B",INDEX(DESK!$AD$2:$AD$601,MATCH(213,DESK!$AR$2:$AR$601,0)),""))</f>
        <v/>
      </c>
      <c r="G221" s="28" t="str">
        <f>IF(B221="","",INDEX(DESK!$AV$2:$AV$601,MATCH(213,DESK!$AR$2:$AR$601,0)))</f>
        <v/>
      </c>
      <c r="I221" s="21"/>
      <c r="J221" s="20"/>
      <c r="K221" s="20"/>
      <c r="L221" s="20"/>
      <c r="M221" s="23" t="str">
        <f t="shared" si="3"/>
        <v/>
      </c>
    </row>
    <row r="222" spans="1:13" x14ac:dyDescent="0.35">
      <c r="A222" s="28">
        <v>214</v>
      </c>
      <c r="B222" s="43" t="str">
        <f>IF(SETTINGS!$B$22&lt;&gt;"YES","",IFERROR(IF(OR($J$3="Everyone",INDEX(DESK!$AV$2:$AV$601,MATCH(214,DESK!$AR$2:$AR$601,0))="SEND"),"91"&amp;INDEX(DESK!$F$2:$F$601,MATCH(214,DESK!$AR$2:$AR$601,0)),""),""))</f>
        <v/>
      </c>
      <c r="C222" s="28" t="str">
        <f>IF(B222="","",IF(INDEX(DESK!$AC$2:$AC$601,MATCH(214,DESK!$AR$2:$AR$601,0))="YES","A","B"))</f>
        <v/>
      </c>
      <c r="D222" s="28" t="str">
        <f>IF(B222="","",INDEX(DESK!$AQ$2:$AQ$601,MATCH(214,DESK!$AR$2:$AR$601,0)))</f>
        <v/>
      </c>
      <c r="E222" s="28" t="str">
        <f>IF(B222="","",INDEX(DESK!$B$2:$B$601,MATCH(214,DESK!$AR$2:$AR$601,0))&amp;IF(COUNTIFS(DESK!$F$2:$F$601,INDEX(DESK!$F$2:$F$601,MATCH(214,DESK!$AR$2:$AR$601,0)),DESK!$L$2:$L$601,1)&gt;1," and "&amp;(COUNTIFS(DESK!$F$2:$F$601,INDEX(DESK!$F$2:$F$601,MATCH(214,DESK!$AR$2:$AR$601,0)),DESK!$L$2:$L$601,1)-1)&amp;" more",""))</f>
        <v/>
      </c>
      <c r="F222" s="28" t="str">
        <f>IF(B222="","",IF(C222="B",INDEX(DESK!$AD$2:$AD$601,MATCH(214,DESK!$AR$2:$AR$601,0)),""))</f>
        <v/>
      </c>
      <c r="G222" s="28" t="str">
        <f>IF(B222="","",INDEX(DESK!$AV$2:$AV$601,MATCH(214,DESK!$AR$2:$AR$601,0)))</f>
        <v/>
      </c>
      <c r="I222" s="21"/>
      <c r="J222" s="20"/>
      <c r="K222" s="20"/>
      <c r="L222" s="20"/>
      <c r="M222" s="23" t="str">
        <f t="shared" si="3"/>
        <v/>
      </c>
    </row>
    <row r="223" spans="1:13" x14ac:dyDescent="0.35">
      <c r="A223" s="28">
        <v>215</v>
      </c>
      <c r="B223" s="43" t="str">
        <f>IF(SETTINGS!$B$22&lt;&gt;"YES","",IFERROR(IF(OR($J$3="Everyone",INDEX(DESK!$AV$2:$AV$601,MATCH(215,DESK!$AR$2:$AR$601,0))="SEND"),"91"&amp;INDEX(DESK!$F$2:$F$601,MATCH(215,DESK!$AR$2:$AR$601,0)),""),""))</f>
        <v/>
      </c>
      <c r="C223" s="28" t="str">
        <f>IF(B223="","",IF(INDEX(DESK!$AC$2:$AC$601,MATCH(215,DESK!$AR$2:$AR$601,0))="YES","A","B"))</f>
        <v/>
      </c>
      <c r="D223" s="28" t="str">
        <f>IF(B223="","",INDEX(DESK!$AQ$2:$AQ$601,MATCH(215,DESK!$AR$2:$AR$601,0)))</f>
        <v/>
      </c>
      <c r="E223" s="28" t="str">
        <f>IF(B223="","",INDEX(DESK!$B$2:$B$601,MATCH(215,DESK!$AR$2:$AR$601,0))&amp;IF(COUNTIFS(DESK!$F$2:$F$601,INDEX(DESK!$F$2:$F$601,MATCH(215,DESK!$AR$2:$AR$601,0)),DESK!$L$2:$L$601,1)&gt;1," and "&amp;(COUNTIFS(DESK!$F$2:$F$601,INDEX(DESK!$F$2:$F$601,MATCH(215,DESK!$AR$2:$AR$601,0)),DESK!$L$2:$L$601,1)-1)&amp;" more",""))</f>
        <v/>
      </c>
      <c r="F223" s="28" t="str">
        <f>IF(B223="","",IF(C223="B",INDEX(DESK!$AD$2:$AD$601,MATCH(215,DESK!$AR$2:$AR$601,0)),""))</f>
        <v/>
      </c>
      <c r="G223" s="28" t="str">
        <f>IF(B223="","",INDEX(DESK!$AV$2:$AV$601,MATCH(215,DESK!$AR$2:$AR$601,0)))</f>
        <v/>
      </c>
      <c r="I223" s="21"/>
      <c r="J223" s="20"/>
      <c r="K223" s="20"/>
      <c r="L223" s="20"/>
      <c r="M223" s="23" t="str">
        <f t="shared" si="3"/>
        <v/>
      </c>
    </row>
    <row r="224" spans="1:13" x14ac:dyDescent="0.35">
      <c r="A224" s="28">
        <v>216</v>
      </c>
      <c r="B224" s="43" t="str">
        <f>IF(SETTINGS!$B$22&lt;&gt;"YES","",IFERROR(IF(OR($J$3="Everyone",INDEX(DESK!$AV$2:$AV$601,MATCH(216,DESK!$AR$2:$AR$601,0))="SEND"),"91"&amp;INDEX(DESK!$F$2:$F$601,MATCH(216,DESK!$AR$2:$AR$601,0)),""),""))</f>
        <v/>
      </c>
      <c r="C224" s="28" t="str">
        <f>IF(B224="","",IF(INDEX(DESK!$AC$2:$AC$601,MATCH(216,DESK!$AR$2:$AR$601,0))="YES","A","B"))</f>
        <v/>
      </c>
      <c r="D224" s="28" t="str">
        <f>IF(B224="","",INDEX(DESK!$AQ$2:$AQ$601,MATCH(216,DESK!$AR$2:$AR$601,0)))</f>
        <v/>
      </c>
      <c r="E224" s="28" t="str">
        <f>IF(B224="","",INDEX(DESK!$B$2:$B$601,MATCH(216,DESK!$AR$2:$AR$601,0))&amp;IF(COUNTIFS(DESK!$F$2:$F$601,INDEX(DESK!$F$2:$F$601,MATCH(216,DESK!$AR$2:$AR$601,0)),DESK!$L$2:$L$601,1)&gt;1," and "&amp;(COUNTIFS(DESK!$F$2:$F$601,INDEX(DESK!$F$2:$F$601,MATCH(216,DESK!$AR$2:$AR$601,0)),DESK!$L$2:$L$601,1)-1)&amp;" more",""))</f>
        <v/>
      </c>
      <c r="F224" s="28" t="str">
        <f>IF(B224="","",IF(C224="B",INDEX(DESK!$AD$2:$AD$601,MATCH(216,DESK!$AR$2:$AR$601,0)),""))</f>
        <v/>
      </c>
      <c r="G224" s="28" t="str">
        <f>IF(B224="","",INDEX(DESK!$AV$2:$AV$601,MATCH(216,DESK!$AR$2:$AR$601,0)))</f>
        <v/>
      </c>
      <c r="I224" s="21"/>
      <c r="J224" s="20"/>
      <c r="K224" s="20"/>
      <c r="L224" s="20"/>
      <c r="M224" s="23" t="str">
        <f t="shared" si="3"/>
        <v/>
      </c>
    </row>
    <row r="225" spans="1:13" x14ac:dyDescent="0.35">
      <c r="A225" s="28">
        <v>217</v>
      </c>
      <c r="B225" s="43" t="str">
        <f>IF(SETTINGS!$B$22&lt;&gt;"YES","",IFERROR(IF(OR($J$3="Everyone",INDEX(DESK!$AV$2:$AV$601,MATCH(217,DESK!$AR$2:$AR$601,0))="SEND"),"91"&amp;INDEX(DESK!$F$2:$F$601,MATCH(217,DESK!$AR$2:$AR$601,0)),""),""))</f>
        <v/>
      </c>
      <c r="C225" s="28" t="str">
        <f>IF(B225="","",IF(INDEX(DESK!$AC$2:$AC$601,MATCH(217,DESK!$AR$2:$AR$601,0))="YES","A","B"))</f>
        <v/>
      </c>
      <c r="D225" s="28" t="str">
        <f>IF(B225="","",INDEX(DESK!$AQ$2:$AQ$601,MATCH(217,DESK!$AR$2:$AR$601,0)))</f>
        <v/>
      </c>
      <c r="E225" s="28" t="str">
        <f>IF(B225="","",INDEX(DESK!$B$2:$B$601,MATCH(217,DESK!$AR$2:$AR$601,0))&amp;IF(COUNTIFS(DESK!$F$2:$F$601,INDEX(DESK!$F$2:$F$601,MATCH(217,DESK!$AR$2:$AR$601,0)),DESK!$L$2:$L$601,1)&gt;1," and "&amp;(COUNTIFS(DESK!$F$2:$F$601,INDEX(DESK!$F$2:$F$601,MATCH(217,DESK!$AR$2:$AR$601,0)),DESK!$L$2:$L$601,1)-1)&amp;" more",""))</f>
        <v/>
      </c>
      <c r="F225" s="28" t="str">
        <f>IF(B225="","",IF(C225="B",INDEX(DESK!$AD$2:$AD$601,MATCH(217,DESK!$AR$2:$AR$601,0)),""))</f>
        <v/>
      </c>
      <c r="G225" s="28" t="str">
        <f>IF(B225="","",INDEX(DESK!$AV$2:$AV$601,MATCH(217,DESK!$AR$2:$AR$601,0)))</f>
        <v/>
      </c>
      <c r="I225" s="21"/>
      <c r="J225" s="20"/>
      <c r="K225" s="20"/>
      <c r="L225" s="20"/>
      <c r="M225" s="23" t="str">
        <f t="shared" si="3"/>
        <v/>
      </c>
    </row>
    <row r="226" spans="1:13" x14ac:dyDescent="0.35">
      <c r="A226" s="28">
        <v>218</v>
      </c>
      <c r="B226" s="43" t="str">
        <f>IF(SETTINGS!$B$22&lt;&gt;"YES","",IFERROR(IF(OR($J$3="Everyone",INDEX(DESK!$AV$2:$AV$601,MATCH(218,DESK!$AR$2:$AR$601,0))="SEND"),"91"&amp;INDEX(DESK!$F$2:$F$601,MATCH(218,DESK!$AR$2:$AR$601,0)),""),""))</f>
        <v/>
      </c>
      <c r="C226" s="28" t="str">
        <f>IF(B226="","",IF(INDEX(DESK!$AC$2:$AC$601,MATCH(218,DESK!$AR$2:$AR$601,0))="YES","A","B"))</f>
        <v/>
      </c>
      <c r="D226" s="28" t="str">
        <f>IF(B226="","",INDEX(DESK!$AQ$2:$AQ$601,MATCH(218,DESK!$AR$2:$AR$601,0)))</f>
        <v/>
      </c>
      <c r="E226" s="28" t="str">
        <f>IF(B226="","",INDEX(DESK!$B$2:$B$601,MATCH(218,DESK!$AR$2:$AR$601,0))&amp;IF(COUNTIFS(DESK!$F$2:$F$601,INDEX(DESK!$F$2:$F$601,MATCH(218,DESK!$AR$2:$AR$601,0)),DESK!$L$2:$L$601,1)&gt;1," and "&amp;(COUNTIFS(DESK!$F$2:$F$601,INDEX(DESK!$F$2:$F$601,MATCH(218,DESK!$AR$2:$AR$601,0)),DESK!$L$2:$L$601,1)-1)&amp;" more",""))</f>
        <v/>
      </c>
      <c r="F226" s="28" t="str">
        <f>IF(B226="","",IF(C226="B",INDEX(DESK!$AD$2:$AD$601,MATCH(218,DESK!$AR$2:$AR$601,0)),""))</f>
        <v/>
      </c>
      <c r="G226" s="28" t="str">
        <f>IF(B226="","",INDEX(DESK!$AV$2:$AV$601,MATCH(218,DESK!$AR$2:$AR$601,0)))</f>
        <v/>
      </c>
      <c r="I226" s="21"/>
      <c r="J226" s="20"/>
      <c r="K226" s="20"/>
      <c r="L226" s="20"/>
      <c r="M226" s="23" t="str">
        <f t="shared" si="3"/>
        <v/>
      </c>
    </row>
    <row r="227" spans="1:13" x14ac:dyDescent="0.35">
      <c r="A227" s="28">
        <v>219</v>
      </c>
      <c r="B227" s="43" t="str">
        <f>IF(SETTINGS!$B$22&lt;&gt;"YES","",IFERROR(IF(OR($J$3="Everyone",INDEX(DESK!$AV$2:$AV$601,MATCH(219,DESK!$AR$2:$AR$601,0))="SEND"),"91"&amp;INDEX(DESK!$F$2:$F$601,MATCH(219,DESK!$AR$2:$AR$601,0)),""),""))</f>
        <v/>
      </c>
      <c r="C227" s="28" t="str">
        <f>IF(B227="","",IF(INDEX(DESK!$AC$2:$AC$601,MATCH(219,DESK!$AR$2:$AR$601,0))="YES","A","B"))</f>
        <v/>
      </c>
      <c r="D227" s="28" t="str">
        <f>IF(B227="","",INDEX(DESK!$AQ$2:$AQ$601,MATCH(219,DESK!$AR$2:$AR$601,0)))</f>
        <v/>
      </c>
      <c r="E227" s="28" t="str">
        <f>IF(B227="","",INDEX(DESK!$B$2:$B$601,MATCH(219,DESK!$AR$2:$AR$601,0))&amp;IF(COUNTIFS(DESK!$F$2:$F$601,INDEX(DESK!$F$2:$F$601,MATCH(219,DESK!$AR$2:$AR$601,0)),DESK!$L$2:$L$601,1)&gt;1," and "&amp;(COUNTIFS(DESK!$F$2:$F$601,INDEX(DESK!$F$2:$F$601,MATCH(219,DESK!$AR$2:$AR$601,0)),DESK!$L$2:$L$601,1)-1)&amp;" more",""))</f>
        <v/>
      </c>
      <c r="F227" s="28" t="str">
        <f>IF(B227="","",IF(C227="B",INDEX(DESK!$AD$2:$AD$601,MATCH(219,DESK!$AR$2:$AR$601,0)),""))</f>
        <v/>
      </c>
      <c r="G227" s="28" t="str">
        <f>IF(B227="","",INDEX(DESK!$AV$2:$AV$601,MATCH(219,DESK!$AR$2:$AR$601,0)))</f>
        <v/>
      </c>
      <c r="I227" s="21"/>
      <c r="J227" s="20"/>
      <c r="K227" s="20"/>
      <c r="L227" s="20"/>
      <c r="M227" s="23" t="str">
        <f t="shared" si="3"/>
        <v/>
      </c>
    </row>
    <row r="228" spans="1:13" x14ac:dyDescent="0.35">
      <c r="A228" s="28">
        <v>220</v>
      </c>
      <c r="B228" s="43" t="str">
        <f>IF(SETTINGS!$B$22&lt;&gt;"YES","",IFERROR(IF(OR($J$3="Everyone",INDEX(DESK!$AV$2:$AV$601,MATCH(220,DESK!$AR$2:$AR$601,0))="SEND"),"91"&amp;INDEX(DESK!$F$2:$F$601,MATCH(220,DESK!$AR$2:$AR$601,0)),""),""))</f>
        <v/>
      </c>
      <c r="C228" s="28" t="str">
        <f>IF(B228="","",IF(INDEX(DESK!$AC$2:$AC$601,MATCH(220,DESK!$AR$2:$AR$601,0))="YES","A","B"))</f>
        <v/>
      </c>
      <c r="D228" s="28" t="str">
        <f>IF(B228="","",INDEX(DESK!$AQ$2:$AQ$601,MATCH(220,DESK!$AR$2:$AR$601,0)))</f>
        <v/>
      </c>
      <c r="E228" s="28" t="str">
        <f>IF(B228="","",INDEX(DESK!$B$2:$B$601,MATCH(220,DESK!$AR$2:$AR$601,0))&amp;IF(COUNTIFS(DESK!$F$2:$F$601,INDEX(DESK!$F$2:$F$601,MATCH(220,DESK!$AR$2:$AR$601,0)),DESK!$L$2:$L$601,1)&gt;1," and "&amp;(COUNTIFS(DESK!$F$2:$F$601,INDEX(DESK!$F$2:$F$601,MATCH(220,DESK!$AR$2:$AR$601,0)),DESK!$L$2:$L$601,1)-1)&amp;" more",""))</f>
        <v/>
      </c>
      <c r="F228" s="28" t="str">
        <f>IF(B228="","",IF(C228="B",INDEX(DESK!$AD$2:$AD$601,MATCH(220,DESK!$AR$2:$AR$601,0)),""))</f>
        <v/>
      </c>
      <c r="G228" s="28" t="str">
        <f>IF(B228="","",INDEX(DESK!$AV$2:$AV$601,MATCH(220,DESK!$AR$2:$AR$601,0)))</f>
        <v/>
      </c>
      <c r="I228" s="21"/>
      <c r="J228" s="20"/>
      <c r="K228" s="20"/>
      <c r="L228" s="20"/>
      <c r="M228" s="23" t="str">
        <f t="shared" si="3"/>
        <v/>
      </c>
    </row>
    <row r="229" spans="1:13" x14ac:dyDescent="0.35">
      <c r="A229" s="28">
        <v>221</v>
      </c>
      <c r="B229" s="43" t="str">
        <f>IF(SETTINGS!$B$22&lt;&gt;"YES","",IFERROR(IF(OR($J$3="Everyone",INDEX(DESK!$AV$2:$AV$601,MATCH(221,DESK!$AR$2:$AR$601,0))="SEND"),"91"&amp;INDEX(DESK!$F$2:$F$601,MATCH(221,DESK!$AR$2:$AR$601,0)),""),""))</f>
        <v/>
      </c>
      <c r="C229" s="28" t="str">
        <f>IF(B229="","",IF(INDEX(DESK!$AC$2:$AC$601,MATCH(221,DESK!$AR$2:$AR$601,0))="YES","A","B"))</f>
        <v/>
      </c>
      <c r="D229" s="28" t="str">
        <f>IF(B229="","",INDEX(DESK!$AQ$2:$AQ$601,MATCH(221,DESK!$AR$2:$AR$601,0)))</f>
        <v/>
      </c>
      <c r="E229" s="28" t="str">
        <f>IF(B229="","",INDEX(DESK!$B$2:$B$601,MATCH(221,DESK!$AR$2:$AR$601,0))&amp;IF(COUNTIFS(DESK!$F$2:$F$601,INDEX(DESK!$F$2:$F$601,MATCH(221,DESK!$AR$2:$AR$601,0)),DESK!$L$2:$L$601,1)&gt;1," and "&amp;(COUNTIFS(DESK!$F$2:$F$601,INDEX(DESK!$F$2:$F$601,MATCH(221,DESK!$AR$2:$AR$601,0)),DESK!$L$2:$L$601,1)-1)&amp;" more",""))</f>
        <v/>
      </c>
      <c r="F229" s="28" t="str">
        <f>IF(B229="","",IF(C229="B",INDEX(DESK!$AD$2:$AD$601,MATCH(221,DESK!$AR$2:$AR$601,0)),""))</f>
        <v/>
      </c>
      <c r="G229" s="28" t="str">
        <f>IF(B229="","",INDEX(DESK!$AV$2:$AV$601,MATCH(221,DESK!$AR$2:$AR$601,0)))</f>
        <v/>
      </c>
      <c r="I229" s="21"/>
      <c r="J229" s="20"/>
      <c r="K229" s="20"/>
      <c r="L229" s="20"/>
      <c r="M229" s="23" t="str">
        <f t="shared" si="3"/>
        <v/>
      </c>
    </row>
    <row r="230" spans="1:13" x14ac:dyDescent="0.35">
      <c r="A230" s="28">
        <v>222</v>
      </c>
      <c r="B230" s="43" t="str">
        <f>IF(SETTINGS!$B$22&lt;&gt;"YES","",IFERROR(IF(OR($J$3="Everyone",INDEX(DESK!$AV$2:$AV$601,MATCH(222,DESK!$AR$2:$AR$601,0))="SEND"),"91"&amp;INDEX(DESK!$F$2:$F$601,MATCH(222,DESK!$AR$2:$AR$601,0)),""),""))</f>
        <v/>
      </c>
      <c r="C230" s="28" t="str">
        <f>IF(B230="","",IF(INDEX(DESK!$AC$2:$AC$601,MATCH(222,DESK!$AR$2:$AR$601,0))="YES","A","B"))</f>
        <v/>
      </c>
      <c r="D230" s="28" t="str">
        <f>IF(B230="","",INDEX(DESK!$AQ$2:$AQ$601,MATCH(222,DESK!$AR$2:$AR$601,0)))</f>
        <v/>
      </c>
      <c r="E230" s="28" t="str">
        <f>IF(B230="","",INDEX(DESK!$B$2:$B$601,MATCH(222,DESK!$AR$2:$AR$601,0))&amp;IF(COUNTIFS(DESK!$F$2:$F$601,INDEX(DESK!$F$2:$F$601,MATCH(222,DESK!$AR$2:$AR$601,0)),DESK!$L$2:$L$601,1)&gt;1," and "&amp;(COUNTIFS(DESK!$F$2:$F$601,INDEX(DESK!$F$2:$F$601,MATCH(222,DESK!$AR$2:$AR$601,0)),DESK!$L$2:$L$601,1)-1)&amp;" more",""))</f>
        <v/>
      </c>
      <c r="F230" s="28" t="str">
        <f>IF(B230="","",IF(C230="B",INDEX(DESK!$AD$2:$AD$601,MATCH(222,DESK!$AR$2:$AR$601,0)),""))</f>
        <v/>
      </c>
      <c r="G230" s="28" t="str">
        <f>IF(B230="","",INDEX(DESK!$AV$2:$AV$601,MATCH(222,DESK!$AR$2:$AR$601,0)))</f>
        <v/>
      </c>
      <c r="I230" s="21"/>
      <c r="J230" s="20"/>
      <c r="K230" s="20"/>
      <c r="L230" s="20"/>
      <c r="M230" s="23" t="str">
        <f t="shared" si="3"/>
        <v/>
      </c>
    </row>
    <row r="231" spans="1:13" x14ac:dyDescent="0.35">
      <c r="A231" s="28">
        <v>223</v>
      </c>
      <c r="B231" s="43" t="str">
        <f>IF(SETTINGS!$B$22&lt;&gt;"YES","",IFERROR(IF(OR($J$3="Everyone",INDEX(DESK!$AV$2:$AV$601,MATCH(223,DESK!$AR$2:$AR$601,0))="SEND"),"91"&amp;INDEX(DESK!$F$2:$F$601,MATCH(223,DESK!$AR$2:$AR$601,0)),""),""))</f>
        <v/>
      </c>
      <c r="C231" s="28" t="str">
        <f>IF(B231="","",IF(INDEX(DESK!$AC$2:$AC$601,MATCH(223,DESK!$AR$2:$AR$601,0))="YES","A","B"))</f>
        <v/>
      </c>
      <c r="D231" s="28" t="str">
        <f>IF(B231="","",INDEX(DESK!$AQ$2:$AQ$601,MATCH(223,DESK!$AR$2:$AR$601,0)))</f>
        <v/>
      </c>
      <c r="E231" s="28" t="str">
        <f>IF(B231="","",INDEX(DESK!$B$2:$B$601,MATCH(223,DESK!$AR$2:$AR$601,0))&amp;IF(COUNTIFS(DESK!$F$2:$F$601,INDEX(DESK!$F$2:$F$601,MATCH(223,DESK!$AR$2:$AR$601,0)),DESK!$L$2:$L$601,1)&gt;1," and "&amp;(COUNTIFS(DESK!$F$2:$F$601,INDEX(DESK!$F$2:$F$601,MATCH(223,DESK!$AR$2:$AR$601,0)),DESK!$L$2:$L$601,1)-1)&amp;" more",""))</f>
        <v/>
      </c>
      <c r="F231" s="28" t="str">
        <f>IF(B231="","",IF(C231="B",INDEX(DESK!$AD$2:$AD$601,MATCH(223,DESK!$AR$2:$AR$601,0)),""))</f>
        <v/>
      </c>
      <c r="G231" s="28" t="str">
        <f>IF(B231="","",INDEX(DESK!$AV$2:$AV$601,MATCH(223,DESK!$AR$2:$AR$601,0)))</f>
        <v/>
      </c>
      <c r="I231" s="21"/>
      <c r="J231" s="20"/>
      <c r="K231" s="20"/>
      <c r="L231" s="20"/>
      <c r="M231" s="23" t="str">
        <f t="shared" si="3"/>
        <v/>
      </c>
    </row>
    <row r="232" spans="1:13" x14ac:dyDescent="0.35">
      <c r="A232" s="28">
        <v>224</v>
      </c>
      <c r="B232" s="43" t="str">
        <f>IF(SETTINGS!$B$22&lt;&gt;"YES","",IFERROR(IF(OR($J$3="Everyone",INDEX(DESK!$AV$2:$AV$601,MATCH(224,DESK!$AR$2:$AR$601,0))="SEND"),"91"&amp;INDEX(DESK!$F$2:$F$601,MATCH(224,DESK!$AR$2:$AR$601,0)),""),""))</f>
        <v/>
      </c>
      <c r="C232" s="28" t="str">
        <f>IF(B232="","",IF(INDEX(DESK!$AC$2:$AC$601,MATCH(224,DESK!$AR$2:$AR$601,0))="YES","A","B"))</f>
        <v/>
      </c>
      <c r="D232" s="28" t="str">
        <f>IF(B232="","",INDEX(DESK!$AQ$2:$AQ$601,MATCH(224,DESK!$AR$2:$AR$601,0)))</f>
        <v/>
      </c>
      <c r="E232" s="28" t="str">
        <f>IF(B232="","",INDEX(DESK!$B$2:$B$601,MATCH(224,DESK!$AR$2:$AR$601,0))&amp;IF(COUNTIFS(DESK!$F$2:$F$601,INDEX(DESK!$F$2:$F$601,MATCH(224,DESK!$AR$2:$AR$601,0)),DESK!$L$2:$L$601,1)&gt;1," and "&amp;(COUNTIFS(DESK!$F$2:$F$601,INDEX(DESK!$F$2:$F$601,MATCH(224,DESK!$AR$2:$AR$601,0)),DESK!$L$2:$L$601,1)-1)&amp;" more",""))</f>
        <v/>
      </c>
      <c r="F232" s="28" t="str">
        <f>IF(B232="","",IF(C232="B",INDEX(DESK!$AD$2:$AD$601,MATCH(224,DESK!$AR$2:$AR$601,0)),""))</f>
        <v/>
      </c>
      <c r="G232" s="28" t="str">
        <f>IF(B232="","",INDEX(DESK!$AV$2:$AV$601,MATCH(224,DESK!$AR$2:$AR$601,0)))</f>
        <v/>
      </c>
      <c r="I232" s="21"/>
      <c r="J232" s="20"/>
      <c r="K232" s="20"/>
      <c r="L232" s="20"/>
      <c r="M232" s="23" t="str">
        <f t="shared" si="3"/>
        <v/>
      </c>
    </row>
    <row r="233" spans="1:13" x14ac:dyDescent="0.35">
      <c r="A233" s="28">
        <v>225</v>
      </c>
      <c r="B233" s="43" t="str">
        <f>IF(SETTINGS!$B$22&lt;&gt;"YES","",IFERROR(IF(OR($J$3="Everyone",INDEX(DESK!$AV$2:$AV$601,MATCH(225,DESK!$AR$2:$AR$601,0))="SEND"),"91"&amp;INDEX(DESK!$F$2:$F$601,MATCH(225,DESK!$AR$2:$AR$601,0)),""),""))</f>
        <v/>
      </c>
      <c r="C233" s="28" t="str">
        <f>IF(B233="","",IF(INDEX(DESK!$AC$2:$AC$601,MATCH(225,DESK!$AR$2:$AR$601,0))="YES","A","B"))</f>
        <v/>
      </c>
      <c r="D233" s="28" t="str">
        <f>IF(B233="","",INDEX(DESK!$AQ$2:$AQ$601,MATCH(225,DESK!$AR$2:$AR$601,0)))</f>
        <v/>
      </c>
      <c r="E233" s="28" t="str">
        <f>IF(B233="","",INDEX(DESK!$B$2:$B$601,MATCH(225,DESK!$AR$2:$AR$601,0))&amp;IF(COUNTIFS(DESK!$F$2:$F$601,INDEX(DESK!$F$2:$F$601,MATCH(225,DESK!$AR$2:$AR$601,0)),DESK!$L$2:$L$601,1)&gt;1," and "&amp;(COUNTIFS(DESK!$F$2:$F$601,INDEX(DESK!$F$2:$F$601,MATCH(225,DESK!$AR$2:$AR$601,0)),DESK!$L$2:$L$601,1)-1)&amp;" more",""))</f>
        <v/>
      </c>
      <c r="F233" s="28" t="str">
        <f>IF(B233="","",IF(C233="B",INDEX(DESK!$AD$2:$AD$601,MATCH(225,DESK!$AR$2:$AR$601,0)),""))</f>
        <v/>
      </c>
      <c r="G233" s="28" t="str">
        <f>IF(B233="","",INDEX(DESK!$AV$2:$AV$601,MATCH(225,DESK!$AR$2:$AR$601,0)))</f>
        <v/>
      </c>
      <c r="I233" s="21"/>
      <c r="J233" s="20"/>
      <c r="K233" s="20"/>
      <c r="L233" s="20"/>
      <c r="M233" s="23" t="str">
        <f t="shared" si="3"/>
        <v/>
      </c>
    </row>
    <row r="234" spans="1:13" x14ac:dyDescent="0.35">
      <c r="A234" s="28">
        <v>226</v>
      </c>
      <c r="B234" s="43" t="str">
        <f>IF(SETTINGS!$B$22&lt;&gt;"YES","",IFERROR(IF(OR($J$3="Everyone",INDEX(DESK!$AV$2:$AV$601,MATCH(226,DESK!$AR$2:$AR$601,0))="SEND"),"91"&amp;INDEX(DESK!$F$2:$F$601,MATCH(226,DESK!$AR$2:$AR$601,0)),""),""))</f>
        <v/>
      </c>
      <c r="C234" s="28" t="str">
        <f>IF(B234="","",IF(INDEX(DESK!$AC$2:$AC$601,MATCH(226,DESK!$AR$2:$AR$601,0))="YES","A","B"))</f>
        <v/>
      </c>
      <c r="D234" s="28" t="str">
        <f>IF(B234="","",INDEX(DESK!$AQ$2:$AQ$601,MATCH(226,DESK!$AR$2:$AR$601,0)))</f>
        <v/>
      </c>
      <c r="E234" s="28" t="str">
        <f>IF(B234="","",INDEX(DESK!$B$2:$B$601,MATCH(226,DESK!$AR$2:$AR$601,0))&amp;IF(COUNTIFS(DESK!$F$2:$F$601,INDEX(DESK!$F$2:$F$601,MATCH(226,DESK!$AR$2:$AR$601,0)),DESK!$L$2:$L$601,1)&gt;1," and "&amp;(COUNTIFS(DESK!$F$2:$F$601,INDEX(DESK!$F$2:$F$601,MATCH(226,DESK!$AR$2:$AR$601,0)),DESK!$L$2:$L$601,1)-1)&amp;" more",""))</f>
        <v/>
      </c>
      <c r="F234" s="28" t="str">
        <f>IF(B234="","",IF(C234="B",INDEX(DESK!$AD$2:$AD$601,MATCH(226,DESK!$AR$2:$AR$601,0)),""))</f>
        <v/>
      </c>
      <c r="G234" s="28" t="str">
        <f>IF(B234="","",INDEX(DESK!$AV$2:$AV$601,MATCH(226,DESK!$AR$2:$AR$601,0)))</f>
        <v/>
      </c>
      <c r="I234" s="21"/>
      <c r="J234" s="20"/>
      <c r="K234" s="20"/>
      <c r="L234" s="20"/>
      <c r="M234" s="23" t="str">
        <f t="shared" si="3"/>
        <v/>
      </c>
    </row>
    <row r="235" spans="1:13" x14ac:dyDescent="0.35">
      <c r="A235" s="28">
        <v>227</v>
      </c>
      <c r="B235" s="43" t="str">
        <f>IF(SETTINGS!$B$22&lt;&gt;"YES","",IFERROR(IF(OR($J$3="Everyone",INDEX(DESK!$AV$2:$AV$601,MATCH(227,DESK!$AR$2:$AR$601,0))="SEND"),"91"&amp;INDEX(DESK!$F$2:$F$601,MATCH(227,DESK!$AR$2:$AR$601,0)),""),""))</f>
        <v/>
      </c>
      <c r="C235" s="28" t="str">
        <f>IF(B235="","",IF(INDEX(DESK!$AC$2:$AC$601,MATCH(227,DESK!$AR$2:$AR$601,0))="YES","A","B"))</f>
        <v/>
      </c>
      <c r="D235" s="28" t="str">
        <f>IF(B235="","",INDEX(DESK!$AQ$2:$AQ$601,MATCH(227,DESK!$AR$2:$AR$601,0)))</f>
        <v/>
      </c>
      <c r="E235" s="28" t="str">
        <f>IF(B235="","",INDEX(DESK!$B$2:$B$601,MATCH(227,DESK!$AR$2:$AR$601,0))&amp;IF(COUNTIFS(DESK!$F$2:$F$601,INDEX(DESK!$F$2:$F$601,MATCH(227,DESK!$AR$2:$AR$601,0)),DESK!$L$2:$L$601,1)&gt;1," and "&amp;(COUNTIFS(DESK!$F$2:$F$601,INDEX(DESK!$F$2:$F$601,MATCH(227,DESK!$AR$2:$AR$601,0)),DESK!$L$2:$L$601,1)-1)&amp;" more",""))</f>
        <v/>
      </c>
      <c r="F235" s="28" t="str">
        <f>IF(B235="","",IF(C235="B",INDEX(DESK!$AD$2:$AD$601,MATCH(227,DESK!$AR$2:$AR$601,0)),""))</f>
        <v/>
      </c>
      <c r="G235" s="28" t="str">
        <f>IF(B235="","",INDEX(DESK!$AV$2:$AV$601,MATCH(227,DESK!$AR$2:$AR$601,0)))</f>
        <v/>
      </c>
      <c r="I235" s="21"/>
      <c r="J235" s="20"/>
      <c r="K235" s="20"/>
      <c r="L235" s="20"/>
      <c r="M235" s="23" t="str">
        <f t="shared" si="3"/>
        <v/>
      </c>
    </row>
    <row r="236" spans="1:13" x14ac:dyDescent="0.35">
      <c r="A236" s="28">
        <v>228</v>
      </c>
      <c r="B236" s="43" t="str">
        <f>IF(SETTINGS!$B$22&lt;&gt;"YES","",IFERROR(IF(OR($J$3="Everyone",INDEX(DESK!$AV$2:$AV$601,MATCH(228,DESK!$AR$2:$AR$601,0))="SEND"),"91"&amp;INDEX(DESK!$F$2:$F$601,MATCH(228,DESK!$AR$2:$AR$601,0)),""),""))</f>
        <v/>
      </c>
      <c r="C236" s="28" t="str">
        <f>IF(B236="","",IF(INDEX(DESK!$AC$2:$AC$601,MATCH(228,DESK!$AR$2:$AR$601,0))="YES","A","B"))</f>
        <v/>
      </c>
      <c r="D236" s="28" t="str">
        <f>IF(B236="","",INDEX(DESK!$AQ$2:$AQ$601,MATCH(228,DESK!$AR$2:$AR$601,0)))</f>
        <v/>
      </c>
      <c r="E236" s="28" t="str">
        <f>IF(B236="","",INDEX(DESK!$B$2:$B$601,MATCH(228,DESK!$AR$2:$AR$601,0))&amp;IF(COUNTIFS(DESK!$F$2:$F$601,INDEX(DESK!$F$2:$F$601,MATCH(228,DESK!$AR$2:$AR$601,0)),DESK!$L$2:$L$601,1)&gt;1," and "&amp;(COUNTIFS(DESK!$F$2:$F$601,INDEX(DESK!$F$2:$F$601,MATCH(228,DESK!$AR$2:$AR$601,0)),DESK!$L$2:$L$601,1)-1)&amp;" more",""))</f>
        <v/>
      </c>
      <c r="F236" s="28" t="str">
        <f>IF(B236="","",IF(C236="B",INDEX(DESK!$AD$2:$AD$601,MATCH(228,DESK!$AR$2:$AR$601,0)),""))</f>
        <v/>
      </c>
      <c r="G236" s="28" t="str">
        <f>IF(B236="","",INDEX(DESK!$AV$2:$AV$601,MATCH(228,DESK!$AR$2:$AR$601,0)))</f>
        <v/>
      </c>
      <c r="I236" s="21"/>
      <c r="J236" s="20"/>
      <c r="K236" s="20"/>
      <c r="L236" s="20"/>
      <c r="M236" s="23" t="str">
        <f t="shared" si="3"/>
        <v/>
      </c>
    </row>
    <row r="237" spans="1:13" x14ac:dyDescent="0.35">
      <c r="A237" s="28">
        <v>229</v>
      </c>
      <c r="B237" s="43" t="str">
        <f>IF(SETTINGS!$B$22&lt;&gt;"YES","",IFERROR(IF(OR($J$3="Everyone",INDEX(DESK!$AV$2:$AV$601,MATCH(229,DESK!$AR$2:$AR$601,0))="SEND"),"91"&amp;INDEX(DESK!$F$2:$F$601,MATCH(229,DESK!$AR$2:$AR$601,0)),""),""))</f>
        <v/>
      </c>
      <c r="C237" s="28" t="str">
        <f>IF(B237="","",IF(INDEX(DESK!$AC$2:$AC$601,MATCH(229,DESK!$AR$2:$AR$601,0))="YES","A","B"))</f>
        <v/>
      </c>
      <c r="D237" s="28" t="str">
        <f>IF(B237="","",INDEX(DESK!$AQ$2:$AQ$601,MATCH(229,DESK!$AR$2:$AR$601,0)))</f>
        <v/>
      </c>
      <c r="E237" s="28" t="str">
        <f>IF(B237="","",INDEX(DESK!$B$2:$B$601,MATCH(229,DESK!$AR$2:$AR$601,0))&amp;IF(COUNTIFS(DESK!$F$2:$F$601,INDEX(DESK!$F$2:$F$601,MATCH(229,DESK!$AR$2:$AR$601,0)),DESK!$L$2:$L$601,1)&gt;1," and "&amp;(COUNTIFS(DESK!$F$2:$F$601,INDEX(DESK!$F$2:$F$601,MATCH(229,DESK!$AR$2:$AR$601,0)),DESK!$L$2:$L$601,1)-1)&amp;" more",""))</f>
        <v/>
      </c>
      <c r="F237" s="28" t="str">
        <f>IF(B237="","",IF(C237="B",INDEX(DESK!$AD$2:$AD$601,MATCH(229,DESK!$AR$2:$AR$601,0)),""))</f>
        <v/>
      </c>
      <c r="G237" s="28" t="str">
        <f>IF(B237="","",INDEX(DESK!$AV$2:$AV$601,MATCH(229,DESK!$AR$2:$AR$601,0)))</f>
        <v/>
      </c>
      <c r="I237" s="21"/>
      <c r="J237" s="20"/>
      <c r="K237" s="20"/>
      <c r="L237" s="20"/>
      <c r="M237" s="23" t="str">
        <f t="shared" si="3"/>
        <v/>
      </c>
    </row>
    <row r="238" spans="1:13" x14ac:dyDescent="0.35">
      <c r="A238" s="28">
        <v>230</v>
      </c>
      <c r="B238" s="43" t="str">
        <f>IF(SETTINGS!$B$22&lt;&gt;"YES","",IFERROR(IF(OR($J$3="Everyone",INDEX(DESK!$AV$2:$AV$601,MATCH(230,DESK!$AR$2:$AR$601,0))="SEND"),"91"&amp;INDEX(DESK!$F$2:$F$601,MATCH(230,DESK!$AR$2:$AR$601,0)),""),""))</f>
        <v/>
      </c>
      <c r="C238" s="28" t="str">
        <f>IF(B238="","",IF(INDEX(DESK!$AC$2:$AC$601,MATCH(230,DESK!$AR$2:$AR$601,0))="YES","A","B"))</f>
        <v/>
      </c>
      <c r="D238" s="28" t="str">
        <f>IF(B238="","",INDEX(DESK!$AQ$2:$AQ$601,MATCH(230,DESK!$AR$2:$AR$601,0)))</f>
        <v/>
      </c>
      <c r="E238" s="28" t="str">
        <f>IF(B238="","",INDEX(DESK!$B$2:$B$601,MATCH(230,DESK!$AR$2:$AR$601,0))&amp;IF(COUNTIFS(DESK!$F$2:$F$601,INDEX(DESK!$F$2:$F$601,MATCH(230,DESK!$AR$2:$AR$601,0)),DESK!$L$2:$L$601,1)&gt;1," and "&amp;(COUNTIFS(DESK!$F$2:$F$601,INDEX(DESK!$F$2:$F$601,MATCH(230,DESK!$AR$2:$AR$601,0)),DESK!$L$2:$L$601,1)-1)&amp;" more",""))</f>
        <v/>
      </c>
      <c r="F238" s="28" t="str">
        <f>IF(B238="","",IF(C238="B",INDEX(DESK!$AD$2:$AD$601,MATCH(230,DESK!$AR$2:$AR$601,0)),""))</f>
        <v/>
      </c>
      <c r="G238" s="28" t="str">
        <f>IF(B238="","",INDEX(DESK!$AV$2:$AV$601,MATCH(230,DESK!$AR$2:$AR$601,0)))</f>
        <v/>
      </c>
      <c r="I238" s="21"/>
      <c r="J238" s="20"/>
      <c r="K238" s="20"/>
      <c r="L238" s="20"/>
      <c r="M238" s="23" t="str">
        <f t="shared" si="3"/>
        <v/>
      </c>
    </row>
    <row r="239" spans="1:13" x14ac:dyDescent="0.35">
      <c r="A239" s="28">
        <v>231</v>
      </c>
      <c r="B239" s="43" t="str">
        <f>IF(SETTINGS!$B$22&lt;&gt;"YES","",IFERROR(IF(OR($J$3="Everyone",INDEX(DESK!$AV$2:$AV$601,MATCH(231,DESK!$AR$2:$AR$601,0))="SEND"),"91"&amp;INDEX(DESK!$F$2:$F$601,MATCH(231,DESK!$AR$2:$AR$601,0)),""),""))</f>
        <v/>
      </c>
      <c r="C239" s="28" t="str">
        <f>IF(B239="","",IF(INDEX(DESK!$AC$2:$AC$601,MATCH(231,DESK!$AR$2:$AR$601,0))="YES","A","B"))</f>
        <v/>
      </c>
      <c r="D239" s="28" t="str">
        <f>IF(B239="","",INDEX(DESK!$AQ$2:$AQ$601,MATCH(231,DESK!$AR$2:$AR$601,0)))</f>
        <v/>
      </c>
      <c r="E239" s="28" t="str">
        <f>IF(B239="","",INDEX(DESK!$B$2:$B$601,MATCH(231,DESK!$AR$2:$AR$601,0))&amp;IF(COUNTIFS(DESK!$F$2:$F$601,INDEX(DESK!$F$2:$F$601,MATCH(231,DESK!$AR$2:$AR$601,0)),DESK!$L$2:$L$601,1)&gt;1," and "&amp;(COUNTIFS(DESK!$F$2:$F$601,INDEX(DESK!$F$2:$F$601,MATCH(231,DESK!$AR$2:$AR$601,0)),DESK!$L$2:$L$601,1)-1)&amp;" more",""))</f>
        <v/>
      </c>
      <c r="F239" s="28" t="str">
        <f>IF(B239="","",IF(C239="B",INDEX(DESK!$AD$2:$AD$601,MATCH(231,DESK!$AR$2:$AR$601,0)),""))</f>
        <v/>
      </c>
      <c r="G239" s="28" t="str">
        <f>IF(B239="","",INDEX(DESK!$AV$2:$AV$601,MATCH(231,DESK!$AR$2:$AR$601,0)))</f>
        <v/>
      </c>
      <c r="I239" s="21"/>
      <c r="J239" s="20"/>
      <c r="K239" s="20"/>
      <c r="L239" s="20"/>
      <c r="M239" s="23" t="str">
        <f t="shared" si="3"/>
        <v/>
      </c>
    </row>
    <row r="240" spans="1:13" x14ac:dyDescent="0.35">
      <c r="A240" s="28">
        <v>232</v>
      </c>
      <c r="B240" s="43" t="str">
        <f>IF(SETTINGS!$B$22&lt;&gt;"YES","",IFERROR(IF(OR($J$3="Everyone",INDEX(DESK!$AV$2:$AV$601,MATCH(232,DESK!$AR$2:$AR$601,0))="SEND"),"91"&amp;INDEX(DESK!$F$2:$F$601,MATCH(232,DESK!$AR$2:$AR$601,0)),""),""))</f>
        <v/>
      </c>
      <c r="C240" s="28" t="str">
        <f>IF(B240="","",IF(INDEX(DESK!$AC$2:$AC$601,MATCH(232,DESK!$AR$2:$AR$601,0))="YES","A","B"))</f>
        <v/>
      </c>
      <c r="D240" s="28" t="str">
        <f>IF(B240="","",INDEX(DESK!$AQ$2:$AQ$601,MATCH(232,DESK!$AR$2:$AR$601,0)))</f>
        <v/>
      </c>
      <c r="E240" s="28" t="str">
        <f>IF(B240="","",INDEX(DESK!$B$2:$B$601,MATCH(232,DESK!$AR$2:$AR$601,0))&amp;IF(COUNTIFS(DESK!$F$2:$F$601,INDEX(DESK!$F$2:$F$601,MATCH(232,DESK!$AR$2:$AR$601,0)),DESK!$L$2:$L$601,1)&gt;1," and "&amp;(COUNTIFS(DESK!$F$2:$F$601,INDEX(DESK!$F$2:$F$601,MATCH(232,DESK!$AR$2:$AR$601,0)),DESK!$L$2:$L$601,1)-1)&amp;" more",""))</f>
        <v/>
      </c>
      <c r="F240" s="28" t="str">
        <f>IF(B240="","",IF(C240="B",INDEX(DESK!$AD$2:$AD$601,MATCH(232,DESK!$AR$2:$AR$601,0)),""))</f>
        <v/>
      </c>
      <c r="G240" s="28" t="str">
        <f>IF(B240="","",INDEX(DESK!$AV$2:$AV$601,MATCH(232,DESK!$AR$2:$AR$601,0)))</f>
        <v/>
      </c>
      <c r="I240" s="21"/>
      <c r="J240" s="20"/>
      <c r="K240" s="20"/>
      <c r="L240" s="20"/>
      <c r="M240" s="23" t="str">
        <f t="shared" si="3"/>
        <v/>
      </c>
    </row>
    <row r="241" spans="1:13" x14ac:dyDescent="0.35">
      <c r="A241" s="28">
        <v>233</v>
      </c>
      <c r="B241" s="43" t="str">
        <f>IF(SETTINGS!$B$22&lt;&gt;"YES","",IFERROR(IF(OR($J$3="Everyone",INDEX(DESK!$AV$2:$AV$601,MATCH(233,DESK!$AR$2:$AR$601,0))="SEND"),"91"&amp;INDEX(DESK!$F$2:$F$601,MATCH(233,DESK!$AR$2:$AR$601,0)),""),""))</f>
        <v/>
      </c>
      <c r="C241" s="28" t="str">
        <f>IF(B241="","",IF(INDEX(DESK!$AC$2:$AC$601,MATCH(233,DESK!$AR$2:$AR$601,0))="YES","A","B"))</f>
        <v/>
      </c>
      <c r="D241" s="28" t="str">
        <f>IF(B241="","",INDEX(DESK!$AQ$2:$AQ$601,MATCH(233,DESK!$AR$2:$AR$601,0)))</f>
        <v/>
      </c>
      <c r="E241" s="28" t="str">
        <f>IF(B241="","",INDEX(DESK!$B$2:$B$601,MATCH(233,DESK!$AR$2:$AR$601,0))&amp;IF(COUNTIFS(DESK!$F$2:$F$601,INDEX(DESK!$F$2:$F$601,MATCH(233,DESK!$AR$2:$AR$601,0)),DESK!$L$2:$L$601,1)&gt;1," and "&amp;(COUNTIFS(DESK!$F$2:$F$601,INDEX(DESK!$F$2:$F$601,MATCH(233,DESK!$AR$2:$AR$601,0)),DESK!$L$2:$L$601,1)-1)&amp;" more",""))</f>
        <v/>
      </c>
      <c r="F241" s="28" t="str">
        <f>IF(B241="","",IF(C241="B",INDEX(DESK!$AD$2:$AD$601,MATCH(233,DESK!$AR$2:$AR$601,0)),""))</f>
        <v/>
      </c>
      <c r="G241" s="28" t="str">
        <f>IF(B241="","",INDEX(DESK!$AV$2:$AV$601,MATCH(233,DESK!$AR$2:$AR$601,0)))</f>
        <v/>
      </c>
      <c r="I241" s="21"/>
      <c r="J241" s="20"/>
      <c r="K241" s="20"/>
      <c r="L241" s="20"/>
      <c r="M241" s="23" t="str">
        <f t="shared" si="3"/>
        <v/>
      </c>
    </row>
    <row r="242" spans="1:13" x14ac:dyDescent="0.35">
      <c r="A242" s="28">
        <v>234</v>
      </c>
      <c r="B242" s="43" t="str">
        <f>IF(SETTINGS!$B$22&lt;&gt;"YES","",IFERROR(IF(OR($J$3="Everyone",INDEX(DESK!$AV$2:$AV$601,MATCH(234,DESK!$AR$2:$AR$601,0))="SEND"),"91"&amp;INDEX(DESK!$F$2:$F$601,MATCH(234,DESK!$AR$2:$AR$601,0)),""),""))</f>
        <v/>
      </c>
      <c r="C242" s="28" t="str">
        <f>IF(B242="","",IF(INDEX(DESK!$AC$2:$AC$601,MATCH(234,DESK!$AR$2:$AR$601,0))="YES","A","B"))</f>
        <v/>
      </c>
      <c r="D242" s="28" t="str">
        <f>IF(B242="","",INDEX(DESK!$AQ$2:$AQ$601,MATCH(234,DESK!$AR$2:$AR$601,0)))</f>
        <v/>
      </c>
      <c r="E242" s="28" t="str">
        <f>IF(B242="","",INDEX(DESK!$B$2:$B$601,MATCH(234,DESK!$AR$2:$AR$601,0))&amp;IF(COUNTIFS(DESK!$F$2:$F$601,INDEX(DESK!$F$2:$F$601,MATCH(234,DESK!$AR$2:$AR$601,0)),DESK!$L$2:$L$601,1)&gt;1," and "&amp;(COUNTIFS(DESK!$F$2:$F$601,INDEX(DESK!$F$2:$F$601,MATCH(234,DESK!$AR$2:$AR$601,0)),DESK!$L$2:$L$601,1)-1)&amp;" more",""))</f>
        <v/>
      </c>
      <c r="F242" s="28" t="str">
        <f>IF(B242="","",IF(C242="B",INDEX(DESK!$AD$2:$AD$601,MATCH(234,DESK!$AR$2:$AR$601,0)),""))</f>
        <v/>
      </c>
      <c r="G242" s="28" t="str">
        <f>IF(B242="","",INDEX(DESK!$AV$2:$AV$601,MATCH(234,DESK!$AR$2:$AR$601,0)))</f>
        <v/>
      </c>
      <c r="I242" s="21"/>
      <c r="J242" s="20"/>
      <c r="K242" s="20"/>
      <c r="L242" s="20"/>
      <c r="M242" s="23" t="str">
        <f t="shared" si="3"/>
        <v/>
      </c>
    </row>
    <row r="243" spans="1:13" x14ac:dyDescent="0.35">
      <c r="A243" s="28">
        <v>235</v>
      </c>
      <c r="B243" s="43" t="str">
        <f>IF(SETTINGS!$B$22&lt;&gt;"YES","",IFERROR(IF(OR($J$3="Everyone",INDEX(DESK!$AV$2:$AV$601,MATCH(235,DESK!$AR$2:$AR$601,0))="SEND"),"91"&amp;INDEX(DESK!$F$2:$F$601,MATCH(235,DESK!$AR$2:$AR$601,0)),""),""))</f>
        <v/>
      </c>
      <c r="C243" s="28" t="str">
        <f>IF(B243="","",IF(INDEX(DESK!$AC$2:$AC$601,MATCH(235,DESK!$AR$2:$AR$601,0))="YES","A","B"))</f>
        <v/>
      </c>
      <c r="D243" s="28" t="str">
        <f>IF(B243="","",INDEX(DESK!$AQ$2:$AQ$601,MATCH(235,DESK!$AR$2:$AR$601,0)))</f>
        <v/>
      </c>
      <c r="E243" s="28" t="str">
        <f>IF(B243="","",INDEX(DESK!$B$2:$B$601,MATCH(235,DESK!$AR$2:$AR$601,0))&amp;IF(COUNTIFS(DESK!$F$2:$F$601,INDEX(DESK!$F$2:$F$601,MATCH(235,DESK!$AR$2:$AR$601,0)),DESK!$L$2:$L$601,1)&gt;1," and "&amp;(COUNTIFS(DESK!$F$2:$F$601,INDEX(DESK!$F$2:$F$601,MATCH(235,DESK!$AR$2:$AR$601,0)),DESK!$L$2:$L$601,1)-1)&amp;" more",""))</f>
        <v/>
      </c>
      <c r="F243" s="28" t="str">
        <f>IF(B243="","",IF(C243="B",INDEX(DESK!$AD$2:$AD$601,MATCH(235,DESK!$AR$2:$AR$601,0)),""))</f>
        <v/>
      </c>
      <c r="G243" s="28" t="str">
        <f>IF(B243="","",INDEX(DESK!$AV$2:$AV$601,MATCH(235,DESK!$AR$2:$AR$601,0)))</f>
        <v/>
      </c>
      <c r="I243" s="21"/>
      <c r="J243" s="20"/>
      <c r="K243" s="20"/>
      <c r="L243" s="20"/>
      <c r="M243" s="23" t="str">
        <f t="shared" si="3"/>
        <v/>
      </c>
    </row>
    <row r="244" spans="1:13" x14ac:dyDescent="0.35">
      <c r="A244" s="28">
        <v>236</v>
      </c>
      <c r="B244" s="43" t="str">
        <f>IF(SETTINGS!$B$22&lt;&gt;"YES","",IFERROR(IF(OR($J$3="Everyone",INDEX(DESK!$AV$2:$AV$601,MATCH(236,DESK!$AR$2:$AR$601,0))="SEND"),"91"&amp;INDEX(DESK!$F$2:$F$601,MATCH(236,DESK!$AR$2:$AR$601,0)),""),""))</f>
        <v/>
      </c>
      <c r="C244" s="28" t="str">
        <f>IF(B244="","",IF(INDEX(DESK!$AC$2:$AC$601,MATCH(236,DESK!$AR$2:$AR$601,0))="YES","A","B"))</f>
        <v/>
      </c>
      <c r="D244" s="28" t="str">
        <f>IF(B244="","",INDEX(DESK!$AQ$2:$AQ$601,MATCH(236,DESK!$AR$2:$AR$601,0)))</f>
        <v/>
      </c>
      <c r="E244" s="28" t="str">
        <f>IF(B244="","",INDEX(DESK!$B$2:$B$601,MATCH(236,DESK!$AR$2:$AR$601,0))&amp;IF(COUNTIFS(DESK!$F$2:$F$601,INDEX(DESK!$F$2:$F$601,MATCH(236,DESK!$AR$2:$AR$601,0)),DESK!$L$2:$L$601,1)&gt;1," and "&amp;(COUNTIFS(DESK!$F$2:$F$601,INDEX(DESK!$F$2:$F$601,MATCH(236,DESK!$AR$2:$AR$601,0)),DESK!$L$2:$L$601,1)-1)&amp;" more",""))</f>
        <v/>
      </c>
      <c r="F244" s="28" t="str">
        <f>IF(B244="","",IF(C244="B",INDEX(DESK!$AD$2:$AD$601,MATCH(236,DESK!$AR$2:$AR$601,0)),""))</f>
        <v/>
      </c>
      <c r="G244" s="28" t="str">
        <f>IF(B244="","",INDEX(DESK!$AV$2:$AV$601,MATCH(236,DESK!$AR$2:$AR$601,0)))</f>
        <v/>
      </c>
      <c r="I244" s="21"/>
      <c r="J244" s="20"/>
      <c r="K244" s="20"/>
      <c r="L244" s="20"/>
      <c r="M244" s="23" t="str">
        <f t="shared" si="3"/>
        <v/>
      </c>
    </row>
    <row r="245" spans="1:13" x14ac:dyDescent="0.35">
      <c r="A245" s="28">
        <v>237</v>
      </c>
      <c r="B245" s="43" t="str">
        <f>IF(SETTINGS!$B$22&lt;&gt;"YES","",IFERROR(IF(OR($J$3="Everyone",INDEX(DESK!$AV$2:$AV$601,MATCH(237,DESK!$AR$2:$AR$601,0))="SEND"),"91"&amp;INDEX(DESK!$F$2:$F$601,MATCH(237,DESK!$AR$2:$AR$601,0)),""),""))</f>
        <v/>
      </c>
      <c r="C245" s="28" t="str">
        <f>IF(B245="","",IF(INDEX(DESK!$AC$2:$AC$601,MATCH(237,DESK!$AR$2:$AR$601,0))="YES","A","B"))</f>
        <v/>
      </c>
      <c r="D245" s="28" t="str">
        <f>IF(B245="","",INDEX(DESK!$AQ$2:$AQ$601,MATCH(237,DESK!$AR$2:$AR$601,0)))</f>
        <v/>
      </c>
      <c r="E245" s="28" t="str">
        <f>IF(B245="","",INDEX(DESK!$B$2:$B$601,MATCH(237,DESK!$AR$2:$AR$601,0))&amp;IF(COUNTIFS(DESK!$F$2:$F$601,INDEX(DESK!$F$2:$F$601,MATCH(237,DESK!$AR$2:$AR$601,0)),DESK!$L$2:$L$601,1)&gt;1," and "&amp;(COUNTIFS(DESK!$F$2:$F$601,INDEX(DESK!$F$2:$F$601,MATCH(237,DESK!$AR$2:$AR$601,0)),DESK!$L$2:$L$601,1)-1)&amp;" more",""))</f>
        <v/>
      </c>
      <c r="F245" s="28" t="str">
        <f>IF(B245="","",IF(C245="B",INDEX(DESK!$AD$2:$AD$601,MATCH(237,DESK!$AR$2:$AR$601,0)),""))</f>
        <v/>
      </c>
      <c r="G245" s="28" t="str">
        <f>IF(B245="","",INDEX(DESK!$AV$2:$AV$601,MATCH(237,DESK!$AR$2:$AR$601,0)))</f>
        <v/>
      </c>
      <c r="I245" s="21"/>
      <c r="J245" s="20"/>
      <c r="K245" s="20"/>
      <c r="L245" s="20"/>
      <c r="M245" s="23" t="str">
        <f t="shared" si="3"/>
        <v/>
      </c>
    </row>
    <row r="246" spans="1:13" x14ac:dyDescent="0.35">
      <c r="A246" s="28">
        <v>238</v>
      </c>
      <c r="B246" s="43" t="str">
        <f>IF(SETTINGS!$B$22&lt;&gt;"YES","",IFERROR(IF(OR($J$3="Everyone",INDEX(DESK!$AV$2:$AV$601,MATCH(238,DESK!$AR$2:$AR$601,0))="SEND"),"91"&amp;INDEX(DESK!$F$2:$F$601,MATCH(238,DESK!$AR$2:$AR$601,0)),""),""))</f>
        <v/>
      </c>
      <c r="C246" s="28" t="str">
        <f>IF(B246="","",IF(INDEX(DESK!$AC$2:$AC$601,MATCH(238,DESK!$AR$2:$AR$601,0))="YES","A","B"))</f>
        <v/>
      </c>
      <c r="D246" s="28" t="str">
        <f>IF(B246="","",INDEX(DESK!$AQ$2:$AQ$601,MATCH(238,DESK!$AR$2:$AR$601,0)))</f>
        <v/>
      </c>
      <c r="E246" s="28" t="str">
        <f>IF(B246="","",INDEX(DESK!$B$2:$B$601,MATCH(238,DESK!$AR$2:$AR$601,0))&amp;IF(COUNTIFS(DESK!$F$2:$F$601,INDEX(DESK!$F$2:$F$601,MATCH(238,DESK!$AR$2:$AR$601,0)),DESK!$L$2:$L$601,1)&gt;1," and "&amp;(COUNTIFS(DESK!$F$2:$F$601,INDEX(DESK!$F$2:$F$601,MATCH(238,DESK!$AR$2:$AR$601,0)),DESK!$L$2:$L$601,1)-1)&amp;" more",""))</f>
        <v/>
      </c>
      <c r="F246" s="28" t="str">
        <f>IF(B246="","",IF(C246="B",INDEX(DESK!$AD$2:$AD$601,MATCH(238,DESK!$AR$2:$AR$601,0)),""))</f>
        <v/>
      </c>
      <c r="G246" s="28" t="str">
        <f>IF(B246="","",INDEX(DESK!$AV$2:$AV$601,MATCH(238,DESK!$AR$2:$AR$601,0)))</f>
        <v/>
      </c>
      <c r="I246" s="21"/>
      <c r="J246" s="20"/>
      <c r="K246" s="20"/>
      <c r="L246" s="20"/>
      <c r="M246" s="23" t="str">
        <f t="shared" si="3"/>
        <v/>
      </c>
    </row>
    <row r="247" spans="1:13" x14ac:dyDescent="0.35">
      <c r="A247" s="28">
        <v>239</v>
      </c>
      <c r="B247" s="43" t="str">
        <f>IF(SETTINGS!$B$22&lt;&gt;"YES","",IFERROR(IF(OR($J$3="Everyone",INDEX(DESK!$AV$2:$AV$601,MATCH(239,DESK!$AR$2:$AR$601,0))="SEND"),"91"&amp;INDEX(DESK!$F$2:$F$601,MATCH(239,DESK!$AR$2:$AR$601,0)),""),""))</f>
        <v/>
      </c>
      <c r="C247" s="28" t="str">
        <f>IF(B247="","",IF(INDEX(DESK!$AC$2:$AC$601,MATCH(239,DESK!$AR$2:$AR$601,0))="YES","A","B"))</f>
        <v/>
      </c>
      <c r="D247" s="28" t="str">
        <f>IF(B247="","",INDEX(DESK!$AQ$2:$AQ$601,MATCH(239,DESK!$AR$2:$AR$601,0)))</f>
        <v/>
      </c>
      <c r="E247" s="28" t="str">
        <f>IF(B247="","",INDEX(DESK!$B$2:$B$601,MATCH(239,DESK!$AR$2:$AR$601,0))&amp;IF(COUNTIFS(DESK!$F$2:$F$601,INDEX(DESK!$F$2:$F$601,MATCH(239,DESK!$AR$2:$AR$601,0)),DESK!$L$2:$L$601,1)&gt;1," and "&amp;(COUNTIFS(DESK!$F$2:$F$601,INDEX(DESK!$F$2:$F$601,MATCH(239,DESK!$AR$2:$AR$601,0)),DESK!$L$2:$L$601,1)-1)&amp;" more",""))</f>
        <v/>
      </c>
      <c r="F247" s="28" t="str">
        <f>IF(B247="","",IF(C247="B",INDEX(DESK!$AD$2:$AD$601,MATCH(239,DESK!$AR$2:$AR$601,0)),""))</f>
        <v/>
      </c>
      <c r="G247" s="28" t="str">
        <f>IF(B247="","",INDEX(DESK!$AV$2:$AV$601,MATCH(239,DESK!$AR$2:$AR$601,0)))</f>
        <v/>
      </c>
      <c r="I247" s="21"/>
      <c r="J247" s="20"/>
      <c r="K247" s="20"/>
      <c r="L247" s="20"/>
      <c r="M247" s="23" t="str">
        <f t="shared" si="3"/>
        <v/>
      </c>
    </row>
    <row r="248" spans="1:13" x14ac:dyDescent="0.35">
      <c r="A248" s="28">
        <v>240</v>
      </c>
      <c r="B248" s="43" t="str">
        <f>IF(SETTINGS!$B$22&lt;&gt;"YES","",IFERROR(IF(OR($J$3="Everyone",INDEX(DESK!$AV$2:$AV$601,MATCH(240,DESK!$AR$2:$AR$601,0))="SEND"),"91"&amp;INDEX(DESK!$F$2:$F$601,MATCH(240,DESK!$AR$2:$AR$601,0)),""),""))</f>
        <v/>
      </c>
      <c r="C248" s="28" t="str">
        <f>IF(B248="","",IF(INDEX(DESK!$AC$2:$AC$601,MATCH(240,DESK!$AR$2:$AR$601,0))="YES","A","B"))</f>
        <v/>
      </c>
      <c r="D248" s="28" t="str">
        <f>IF(B248="","",INDEX(DESK!$AQ$2:$AQ$601,MATCH(240,DESK!$AR$2:$AR$601,0)))</f>
        <v/>
      </c>
      <c r="E248" s="28" t="str">
        <f>IF(B248="","",INDEX(DESK!$B$2:$B$601,MATCH(240,DESK!$AR$2:$AR$601,0))&amp;IF(COUNTIFS(DESK!$F$2:$F$601,INDEX(DESK!$F$2:$F$601,MATCH(240,DESK!$AR$2:$AR$601,0)),DESK!$L$2:$L$601,1)&gt;1," and "&amp;(COUNTIFS(DESK!$F$2:$F$601,INDEX(DESK!$F$2:$F$601,MATCH(240,DESK!$AR$2:$AR$601,0)),DESK!$L$2:$L$601,1)-1)&amp;" more",""))</f>
        <v/>
      </c>
      <c r="F248" s="28" t="str">
        <f>IF(B248="","",IF(C248="B",INDEX(DESK!$AD$2:$AD$601,MATCH(240,DESK!$AR$2:$AR$601,0)),""))</f>
        <v/>
      </c>
      <c r="G248" s="28" t="str">
        <f>IF(B248="","",INDEX(DESK!$AV$2:$AV$601,MATCH(240,DESK!$AR$2:$AR$601,0)))</f>
        <v/>
      </c>
      <c r="I248" s="21"/>
      <c r="J248" s="20"/>
      <c r="K248" s="20"/>
      <c r="L248" s="20"/>
      <c r="M248" s="23" t="str">
        <f t="shared" si="3"/>
        <v/>
      </c>
    </row>
    <row r="249" spans="1:13" x14ac:dyDescent="0.35">
      <c r="A249" s="28">
        <v>241</v>
      </c>
      <c r="B249" s="43" t="str">
        <f>IF(SETTINGS!$B$22&lt;&gt;"YES","",IFERROR(IF(OR($J$3="Everyone",INDEX(DESK!$AV$2:$AV$601,MATCH(241,DESK!$AR$2:$AR$601,0))="SEND"),"91"&amp;INDEX(DESK!$F$2:$F$601,MATCH(241,DESK!$AR$2:$AR$601,0)),""),""))</f>
        <v/>
      </c>
      <c r="C249" s="28" t="str">
        <f>IF(B249="","",IF(INDEX(DESK!$AC$2:$AC$601,MATCH(241,DESK!$AR$2:$AR$601,0))="YES","A","B"))</f>
        <v/>
      </c>
      <c r="D249" s="28" t="str">
        <f>IF(B249="","",INDEX(DESK!$AQ$2:$AQ$601,MATCH(241,DESK!$AR$2:$AR$601,0)))</f>
        <v/>
      </c>
      <c r="E249" s="28" t="str">
        <f>IF(B249="","",INDEX(DESK!$B$2:$B$601,MATCH(241,DESK!$AR$2:$AR$601,0))&amp;IF(COUNTIFS(DESK!$F$2:$F$601,INDEX(DESK!$F$2:$F$601,MATCH(241,DESK!$AR$2:$AR$601,0)),DESK!$L$2:$L$601,1)&gt;1," and "&amp;(COUNTIFS(DESK!$F$2:$F$601,INDEX(DESK!$F$2:$F$601,MATCH(241,DESK!$AR$2:$AR$601,0)),DESK!$L$2:$L$601,1)-1)&amp;" more",""))</f>
        <v/>
      </c>
      <c r="F249" s="28" t="str">
        <f>IF(B249="","",IF(C249="B",INDEX(DESK!$AD$2:$AD$601,MATCH(241,DESK!$AR$2:$AR$601,0)),""))</f>
        <v/>
      </c>
      <c r="G249" s="28" t="str">
        <f>IF(B249="","",INDEX(DESK!$AV$2:$AV$601,MATCH(241,DESK!$AR$2:$AR$601,0)))</f>
        <v/>
      </c>
      <c r="I249" s="21"/>
      <c r="J249" s="20"/>
      <c r="K249" s="20"/>
      <c r="L249" s="20"/>
      <c r="M249" s="23" t="str">
        <f t="shared" si="3"/>
        <v/>
      </c>
    </row>
    <row r="250" spans="1:13" x14ac:dyDescent="0.35">
      <c r="A250" s="28">
        <v>242</v>
      </c>
      <c r="B250" s="43" t="str">
        <f>IF(SETTINGS!$B$22&lt;&gt;"YES","",IFERROR(IF(OR($J$3="Everyone",INDEX(DESK!$AV$2:$AV$601,MATCH(242,DESK!$AR$2:$AR$601,0))="SEND"),"91"&amp;INDEX(DESK!$F$2:$F$601,MATCH(242,DESK!$AR$2:$AR$601,0)),""),""))</f>
        <v/>
      </c>
      <c r="C250" s="28" t="str">
        <f>IF(B250="","",IF(INDEX(DESK!$AC$2:$AC$601,MATCH(242,DESK!$AR$2:$AR$601,0))="YES","A","B"))</f>
        <v/>
      </c>
      <c r="D250" s="28" t="str">
        <f>IF(B250="","",INDEX(DESK!$AQ$2:$AQ$601,MATCH(242,DESK!$AR$2:$AR$601,0)))</f>
        <v/>
      </c>
      <c r="E250" s="28" t="str">
        <f>IF(B250="","",INDEX(DESK!$B$2:$B$601,MATCH(242,DESK!$AR$2:$AR$601,0))&amp;IF(COUNTIFS(DESK!$F$2:$F$601,INDEX(DESK!$F$2:$F$601,MATCH(242,DESK!$AR$2:$AR$601,0)),DESK!$L$2:$L$601,1)&gt;1," and "&amp;(COUNTIFS(DESK!$F$2:$F$601,INDEX(DESK!$F$2:$F$601,MATCH(242,DESK!$AR$2:$AR$601,0)),DESK!$L$2:$L$601,1)-1)&amp;" more",""))</f>
        <v/>
      </c>
      <c r="F250" s="28" t="str">
        <f>IF(B250="","",IF(C250="B",INDEX(DESK!$AD$2:$AD$601,MATCH(242,DESK!$AR$2:$AR$601,0)),""))</f>
        <v/>
      </c>
      <c r="G250" s="28" t="str">
        <f>IF(B250="","",INDEX(DESK!$AV$2:$AV$601,MATCH(242,DESK!$AR$2:$AR$601,0)))</f>
        <v/>
      </c>
      <c r="I250" s="21"/>
      <c r="J250" s="20"/>
      <c r="K250" s="20"/>
      <c r="L250" s="20"/>
      <c r="M250" s="23" t="str">
        <f t="shared" si="3"/>
        <v/>
      </c>
    </row>
    <row r="251" spans="1:13" x14ac:dyDescent="0.35">
      <c r="A251" s="28">
        <v>243</v>
      </c>
      <c r="B251" s="43" t="str">
        <f>IF(SETTINGS!$B$22&lt;&gt;"YES","",IFERROR(IF(OR($J$3="Everyone",INDEX(DESK!$AV$2:$AV$601,MATCH(243,DESK!$AR$2:$AR$601,0))="SEND"),"91"&amp;INDEX(DESK!$F$2:$F$601,MATCH(243,DESK!$AR$2:$AR$601,0)),""),""))</f>
        <v/>
      </c>
      <c r="C251" s="28" t="str">
        <f>IF(B251="","",IF(INDEX(DESK!$AC$2:$AC$601,MATCH(243,DESK!$AR$2:$AR$601,0))="YES","A","B"))</f>
        <v/>
      </c>
      <c r="D251" s="28" t="str">
        <f>IF(B251="","",INDEX(DESK!$AQ$2:$AQ$601,MATCH(243,DESK!$AR$2:$AR$601,0)))</f>
        <v/>
      </c>
      <c r="E251" s="28" t="str">
        <f>IF(B251="","",INDEX(DESK!$B$2:$B$601,MATCH(243,DESK!$AR$2:$AR$601,0))&amp;IF(COUNTIFS(DESK!$F$2:$F$601,INDEX(DESK!$F$2:$F$601,MATCH(243,DESK!$AR$2:$AR$601,0)),DESK!$L$2:$L$601,1)&gt;1," and "&amp;(COUNTIFS(DESK!$F$2:$F$601,INDEX(DESK!$F$2:$F$601,MATCH(243,DESK!$AR$2:$AR$601,0)),DESK!$L$2:$L$601,1)-1)&amp;" more",""))</f>
        <v/>
      </c>
      <c r="F251" s="28" t="str">
        <f>IF(B251="","",IF(C251="B",INDEX(DESK!$AD$2:$AD$601,MATCH(243,DESK!$AR$2:$AR$601,0)),""))</f>
        <v/>
      </c>
      <c r="G251" s="28" t="str">
        <f>IF(B251="","",INDEX(DESK!$AV$2:$AV$601,MATCH(243,DESK!$AR$2:$AR$601,0)))</f>
        <v/>
      </c>
      <c r="I251" s="21"/>
      <c r="J251" s="20"/>
      <c r="K251" s="20"/>
      <c r="L251" s="20"/>
      <c r="M251" s="23" t="str">
        <f t="shared" si="3"/>
        <v/>
      </c>
    </row>
    <row r="252" spans="1:13" x14ac:dyDescent="0.35">
      <c r="A252" s="28">
        <v>244</v>
      </c>
      <c r="B252" s="43" t="str">
        <f>IF(SETTINGS!$B$22&lt;&gt;"YES","",IFERROR(IF(OR($J$3="Everyone",INDEX(DESK!$AV$2:$AV$601,MATCH(244,DESK!$AR$2:$AR$601,0))="SEND"),"91"&amp;INDEX(DESK!$F$2:$F$601,MATCH(244,DESK!$AR$2:$AR$601,0)),""),""))</f>
        <v/>
      </c>
      <c r="C252" s="28" t="str">
        <f>IF(B252="","",IF(INDEX(DESK!$AC$2:$AC$601,MATCH(244,DESK!$AR$2:$AR$601,0))="YES","A","B"))</f>
        <v/>
      </c>
      <c r="D252" s="28" t="str">
        <f>IF(B252="","",INDEX(DESK!$AQ$2:$AQ$601,MATCH(244,DESK!$AR$2:$AR$601,0)))</f>
        <v/>
      </c>
      <c r="E252" s="28" t="str">
        <f>IF(B252="","",INDEX(DESK!$B$2:$B$601,MATCH(244,DESK!$AR$2:$AR$601,0))&amp;IF(COUNTIFS(DESK!$F$2:$F$601,INDEX(DESK!$F$2:$F$601,MATCH(244,DESK!$AR$2:$AR$601,0)),DESK!$L$2:$L$601,1)&gt;1," and "&amp;(COUNTIFS(DESK!$F$2:$F$601,INDEX(DESK!$F$2:$F$601,MATCH(244,DESK!$AR$2:$AR$601,0)),DESK!$L$2:$L$601,1)-1)&amp;" more",""))</f>
        <v/>
      </c>
      <c r="F252" s="28" t="str">
        <f>IF(B252="","",IF(C252="B",INDEX(DESK!$AD$2:$AD$601,MATCH(244,DESK!$AR$2:$AR$601,0)),""))</f>
        <v/>
      </c>
      <c r="G252" s="28" t="str">
        <f>IF(B252="","",INDEX(DESK!$AV$2:$AV$601,MATCH(244,DESK!$AR$2:$AR$601,0)))</f>
        <v/>
      </c>
      <c r="I252" s="21"/>
      <c r="J252" s="20"/>
      <c r="K252" s="20"/>
      <c r="L252" s="20"/>
      <c r="M252" s="23" t="str">
        <f t="shared" si="3"/>
        <v/>
      </c>
    </row>
    <row r="253" spans="1:13" x14ac:dyDescent="0.35">
      <c r="A253" s="28">
        <v>245</v>
      </c>
      <c r="B253" s="43" t="str">
        <f>IF(SETTINGS!$B$22&lt;&gt;"YES","",IFERROR(IF(OR($J$3="Everyone",INDEX(DESK!$AV$2:$AV$601,MATCH(245,DESK!$AR$2:$AR$601,0))="SEND"),"91"&amp;INDEX(DESK!$F$2:$F$601,MATCH(245,DESK!$AR$2:$AR$601,0)),""),""))</f>
        <v/>
      </c>
      <c r="C253" s="28" t="str">
        <f>IF(B253="","",IF(INDEX(DESK!$AC$2:$AC$601,MATCH(245,DESK!$AR$2:$AR$601,0))="YES","A","B"))</f>
        <v/>
      </c>
      <c r="D253" s="28" t="str">
        <f>IF(B253="","",INDEX(DESK!$AQ$2:$AQ$601,MATCH(245,DESK!$AR$2:$AR$601,0)))</f>
        <v/>
      </c>
      <c r="E253" s="28" t="str">
        <f>IF(B253="","",INDEX(DESK!$B$2:$B$601,MATCH(245,DESK!$AR$2:$AR$601,0))&amp;IF(COUNTIFS(DESK!$F$2:$F$601,INDEX(DESK!$F$2:$F$601,MATCH(245,DESK!$AR$2:$AR$601,0)),DESK!$L$2:$L$601,1)&gt;1," and "&amp;(COUNTIFS(DESK!$F$2:$F$601,INDEX(DESK!$F$2:$F$601,MATCH(245,DESK!$AR$2:$AR$601,0)),DESK!$L$2:$L$601,1)-1)&amp;" more",""))</f>
        <v/>
      </c>
      <c r="F253" s="28" t="str">
        <f>IF(B253="","",IF(C253="B",INDEX(DESK!$AD$2:$AD$601,MATCH(245,DESK!$AR$2:$AR$601,0)),""))</f>
        <v/>
      </c>
      <c r="G253" s="28" t="str">
        <f>IF(B253="","",INDEX(DESK!$AV$2:$AV$601,MATCH(245,DESK!$AR$2:$AR$601,0)))</f>
        <v/>
      </c>
      <c r="I253" s="21"/>
      <c r="J253" s="20"/>
      <c r="K253" s="20"/>
      <c r="L253" s="20"/>
      <c r="M253" s="23" t="str">
        <f t="shared" si="3"/>
        <v/>
      </c>
    </row>
    <row r="254" spans="1:13" x14ac:dyDescent="0.35">
      <c r="A254" s="28">
        <v>246</v>
      </c>
      <c r="B254" s="43" t="str">
        <f>IF(SETTINGS!$B$22&lt;&gt;"YES","",IFERROR(IF(OR($J$3="Everyone",INDEX(DESK!$AV$2:$AV$601,MATCH(246,DESK!$AR$2:$AR$601,0))="SEND"),"91"&amp;INDEX(DESK!$F$2:$F$601,MATCH(246,DESK!$AR$2:$AR$601,0)),""),""))</f>
        <v/>
      </c>
      <c r="C254" s="28" t="str">
        <f>IF(B254="","",IF(INDEX(DESK!$AC$2:$AC$601,MATCH(246,DESK!$AR$2:$AR$601,0))="YES","A","B"))</f>
        <v/>
      </c>
      <c r="D254" s="28" t="str">
        <f>IF(B254="","",INDEX(DESK!$AQ$2:$AQ$601,MATCH(246,DESK!$AR$2:$AR$601,0)))</f>
        <v/>
      </c>
      <c r="E254" s="28" t="str">
        <f>IF(B254="","",INDEX(DESK!$B$2:$B$601,MATCH(246,DESK!$AR$2:$AR$601,0))&amp;IF(COUNTIFS(DESK!$F$2:$F$601,INDEX(DESK!$F$2:$F$601,MATCH(246,DESK!$AR$2:$AR$601,0)),DESK!$L$2:$L$601,1)&gt;1," and "&amp;(COUNTIFS(DESK!$F$2:$F$601,INDEX(DESK!$F$2:$F$601,MATCH(246,DESK!$AR$2:$AR$601,0)),DESK!$L$2:$L$601,1)-1)&amp;" more",""))</f>
        <v/>
      </c>
      <c r="F254" s="28" t="str">
        <f>IF(B254="","",IF(C254="B",INDEX(DESK!$AD$2:$AD$601,MATCH(246,DESK!$AR$2:$AR$601,0)),""))</f>
        <v/>
      </c>
      <c r="G254" s="28" t="str">
        <f>IF(B254="","",INDEX(DESK!$AV$2:$AV$601,MATCH(246,DESK!$AR$2:$AR$601,0)))</f>
        <v/>
      </c>
      <c r="I254" s="21"/>
      <c r="J254" s="20"/>
      <c r="K254" s="20"/>
      <c r="L254" s="20"/>
      <c r="M254" s="23" t="str">
        <f t="shared" si="3"/>
        <v/>
      </c>
    </row>
    <row r="255" spans="1:13" x14ac:dyDescent="0.35">
      <c r="A255" s="28">
        <v>247</v>
      </c>
      <c r="B255" s="43" t="str">
        <f>IF(SETTINGS!$B$22&lt;&gt;"YES","",IFERROR(IF(OR($J$3="Everyone",INDEX(DESK!$AV$2:$AV$601,MATCH(247,DESK!$AR$2:$AR$601,0))="SEND"),"91"&amp;INDEX(DESK!$F$2:$F$601,MATCH(247,DESK!$AR$2:$AR$601,0)),""),""))</f>
        <v/>
      </c>
      <c r="C255" s="28" t="str">
        <f>IF(B255="","",IF(INDEX(DESK!$AC$2:$AC$601,MATCH(247,DESK!$AR$2:$AR$601,0))="YES","A","B"))</f>
        <v/>
      </c>
      <c r="D255" s="28" t="str">
        <f>IF(B255="","",INDEX(DESK!$AQ$2:$AQ$601,MATCH(247,DESK!$AR$2:$AR$601,0)))</f>
        <v/>
      </c>
      <c r="E255" s="28" t="str">
        <f>IF(B255="","",INDEX(DESK!$B$2:$B$601,MATCH(247,DESK!$AR$2:$AR$601,0))&amp;IF(COUNTIFS(DESK!$F$2:$F$601,INDEX(DESK!$F$2:$F$601,MATCH(247,DESK!$AR$2:$AR$601,0)),DESK!$L$2:$L$601,1)&gt;1," and "&amp;(COUNTIFS(DESK!$F$2:$F$601,INDEX(DESK!$F$2:$F$601,MATCH(247,DESK!$AR$2:$AR$601,0)),DESK!$L$2:$L$601,1)-1)&amp;" more",""))</f>
        <v/>
      </c>
      <c r="F255" s="28" t="str">
        <f>IF(B255="","",IF(C255="B",INDEX(DESK!$AD$2:$AD$601,MATCH(247,DESK!$AR$2:$AR$601,0)),""))</f>
        <v/>
      </c>
      <c r="G255" s="28" t="str">
        <f>IF(B255="","",INDEX(DESK!$AV$2:$AV$601,MATCH(247,DESK!$AR$2:$AR$601,0)))</f>
        <v/>
      </c>
      <c r="I255" s="21"/>
      <c r="J255" s="20"/>
      <c r="K255" s="20"/>
      <c r="L255" s="20"/>
      <c r="M255" s="23" t="str">
        <f t="shared" si="3"/>
        <v/>
      </c>
    </row>
    <row r="256" spans="1:13" x14ac:dyDescent="0.35">
      <c r="A256" s="28">
        <v>248</v>
      </c>
      <c r="B256" s="43" t="str">
        <f>IF(SETTINGS!$B$22&lt;&gt;"YES","",IFERROR(IF(OR($J$3="Everyone",INDEX(DESK!$AV$2:$AV$601,MATCH(248,DESK!$AR$2:$AR$601,0))="SEND"),"91"&amp;INDEX(DESK!$F$2:$F$601,MATCH(248,DESK!$AR$2:$AR$601,0)),""),""))</f>
        <v/>
      </c>
      <c r="C256" s="28" t="str">
        <f>IF(B256="","",IF(INDEX(DESK!$AC$2:$AC$601,MATCH(248,DESK!$AR$2:$AR$601,0))="YES","A","B"))</f>
        <v/>
      </c>
      <c r="D256" s="28" t="str">
        <f>IF(B256="","",INDEX(DESK!$AQ$2:$AQ$601,MATCH(248,DESK!$AR$2:$AR$601,0)))</f>
        <v/>
      </c>
      <c r="E256" s="28" t="str">
        <f>IF(B256="","",INDEX(DESK!$B$2:$B$601,MATCH(248,DESK!$AR$2:$AR$601,0))&amp;IF(COUNTIFS(DESK!$F$2:$F$601,INDEX(DESK!$F$2:$F$601,MATCH(248,DESK!$AR$2:$AR$601,0)),DESK!$L$2:$L$601,1)&gt;1," and "&amp;(COUNTIFS(DESK!$F$2:$F$601,INDEX(DESK!$F$2:$F$601,MATCH(248,DESK!$AR$2:$AR$601,0)),DESK!$L$2:$L$601,1)-1)&amp;" more",""))</f>
        <v/>
      </c>
      <c r="F256" s="28" t="str">
        <f>IF(B256="","",IF(C256="B",INDEX(DESK!$AD$2:$AD$601,MATCH(248,DESK!$AR$2:$AR$601,0)),""))</f>
        <v/>
      </c>
      <c r="G256" s="28" t="str">
        <f>IF(B256="","",INDEX(DESK!$AV$2:$AV$601,MATCH(248,DESK!$AR$2:$AR$601,0)))</f>
        <v/>
      </c>
      <c r="I256" s="21"/>
      <c r="J256" s="20"/>
      <c r="K256" s="20"/>
      <c r="L256" s="20"/>
      <c r="M256" s="23" t="str">
        <f t="shared" si="3"/>
        <v/>
      </c>
    </row>
    <row r="257" spans="1:13" x14ac:dyDescent="0.35">
      <c r="A257" s="28">
        <v>249</v>
      </c>
      <c r="B257" s="43" t="str">
        <f>IF(SETTINGS!$B$22&lt;&gt;"YES","",IFERROR(IF(OR($J$3="Everyone",INDEX(DESK!$AV$2:$AV$601,MATCH(249,DESK!$AR$2:$AR$601,0))="SEND"),"91"&amp;INDEX(DESK!$F$2:$F$601,MATCH(249,DESK!$AR$2:$AR$601,0)),""),""))</f>
        <v/>
      </c>
      <c r="C257" s="28" t="str">
        <f>IF(B257="","",IF(INDEX(DESK!$AC$2:$AC$601,MATCH(249,DESK!$AR$2:$AR$601,0))="YES","A","B"))</f>
        <v/>
      </c>
      <c r="D257" s="28" t="str">
        <f>IF(B257="","",INDEX(DESK!$AQ$2:$AQ$601,MATCH(249,DESK!$AR$2:$AR$601,0)))</f>
        <v/>
      </c>
      <c r="E257" s="28" t="str">
        <f>IF(B257="","",INDEX(DESK!$B$2:$B$601,MATCH(249,DESK!$AR$2:$AR$601,0))&amp;IF(COUNTIFS(DESK!$F$2:$F$601,INDEX(DESK!$F$2:$F$601,MATCH(249,DESK!$AR$2:$AR$601,0)),DESK!$L$2:$L$601,1)&gt;1," and "&amp;(COUNTIFS(DESK!$F$2:$F$601,INDEX(DESK!$F$2:$F$601,MATCH(249,DESK!$AR$2:$AR$601,0)),DESK!$L$2:$L$601,1)-1)&amp;" more",""))</f>
        <v/>
      </c>
      <c r="F257" s="28" t="str">
        <f>IF(B257="","",IF(C257="B",INDEX(DESK!$AD$2:$AD$601,MATCH(249,DESK!$AR$2:$AR$601,0)),""))</f>
        <v/>
      </c>
      <c r="G257" s="28" t="str">
        <f>IF(B257="","",INDEX(DESK!$AV$2:$AV$601,MATCH(249,DESK!$AR$2:$AR$601,0)))</f>
        <v/>
      </c>
      <c r="I257" s="21"/>
      <c r="J257" s="20"/>
      <c r="K257" s="20"/>
      <c r="L257" s="20"/>
      <c r="M257" s="23" t="str">
        <f t="shared" si="3"/>
        <v/>
      </c>
    </row>
    <row r="258" spans="1:13" x14ac:dyDescent="0.35">
      <c r="A258" s="28">
        <v>250</v>
      </c>
      <c r="B258" s="43" t="str">
        <f>IF(SETTINGS!$B$22&lt;&gt;"YES","",IFERROR(IF(OR($J$3="Everyone",INDEX(DESK!$AV$2:$AV$601,MATCH(250,DESK!$AR$2:$AR$601,0))="SEND"),"91"&amp;INDEX(DESK!$F$2:$F$601,MATCH(250,DESK!$AR$2:$AR$601,0)),""),""))</f>
        <v/>
      </c>
      <c r="C258" s="28" t="str">
        <f>IF(B258="","",IF(INDEX(DESK!$AC$2:$AC$601,MATCH(250,DESK!$AR$2:$AR$601,0))="YES","A","B"))</f>
        <v/>
      </c>
      <c r="D258" s="28" t="str">
        <f>IF(B258="","",INDEX(DESK!$AQ$2:$AQ$601,MATCH(250,DESK!$AR$2:$AR$601,0)))</f>
        <v/>
      </c>
      <c r="E258" s="28" t="str">
        <f>IF(B258="","",INDEX(DESK!$B$2:$B$601,MATCH(250,DESK!$AR$2:$AR$601,0))&amp;IF(COUNTIFS(DESK!$F$2:$F$601,INDEX(DESK!$F$2:$F$601,MATCH(250,DESK!$AR$2:$AR$601,0)),DESK!$L$2:$L$601,1)&gt;1," and "&amp;(COUNTIFS(DESK!$F$2:$F$601,INDEX(DESK!$F$2:$F$601,MATCH(250,DESK!$AR$2:$AR$601,0)),DESK!$L$2:$L$601,1)-1)&amp;" more",""))</f>
        <v/>
      </c>
      <c r="F258" s="28" t="str">
        <f>IF(B258="","",IF(C258="B",INDEX(DESK!$AD$2:$AD$601,MATCH(250,DESK!$AR$2:$AR$601,0)),""))</f>
        <v/>
      </c>
      <c r="G258" s="28" t="str">
        <f>IF(B258="","",INDEX(DESK!$AV$2:$AV$601,MATCH(250,DESK!$AR$2:$AR$601,0)))</f>
        <v/>
      </c>
      <c r="I258" s="21"/>
      <c r="J258" s="20"/>
      <c r="K258" s="20"/>
      <c r="L258" s="20"/>
      <c r="M258" s="23" t="str">
        <f t="shared" si="3"/>
        <v/>
      </c>
    </row>
    <row r="259" spans="1:13" x14ac:dyDescent="0.35">
      <c r="A259" s="28">
        <v>251</v>
      </c>
      <c r="B259" s="43" t="str">
        <f>IF(SETTINGS!$B$22&lt;&gt;"YES","",IFERROR(IF(OR($J$3="Everyone",INDEX(DESK!$AV$2:$AV$601,MATCH(251,DESK!$AR$2:$AR$601,0))="SEND"),"91"&amp;INDEX(DESK!$F$2:$F$601,MATCH(251,DESK!$AR$2:$AR$601,0)),""),""))</f>
        <v/>
      </c>
      <c r="C259" s="28" t="str">
        <f>IF(B259="","",IF(INDEX(DESK!$AC$2:$AC$601,MATCH(251,DESK!$AR$2:$AR$601,0))="YES","A","B"))</f>
        <v/>
      </c>
      <c r="D259" s="28" t="str">
        <f>IF(B259="","",INDEX(DESK!$AQ$2:$AQ$601,MATCH(251,DESK!$AR$2:$AR$601,0)))</f>
        <v/>
      </c>
      <c r="E259" s="28" t="str">
        <f>IF(B259="","",INDEX(DESK!$B$2:$B$601,MATCH(251,DESK!$AR$2:$AR$601,0))&amp;IF(COUNTIFS(DESK!$F$2:$F$601,INDEX(DESK!$F$2:$F$601,MATCH(251,DESK!$AR$2:$AR$601,0)),DESK!$L$2:$L$601,1)&gt;1," and "&amp;(COUNTIFS(DESK!$F$2:$F$601,INDEX(DESK!$F$2:$F$601,MATCH(251,DESK!$AR$2:$AR$601,0)),DESK!$L$2:$L$601,1)-1)&amp;" more",""))</f>
        <v/>
      </c>
      <c r="F259" s="28" t="str">
        <f>IF(B259="","",IF(C259="B",INDEX(DESK!$AD$2:$AD$601,MATCH(251,DESK!$AR$2:$AR$601,0)),""))</f>
        <v/>
      </c>
      <c r="G259" s="28" t="str">
        <f>IF(B259="","",INDEX(DESK!$AV$2:$AV$601,MATCH(251,DESK!$AR$2:$AR$601,0)))</f>
        <v/>
      </c>
      <c r="I259" s="21"/>
      <c r="J259" s="20"/>
      <c r="K259" s="20"/>
      <c r="L259" s="20"/>
      <c r="M259" s="23" t="str">
        <f t="shared" si="3"/>
        <v/>
      </c>
    </row>
    <row r="260" spans="1:13" x14ac:dyDescent="0.35">
      <c r="A260" s="28">
        <v>252</v>
      </c>
      <c r="B260" s="43" t="str">
        <f>IF(SETTINGS!$B$22&lt;&gt;"YES","",IFERROR(IF(OR($J$3="Everyone",INDEX(DESK!$AV$2:$AV$601,MATCH(252,DESK!$AR$2:$AR$601,0))="SEND"),"91"&amp;INDEX(DESK!$F$2:$F$601,MATCH(252,DESK!$AR$2:$AR$601,0)),""),""))</f>
        <v/>
      </c>
      <c r="C260" s="28" t="str">
        <f>IF(B260="","",IF(INDEX(DESK!$AC$2:$AC$601,MATCH(252,DESK!$AR$2:$AR$601,0))="YES","A","B"))</f>
        <v/>
      </c>
      <c r="D260" s="28" t="str">
        <f>IF(B260="","",INDEX(DESK!$AQ$2:$AQ$601,MATCH(252,DESK!$AR$2:$AR$601,0)))</f>
        <v/>
      </c>
      <c r="E260" s="28" t="str">
        <f>IF(B260="","",INDEX(DESK!$B$2:$B$601,MATCH(252,DESK!$AR$2:$AR$601,0))&amp;IF(COUNTIFS(DESK!$F$2:$F$601,INDEX(DESK!$F$2:$F$601,MATCH(252,DESK!$AR$2:$AR$601,0)),DESK!$L$2:$L$601,1)&gt;1," and "&amp;(COUNTIFS(DESK!$F$2:$F$601,INDEX(DESK!$F$2:$F$601,MATCH(252,DESK!$AR$2:$AR$601,0)),DESK!$L$2:$L$601,1)-1)&amp;" more",""))</f>
        <v/>
      </c>
      <c r="F260" s="28" t="str">
        <f>IF(B260="","",IF(C260="B",INDEX(DESK!$AD$2:$AD$601,MATCH(252,DESK!$AR$2:$AR$601,0)),""))</f>
        <v/>
      </c>
      <c r="G260" s="28" t="str">
        <f>IF(B260="","",INDEX(DESK!$AV$2:$AV$601,MATCH(252,DESK!$AR$2:$AR$601,0)))</f>
        <v/>
      </c>
      <c r="I260" s="21"/>
      <c r="J260" s="20"/>
      <c r="K260" s="20"/>
      <c r="L260" s="20"/>
      <c r="M260" s="23" t="str">
        <f t="shared" si="3"/>
        <v/>
      </c>
    </row>
    <row r="261" spans="1:13" x14ac:dyDescent="0.35">
      <c r="A261" s="28">
        <v>253</v>
      </c>
      <c r="B261" s="43" t="str">
        <f>IF(SETTINGS!$B$22&lt;&gt;"YES","",IFERROR(IF(OR($J$3="Everyone",INDEX(DESK!$AV$2:$AV$601,MATCH(253,DESK!$AR$2:$AR$601,0))="SEND"),"91"&amp;INDEX(DESK!$F$2:$F$601,MATCH(253,DESK!$AR$2:$AR$601,0)),""),""))</f>
        <v/>
      </c>
      <c r="C261" s="28" t="str">
        <f>IF(B261="","",IF(INDEX(DESK!$AC$2:$AC$601,MATCH(253,DESK!$AR$2:$AR$601,0))="YES","A","B"))</f>
        <v/>
      </c>
      <c r="D261" s="28" t="str">
        <f>IF(B261="","",INDEX(DESK!$AQ$2:$AQ$601,MATCH(253,DESK!$AR$2:$AR$601,0)))</f>
        <v/>
      </c>
      <c r="E261" s="28" t="str">
        <f>IF(B261="","",INDEX(DESK!$B$2:$B$601,MATCH(253,DESK!$AR$2:$AR$601,0))&amp;IF(COUNTIFS(DESK!$F$2:$F$601,INDEX(DESK!$F$2:$F$601,MATCH(253,DESK!$AR$2:$AR$601,0)),DESK!$L$2:$L$601,1)&gt;1," and "&amp;(COUNTIFS(DESK!$F$2:$F$601,INDEX(DESK!$F$2:$F$601,MATCH(253,DESK!$AR$2:$AR$601,0)),DESK!$L$2:$L$601,1)-1)&amp;" more",""))</f>
        <v/>
      </c>
      <c r="F261" s="28" t="str">
        <f>IF(B261="","",IF(C261="B",INDEX(DESK!$AD$2:$AD$601,MATCH(253,DESK!$AR$2:$AR$601,0)),""))</f>
        <v/>
      </c>
      <c r="G261" s="28" t="str">
        <f>IF(B261="","",INDEX(DESK!$AV$2:$AV$601,MATCH(253,DESK!$AR$2:$AR$601,0)))</f>
        <v/>
      </c>
      <c r="I261" s="21"/>
      <c r="J261" s="20"/>
      <c r="K261" s="20"/>
      <c r="L261" s="20"/>
      <c r="M261" s="23" t="str">
        <f t="shared" si="3"/>
        <v/>
      </c>
    </row>
    <row r="262" spans="1:13" x14ac:dyDescent="0.35">
      <c r="A262" s="28">
        <v>254</v>
      </c>
      <c r="B262" s="43" t="str">
        <f>IF(SETTINGS!$B$22&lt;&gt;"YES","",IFERROR(IF(OR($J$3="Everyone",INDEX(DESK!$AV$2:$AV$601,MATCH(254,DESK!$AR$2:$AR$601,0))="SEND"),"91"&amp;INDEX(DESK!$F$2:$F$601,MATCH(254,DESK!$AR$2:$AR$601,0)),""),""))</f>
        <v/>
      </c>
      <c r="C262" s="28" t="str">
        <f>IF(B262="","",IF(INDEX(DESK!$AC$2:$AC$601,MATCH(254,DESK!$AR$2:$AR$601,0))="YES","A","B"))</f>
        <v/>
      </c>
      <c r="D262" s="28" t="str">
        <f>IF(B262="","",INDEX(DESK!$AQ$2:$AQ$601,MATCH(254,DESK!$AR$2:$AR$601,0)))</f>
        <v/>
      </c>
      <c r="E262" s="28" t="str">
        <f>IF(B262="","",INDEX(DESK!$B$2:$B$601,MATCH(254,DESK!$AR$2:$AR$601,0))&amp;IF(COUNTIFS(DESK!$F$2:$F$601,INDEX(DESK!$F$2:$F$601,MATCH(254,DESK!$AR$2:$AR$601,0)),DESK!$L$2:$L$601,1)&gt;1," and "&amp;(COUNTIFS(DESK!$F$2:$F$601,INDEX(DESK!$F$2:$F$601,MATCH(254,DESK!$AR$2:$AR$601,0)),DESK!$L$2:$L$601,1)-1)&amp;" more",""))</f>
        <v/>
      </c>
      <c r="F262" s="28" t="str">
        <f>IF(B262="","",IF(C262="B",INDEX(DESK!$AD$2:$AD$601,MATCH(254,DESK!$AR$2:$AR$601,0)),""))</f>
        <v/>
      </c>
      <c r="G262" s="28" t="str">
        <f>IF(B262="","",INDEX(DESK!$AV$2:$AV$601,MATCH(254,DESK!$AR$2:$AR$601,0)))</f>
        <v/>
      </c>
      <c r="I262" s="21"/>
      <c r="J262" s="20"/>
      <c r="K262" s="20"/>
      <c r="L262" s="20"/>
      <c r="M262" s="23" t="str">
        <f t="shared" si="3"/>
        <v/>
      </c>
    </row>
    <row r="263" spans="1:13" x14ac:dyDescent="0.35">
      <c r="A263" s="28">
        <v>255</v>
      </c>
      <c r="B263" s="43" t="str">
        <f>IF(SETTINGS!$B$22&lt;&gt;"YES","",IFERROR(IF(OR($J$3="Everyone",INDEX(DESK!$AV$2:$AV$601,MATCH(255,DESK!$AR$2:$AR$601,0))="SEND"),"91"&amp;INDEX(DESK!$F$2:$F$601,MATCH(255,DESK!$AR$2:$AR$601,0)),""),""))</f>
        <v/>
      </c>
      <c r="C263" s="28" t="str">
        <f>IF(B263="","",IF(INDEX(DESK!$AC$2:$AC$601,MATCH(255,DESK!$AR$2:$AR$601,0))="YES","A","B"))</f>
        <v/>
      </c>
      <c r="D263" s="28" t="str">
        <f>IF(B263="","",INDEX(DESK!$AQ$2:$AQ$601,MATCH(255,DESK!$AR$2:$AR$601,0)))</f>
        <v/>
      </c>
      <c r="E263" s="28" t="str">
        <f>IF(B263="","",INDEX(DESK!$B$2:$B$601,MATCH(255,DESK!$AR$2:$AR$601,0))&amp;IF(COUNTIFS(DESK!$F$2:$F$601,INDEX(DESK!$F$2:$F$601,MATCH(255,DESK!$AR$2:$AR$601,0)),DESK!$L$2:$L$601,1)&gt;1," and "&amp;(COUNTIFS(DESK!$F$2:$F$601,INDEX(DESK!$F$2:$F$601,MATCH(255,DESK!$AR$2:$AR$601,0)),DESK!$L$2:$L$601,1)-1)&amp;" more",""))</f>
        <v/>
      </c>
      <c r="F263" s="28" t="str">
        <f>IF(B263="","",IF(C263="B",INDEX(DESK!$AD$2:$AD$601,MATCH(255,DESK!$AR$2:$AR$601,0)),""))</f>
        <v/>
      </c>
      <c r="G263" s="28" t="str">
        <f>IF(B263="","",INDEX(DESK!$AV$2:$AV$601,MATCH(255,DESK!$AR$2:$AR$601,0)))</f>
        <v/>
      </c>
      <c r="I263" s="21"/>
      <c r="J263" s="20"/>
      <c r="K263" s="20"/>
      <c r="L263" s="20"/>
      <c r="M263" s="23" t="str">
        <f t="shared" si="3"/>
        <v/>
      </c>
    </row>
    <row r="264" spans="1:13" x14ac:dyDescent="0.35">
      <c r="A264" s="28">
        <v>256</v>
      </c>
      <c r="B264" s="43" t="str">
        <f>IF(SETTINGS!$B$22&lt;&gt;"YES","",IFERROR(IF(OR($J$3="Everyone",INDEX(DESK!$AV$2:$AV$601,MATCH(256,DESK!$AR$2:$AR$601,0))="SEND"),"91"&amp;INDEX(DESK!$F$2:$F$601,MATCH(256,DESK!$AR$2:$AR$601,0)),""),""))</f>
        <v/>
      </c>
      <c r="C264" s="28" t="str">
        <f>IF(B264="","",IF(INDEX(DESK!$AC$2:$AC$601,MATCH(256,DESK!$AR$2:$AR$601,0))="YES","A","B"))</f>
        <v/>
      </c>
      <c r="D264" s="28" t="str">
        <f>IF(B264="","",INDEX(DESK!$AQ$2:$AQ$601,MATCH(256,DESK!$AR$2:$AR$601,0)))</f>
        <v/>
      </c>
      <c r="E264" s="28" t="str">
        <f>IF(B264="","",INDEX(DESK!$B$2:$B$601,MATCH(256,DESK!$AR$2:$AR$601,0))&amp;IF(COUNTIFS(DESK!$F$2:$F$601,INDEX(DESK!$F$2:$F$601,MATCH(256,DESK!$AR$2:$AR$601,0)),DESK!$L$2:$L$601,1)&gt;1," and "&amp;(COUNTIFS(DESK!$F$2:$F$601,INDEX(DESK!$F$2:$F$601,MATCH(256,DESK!$AR$2:$AR$601,0)),DESK!$L$2:$L$601,1)-1)&amp;" more",""))</f>
        <v/>
      </c>
      <c r="F264" s="28" t="str">
        <f>IF(B264="","",IF(C264="B",INDEX(DESK!$AD$2:$AD$601,MATCH(256,DESK!$AR$2:$AR$601,0)),""))</f>
        <v/>
      </c>
      <c r="G264" s="28" t="str">
        <f>IF(B264="","",INDEX(DESK!$AV$2:$AV$601,MATCH(256,DESK!$AR$2:$AR$601,0)))</f>
        <v/>
      </c>
      <c r="I264" s="21"/>
      <c r="J264" s="20"/>
      <c r="K264" s="20"/>
      <c r="L264" s="20"/>
      <c r="M264" s="23" t="str">
        <f t="shared" si="3"/>
        <v/>
      </c>
    </row>
    <row r="265" spans="1:13" x14ac:dyDescent="0.35">
      <c r="A265" s="28">
        <v>257</v>
      </c>
      <c r="B265" s="43" t="str">
        <f>IF(SETTINGS!$B$22&lt;&gt;"YES","",IFERROR(IF(OR($J$3="Everyone",INDEX(DESK!$AV$2:$AV$601,MATCH(257,DESK!$AR$2:$AR$601,0))="SEND"),"91"&amp;INDEX(DESK!$F$2:$F$601,MATCH(257,DESK!$AR$2:$AR$601,0)),""),""))</f>
        <v/>
      </c>
      <c r="C265" s="28" t="str">
        <f>IF(B265="","",IF(INDEX(DESK!$AC$2:$AC$601,MATCH(257,DESK!$AR$2:$AR$601,0))="YES","A","B"))</f>
        <v/>
      </c>
      <c r="D265" s="28" t="str">
        <f>IF(B265="","",INDEX(DESK!$AQ$2:$AQ$601,MATCH(257,DESK!$AR$2:$AR$601,0)))</f>
        <v/>
      </c>
      <c r="E265" s="28" t="str">
        <f>IF(B265="","",INDEX(DESK!$B$2:$B$601,MATCH(257,DESK!$AR$2:$AR$601,0))&amp;IF(COUNTIFS(DESK!$F$2:$F$601,INDEX(DESK!$F$2:$F$601,MATCH(257,DESK!$AR$2:$AR$601,0)),DESK!$L$2:$L$601,1)&gt;1," and "&amp;(COUNTIFS(DESK!$F$2:$F$601,INDEX(DESK!$F$2:$F$601,MATCH(257,DESK!$AR$2:$AR$601,0)),DESK!$L$2:$L$601,1)-1)&amp;" more",""))</f>
        <v/>
      </c>
      <c r="F265" s="28" t="str">
        <f>IF(B265="","",IF(C265="B",INDEX(DESK!$AD$2:$AD$601,MATCH(257,DESK!$AR$2:$AR$601,0)),""))</f>
        <v/>
      </c>
      <c r="G265" s="28" t="str">
        <f>IF(B265="","",INDEX(DESK!$AV$2:$AV$601,MATCH(257,DESK!$AR$2:$AR$601,0)))</f>
        <v/>
      </c>
      <c r="I265" s="21"/>
      <c r="J265" s="20"/>
      <c r="K265" s="20"/>
      <c r="L265" s="20"/>
      <c r="M265" s="23" t="str">
        <f t="shared" ref="M265:M328" si="4">IF(I265="","",RIGHT(SUBSTITUTE(SUBSTITUTE(I265&amp;""," ",""),"+",""),10))</f>
        <v/>
      </c>
    </row>
    <row r="266" spans="1:13" x14ac:dyDescent="0.35">
      <c r="A266" s="28">
        <v>258</v>
      </c>
      <c r="B266" s="43" t="str">
        <f>IF(SETTINGS!$B$22&lt;&gt;"YES","",IFERROR(IF(OR($J$3="Everyone",INDEX(DESK!$AV$2:$AV$601,MATCH(258,DESK!$AR$2:$AR$601,0))="SEND"),"91"&amp;INDEX(DESK!$F$2:$F$601,MATCH(258,DESK!$AR$2:$AR$601,0)),""),""))</f>
        <v/>
      </c>
      <c r="C266" s="28" t="str">
        <f>IF(B266="","",IF(INDEX(DESK!$AC$2:$AC$601,MATCH(258,DESK!$AR$2:$AR$601,0))="YES","A","B"))</f>
        <v/>
      </c>
      <c r="D266" s="28" t="str">
        <f>IF(B266="","",INDEX(DESK!$AQ$2:$AQ$601,MATCH(258,DESK!$AR$2:$AR$601,0)))</f>
        <v/>
      </c>
      <c r="E266" s="28" t="str">
        <f>IF(B266="","",INDEX(DESK!$B$2:$B$601,MATCH(258,DESK!$AR$2:$AR$601,0))&amp;IF(COUNTIFS(DESK!$F$2:$F$601,INDEX(DESK!$F$2:$F$601,MATCH(258,DESK!$AR$2:$AR$601,0)),DESK!$L$2:$L$601,1)&gt;1," and "&amp;(COUNTIFS(DESK!$F$2:$F$601,INDEX(DESK!$F$2:$F$601,MATCH(258,DESK!$AR$2:$AR$601,0)),DESK!$L$2:$L$601,1)-1)&amp;" more",""))</f>
        <v/>
      </c>
      <c r="F266" s="28" t="str">
        <f>IF(B266="","",IF(C266="B",INDEX(DESK!$AD$2:$AD$601,MATCH(258,DESK!$AR$2:$AR$601,0)),""))</f>
        <v/>
      </c>
      <c r="G266" s="28" t="str">
        <f>IF(B266="","",INDEX(DESK!$AV$2:$AV$601,MATCH(258,DESK!$AR$2:$AR$601,0)))</f>
        <v/>
      </c>
      <c r="I266" s="21"/>
      <c r="J266" s="20"/>
      <c r="K266" s="20"/>
      <c r="L266" s="20"/>
      <c r="M266" s="23" t="str">
        <f t="shared" si="4"/>
        <v/>
      </c>
    </row>
    <row r="267" spans="1:13" x14ac:dyDescent="0.35">
      <c r="A267" s="28">
        <v>259</v>
      </c>
      <c r="B267" s="43" t="str">
        <f>IF(SETTINGS!$B$22&lt;&gt;"YES","",IFERROR(IF(OR($J$3="Everyone",INDEX(DESK!$AV$2:$AV$601,MATCH(259,DESK!$AR$2:$AR$601,0))="SEND"),"91"&amp;INDEX(DESK!$F$2:$F$601,MATCH(259,DESK!$AR$2:$AR$601,0)),""),""))</f>
        <v/>
      </c>
      <c r="C267" s="28" t="str">
        <f>IF(B267="","",IF(INDEX(DESK!$AC$2:$AC$601,MATCH(259,DESK!$AR$2:$AR$601,0))="YES","A","B"))</f>
        <v/>
      </c>
      <c r="D267" s="28" t="str">
        <f>IF(B267="","",INDEX(DESK!$AQ$2:$AQ$601,MATCH(259,DESK!$AR$2:$AR$601,0)))</f>
        <v/>
      </c>
      <c r="E267" s="28" t="str">
        <f>IF(B267="","",INDEX(DESK!$B$2:$B$601,MATCH(259,DESK!$AR$2:$AR$601,0))&amp;IF(COUNTIFS(DESK!$F$2:$F$601,INDEX(DESK!$F$2:$F$601,MATCH(259,DESK!$AR$2:$AR$601,0)),DESK!$L$2:$L$601,1)&gt;1," and "&amp;(COUNTIFS(DESK!$F$2:$F$601,INDEX(DESK!$F$2:$F$601,MATCH(259,DESK!$AR$2:$AR$601,0)),DESK!$L$2:$L$601,1)-1)&amp;" more",""))</f>
        <v/>
      </c>
      <c r="F267" s="28" t="str">
        <f>IF(B267="","",IF(C267="B",INDEX(DESK!$AD$2:$AD$601,MATCH(259,DESK!$AR$2:$AR$601,0)),""))</f>
        <v/>
      </c>
      <c r="G267" s="28" t="str">
        <f>IF(B267="","",INDEX(DESK!$AV$2:$AV$601,MATCH(259,DESK!$AR$2:$AR$601,0)))</f>
        <v/>
      </c>
      <c r="I267" s="21"/>
      <c r="J267" s="20"/>
      <c r="K267" s="20"/>
      <c r="L267" s="20"/>
      <c r="M267" s="23" t="str">
        <f t="shared" si="4"/>
        <v/>
      </c>
    </row>
    <row r="268" spans="1:13" x14ac:dyDescent="0.35">
      <c r="A268" s="28">
        <v>260</v>
      </c>
      <c r="B268" s="43" t="str">
        <f>IF(SETTINGS!$B$22&lt;&gt;"YES","",IFERROR(IF(OR($J$3="Everyone",INDEX(DESK!$AV$2:$AV$601,MATCH(260,DESK!$AR$2:$AR$601,0))="SEND"),"91"&amp;INDEX(DESK!$F$2:$F$601,MATCH(260,DESK!$AR$2:$AR$601,0)),""),""))</f>
        <v/>
      </c>
      <c r="C268" s="28" t="str">
        <f>IF(B268="","",IF(INDEX(DESK!$AC$2:$AC$601,MATCH(260,DESK!$AR$2:$AR$601,0))="YES","A","B"))</f>
        <v/>
      </c>
      <c r="D268" s="28" t="str">
        <f>IF(B268="","",INDEX(DESK!$AQ$2:$AQ$601,MATCH(260,DESK!$AR$2:$AR$601,0)))</f>
        <v/>
      </c>
      <c r="E268" s="28" t="str">
        <f>IF(B268="","",INDEX(DESK!$B$2:$B$601,MATCH(260,DESK!$AR$2:$AR$601,0))&amp;IF(COUNTIFS(DESK!$F$2:$F$601,INDEX(DESK!$F$2:$F$601,MATCH(260,DESK!$AR$2:$AR$601,0)),DESK!$L$2:$L$601,1)&gt;1," and "&amp;(COUNTIFS(DESK!$F$2:$F$601,INDEX(DESK!$F$2:$F$601,MATCH(260,DESK!$AR$2:$AR$601,0)),DESK!$L$2:$L$601,1)-1)&amp;" more",""))</f>
        <v/>
      </c>
      <c r="F268" s="28" t="str">
        <f>IF(B268="","",IF(C268="B",INDEX(DESK!$AD$2:$AD$601,MATCH(260,DESK!$AR$2:$AR$601,0)),""))</f>
        <v/>
      </c>
      <c r="G268" s="28" t="str">
        <f>IF(B268="","",INDEX(DESK!$AV$2:$AV$601,MATCH(260,DESK!$AR$2:$AR$601,0)))</f>
        <v/>
      </c>
      <c r="I268" s="21"/>
      <c r="J268" s="20"/>
      <c r="K268" s="20"/>
      <c r="L268" s="20"/>
      <c r="M268" s="23" t="str">
        <f t="shared" si="4"/>
        <v/>
      </c>
    </row>
    <row r="269" spans="1:13" x14ac:dyDescent="0.35">
      <c r="A269" s="28">
        <v>261</v>
      </c>
      <c r="B269" s="43" t="str">
        <f>IF(SETTINGS!$B$22&lt;&gt;"YES","",IFERROR(IF(OR($J$3="Everyone",INDEX(DESK!$AV$2:$AV$601,MATCH(261,DESK!$AR$2:$AR$601,0))="SEND"),"91"&amp;INDEX(DESK!$F$2:$F$601,MATCH(261,DESK!$AR$2:$AR$601,0)),""),""))</f>
        <v/>
      </c>
      <c r="C269" s="28" t="str">
        <f>IF(B269="","",IF(INDEX(DESK!$AC$2:$AC$601,MATCH(261,DESK!$AR$2:$AR$601,0))="YES","A","B"))</f>
        <v/>
      </c>
      <c r="D269" s="28" t="str">
        <f>IF(B269="","",INDEX(DESK!$AQ$2:$AQ$601,MATCH(261,DESK!$AR$2:$AR$601,0)))</f>
        <v/>
      </c>
      <c r="E269" s="28" t="str">
        <f>IF(B269="","",INDEX(DESK!$B$2:$B$601,MATCH(261,DESK!$AR$2:$AR$601,0))&amp;IF(COUNTIFS(DESK!$F$2:$F$601,INDEX(DESK!$F$2:$F$601,MATCH(261,DESK!$AR$2:$AR$601,0)),DESK!$L$2:$L$601,1)&gt;1," and "&amp;(COUNTIFS(DESK!$F$2:$F$601,INDEX(DESK!$F$2:$F$601,MATCH(261,DESK!$AR$2:$AR$601,0)),DESK!$L$2:$L$601,1)-1)&amp;" more",""))</f>
        <v/>
      </c>
      <c r="F269" s="28" t="str">
        <f>IF(B269="","",IF(C269="B",INDEX(DESK!$AD$2:$AD$601,MATCH(261,DESK!$AR$2:$AR$601,0)),""))</f>
        <v/>
      </c>
      <c r="G269" s="28" t="str">
        <f>IF(B269="","",INDEX(DESK!$AV$2:$AV$601,MATCH(261,DESK!$AR$2:$AR$601,0)))</f>
        <v/>
      </c>
      <c r="I269" s="21"/>
      <c r="J269" s="20"/>
      <c r="K269" s="20"/>
      <c r="L269" s="20"/>
      <c r="M269" s="23" t="str">
        <f t="shared" si="4"/>
        <v/>
      </c>
    </row>
    <row r="270" spans="1:13" x14ac:dyDescent="0.35">
      <c r="A270" s="28">
        <v>262</v>
      </c>
      <c r="B270" s="43" t="str">
        <f>IF(SETTINGS!$B$22&lt;&gt;"YES","",IFERROR(IF(OR($J$3="Everyone",INDEX(DESK!$AV$2:$AV$601,MATCH(262,DESK!$AR$2:$AR$601,0))="SEND"),"91"&amp;INDEX(DESK!$F$2:$F$601,MATCH(262,DESK!$AR$2:$AR$601,0)),""),""))</f>
        <v/>
      </c>
      <c r="C270" s="28" t="str">
        <f>IF(B270="","",IF(INDEX(DESK!$AC$2:$AC$601,MATCH(262,DESK!$AR$2:$AR$601,0))="YES","A","B"))</f>
        <v/>
      </c>
      <c r="D270" s="28" t="str">
        <f>IF(B270="","",INDEX(DESK!$AQ$2:$AQ$601,MATCH(262,DESK!$AR$2:$AR$601,0)))</f>
        <v/>
      </c>
      <c r="E270" s="28" t="str">
        <f>IF(B270="","",INDEX(DESK!$B$2:$B$601,MATCH(262,DESK!$AR$2:$AR$601,0))&amp;IF(COUNTIFS(DESK!$F$2:$F$601,INDEX(DESK!$F$2:$F$601,MATCH(262,DESK!$AR$2:$AR$601,0)),DESK!$L$2:$L$601,1)&gt;1," and "&amp;(COUNTIFS(DESK!$F$2:$F$601,INDEX(DESK!$F$2:$F$601,MATCH(262,DESK!$AR$2:$AR$601,0)),DESK!$L$2:$L$601,1)-1)&amp;" more",""))</f>
        <v/>
      </c>
      <c r="F270" s="28" t="str">
        <f>IF(B270="","",IF(C270="B",INDEX(DESK!$AD$2:$AD$601,MATCH(262,DESK!$AR$2:$AR$601,0)),""))</f>
        <v/>
      </c>
      <c r="G270" s="28" t="str">
        <f>IF(B270="","",INDEX(DESK!$AV$2:$AV$601,MATCH(262,DESK!$AR$2:$AR$601,0)))</f>
        <v/>
      </c>
      <c r="I270" s="21"/>
      <c r="J270" s="20"/>
      <c r="K270" s="20"/>
      <c r="L270" s="20"/>
      <c r="M270" s="23" t="str">
        <f t="shared" si="4"/>
        <v/>
      </c>
    </row>
    <row r="271" spans="1:13" x14ac:dyDescent="0.35">
      <c r="A271" s="28">
        <v>263</v>
      </c>
      <c r="B271" s="43" t="str">
        <f>IF(SETTINGS!$B$22&lt;&gt;"YES","",IFERROR(IF(OR($J$3="Everyone",INDEX(DESK!$AV$2:$AV$601,MATCH(263,DESK!$AR$2:$AR$601,0))="SEND"),"91"&amp;INDEX(DESK!$F$2:$F$601,MATCH(263,DESK!$AR$2:$AR$601,0)),""),""))</f>
        <v/>
      </c>
      <c r="C271" s="28" t="str">
        <f>IF(B271="","",IF(INDEX(DESK!$AC$2:$AC$601,MATCH(263,DESK!$AR$2:$AR$601,0))="YES","A","B"))</f>
        <v/>
      </c>
      <c r="D271" s="28" t="str">
        <f>IF(B271="","",INDEX(DESK!$AQ$2:$AQ$601,MATCH(263,DESK!$AR$2:$AR$601,0)))</f>
        <v/>
      </c>
      <c r="E271" s="28" t="str">
        <f>IF(B271="","",INDEX(DESK!$B$2:$B$601,MATCH(263,DESK!$AR$2:$AR$601,0))&amp;IF(COUNTIFS(DESK!$F$2:$F$601,INDEX(DESK!$F$2:$F$601,MATCH(263,DESK!$AR$2:$AR$601,0)),DESK!$L$2:$L$601,1)&gt;1," and "&amp;(COUNTIFS(DESK!$F$2:$F$601,INDEX(DESK!$F$2:$F$601,MATCH(263,DESK!$AR$2:$AR$601,0)),DESK!$L$2:$L$601,1)-1)&amp;" more",""))</f>
        <v/>
      </c>
      <c r="F271" s="28" t="str">
        <f>IF(B271="","",IF(C271="B",INDEX(DESK!$AD$2:$AD$601,MATCH(263,DESK!$AR$2:$AR$601,0)),""))</f>
        <v/>
      </c>
      <c r="G271" s="28" t="str">
        <f>IF(B271="","",INDEX(DESK!$AV$2:$AV$601,MATCH(263,DESK!$AR$2:$AR$601,0)))</f>
        <v/>
      </c>
      <c r="I271" s="21"/>
      <c r="J271" s="20"/>
      <c r="K271" s="20"/>
      <c r="L271" s="20"/>
      <c r="M271" s="23" t="str">
        <f t="shared" si="4"/>
        <v/>
      </c>
    </row>
    <row r="272" spans="1:13" x14ac:dyDescent="0.35">
      <c r="A272" s="28">
        <v>264</v>
      </c>
      <c r="B272" s="43" t="str">
        <f>IF(SETTINGS!$B$22&lt;&gt;"YES","",IFERROR(IF(OR($J$3="Everyone",INDEX(DESK!$AV$2:$AV$601,MATCH(264,DESK!$AR$2:$AR$601,0))="SEND"),"91"&amp;INDEX(DESK!$F$2:$F$601,MATCH(264,DESK!$AR$2:$AR$601,0)),""),""))</f>
        <v/>
      </c>
      <c r="C272" s="28" t="str">
        <f>IF(B272="","",IF(INDEX(DESK!$AC$2:$AC$601,MATCH(264,DESK!$AR$2:$AR$601,0))="YES","A","B"))</f>
        <v/>
      </c>
      <c r="D272" s="28" t="str">
        <f>IF(B272="","",INDEX(DESK!$AQ$2:$AQ$601,MATCH(264,DESK!$AR$2:$AR$601,0)))</f>
        <v/>
      </c>
      <c r="E272" s="28" t="str">
        <f>IF(B272="","",INDEX(DESK!$B$2:$B$601,MATCH(264,DESK!$AR$2:$AR$601,0))&amp;IF(COUNTIFS(DESK!$F$2:$F$601,INDEX(DESK!$F$2:$F$601,MATCH(264,DESK!$AR$2:$AR$601,0)),DESK!$L$2:$L$601,1)&gt;1," and "&amp;(COUNTIFS(DESK!$F$2:$F$601,INDEX(DESK!$F$2:$F$601,MATCH(264,DESK!$AR$2:$AR$601,0)),DESK!$L$2:$L$601,1)-1)&amp;" more",""))</f>
        <v/>
      </c>
      <c r="F272" s="28" t="str">
        <f>IF(B272="","",IF(C272="B",INDEX(DESK!$AD$2:$AD$601,MATCH(264,DESK!$AR$2:$AR$601,0)),""))</f>
        <v/>
      </c>
      <c r="G272" s="28" t="str">
        <f>IF(B272="","",INDEX(DESK!$AV$2:$AV$601,MATCH(264,DESK!$AR$2:$AR$601,0)))</f>
        <v/>
      </c>
      <c r="I272" s="21"/>
      <c r="J272" s="20"/>
      <c r="K272" s="20"/>
      <c r="L272" s="20"/>
      <c r="M272" s="23" t="str">
        <f t="shared" si="4"/>
        <v/>
      </c>
    </row>
    <row r="273" spans="1:13" x14ac:dyDescent="0.35">
      <c r="A273" s="28">
        <v>265</v>
      </c>
      <c r="B273" s="43" t="str">
        <f>IF(SETTINGS!$B$22&lt;&gt;"YES","",IFERROR(IF(OR($J$3="Everyone",INDEX(DESK!$AV$2:$AV$601,MATCH(265,DESK!$AR$2:$AR$601,0))="SEND"),"91"&amp;INDEX(DESK!$F$2:$F$601,MATCH(265,DESK!$AR$2:$AR$601,0)),""),""))</f>
        <v/>
      </c>
      <c r="C273" s="28" t="str">
        <f>IF(B273="","",IF(INDEX(DESK!$AC$2:$AC$601,MATCH(265,DESK!$AR$2:$AR$601,0))="YES","A","B"))</f>
        <v/>
      </c>
      <c r="D273" s="28" t="str">
        <f>IF(B273="","",INDEX(DESK!$AQ$2:$AQ$601,MATCH(265,DESK!$AR$2:$AR$601,0)))</f>
        <v/>
      </c>
      <c r="E273" s="28" t="str">
        <f>IF(B273="","",INDEX(DESK!$B$2:$B$601,MATCH(265,DESK!$AR$2:$AR$601,0))&amp;IF(COUNTIFS(DESK!$F$2:$F$601,INDEX(DESK!$F$2:$F$601,MATCH(265,DESK!$AR$2:$AR$601,0)),DESK!$L$2:$L$601,1)&gt;1," and "&amp;(COUNTIFS(DESK!$F$2:$F$601,INDEX(DESK!$F$2:$F$601,MATCH(265,DESK!$AR$2:$AR$601,0)),DESK!$L$2:$L$601,1)-1)&amp;" more",""))</f>
        <v/>
      </c>
      <c r="F273" s="28" t="str">
        <f>IF(B273="","",IF(C273="B",INDEX(DESK!$AD$2:$AD$601,MATCH(265,DESK!$AR$2:$AR$601,0)),""))</f>
        <v/>
      </c>
      <c r="G273" s="28" t="str">
        <f>IF(B273="","",INDEX(DESK!$AV$2:$AV$601,MATCH(265,DESK!$AR$2:$AR$601,0)))</f>
        <v/>
      </c>
      <c r="I273" s="21"/>
      <c r="J273" s="20"/>
      <c r="K273" s="20"/>
      <c r="L273" s="20"/>
      <c r="M273" s="23" t="str">
        <f t="shared" si="4"/>
        <v/>
      </c>
    </row>
    <row r="274" spans="1:13" x14ac:dyDescent="0.35">
      <c r="A274" s="28">
        <v>266</v>
      </c>
      <c r="B274" s="43" t="str">
        <f>IF(SETTINGS!$B$22&lt;&gt;"YES","",IFERROR(IF(OR($J$3="Everyone",INDEX(DESK!$AV$2:$AV$601,MATCH(266,DESK!$AR$2:$AR$601,0))="SEND"),"91"&amp;INDEX(DESK!$F$2:$F$601,MATCH(266,DESK!$AR$2:$AR$601,0)),""),""))</f>
        <v/>
      </c>
      <c r="C274" s="28" t="str">
        <f>IF(B274="","",IF(INDEX(DESK!$AC$2:$AC$601,MATCH(266,DESK!$AR$2:$AR$601,0))="YES","A","B"))</f>
        <v/>
      </c>
      <c r="D274" s="28" t="str">
        <f>IF(B274="","",INDEX(DESK!$AQ$2:$AQ$601,MATCH(266,DESK!$AR$2:$AR$601,0)))</f>
        <v/>
      </c>
      <c r="E274" s="28" t="str">
        <f>IF(B274="","",INDEX(DESK!$B$2:$B$601,MATCH(266,DESK!$AR$2:$AR$601,0))&amp;IF(COUNTIFS(DESK!$F$2:$F$601,INDEX(DESK!$F$2:$F$601,MATCH(266,DESK!$AR$2:$AR$601,0)),DESK!$L$2:$L$601,1)&gt;1," and "&amp;(COUNTIFS(DESK!$F$2:$F$601,INDEX(DESK!$F$2:$F$601,MATCH(266,DESK!$AR$2:$AR$601,0)),DESK!$L$2:$L$601,1)-1)&amp;" more",""))</f>
        <v/>
      </c>
      <c r="F274" s="28" t="str">
        <f>IF(B274="","",IF(C274="B",INDEX(DESK!$AD$2:$AD$601,MATCH(266,DESK!$AR$2:$AR$601,0)),""))</f>
        <v/>
      </c>
      <c r="G274" s="28" t="str">
        <f>IF(B274="","",INDEX(DESK!$AV$2:$AV$601,MATCH(266,DESK!$AR$2:$AR$601,0)))</f>
        <v/>
      </c>
      <c r="I274" s="21"/>
      <c r="J274" s="20"/>
      <c r="K274" s="20"/>
      <c r="L274" s="20"/>
      <c r="M274" s="23" t="str">
        <f t="shared" si="4"/>
        <v/>
      </c>
    </row>
    <row r="275" spans="1:13" x14ac:dyDescent="0.35">
      <c r="A275" s="28">
        <v>267</v>
      </c>
      <c r="B275" s="43" t="str">
        <f>IF(SETTINGS!$B$22&lt;&gt;"YES","",IFERROR(IF(OR($J$3="Everyone",INDEX(DESK!$AV$2:$AV$601,MATCH(267,DESK!$AR$2:$AR$601,0))="SEND"),"91"&amp;INDEX(DESK!$F$2:$F$601,MATCH(267,DESK!$AR$2:$AR$601,0)),""),""))</f>
        <v/>
      </c>
      <c r="C275" s="28" t="str">
        <f>IF(B275="","",IF(INDEX(DESK!$AC$2:$AC$601,MATCH(267,DESK!$AR$2:$AR$601,0))="YES","A","B"))</f>
        <v/>
      </c>
      <c r="D275" s="28" t="str">
        <f>IF(B275="","",INDEX(DESK!$AQ$2:$AQ$601,MATCH(267,DESK!$AR$2:$AR$601,0)))</f>
        <v/>
      </c>
      <c r="E275" s="28" t="str">
        <f>IF(B275="","",INDEX(DESK!$B$2:$B$601,MATCH(267,DESK!$AR$2:$AR$601,0))&amp;IF(COUNTIFS(DESK!$F$2:$F$601,INDEX(DESK!$F$2:$F$601,MATCH(267,DESK!$AR$2:$AR$601,0)),DESK!$L$2:$L$601,1)&gt;1," and "&amp;(COUNTIFS(DESK!$F$2:$F$601,INDEX(DESK!$F$2:$F$601,MATCH(267,DESK!$AR$2:$AR$601,0)),DESK!$L$2:$L$601,1)-1)&amp;" more",""))</f>
        <v/>
      </c>
      <c r="F275" s="28" t="str">
        <f>IF(B275="","",IF(C275="B",INDEX(DESK!$AD$2:$AD$601,MATCH(267,DESK!$AR$2:$AR$601,0)),""))</f>
        <v/>
      </c>
      <c r="G275" s="28" t="str">
        <f>IF(B275="","",INDEX(DESK!$AV$2:$AV$601,MATCH(267,DESK!$AR$2:$AR$601,0)))</f>
        <v/>
      </c>
      <c r="I275" s="21"/>
      <c r="J275" s="20"/>
      <c r="K275" s="20"/>
      <c r="L275" s="20"/>
      <c r="M275" s="23" t="str">
        <f t="shared" si="4"/>
        <v/>
      </c>
    </row>
    <row r="276" spans="1:13" x14ac:dyDescent="0.35">
      <c r="A276" s="28">
        <v>268</v>
      </c>
      <c r="B276" s="43" t="str">
        <f>IF(SETTINGS!$B$22&lt;&gt;"YES","",IFERROR(IF(OR($J$3="Everyone",INDEX(DESK!$AV$2:$AV$601,MATCH(268,DESK!$AR$2:$AR$601,0))="SEND"),"91"&amp;INDEX(DESK!$F$2:$F$601,MATCH(268,DESK!$AR$2:$AR$601,0)),""),""))</f>
        <v/>
      </c>
      <c r="C276" s="28" t="str">
        <f>IF(B276="","",IF(INDEX(DESK!$AC$2:$AC$601,MATCH(268,DESK!$AR$2:$AR$601,0))="YES","A","B"))</f>
        <v/>
      </c>
      <c r="D276" s="28" t="str">
        <f>IF(B276="","",INDEX(DESK!$AQ$2:$AQ$601,MATCH(268,DESK!$AR$2:$AR$601,0)))</f>
        <v/>
      </c>
      <c r="E276" s="28" t="str">
        <f>IF(B276="","",INDEX(DESK!$B$2:$B$601,MATCH(268,DESK!$AR$2:$AR$601,0))&amp;IF(COUNTIFS(DESK!$F$2:$F$601,INDEX(DESK!$F$2:$F$601,MATCH(268,DESK!$AR$2:$AR$601,0)),DESK!$L$2:$L$601,1)&gt;1," and "&amp;(COUNTIFS(DESK!$F$2:$F$601,INDEX(DESK!$F$2:$F$601,MATCH(268,DESK!$AR$2:$AR$601,0)),DESK!$L$2:$L$601,1)-1)&amp;" more",""))</f>
        <v/>
      </c>
      <c r="F276" s="28" t="str">
        <f>IF(B276="","",IF(C276="B",INDEX(DESK!$AD$2:$AD$601,MATCH(268,DESK!$AR$2:$AR$601,0)),""))</f>
        <v/>
      </c>
      <c r="G276" s="28" t="str">
        <f>IF(B276="","",INDEX(DESK!$AV$2:$AV$601,MATCH(268,DESK!$AR$2:$AR$601,0)))</f>
        <v/>
      </c>
      <c r="I276" s="21"/>
      <c r="J276" s="20"/>
      <c r="K276" s="20"/>
      <c r="L276" s="20"/>
      <c r="M276" s="23" t="str">
        <f t="shared" si="4"/>
        <v/>
      </c>
    </row>
    <row r="277" spans="1:13" x14ac:dyDescent="0.35">
      <c r="A277" s="28">
        <v>269</v>
      </c>
      <c r="B277" s="43" t="str">
        <f>IF(SETTINGS!$B$22&lt;&gt;"YES","",IFERROR(IF(OR($J$3="Everyone",INDEX(DESK!$AV$2:$AV$601,MATCH(269,DESK!$AR$2:$AR$601,0))="SEND"),"91"&amp;INDEX(DESK!$F$2:$F$601,MATCH(269,DESK!$AR$2:$AR$601,0)),""),""))</f>
        <v/>
      </c>
      <c r="C277" s="28" t="str">
        <f>IF(B277="","",IF(INDEX(DESK!$AC$2:$AC$601,MATCH(269,DESK!$AR$2:$AR$601,0))="YES","A","B"))</f>
        <v/>
      </c>
      <c r="D277" s="28" t="str">
        <f>IF(B277="","",INDEX(DESK!$AQ$2:$AQ$601,MATCH(269,DESK!$AR$2:$AR$601,0)))</f>
        <v/>
      </c>
      <c r="E277" s="28" t="str">
        <f>IF(B277="","",INDEX(DESK!$B$2:$B$601,MATCH(269,DESK!$AR$2:$AR$601,0))&amp;IF(COUNTIFS(DESK!$F$2:$F$601,INDEX(DESK!$F$2:$F$601,MATCH(269,DESK!$AR$2:$AR$601,0)),DESK!$L$2:$L$601,1)&gt;1," and "&amp;(COUNTIFS(DESK!$F$2:$F$601,INDEX(DESK!$F$2:$F$601,MATCH(269,DESK!$AR$2:$AR$601,0)),DESK!$L$2:$L$601,1)-1)&amp;" more",""))</f>
        <v/>
      </c>
      <c r="F277" s="28" t="str">
        <f>IF(B277="","",IF(C277="B",INDEX(DESK!$AD$2:$AD$601,MATCH(269,DESK!$AR$2:$AR$601,0)),""))</f>
        <v/>
      </c>
      <c r="G277" s="28" t="str">
        <f>IF(B277="","",INDEX(DESK!$AV$2:$AV$601,MATCH(269,DESK!$AR$2:$AR$601,0)))</f>
        <v/>
      </c>
      <c r="I277" s="21"/>
      <c r="J277" s="20"/>
      <c r="K277" s="20"/>
      <c r="L277" s="20"/>
      <c r="M277" s="23" t="str">
        <f t="shared" si="4"/>
        <v/>
      </c>
    </row>
    <row r="278" spans="1:13" x14ac:dyDescent="0.35">
      <c r="A278" s="28">
        <v>270</v>
      </c>
      <c r="B278" s="43" t="str">
        <f>IF(SETTINGS!$B$22&lt;&gt;"YES","",IFERROR(IF(OR($J$3="Everyone",INDEX(DESK!$AV$2:$AV$601,MATCH(270,DESK!$AR$2:$AR$601,0))="SEND"),"91"&amp;INDEX(DESK!$F$2:$F$601,MATCH(270,DESK!$AR$2:$AR$601,0)),""),""))</f>
        <v/>
      </c>
      <c r="C278" s="28" t="str">
        <f>IF(B278="","",IF(INDEX(DESK!$AC$2:$AC$601,MATCH(270,DESK!$AR$2:$AR$601,0))="YES","A","B"))</f>
        <v/>
      </c>
      <c r="D278" s="28" t="str">
        <f>IF(B278="","",INDEX(DESK!$AQ$2:$AQ$601,MATCH(270,DESK!$AR$2:$AR$601,0)))</f>
        <v/>
      </c>
      <c r="E278" s="28" t="str">
        <f>IF(B278="","",INDEX(DESK!$B$2:$B$601,MATCH(270,DESK!$AR$2:$AR$601,0))&amp;IF(COUNTIFS(DESK!$F$2:$F$601,INDEX(DESK!$F$2:$F$601,MATCH(270,DESK!$AR$2:$AR$601,0)),DESK!$L$2:$L$601,1)&gt;1," and "&amp;(COUNTIFS(DESK!$F$2:$F$601,INDEX(DESK!$F$2:$F$601,MATCH(270,DESK!$AR$2:$AR$601,0)),DESK!$L$2:$L$601,1)-1)&amp;" more",""))</f>
        <v/>
      </c>
      <c r="F278" s="28" t="str">
        <f>IF(B278="","",IF(C278="B",INDEX(DESK!$AD$2:$AD$601,MATCH(270,DESK!$AR$2:$AR$601,0)),""))</f>
        <v/>
      </c>
      <c r="G278" s="28" t="str">
        <f>IF(B278="","",INDEX(DESK!$AV$2:$AV$601,MATCH(270,DESK!$AR$2:$AR$601,0)))</f>
        <v/>
      </c>
      <c r="I278" s="21"/>
      <c r="J278" s="20"/>
      <c r="K278" s="20"/>
      <c r="L278" s="20"/>
      <c r="M278" s="23" t="str">
        <f t="shared" si="4"/>
        <v/>
      </c>
    </row>
    <row r="279" spans="1:13" x14ac:dyDescent="0.35">
      <c r="A279" s="28">
        <v>271</v>
      </c>
      <c r="B279" s="43" t="str">
        <f>IF(SETTINGS!$B$22&lt;&gt;"YES","",IFERROR(IF(OR($J$3="Everyone",INDEX(DESK!$AV$2:$AV$601,MATCH(271,DESK!$AR$2:$AR$601,0))="SEND"),"91"&amp;INDEX(DESK!$F$2:$F$601,MATCH(271,DESK!$AR$2:$AR$601,0)),""),""))</f>
        <v/>
      </c>
      <c r="C279" s="28" t="str">
        <f>IF(B279="","",IF(INDEX(DESK!$AC$2:$AC$601,MATCH(271,DESK!$AR$2:$AR$601,0))="YES","A","B"))</f>
        <v/>
      </c>
      <c r="D279" s="28" t="str">
        <f>IF(B279="","",INDEX(DESK!$AQ$2:$AQ$601,MATCH(271,DESK!$AR$2:$AR$601,0)))</f>
        <v/>
      </c>
      <c r="E279" s="28" t="str">
        <f>IF(B279="","",INDEX(DESK!$B$2:$B$601,MATCH(271,DESK!$AR$2:$AR$601,0))&amp;IF(COUNTIFS(DESK!$F$2:$F$601,INDEX(DESK!$F$2:$F$601,MATCH(271,DESK!$AR$2:$AR$601,0)),DESK!$L$2:$L$601,1)&gt;1," and "&amp;(COUNTIFS(DESK!$F$2:$F$601,INDEX(DESK!$F$2:$F$601,MATCH(271,DESK!$AR$2:$AR$601,0)),DESK!$L$2:$L$601,1)-1)&amp;" more",""))</f>
        <v/>
      </c>
      <c r="F279" s="28" t="str">
        <f>IF(B279="","",IF(C279="B",INDEX(DESK!$AD$2:$AD$601,MATCH(271,DESK!$AR$2:$AR$601,0)),""))</f>
        <v/>
      </c>
      <c r="G279" s="28" t="str">
        <f>IF(B279="","",INDEX(DESK!$AV$2:$AV$601,MATCH(271,DESK!$AR$2:$AR$601,0)))</f>
        <v/>
      </c>
      <c r="I279" s="21"/>
      <c r="J279" s="20"/>
      <c r="K279" s="20"/>
      <c r="L279" s="20"/>
      <c r="M279" s="23" t="str">
        <f t="shared" si="4"/>
        <v/>
      </c>
    </row>
    <row r="280" spans="1:13" x14ac:dyDescent="0.35">
      <c r="A280" s="28">
        <v>272</v>
      </c>
      <c r="B280" s="43" t="str">
        <f>IF(SETTINGS!$B$22&lt;&gt;"YES","",IFERROR(IF(OR($J$3="Everyone",INDEX(DESK!$AV$2:$AV$601,MATCH(272,DESK!$AR$2:$AR$601,0))="SEND"),"91"&amp;INDEX(DESK!$F$2:$F$601,MATCH(272,DESK!$AR$2:$AR$601,0)),""),""))</f>
        <v/>
      </c>
      <c r="C280" s="28" t="str">
        <f>IF(B280="","",IF(INDEX(DESK!$AC$2:$AC$601,MATCH(272,DESK!$AR$2:$AR$601,0))="YES","A","B"))</f>
        <v/>
      </c>
      <c r="D280" s="28" t="str">
        <f>IF(B280="","",INDEX(DESK!$AQ$2:$AQ$601,MATCH(272,DESK!$AR$2:$AR$601,0)))</f>
        <v/>
      </c>
      <c r="E280" s="28" t="str">
        <f>IF(B280="","",INDEX(DESK!$B$2:$B$601,MATCH(272,DESK!$AR$2:$AR$601,0))&amp;IF(COUNTIFS(DESK!$F$2:$F$601,INDEX(DESK!$F$2:$F$601,MATCH(272,DESK!$AR$2:$AR$601,0)),DESK!$L$2:$L$601,1)&gt;1," and "&amp;(COUNTIFS(DESK!$F$2:$F$601,INDEX(DESK!$F$2:$F$601,MATCH(272,DESK!$AR$2:$AR$601,0)),DESK!$L$2:$L$601,1)-1)&amp;" more",""))</f>
        <v/>
      </c>
      <c r="F280" s="28" t="str">
        <f>IF(B280="","",IF(C280="B",INDEX(DESK!$AD$2:$AD$601,MATCH(272,DESK!$AR$2:$AR$601,0)),""))</f>
        <v/>
      </c>
      <c r="G280" s="28" t="str">
        <f>IF(B280="","",INDEX(DESK!$AV$2:$AV$601,MATCH(272,DESK!$AR$2:$AR$601,0)))</f>
        <v/>
      </c>
      <c r="I280" s="21"/>
      <c r="J280" s="20"/>
      <c r="K280" s="20"/>
      <c r="L280" s="20"/>
      <c r="M280" s="23" t="str">
        <f t="shared" si="4"/>
        <v/>
      </c>
    </row>
    <row r="281" spans="1:13" x14ac:dyDescent="0.35">
      <c r="A281" s="28">
        <v>273</v>
      </c>
      <c r="B281" s="43" t="str">
        <f>IF(SETTINGS!$B$22&lt;&gt;"YES","",IFERROR(IF(OR($J$3="Everyone",INDEX(DESK!$AV$2:$AV$601,MATCH(273,DESK!$AR$2:$AR$601,0))="SEND"),"91"&amp;INDEX(DESK!$F$2:$F$601,MATCH(273,DESK!$AR$2:$AR$601,0)),""),""))</f>
        <v/>
      </c>
      <c r="C281" s="28" t="str">
        <f>IF(B281="","",IF(INDEX(DESK!$AC$2:$AC$601,MATCH(273,DESK!$AR$2:$AR$601,0))="YES","A","B"))</f>
        <v/>
      </c>
      <c r="D281" s="28" t="str">
        <f>IF(B281="","",INDEX(DESK!$AQ$2:$AQ$601,MATCH(273,DESK!$AR$2:$AR$601,0)))</f>
        <v/>
      </c>
      <c r="E281" s="28" t="str">
        <f>IF(B281="","",INDEX(DESK!$B$2:$B$601,MATCH(273,DESK!$AR$2:$AR$601,0))&amp;IF(COUNTIFS(DESK!$F$2:$F$601,INDEX(DESK!$F$2:$F$601,MATCH(273,DESK!$AR$2:$AR$601,0)),DESK!$L$2:$L$601,1)&gt;1," and "&amp;(COUNTIFS(DESK!$F$2:$F$601,INDEX(DESK!$F$2:$F$601,MATCH(273,DESK!$AR$2:$AR$601,0)),DESK!$L$2:$L$601,1)-1)&amp;" more",""))</f>
        <v/>
      </c>
      <c r="F281" s="28" t="str">
        <f>IF(B281="","",IF(C281="B",INDEX(DESK!$AD$2:$AD$601,MATCH(273,DESK!$AR$2:$AR$601,0)),""))</f>
        <v/>
      </c>
      <c r="G281" s="28" t="str">
        <f>IF(B281="","",INDEX(DESK!$AV$2:$AV$601,MATCH(273,DESK!$AR$2:$AR$601,0)))</f>
        <v/>
      </c>
      <c r="I281" s="21"/>
      <c r="J281" s="20"/>
      <c r="K281" s="20"/>
      <c r="L281" s="20"/>
      <c r="M281" s="23" t="str">
        <f t="shared" si="4"/>
        <v/>
      </c>
    </row>
    <row r="282" spans="1:13" x14ac:dyDescent="0.35">
      <c r="A282" s="28">
        <v>274</v>
      </c>
      <c r="B282" s="43" t="str">
        <f>IF(SETTINGS!$B$22&lt;&gt;"YES","",IFERROR(IF(OR($J$3="Everyone",INDEX(DESK!$AV$2:$AV$601,MATCH(274,DESK!$AR$2:$AR$601,0))="SEND"),"91"&amp;INDEX(DESK!$F$2:$F$601,MATCH(274,DESK!$AR$2:$AR$601,0)),""),""))</f>
        <v/>
      </c>
      <c r="C282" s="28" t="str">
        <f>IF(B282="","",IF(INDEX(DESK!$AC$2:$AC$601,MATCH(274,DESK!$AR$2:$AR$601,0))="YES","A","B"))</f>
        <v/>
      </c>
      <c r="D282" s="28" t="str">
        <f>IF(B282="","",INDEX(DESK!$AQ$2:$AQ$601,MATCH(274,DESK!$AR$2:$AR$601,0)))</f>
        <v/>
      </c>
      <c r="E282" s="28" t="str">
        <f>IF(B282="","",INDEX(DESK!$B$2:$B$601,MATCH(274,DESK!$AR$2:$AR$601,0))&amp;IF(COUNTIFS(DESK!$F$2:$F$601,INDEX(DESK!$F$2:$F$601,MATCH(274,DESK!$AR$2:$AR$601,0)),DESK!$L$2:$L$601,1)&gt;1," and "&amp;(COUNTIFS(DESK!$F$2:$F$601,INDEX(DESK!$F$2:$F$601,MATCH(274,DESK!$AR$2:$AR$601,0)),DESK!$L$2:$L$601,1)-1)&amp;" more",""))</f>
        <v/>
      </c>
      <c r="F282" s="28" t="str">
        <f>IF(B282="","",IF(C282="B",INDEX(DESK!$AD$2:$AD$601,MATCH(274,DESK!$AR$2:$AR$601,0)),""))</f>
        <v/>
      </c>
      <c r="G282" s="28" t="str">
        <f>IF(B282="","",INDEX(DESK!$AV$2:$AV$601,MATCH(274,DESK!$AR$2:$AR$601,0)))</f>
        <v/>
      </c>
      <c r="I282" s="21"/>
      <c r="J282" s="20"/>
      <c r="K282" s="20"/>
      <c r="L282" s="20"/>
      <c r="M282" s="23" t="str">
        <f t="shared" si="4"/>
        <v/>
      </c>
    </row>
    <row r="283" spans="1:13" x14ac:dyDescent="0.35">
      <c r="A283" s="28">
        <v>275</v>
      </c>
      <c r="B283" s="43" t="str">
        <f>IF(SETTINGS!$B$22&lt;&gt;"YES","",IFERROR(IF(OR($J$3="Everyone",INDEX(DESK!$AV$2:$AV$601,MATCH(275,DESK!$AR$2:$AR$601,0))="SEND"),"91"&amp;INDEX(DESK!$F$2:$F$601,MATCH(275,DESK!$AR$2:$AR$601,0)),""),""))</f>
        <v/>
      </c>
      <c r="C283" s="28" t="str">
        <f>IF(B283="","",IF(INDEX(DESK!$AC$2:$AC$601,MATCH(275,DESK!$AR$2:$AR$601,0))="YES","A","B"))</f>
        <v/>
      </c>
      <c r="D283" s="28" t="str">
        <f>IF(B283="","",INDEX(DESK!$AQ$2:$AQ$601,MATCH(275,DESK!$AR$2:$AR$601,0)))</f>
        <v/>
      </c>
      <c r="E283" s="28" t="str">
        <f>IF(B283="","",INDEX(DESK!$B$2:$B$601,MATCH(275,DESK!$AR$2:$AR$601,0))&amp;IF(COUNTIFS(DESK!$F$2:$F$601,INDEX(DESK!$F$2:$F$601,MATCH(275,DESK!$AR$2:$AR$601,0)),DESK!$L$2:$L$601,1)&gt;1," and "&amp;(COUNTIFS(DESK!$F$2:$F$601,INDEX(DESK!$F$2:$F$601,MATCH(275,DESK!$AR$2:$AR$601,0)),DESK!$L$2:$L$601,1)-1)&amp;" more",""))</f>
        <v/>
      </c>
      <c r="F283" s="28" t="str">
        <f>IF(B283="","",IF(C283="B",INDEX(DESK!$AD$2:$AD$601,MATCH(275,DESK!$AR$2:$AR$601,0)),""))</f>
        <v/>
      </c>
      <c r="G283" s="28" t="str">
        <f>IF(B283="","",INDEX(DESK!$AV$2:$AV$601,MATCH(275,DESK!$AR$2:$AR$601,0)))</f>
        <v/>
      </c>
      <c r="I283" s="21"/>
      <c r="J283" s="20"/>
      <c r="K283" s="20"/>
      <c r="L283" s="20"/>
      <c r="M283" s="23" t="str">
        <f t="shared" si="4"/>
        <v/>
      </c>
    </row>
    <row r="284" spans="1:13" x14ac:dyDescent="0.35">
      <c r="A284" s="28">
        <v>276</v>
      </c>
      <c r="B284" s="43" t="str">
        <f>IF(SETTINGS!$B$22&lt;&gt;"YES","",IFERROR(IF(OR($J$3="Everyone",INDEX(DESK!$AV$2:$AV$601,MATCH(276,DESK!$AR$2:$AR$601,0))="SEND"),"91"&amp;INDEX(DESK!$F$2:$F$601,MATCH(276,DESK!$AR$2:$AR$601,0)),""),""))</f>
        <v/>
      </c>
      <c r="C284" s="28" t="str">
        <f>IF(B284="","",IF(INDEX(DESK!$AC$2:$AC$601,MATCH(276,DESK!$AR$2:$AR$601,0))="YES","A","B"))</f>
        <v/>
      </c>
      <c r="D284" s="28" t="str">
        <f>IF(B284="","",INDEX(DESK!$AQ$2:$AQ$601,MATCH(276,DESK!$AR$2:$AR$601,0)))</f>
        <v/>
      </c>
      <c r="E284" s="28" t="str">
        <f>IF(B284="","",INDEX(DESK!$B$2:$B$601,MATCH(276,DESK!$AR$2:$AR$601,0))&amp;IF(COUNTIFS(DESK!$F$2:$F$601,INDEX(DESK!$F$2:$F$601,MATCH(276,DESK!$AR$2:$AR$601,0)),DESK!$L$2:$L$601,1)&gt;1," and "&amp;(COUNTIFS(DESK!$F$2:$F$601,INDEX(DESK!$F$2:$F$601,MATCH(276,DESK!$AR$2:$AR$601,0)),DESK!$L$2:$L$601,1)-1)&amp;" more",""))</f>
        <v/>
      </c>
      <c r="F284" s="28" t="str">
        <f>IF(B284="","",IF(C284="B",INDEX(DESK!$AD$2:$AD$601,MATCH(276,DESK!$AR$2:$AR$601,0)),""))</f>
        <v/>
      </c>
      <c r="G284" s="28" t="str">
        <f>IF(B284="","",INDEX(DESK!$AV$2:$AV$601,MATCH(276,DESK!$AR$2:$AR$601,0)))</f>
        <v/>
      </c>
      <c r="I284" s="21"/>
      <c r="J284" s="20"/>
      <c r="K284" s="20"/>
      <c r="L284" s="20"/>
      <c r="M284" s="23" t="str">
        <f t="shared" si="4"/>
        <v/>
      </c>
    </row>
    <row r="285" spans="1:13" x14ac:dyDescent="0.35">
      <c r="A285" s="28">
        <v>277</v>
      </c>
      <c r="B285" s="43" t="str">
        <f>IF(SETTINGS!$B$22&lt;&gt;"YES","",IFERROR(IF(OR($J$3="Everyone",INDEX(DESK!$AV$2:$AV$601,MATCH(277,DESK!$AR$2:$AR$601,0))="SEND"),"91"&amp;INDEX(DESK!$F$2:$F$601,MATCH(277,DESK!$AR$2:$AR$601,0)),""),""))</f>
        <v/>
      </c>
      <c r="C285" s="28" t="str">
        <f>IF(B285="","",IF(INDEX(DESK!$AC$2:$AC$601,MATCH(277,DESK!$AR$2:$AR$601,0))="YES","A","B"))</f>
        <v/>
      </c>
      <c r="D285" s="28" t="str">
        <f>IF(B285="","",INDEX(DESK!$AQ$2:$AQ$601,MATCH(277,DESK!$AR$2:$AR$601,0)))</f>
        <v/>
      </c>
      <c r="E285" s="28" t="str">
        <f>IF(B285="","",INDEX(DESK!$B$2:$B$601,MATCH(277,DESK!$AR$2:$AR$601,0))&amp;IF(COUNTIFS(DESK!$F$2:$F$601,INDEX(DESK!$F$2:$F$601,MATCH(277,DESK!$AR$2:$AR$601,0)),DESK!$L$2:$L$601,1)&gt;1," and "&amp;(COUNTIFS(DESK!$F$2:$F$601,INDEX(DESK!$F$2:$F$601,MATCH(277,DESK!$AR$2:$AR$601,0)),DESK!$L$2:$L$601,1)-1)&amp;" more",""))</f>
        <v/>
      </c>
      <c r="F285" s="28" t="str">
        <f>IF(B285="","",IF(C285="B",INDEX(DESK!$AD$2:$AD$601,MATCH(277,DESK!$AR$2:$AR$601,0)),""))</f>
        <v/>
      </c>
      <c r="G285" s="28" t="str">
        <f>IF(B285="","",INDEX(DESK!$AV$2:$AV$601,MATCH(277,DESK!$AR$2:$AR$601,0)))</f>
        <v/>
      </c>
      <c r="I285" s="21"/>
      <c r="J285" s="20"/>
      <c r="K285" s="20"/>
      <c r="L285" s="20"/>
      <c r="M285" s="23" t="str">
        <f t="shared" si="4"/>
        <v/>
      </c>
    </row>
    <row r="286" spans="1:13" x14ac:dyDescent="0.35">
      <c r="A286" s="28">
        <v>278</v>
      </c>
      <c r="B286" s="43" t="str">
        <f>IF(SETTINGS!$B$22&lt;&gt;"YES","",IFERROR(IF(OR($J$3="Everyone",INDEX(DESK!$AV$2:$AV$601,MATCH(278,DESK!$AR$2:$AR$601,0))="SEND"),"91"&amp;INDEX(DESK!$F$2:$F$601,MATCH(278,DESK!$AR$2:$AR$601,0)),""),""))</f>
        <v/>
      </c>
      <c r="C286" s="28" t="str">
        <f>IF(B286="","",IF(INDEX(DESK!$AC$2:$AC$601,MATCH(278,DESK!$AR$2:$AR$601,0))="YES","A","B"))</f>
        <v/>
      </c>
      <c r="D286" s="28" t="str">
        <f>IF(B286="","",INDEX(DESK!$AQ$2:$AQ$601,MATCH(278,DESK!$AR$2:$AR$601,0)))</f>
        <v/>
      </c>
      <c r="E286" s="28" t="str">
        <f>IF(B286="","",INDEX(DESK!$B$2:$B$601,MATCH(278,DESK!$AR$2:$AR$601,0))&amp;IF(COUNTIFS(DESK!$F$2:$F$601,INDEX(DESK!$F$2:$F$601,MATCH(278,DESK!$AR$2:$AR$601,0)),DESK!$L$2:$L$601,1)&gt;1," and "&amp;(COUNTIFS(DESK!$F$2:$F$601,INDEX(DESK!$F$2:$F$601,MATCH(278,DESK!$AR$2:$AR$601,0)),DESK!$L$2:$L$601,1)-1)&amp;" more",""))</f>
        <v/>
      </c>
      <c r="F286" s="28" t="str">
        <f>IF(B286="","",IF(C286="B",INDEX(DESK!$AD$2:$AD$601,MATCH(278,DESK!$AR$2:$AR$601,0)),""))</f>
        <v/>
      </c>
      <c r="G286" s="28" t="str">
        <f>IF(B286="","",INDEX(DESK!$AV$2:$AV$601,MATCH(278,DESK!$AR$2:$AR$601,0)))</f>
        <v/>
      </c>
      <c r="I286" s="21"/>
      <c r="J286" s="20"/>
      <c r="K286" s="20"/>
      <c r="L286" s="20"/>
      <c r="M286" s="23" t="str">
        <f t="shared" si="4"/>
        <v/>
      </c>
    </row>
    <row r="287" spans="1:13" x14ac:dyDescent="0.35">
      <c r="A287" s="28">
        <v>279</v>
      </c>
      <c r="B287" s="43" t="str">
        <f>IF(SETTINGS!$B$22&lt;&gt;"YES","",IFERROR(IF(OR($J$3="Everyone",INDEX(DESK!$AV$2:$AV$601,MATCH(279,DESK!$AR$2:$AR$601,0))="SEND"),"91"&amp;INDEX(DESK!$F$2:$F$601,MATCH(279,DESK!$AR$2:$AR$601,0)),""),""))</f>
        <v/>
      </c>
      <c r="C287" s="28" t="str">
        <f>IF(B287="","",IF(INDEX(DESK!$AC$2:$AC$601,MATCH(279,DESK!$AR$2:$AR$601,0))="YES","A","B"))</f>
        <v/>
      </c>
      <c r="D287" s="28" t="str">
        <f>IF(B287="","",INDEX(DESK!$AQ$2:$AQ$601,MATCH(279,DESK!$AR$2:$AR$601,0)))</f>
        <v/>
      </c>
      <c r="E287" s="28" t="str">
        <f>IF(B287="","",INDEX(DESK!$B$2:$B$601,MATCH(279,DESK!$AR$2:$AR$601,0))&amp;IF(COUNTIFS(DESK!$F$2:$F$601,INDEX(DESK!$F$2:$F$601,MATCH(279,DESK!$AR$2:$AR$601,0)),DESK!$L$2:$L$601,1)&gt;1," and "&amp;(COUNTIFS(DESK!$F$2:$F$601,INDEX(DESK!$F$2:$F$601,MATCH(279,DESK!$AR$2:$AR$601,0)),DESK!$L$2:$L$601,1)-1)&amp;" more",""))</f>
        <v/>
      </c>
      <c r="F287" s="28" t="str">
        <f>IF(B287="","",IF(C287="B",INDEX(DESK!$AD$2:$AD$601,MATCH(279,DESK!$AR$2:$AR$601,0)),""))</f>
        <v/>
      </c>
      <c r="G287" s="28" t="str">
        <f>IF(B287="","",INDEX(DESK!$AV$2:$AV$601,MATCH(279,DESK!$AR$2:$AR$601,0)))</f>
        <v/>
      </c>
      <c r="I287" s="21"/>
      <c r="J287" s="20"/>
      <c r="K287" s="20"/>
      <c r="L287" s="20"/>
      <c r="M287" s="23" t="str">
        <f t="shared" si="4"/>
        <v/>
      </c>
    </row>
    <row r="288" spans="1:13" x14ac:dyDescent="0.35">
      <c r="A288" s="28">
        <v>280</v>
      </c>
      <c r="B288" s="43" t="str">
        <f>IF(SETTINGS!$B$22&lt;&gt;"YES","",IFERROR(IF(OR($J$3="Everyone",INDEX(DESK!$AV$2:$AV$601,MATCH(280,DESK!$AR$2:$AR$601,0))="SEND"),"91"&amp;INDEX(DESK!$F$2:$F$601,MATCH(280,DESK!$AR$2:$AR$601,0)),""),""))</f>
        <v/>
      </c>
      <c r="C288" s="28" t="str">
        <f>IF(B288="","",IF(INDEX(DESK!$AC$2:$AC$601,MATCH(280,DESK!$AR$2:$AR$601,0))="YES","A","B"))</f>
        <v/>
      </c>
      <c r="D288" s="28" t="str">
        <f>IF(B288="","",INDEX(DESK!$AQ$2:$AQ$601,MATCH(280,DESK!$AR$2:$AR$601,0)))</f>
        <v/>
      </c>
      <c r="E288" s="28" t="str">
        <f>IF(B288="","",INDEX(DESK!$B$2:$B$601,MATCH(280,DESK!$AR$2:$AR$601,0))&amp;IF(COUNTIFS(DESK!$F$2:$F$601,INDEX(DESK!$F$2:$F$601,MATCH(280,DESK!$AR$2:$AR$601,0)),DESK!$L$2:$L$601,1)&gt;1," and "&amp;(COUNTIFS(DESK!$F$2:$F$601,INDEX(DESK!$F$2:$F$601,MATCH(280,DESK!$AR$2:$AR$601,0)),DESK!$L$2:$L$601,1)-1)&amp;" more",""))</f>
        <v/>
      </c>
      <c r="F288" s="28" t="str">
        <f>IF(B288="","",IF(C288="B",INDEX(DESK!$AD$2:$AD$601,MATCH(280,DESK!$AR$2:$AR$601,0)),""))</f>
        <v/>
      </c>
      <c r="G288" s="28" t="str">
        <f>IF(B288="","",INDEX(DESK!$AV$2:$AV$601,MATCH(280,DESK!$AR$2:$AR$601,0)))</f>
        <v/>
      </c>
      <c r="I288" s="21"/>
      <c r="J288" s="20"/>
      <c r="K288" s="20"/>
      <c r="L288" s="20"/>
      <c r="M288" s="23" t="str">
        <f t="shared" si="4"/>
        <v/>
      </c>
    </row>
    <row r="289" spans="1:13" x14ac:dyDescent="0.35">
      <c r="A289" s="28">
        <v>281</v>
      </c>
      <c r="B289" s="43" t="str">
        <f>IF(SETTINGS!$B$22&lt;&gt;"YES","",IFERROR(IF(OR($J$3="Everyone",INDEX(DESK!$AV$2:$AV$601,MATCH(281,DESK!$AR$2:$AR$601,0))="SEND"),"91"&amp;INDEX(DESK!$F$2:$F$601,MATCH(281,DESK!$AR$2:$AR$601,0)),""),""))</f>
        <v/>
      </c>
      <c r="C289" s="28" t="str">
        <f>IF(B289="","",IF(INDEX(DESK!$AC$2:$AC$601,MATCH(281,DESK!$AR$2:$AR$601,0))="YES","A","B"))</f>
        <v/>
      </c>
      <c r="D289" s="28" t="str">
        <f>IF(B289="","",INDEX(DESK!$AQ$2:$AQ$601,MATCH(281,DESK!$AR$2:$AR$601,0)))</f>
        <v/>
      </c>
      <c r="E289" s="28" t="str">
        <f>IF(B289="","",INDEX(DESK!$B$2:$B$601,MATCH(281,DESK!$AR$2:$AR$601,0))&amp;IF(COUNTIFS(DESK!$F$2:$F$601,INDEX(DESK!$F$2:$F$601,MATCH(281,DESK!$AR$2:$AR$601,0)),DESK!$L$2:$L$601,1)&gt;1," and "&amp;(COUNTIFS(DESK!$F$2:$F$601,INDEX(DESK!$F$2:$F$601,MATCH(281,DESK!$AR$2:$AR$601,0)),DESK!$L$2:$L$601,1)-1)&amp;" more",""))</f>
        <v/>
      </c>
      <c r="F289" s="28" t="str">
        <f>IF(B289="","",IF(C289="B",INDEX(DESK!$AD$2:$AD$601,MATCH(281,DESK!$AR$2:$AR$601,0)),""))</f>
        <v/>
      </c>
      <c r="G289" s="28" t="str">
        <f>IF(B289="","",INDEX(DESK!$AV$2:$AV$601,MATCH(281,DESK!$AR$2:$AR$601,0)))</f>
        <v/>
      </c>
      <c r="I289" s="21"/>
      <c r="J289" s="20"/>
      <c r="K289" s="20"/>
      <c r="L289" s="20"/>
      <c r="M289" s="23" t="str">
        <f t="shared" si="4"/>
        <v/>
      </c>
    </row>
    <row r="290" spans="1:13" x14ac:dyDescent="0.35">
      <c r="A290" s="28">
        <v>282</v>
      </c>
      <c r="B290" s="43" t="str">
        <f>IF(SETTINGS!$B$22&lt;&gt;"YES","",IFERROR(IF(OR($J$3="Everyone",INDEX(DESK!$AV$2:$AV$601,MATCH(282,DESK!$AR$2:$AR$601,0))="SEND"),"91"&amp;INDEX(DESK!$F$2:$F$601,MATCH(282,DESK!$AR$2:$AR$601,0)),""),""))</f>
        <v/>
      </c>
      <c r="C290" s="28" t="str">
        <f>IF(B290="","",IF(INDEX(DESK!$AC$2:$AC$601,MATCH(282,DESK!$AR$2:$AR$601,0))="YES","A","B"))</f>
        <v/>
      </c>
      <c r="D290" s="28" t="str">
        <f>IF(B290="","",INDEX(DESK!$AQ$2:$AQ$601,MATCH(282,DESK!$AR$2:$AR$601,0)))</f>
        <v/>
      </c>
      <c r="E290" s="28" t="str">
        <f>IF(B290="","",INDEX(DESK!$B$2:$B$601,MATCH(282,DESK!$AR$2:$AR$601,0))&amp;IF(COUNTIFS(DESK!$F$2:$F$601,INDEX(DESK!$F$2:$F$601,MATCH(282,DESK!$AR$2:$AR$601,0)),DESK!$L$2:$L$601,1)&gt;1," and "&amp;(COUNTIFS(DESK!$F$2:$F$601,INDEX(DESK!$F$2:$F$601,MATCH(282,DESK!$AR$2:$AR$601,0)),DESK!$L$2:$L$601,1)-1)&amp;" more",""))</f>
        <v/>
      </c>
      <c r="F290" s="28" t="str">
        <f>IF(B290="","",IF(C290="B",INDEX(DESK!$AD$2:$AD$601,MATCH(282,DESK!$AR$2:$AR$601,0)),""))</f>
        <v/>
      </c>
      <c r="G290" s="28" t="str">
        <f>IF(B290="","",INDEX(DESK!$AV$2:$AV$601,MATCH(282,DESK!$AR$2:$AR$601,0)))</f>
        <v/>
      </c>
      <c r="I290" s="21"/>
      <c r="J290" s="20"/>
      <c r="K290" s="20"/>
      <c r="L290" s="20"/>
      <c r="M290" s="23" t="str">
        <f t="shared" si="4"/>
        <v/>
      </c>
    </row>
    <row r="291" spans="1:13" x14ac:dyDescent="0.35">
      <c r="A291" s="28">
        <v>283</v>
      </c>
      <c r="B291" s="43" t="str">
        <f>IF(SETTINGS!$B$22&lt;&gt;"YES","",IFERROR(IF(OR($J$3="Everyone",INDEX(DESK!$AV$2:$AV$601,MATCH(283,DESK!$AR$2:$AR$601,0))="SEND"),"91"&amp;INDEX(DESK!$F$2:$F$601,MATCH(283,DESK!$AR$2:$AR$601,0)),""),""))</f>
        <v/>
      </c>
      <c r="C291" s="28" t="str">
        <f>IF(B291="","",IF(INDEX(DESK!$AC$2:$AC$601,MATCH(283,DESK!$AR$2:$AR$601,0))="YES","A","B"))</f>
        <v/>
      </c>
      <c r="D291" s="28" t="str">
        <f>IF(B291="","",INDEX(DESK!$AQ$2:$AQ$601,MATCH(283,DESK!$AR$2:$AR$601,0)))</f>
        <v/>
      </c>
      <c r="E291" s="28" t="str">
        <f>IF(B291="","",INDEX(DESK!$B$2:$B$601,MATCH(283,DESK!$AR$2:$AR$601,0))&amp;IF(COUNTIFS(DESK!$F$2:$F$601,INDEX(DESK!$F$2:$F$601,MATCH(283,DESK!$AR$2:$AR$601,0)),DESK!$L$2:$L$601,1)&gt;1," and "&amp;(COUNTIFS(DESK!$F$2:$F$601,INDEX(DESK!$F$2:$F$601,MATCH(283,DESK!$AR$2:$AR$601,0)),DESK!$L$2:$L$601,1)-1)&amp;" more",""))</f>
        <v/>
      </c>
      <c r="F291" s="28" t="str">
        <f>IF(B291="","",IF(C291="B",INDEX(DESK!$AD$2:$AD$601,MATCH(283,DESK!$AR$2:$AR$601,0)),""))</f>
        <v/>
      </c>
      <c r="G291" s="28" t="str">
        <f>IF(B291="","",INDEX(DESK!$AV$2:$AV$601,MATCH(283,DESK!$AR$2:$AR$601,0)))</f>
        <v/>
      </c>
      <c r="I291" s="21"/>
      <c r="J291" s="20"/>
      <c r="K291" s="20"/>
      <c r="L291" s="20"/>
      <c r="M291" s="23" t="str">
        <f t="shared" si="4"/>
        <v/>
      </c>
    </row>
    <row r="292" spans="1:13" x14ac:dyDescent="0.35">
      <c r="A292" s="28">
        <v>284</v>
      </c>
      <c r="B292" s="43" t="str">
        <f>IF(SETTINGS!$B$22&lt;&gt;"YES","",IFERROR(IF(OR($J$3="Everyone",INDEX(DESK!$AV$2:$AV$601,MATCH(284,DESK!$AR$2:$AR$601,0))="SEND"),"91"&amp;INDEX(DESK!$F$2:$F$601,MATCH(284,DESK!$AR$2:$AR$601,0)),""),""))</f>
        <v/>
      </c>
      <c r="C292" s="28" t="str">
        <f>IF(B292="","",IF(INDEX(DESK!$AC$2:$AC$601,MATCH(284,DESK!$AR$2:$AR$601,0))="YES","A","B"))</f>
        <v/>
      </c>
      <c r="D292" s="28" t="str">
        <f>IF(B292="","",INDEX(DESK!$AQ$2:$AQ$601,MATCH(284,DESK!$AR$2:$AR$601,0)))</f>
        <v/>
      </c>
      <c r="E292" s="28" t="str">
        <f>IF(B292="","",INDEX(DESK!$B$2:$B$601,MATCH(284,DESK!$AR$2:$AR$601,0))&amp;IF(COUNTIFS(DESK!$F$2:$F$601,INDEX(DESK!$F$2:$F$601,MATCH(284,DESK!$AR$2:$AR$601,0)),DESK!$L$2:$L$601,1)&gt;1," and "&amp;(COUNTIFS(DESK!$F$2:$F$601,INDEX(DESK!$F$2:$F$601,MATCH(284,DESK!$AR$2:$AR$601,0)),DESK!$L$2:$L$601,1)-1)&amp;" more",""))</f>
        <v/>
      </c>
      <c r="F292" s="28" t="str">
        <f>IF(B292="","",IF(C292="B",INDEX(DESK!$AD$2:$AD$601,MATCH(284,DESK!$AR$2:$AR$601,0)),""))</f>
        <v/>
      </c>
      <c r="G292" s="28" t="str">
        <f>IF(B292="","",INDEX(DESK!$AV$2:$AV$601,MATCH(284,DESK!$AR$2:$AR$601,0)))</f>
        <v/>
      </c>
      <c r="I292" s="21"/>
      <c r="J292" s="20"/>
      <c r="K292" s="20"/>
      <c r="L292" s="20"/>
      <c r="M292" s="23" t="str">
        <f t="shared" si="4"/>
        <v/>
      </c>
    </row>
    <row r="293" spans="1:13" x14ac:dyDescent="0.35">
      <c r="A293" s="28">
        <v>285</v>
      </c>
      <c r="B293" s="43" t="str">
        <f>IF(SETTINGS!$B$22&lt;&gt;"YES","",IFERROR(IF(OR($J$3="Everyone",INDEX(DESK!$AV$2:$AV$601,MATCH(285,DESK!$AR$2:$AR$601,0))="SEND"),"91"&amp;INDEX(DESK!$F$2:$F$601,MATCH(285,DESK!$AR$2:$AR$601,0)),""),""))</f>
        <v/>
      </c>
      <c r="C293" s="28" t="str">
        <f>IF(B293="","",IF(INDEX(DESK!$AC$2:$AC$601,MATCH(285,DESK!$AR$2:$AR$601,0))="YES","A","B"))</f>
        <v/>
      </c>
      <c r="D293" s="28" t="str">
        <f>IF(B293="","",INDEX(DESK!$AQ$2:$AQ$601,MATCH(285,DESK!$AR$2:$AR$601,0)))</f>
        <v/>
      </c>
      <c r="E293" s="28" t="str">
        <f>IF(B293="","",INDEX(DESK!$B$2:$B$601,MATCH(285,DESK!$AR$2:$AR$601,0))&amp;IF(COUNTIFS(DESK!$F$2:$F$601,INDEX(DESK!$F$2:$F$601,MATCH(285,DESK!$AR$2:$AR$601,0)),DESK!$L$2:$L$601,1)&gt;1," and "&amp;(COUNTIFS(DESK!$F$2:$F$601,INDEX(DESK!$F$2:$F$601,MATCH(285,DESK!$AR$2:$AR$601,0)),DESK!$L$2:$L$601,1)-1)&amp;" more",""))</f>
        <v/>
      </c>
      <c r="F293" s="28" t="str">
        <f>IF(B293="","",IF(C293="B",INDEX(DESK!$AD$2:$AD$601,MATCH(285,DESK!$AR$2:$AR$601,0)),""))</f>
        <v/>
      </c>
      <c r="G293" s="28" t="str">
        <f>IF(B293="","",INDEX(DESK!$AV$2:$AV$601,MATCH(285,DESK!$AR$2:$AR$601,0)))</f>
        <v/>
      </c>
      <c r="I293" s="21"/>
      <c r="J293" s="20"/>
      <c r="K293" s="20"/>
      <c r="L293" s="20"/>
      <c r="M293" s="23" t="str">
        <f t="shared" si="4"/>
        <v/>
      </c>
    </row>
    <row r="294" spans="1:13" x14ac:dyDescent="0.35">
      <c r="A294" s="28">
        <v>286</v>
      </c>
      <c r="B294" s="43" t="str">
        <f>IF(SETTINGS!$B$22&lt;&gt;"YES","",IFERROR(IF(OR($J$3="Everyone",INDEX(DESK!$AV$2:$AV$601,MATCH(286,DESK!$AR$2:$AR$601,0))="SEND"),"91"&amp;INDEX(DESK!$F$2:$F$601,MATCH(286,DESK!$AR$2:$AR$601,0)),""),""))</f>
        <v/>
      </c>
      <c r="C294" s="28" t="str">
        <f>IF(B294="","",IF(INDEX(DESK!$AC$2:$AC$601,MATCH(286,DESK!$AR$2:$AR$601,0))="YES","A","B"))</f>
        <v/>
      </c>
      <c r="D294" s="28" t="str">
        <f>IF(B294="","",INDEX(DESK!$AQ$2:$AQ$601,MATCH(286,DESK!$AR$2:$AR$601,0)))</f>
        <v/>
      </c>
      <c r="E294" s="28" t="str">
        <f>IF(B294="","",INDEX(DESK!$B$2:$B$601,MATCH(286,DESK!$AR$2:$AR$601,0))&amp;IF(COUNTIFS(DESK!$F$2:$F$601,INDEX(DESK!$F$2:$F$601,MATCH(286,DESK!$AR$2:$AR$601,0)),DESK!$L$2:$L$601,1)&gt;1," and "&amp;(COUNTIFS(DESK!$F$2:$F$601,INDEX(DESK!$F$2:$F$601,MATCH(286,DESK!$AR$2:$AR$601,0)),DESK!$L$2:$L$601,1)-1)&amp;" more",""))</f>
        <v/>
      </c>
      <c r="F294" s="28" t="str">
        <f>IF(B294="","",IF(C294="B",INDEX(DESK!$AD$2:$AD$601,MATCH(286,DESK!$AR$2:$AR$601,0)),""))</f>
        <v/>
      </c>
      <c r="G294" s="28" t="str">
        <f>IF(B294="","",INDEX(DESK!$AV$2:$AV$601,MATCH(286,DESK!$AR$2:$AR$601,0)))</f>
        <v/>
      </c>
      <c r="I294" s="21"/>
      <c r="J294" s="20"/>
      <c r="K294" s="20"/>
      <c r="L294" s="20"/>
      <c r="M294" s="23" t="str">
        <f t="shared" si="4"/>
        <v/>
      </c>
    </row>
    <row r="295" spans="1:13" x14ac:dyDescent="0.35">
      <c r="A295" s="28">
        <v>287</v>
      </c>
      <c r="B295" s="43" t="str">
        <f>IF(SETTINGS!$B$22&lt;&gt;"YES","",IFERROR(IF(OR($J$3="Everyone",INDEX(DESK!$AV$2:$AV$601,MATCH(287,DESK!$AR$2:$AR$601,0))="SEND"),"91"&amp;INDEX(DESK!$F$2:$F$601,MATCH(287,DESK!$AR$2:$AR$601,0)),""),""))</f>
        <v/>
      </c>
      <c r="C295" s="28" t="str">
        <f>IF(B295="","",IF(INDEX(DESK!$AC$2:$AC$601,MATCH(287,DESK!$AR$2:$AR$601,0))="YES","A","B"))</f>
        <v/>
      </c>
      <c r="D295" s="28" t="str">
        <f>IF(B295="","",INDEX(DESK!$AQ$2:$AQ$601,MATCH(287,DESK!$AR$2:$AR$601,0)))</f>
        <v/>
      </c>
      <c r="E295" s="28" t="str">
        <f>IF(B295="","",INDEX(DESK!$B$2:$B$601,MATCH(287,DESK!$AR$2:$AR$601,0))&amp;IF(COUNTIFS(DESK!$F$2:$F$601,INDEX(DESK!$F$2:$F$601,MATCH(287,DESK!$AR$2:$AR$601,0)),DESK!$L$2:$L$601,1)&gt;1," and "&amp;(COUNTIFS(DESK!$F$2:$F$601,INDEX(DESK!$F$2:$F$601,MATCH(287,DESK!$AR$2:$AR$601,0)),DESK!$L$2:$L$601,1)-1)&amp;" more",""))</f>
        <v/>
      </c>
      <c r="F295" s="28" t="str">
        <f>IF(B295="","",IF(C295="B",INDEX(DESK!$AD$2:$AD$601,MATCH(287,DESK!$AR$2:$AR$601,0)),""))</f>
        <v/>
      </c>
      <c r="G295" s="28" t="str">
        <f>IF(B295="","",INDEX(DESK!$AV$2:$AV$601,MATCH(287,DESK!$AR$2:$AR$601,0)))</f>
        <v/>
      </c>
      <c r="I295" s="21"/>
      <c r="J295" s="20"/>
      <c r="K295" s="20"/>
      <c r="L295" s="20"/>
      <c r="M295" s="23" t="str">
        <f t="shared" si="4"/>
        <v/>
      </c>
    </row>
    <row r="296" spans="1:13" x14ac:dyDescent="0.35">
      <c r="A296" s="28">
        <v>288</v>
      </c>
      <c r="B296" s="43" t="str">
        <f>IF(SETTINGS!$B$22&lt;&gt;"YES","",IFERROR(IF(OR($J$3="Everyone",INDEX(DESK!$AV$2:$AV$601,MATCH(288,DESK!$AR$2:$AR$601,0))="SEND"),"91"&amp;INDEX(DESK!$F$2:$F$601,MATCH(288,DESK!$AR$2:$AR$601,0)),""),""))</f>
        <v/>
      </c>
      <c r="C296" s="28" t="str">
        <f>IF(B296="","",IF(INDEX(DESK!$AC$2:$AC$601,MATCH(288,DESK!$AR$2:$AR$601,0))="YES","A","B"))</f>
        <v/>
      </c>
      <c r="D296" s="28" t="str">
        <f>IF(B296="","",INDEX(DESK!$AQ$2:$AQ$601,MATCH(288,DESK!$AR$2:$AR$601,0)))</f>
        <v/>
      </c>
      <c r="E296" s="28" t="str">
        <f>IF(B296="","",INDEX(DESK!$B$2:$B$601,MATCH(288,DESK!$AR$2:$AR$601,0))&amp;IF(COUNTIFS(DESK!$F$2:$F$601,INDEX(DESK!$F$2:$F$601,MATCH(288,DESK!$AR$2:$AR$601,0)),DESK!$L$2:$L$601,1)&gt;1," and "&amp;(COUNTIFS(DESK!$F$2:$F$601,INDEX(DESK!$F$2:$F$601,MATCH(288,DESK!$AR$2:$AR$601,0)),DESK!$L$2:$L$601,1)-1)&amp;" more",""))</f>
        <v/>
      </c>
      <c r="F296" s="28" t="str">
        <f>IF(B296="","",IF(C296="B",INDEX(DESK!$AD$2:$AD$601,MATCH(288,DESK!$AR$2:$AR$601,0)),""))</f>
        <v/>
      </c>
      <c r="G296" s="28" t="str">
        <f>IF(B296="","",INDEX(DESK!$AV$2:$AV$601,MATCH(288,DESK!$AR$2:$AR$601,0)))</f>
        <v/>
      </c>
      <c r="I296" s="21"/>
      <c r="J296" s="20"/>
      <c r="K296" s="20"/>
      <c r="L296" s="20"/>
      <c r="M296" s="23" t="str">
        <f t="shared" si="4"/>
        <v/>
      </c>
    </row>
    <row r="297" spans="1:13" x14ac:dyDescent="0.35">
      <c r="A297" s="28">
        <v>289</v>
      </c>
      <c r="B297" s="43" t="str">
        <f>IF(SETTINGS!$B$22&lt;&gt;"YES","",IFERROR(IF(OR($J$3="Everyone",INDEX(DESK!$AV$2:$AV$601,MATCH(289,DESK!$AR$2:$AR$601,0))="SEND"),"91"&amp;INDEX(DESK!$F$2:$F$601,MATCH(289,DESK!$AR$2:$AR$601,0)),""),""))</f>
        <v/>
      </c>
      <c r="C297" s="28" t="str">
        <f>IF(B297="","",IF(INDEX(DESK!$AC$2:$AC$601,MATCH(289,DESK!$AR$2:$AR$601,0))="YES","A","B"))</f>
        <v/>
      </c>
      <c r="D297" s="28" t="str">
        <f>IF(B297="","",INDEX(DESK!$AQ$2:$AQ$601,MATCH(289,DESK!$AR$2:$AR$601,0)))</f>
        <v/>
      </c>
      <c r="E297" s="28" t="str">
        <f>IF(B297="","",INDEX(DESK!$B$2:$B$601,MATCH(289,DESK!$AR$2:$AR$601,0))&amp;IF(COUNTIFS(DESK!$F$2:$F$601,INDEX(DESK!$F$2:$F$601,MATCH(289,DESK!$AR$2:$AR$601,0)),DESK!$L$2:$L$601,1)&gt;1," and "&amp;(COUNTIFS(DESK!$F$2:$F$601,INDEX(DESK!$F$2:$F$601,MATCH(289,DESK!$AR$2:$AR$601,0)),DESK!$L$2:$L$601,1)-1)&amp;" more",""))</f>
        <v/>
      </c>
      <c r="F297" s="28" t="str">
        <f>IF(B297="","",IF(C297="B",INDEX(DESK!$AD$2:$AD$601,MATCH(289,DESK!$AR$2:$AR$601,0)),""))</f>
        <v/>
      </c>
      <c r="G297" s="28" t="str">
        <f>IF(B297="","",INDEX(DESK!$AV$2:$AV$601,MATCH(289,DESK!$AR$2:$AR$601,0)))</f>
        <v/>
      </c>
      <c r="I297" s="21"/>
      <c r="J297" s="20"/>
      <c r="K297" s="20"/>
      <c r="L297" s="20"/>
      <c r="M297" s="23" t="str">
        <f t="shared" si="4"/>
        <v/>
      </c>
    </row>
    <row r="298" spans="1:13" x14ac:dyDescent="0.35">
      <c r="A298" s="28">
        <v>290</v>
      </c>
      <c r="B298" s="43" t="str">
        <f>IF(SETTINGS!$B$22&lt;&gt;"YES","",IFERROR(IF(OR($J$3="Everyone",INDEX(DESK!$AV$2:$AV$601,MATCH(290,DESK!$AR$2:$AR$601,0))="SEND"),"91"&amp;INDEX(DESK!$F$2:$F$601,MATCH(290,DESK!$AR$2:$AR$601,0)),""),""))</f>
        <v/>
      </c>
      <c r="C298" s="28" t="str">
        <f>IF(B298="","",IF(INDEX(DESK!$AC$2:$AC$601,MATCH(290,DESK!$AR$2:$AR$601,0))="YES","A","B"))</f>
        <v/>
      </c>
      <c r="D298" s="28" t="str">
        <f>IF(B298="","",INDEX(DESK!$AQ$2:$AQ$601,MATCH(290,DESK!$AR$2:$AR$601,0)))</f>
        <v/>
      </c>
      <c r="E298" s="28" t="str">
        <f>IF(B298="","",INDEX(DESK!$B$2:$B$601,MATCH(290,DESK!$AR$2:$AR$601,0))&amp;IF(COUNTIFS(DESK!$F$2:$F$601,INDEX(DESK!$F$2:$F$601,MATCH(290,DESK!$AR$2:$AR$601,0)),DESK!$L$2:$L$601,1)&gt;1," and "&amp;(COUNTIFS(DESK!$F$2:$F$601,INDEX(DESK!$F$2:$F$601,MATCH(290,DESK!$AR$2:$AR$601,0)),DESK!$L$2:$L$601,1)-1)&amp;" more",""))</f>
        <v/>
      </c>
      <c r="F298" s="28" t="str">
        <f>IF(B298="","",IF(C298="B",INDEX(DESK!$AD$2:$AD$601,MATCH(290,DESK!$AR$2:$AR$601,0)),""))</f>
        <v/>
      </c>
      <c r="G298" s="28" t="str">
        <f>IF(B298="","",INDEX(DESK!$AV$2:$AV$601,MATCH(290,DESK!$AR$2:$AR$601,0)))</f>
        <v/>
      </c>
      <c r="I298" s="21"/>
      <c r="J298" s="20"/>
      <c r="K298" s="20"/>
      <c r="L298" s="20"/>
      <c r="M298" s="23" t="str">
        <f t="shared" si="4"/>
        <v/>
      </c>
    </row>
    <row r="299" spans="1:13" x14ac:dyDescent="0.35">
      <c r="A299" s="28">
        <v>291</v>
      </c>
      <c r="B299" s="43" t="str">
        <f>IF(SETTINGS!$B$22&lt;&gt;"YES","",IFERROR(IF(OR($J$3="Everyone",INDEX(DESK!$AV$2:$AV$601,MATCH(291,DESK!$AR$2:$AR$601,0))="SEND"),"91"&amp;INDEX(DESK!$F$2:$F$601,MATCH(291,DESK!$AR$2:$AR$601,0)),""),""))</f>
        <v/>
      </c>
      <c r="C299" s="28" t="str">
        <f>IF(B299="","",IF(INDEX(DESK!$AC$2:$AC$601,MATCH(291,DESK!$AR$2:$AR$601,0))="YES","A","B"))</f>
        <v/>
      </c>
      <c r="D299" s="28" t="str">
        <f>IF(B299="","",INDEX(DESK!$AQ$2:$AQ$601,MATCH(291,DESK!$AR$2:$AR$601,0)))</f>
        <v/>
      </c>
      <c r="E299" s="28" t="str">
        <f>IF(B299="","",INDEX(DESK!$B$2:$B$601,MATCH(291,DESK!$AR$2:$AR$601,0))&amp;IF(COUNTIFS(DESK!$F$2:$F$601,INDEX(DESK!$F$2:$F$601,MATCH(291,DESK!$AR$2:$AR$601,0)),DESK!$L$2:$L$601,1)&gt;1," and "&amp;(COUNTIFS(DESK!$F$2:$F$601,INDEX(DESK!$F$2:$F$601,MATCH(291,DESK!$AR$2:$AR$601,0)),DESK!$L$2:$L$601,1)-1)&amp;" more",""))</f>
        <v/>
      </c>
      <c r="F299" s="28" t="str">
        <f>IF(B299="","",IF(C299="B",INDEX(DESK!$AD$2:$AD$601,MATCH(291,DESK!$AR$2:$AR$601,0)),""))</f>
        <v/>
      </c>
      <c r="G299" s="28" t="str">
        <f>IF(B299="","",INDEX(DESK!$AV$2:$AV$601,MATCH(291,DESK!$AR$2:$AR$601,0)))</f>
        <v/>
      </c>
      <c r="I299" s="21"/>
      <c r="J299" s="20"/>
      <c r="K299" s="20"/>
      <c r="L299" s="20"/>
      <c r="M299" s="23" t="str">
        <f t="shared" si="4"/>
        <v/>
      </c>
    </row>
    <row r="300" spans="1:13" x14ac:dyDescent="0.35">
      <c r="A300" s="28">
        <v>292</v>
      </c>
      <c r="B300" s="43" t="str">
        <f>IF(SETTINGS!$B$22&lt;&gt;"YES","",IFERROR(IF(OR($J$3="Everyone",INDEX(DESK!$AV$2:$AV$601,MATCH(292,DESK!$AR$2:$AR$601,0))="SEND"),"91"&amp;INDEX(DESK!$F$2:$F$601,MATCH(292,DESK!$AR$2:$AR$601,0)),""),""))</f>
        <v/>
      </c>
      <c r="C300" s="28" t="str">
        <f>IF(B300="","",IF(INDEX(DESK!$AC$2:$AC$601,MATCH(292,DESK!$AR$2:$AR$601,0))="YES","A","B"))</f>
        <v/>
      </c>
      <c r="D300" s="28" t="str">
        <f>IF(B300="","",INDEX(DESK!$AQ$2:$AQ$601,MATCH(292,DESK!$AR$2:$AR$601,0)))</f>
        <v/>
      </c>
      <c r="E300" s="28" t="str">
        <f>IF(B300="","",INDEX(DESK!$B$2:$B$601,MATCH(292,DESK!$AR$2:$AR$601,0))&amp;IF(COUNTIFS(DESK!$F$2:$F$601,INDEX(DESK!$F$2:$F$601,MATCH(292,DESK!$AR$2:$AR$601,0)),DESK!$L$2:$L$601,1)&gt;1," and "&amp;(COUNTIFS(DESK!$F$2:$F$601,INDEX(DESK!$F$2:$F$601,MATCH(292,DESK!$AR$2:$AR$601,0)),DESK!$L$2:$L$601,1)-1)&amp;" more",""))</f>
        <v/>
      </c>
      <c r="F300" s="28" t="str">
        <f>IF(B300="","",IF(C300="B",INDEX(DESK!$AD$2:$AD$601,MATCH(292,DESK!$AR$2:$AR$601,0)),""))</f>
        <v/>
      </c>
      <c r="G300" s="28" t="str">
        <f>IF(B300="","",INDEX(DESK!$AV$2:$AV$601,MATCH(292,DESK!$AR$2:$AR$601,0)))</f>
        <v/>
      </c>
      <c r="I300" s="21"/>
      <c r="J300" s="20"/>
      <c r="K300" s="20"/>
      <c r="L300" s="20"/>
      <c r="M300" s="23" t="str">
        <f t="shared" si="4"/>
        <v/>
      </c>
    </row>
    <row r="301" spans="1:13" x14ac:dyDescent="0.35">
      <c r="A301" s="28">
        <v>293</v>
      </c>
      <c r="B301" s="43" t="str">
        <f>IF(SETTINGS!$B$22&lt;&gt;"YES","",IFERROR(IF(OR($J$3="Everyone",INDEX(DESK!$AV$2:$AV$601,MATCH(293,DESK!$AR$2:$AR$601,0))="SEND"),"91"&amp;INDEX(DESK!$F$2:$F$601,MATCH(293,DESK!$AR$2:$AR$601,0)),""),""))</f>
        <v/>
      </c>
      <c r="C301" s="28" t="str">
        <f>IF(B301="","",IF(INDEX(DESK!$AC$2:$AC$601,MATCH(293,DESK!$AR$2:$AR$601,0))="YES","A","B"))</f>
        <v/>
      </c>
      <c r="D301" s="28" t="str">
        <f>IF(B301="","",INDEX(DESK!$AQ$2:$AQ$601,MATCH(293,DESK!$AR$2:$AR$601,0)))</f>
        <v/>
      </c>
      <c r="E301" s="28" t="str">
        <f>IF(B301="","",INDEX(DESK!$B$2:$B$601,MATCH(293,DESK!$AR$2:$AR$601,0))&amp;IF(COUNTIFS(DESK!$F$2:$F$601,INDEX(DESK!$F$2:$F$601,MATCH(293,DESK!$AR$2:$AR$601,0)),DESK!$L$2:$L$601,1)&gt;1," and "&amp;(COUNTIFS(DESK!$F$2:$F$601,INDEX(DESK!$F$2:$F$601,MATCH(293,DESK!$AR$2:$AR$601,0)),DESK!$L$2:$L$601,1)-1)&amp;" more",""))</f>
        <v/>
      </c>
      <c r="F301" s="28" t="str">
        <f>IF(B301="","",IF(C301="B",INDEX(DESK!$AD$2:$AD$601,MATCH(293,DESK!$AR$2:$AR$601,0)),""))</f>
        <v/>
      </c>
      <c r="G301" s="28" t="str">
        <f>IF(B301="","",INDEX(DESK!$AV$2:$AV$601,MATCH(293,DESK!$AR$2:$AR$601,0)))</f>
        <v/>
      </c>
      <c r="I301" s="21"/>
      <c r="J301" s="20"/>
      <c r="K301" s="20"/>
      <c r="L301" s="20"/>
      <c r="M301" s="23" t="str">
        <f t="shared" si="4"/>
        <v/>
      </c>
    </row>
    <row r="302" spans="1:13" x14ac:dyDescent="0.35">
      <c r="A302" s="28">
        <v>294</v>
      </c>
      <c r="B302" s="43" t="str">
        <f>IF(SETTINGS!$B$22&lt;&gt;"YES","",IFERROR(IF(OR($J$3="Everyone",INDEX(DESK!$AV$2:$AV$601,MATCH(294,DESK!$AR$2:$AR$601,0))="SEND"),"91"&amp;INDEX(DESK!$F$2:$F$601,MATCH(294,DESK!$AR$2:$AR$601,0)),""),""))</f>
        <v/>
      </c>
      <c r="C302" s="28" t="str">
        <f>IF(B302="","",IF(INDEX(DESK!$AC$2:$AC$601,MATCH(294,DESK!$AR$2:$AR$601,0))="YES","A","B"))</f>
        <v/>
      </c>
      <c r="D302" s="28" t="str">
        <f>IF(B302="","",INDEX(DESK!$AQ$2:$AQ$601,MATCH(294,DESK!$AR$2:$AR$601,0)))</f>
        <v/>
      </c>
      <c r="E302" s="28" t="str">
        <f>IF(B302="","",INDEX(DESK!$B$2:$B$601,MATCH(294,DESK!$AR$2:$AR$601,0))&amp;IF(COUNTIFS(DESK!$F$2:$F$601,INDEX(DESK!$F$2:$F$601,MATCH(294,DESK!$AR$2:$AR$601,0)),DESK!$L$2:$L$601,1)&gt;1," and "&amp;(COUNTIFS(DESK!$F$2:$F$601,INDEX(DESK!$F$2:$F$601,MATCH(294,DESK!$AR$2:$AR$601,0)),DESK!$L$2:$L$601,1)-1)&amp;" more",""))</f>
        <v/>
      </c>
      <c r="F302" s="28" t="str">
        <f>IF(B302="","",IF(C302="B",INDEX(DESK!$AD$2:$AD$601,MATCH(294,DESK!$AR$2:$AR$601,0)),""))</f>
        <v/>
      </c>
      <c r="G302" s="28" t="str">
        <f>IF(B302="","",INDEX(DESK!$AV$2:$AV$601,MATCH(294,DESK!$AR$2:$AR$601,0)))</f>
        <v/>
      </c>
      <c r="I302" s="21"/>
      <c r="J302" s="20"/>
      <c r="K302" s="20"/>
      <c r="L302" s="20"/>
      <c r="M302" s="23" t="str">
        <f t="shared" si="4"/>
        <v/>
      </c>
    </row>
    <row r="303" spans="1:13" x14ac:dyDescent="0.35">
      <c r="A303" s="28">
        <v>295</v>
      </c>
      <c r="B303" s="43" t="str">
        <f>IF(SETTINGS!$B$22&lt;&gt;"YES","",IFERROR(IF(OR($J$3="Everyone",INDEX(DESK!$AV$2:$AV$601,MATCH(295,DESK!$AR$2:$AR$601,0))="SEND"),"91"&amp;INDEX(DESK!$F$2:$F$601,MATCH(295,DESK!$AR$2:$AR$601,0)),""),""))</f>
        <v/>
      </c>
      <c r="C303" s="28" t="str">
        <f>IF(B303="","",IF(INDEX(DESK!$AC$2:$AC$601,MATCH(295,DESK!$AR$2:$AR$601,0))="YES","A","B"))</f>
        <v/>
      </c>
      <c r="D303" s="28" t="str">
        <f>IF(B303="","",INDEX(DESK!$AQ$2:$AQ$601,MATCH(295,DESK!$AR$2:$AR$601,0)))</f>
        <v/>
      </c>
      <c r="E303" s="28" t="str">
        <f>IF(B303="","",INDEX(DESK!$B$2:$B$601,MATCH(295,DESK!$AR$2:$AR$601,0))&amp;IF(COUNTIFS(DESK!$F$2:$F$601,INDEX(DESK!$F$2:$F$601,MATCH(295,DESK!$AR$2:$AR$601,0)),DESK!$L$2:$L$601,1)&gt;1," and "&amp;(COUNTIFS(DESK!$F$2:$F$601,INDEX(DESK!$F$2:$F$601,MATCH(295,DESK!$AR$2:$AR$601,0)),DESK!$L$2:$L$601,1)-1)&amp;" more",""))</f>
        <v/>
      </c>
      <c r="F303" s="28" t="str">
        <f>IF(B303="","",IF(C303="B",INDEX(DESK!$AD$2:$AD$601,MATCH(295,DESK!$AR$2:$AR$601,0)),""))</f>
        <v/>
      </c>
      <c r="G303" s="28" t="str">
        <f>IF(B303="","",INDEX(DESK!$AV$2:$AV$601,MATCH(295,DESK!$AR$2:$AR$601,0)))</f>
        <v/>
      </c>
      <c r="I303" s="21"/>
      <c r="J303" s="20"/>
      <c r="K303" s="20"/>
      <c r="L303" s="20"/>
      <c r="M303" s="23" t="str">
        <f t="shared" si="4"/>
        <v/>
      </c>
    </row>
    <row r="304" spans="1:13" x14ac:dyDescent="0.35">
      <c r="A304" s="28">
        <v>296</v>
      </c>
      <c r="B304" s="43" t="str">
        <f>IF(SETTINGS!$B$22&lt;&gt;"YES","",IFERROR(IF(OR($J$3="Everyone",INDEX(DESK!$AV$2:$AV$601,MATCH(296,DESK!$AR$2:$AR$601,0))="SEND"),"91"&amp;INDEX(DESK!$F$2:$F$601,MATCH(296,DESK!$AR$2:$AR$601,0)),""),""))</f>
        <v/>
      </c>
      <c r="C304" s="28" t="str">
        <f>IF(B304="","",IF(INDEX(DESK!$AC$2:$AC$601,MATCH(296,DESK!$AR$2:$AR$601,0))="YES","A","B"))</f>
        <v/>
      </c>
      <c r="D304" s="28" t="str">
        <f>IF(B304="","",INDEX(DESK!$AQ$2:$AQ$601,MATCH(296,DESK!$AR$2:$AR$601,0)))</f>
        <v/>
      </c>
      <c r="E304" s="28" t="str">
        <f>IF(B304="","",INDEX(DESK!$B$2:$B$601,MATCH(296,DESK!$AR$2:$AR$601,0))&amp;IF(COUNTIFS(DESK!$F$2:$F$601,INDEX(DESK!$F$2:$F$601,MATCH(296,DESK!$AR$2:$AR$601,0)),DESK!$L$2:$L$601,1)&gt;1," and "&amp;(COUNTIFS(DESK!$F$2:$F$601,INDEX(DESK!$F$2:$F$601,MATCH(296,DESK!$AR$2:$AR$601,0)),DESK!$L$2:$L$601,1)-1)&amp;" more",""))</f>
        <v/>
      </c>
      <c r="F304" s="28" t="str">
        <f>IF(B304="","",IF(C304="B",INDEX(DESK!$AD$2:$AD$601,MATCH(296,DESK!$AR$2:$AR$601,0)),""))</f>
        <v/>
      </c>
      <c r="G304" s="28" t="str">
        <f>IF(B304="","",INDEX(DESK!$AV$2:$AV$601,MATCH(296,DESK!$AR$2:$AR$601,0)))</f>
        <v/>
      </c>
      <c r="I304" s="21"/>
      <c r="J304" s="20"/>
      <c r="K304" s="20"/>
      <c r="L304" s="20"/>
      <c r="M304" s="23" t="str">
        <f t="shared" si="4"/>
        <v/>
      </c>
    </row>
    <row r="305" spans="1:13" x14ac:dyDescent="0.35">
      <c r="A305" s="28">
        <v>297</v>
      </c>
      <c r="B305" s="43" t="str">
        <f>IF(SETTINGS!$B$22&lt;&gt;"YES","",IFERROR(IF(OR($J$3="Everyone",INDEX(DESK!$AV$2:$AV$601,MATCH(297,DESK!$AR$2:$AR$601,0))="SEND"),"91"&amp;INDEX(DESK!$F$2:$F$601,MATCH(297,DESK!$AR$2:$AR$601,0)),""),""))</f>
        <v/>
      </c>
      <c r="C305" s="28" t="str">
        <f>IF(B305="","",IF(INDEX(DESK!$AC$2:$AC$601,MATCH(297,DESK!$AR$2:$AR$601,0))="YES","A","B"))</f>
        <v/>
      </c>
      <c r="D305" s="28" t="str">
        <f>IF(B305="","",INDEX(DESK!$AQ$2:$AQ$601,MATCH(297,DESK!$AR$2:$AR$601,0)))</f>
        <v/>
      </c>
      <c r="E305" s="28" t="str">
        <f>IF(B305="","",INDEX(DESK!$B$2:$B$601,MATCH(297,DESK!$AR$2:$AR$601,0))&amp;IF(COUNTIFS(DESK!$F$2:$F$601,INDEX(DESK!$F$2:$F$601,MATCH(297,DESK!$AR$2:$AR$601,0)),DESK!$L$2:$L$601,1)&gt;1," and "&amp;(COUNTIFS(DESK!$F$2:$F$601,INDEX(DESK!$F$2:$F$601,MATCH(297,DESK!$AR$2:$AR$601,0)),DESK!$L$2:$L$601,1)-1)&amp;" more",""))</f>
        <v/>
      </c>
      <c r="F305" s="28" t="str">
        <f>IF(B305="","",IF(C305="B",INDEX(DESK!$AD$2:$AD$601,MATCH(297,DESK!$AR$2:$AR$601,0)),""))</f>
        <v/>
      </c>
      <c r="G305" s="28" t="str">
        <f>IF(B305="","",INDEX(DESK!$AV$2:$AV$601,MATCH(297,DESK!$AR$2:$AR$601,0)))</f>
        <v/>
      </c>
      <c r="I305" s="21"/>
      <c r="J305" s="20"/>
      <c r="K305" s="20"/>
      <c r="L305" s="20"/>
      <c r="M305" s="23" t="str">
        <f t="shared" si="4"/>
        <v/>
      </c>
    </row>
    <row r="306" spans="1:13" x14ac:dyDescent="0.35">
      <c r="A306" s="28">
        <v>298</v>
      </c>
      <c r="B306" s="43" t="str">
        <f>IF(SETTINGS!$B$22&lt;&gt;"YES","",IFERROR(IF(OR($J$3="Everyone",INDEX(DESK!$AV$2:$AV$601,MATCH(298,DESK!$AR$2:$AR$601,0))="SEND"),"91"&amp;INDEX(DESK!$F$2:$F$601,MATCH(298,DESK!$AR$2:$AR$601,0)),""),""))</f>
        <v/>
      </c>
      <c r="C306" s="28" t="str">
        <f>IF(B306="","",IF(INDEX(DESK!$AC$2:$AC$601,MATCH(298,DESK!$AR$2:$AR$601,0))="YES","A","B"))</f>
        <v/>
      </c>
      <c r="D306" s="28" t="str">
        <f>IF(B306="","",INDEX(DESK!$AQ$2:$AQ$601,MATCH(298,DESK!$AR$2:$AR$601,0)))</f>
        <v/>
      </c>
      <c r="E306" s="28" t="str">
        <f>IF(B306="","",INDEX(DESK!$B$2:$B$601,MATCH(298,DESK!$AR$2:$AR$601,0))&amp;IF(COUNTIFS(DESK!$F$2:$F$601,INDEX(DESK!$F$2:$F$601,MATCH(298,DESK!$AR$2:$AR$601,0)),DESK!$L$2:$L$601,1)&gt;1," and "&amp;(COUNTIFS(DESK!$F$2:$F$601,INDEX(DESK!$F$2:$F$601,MATCH(298,DESK!$AR$2:$AR$601,0)),DESK!$L$2:$L$601,1)-1)&amp;" more",""))</f>
        <v/>
      </c>
      <c r="F306" s="28" t="str">
        <f>IF(B306="","",IF(C306="B",INDEX(DESK!$AD$2:$AD$601,MATCH(298,DESK!$AR$2:$AR$601,0)),""))</f>
        <v/>
      </c>
      <c r="G306" s="28" t="str">
        <f>IF(B306="","",INDEX(DESK!$AV$2:$AV$601,MATCH(298,DESK!$AR$2:$AR$601,0)))</f>
        <v/>
      </c>
      <c r="I306" s="21"/>
      <c r="J306" s="20"/>
      <c r="K306" s="20"/>
      <c r="L306" s="20"/>
      <c r="M306" s="23" t="str">
        <f t="shared" si="4"/>
        <v/>
      </c>
    </row>
    <row r="307" spans="1:13" x14ac:dyDescent="0.35">
      <c r="A307" s="28">
        <v>299</v>
      </c>
      <c r="B307" s="43" t="str">
        <f>IF(SETTINGS!$B$22&lt;&gt;"YES","",IFERROR(IF(OR($J$3="Everyone",INDEX(DESK!$AV$2:$AV$601,MATCH(299,DESK!$AR$2:$AR$601,0))="SEND"),"91"&amp;INDEX(DESK!$F$2:$F$601,MATCH(299,DESK!$AR$2:$AR$601,0)),""),""))</f>
        <v/>
      </c>
      <c r="C307" s="28" t="str">
        <f>IF(B307="","",IF(INDEX(DESK!$AC$2:$AC$601,MATCH(299,DESK!$AR$2:$AR$601,0))="YES","A","B"))</f>
        <v/>
      </c>
      <c r="D307" s="28" t="str">
        <f>IF(B307="","",INDEX(DESK!$AQ$2:$AQ$601,MATCH(299,DESK!$AR$2:$AR$601,0)))</f>
        <v/>
      </c>
      <c r="E307" s="28" t="str">
        <f>IF(B307="","",INDEX(DESK!$B$2:$B$601,MATCH(299,DESK!$AR$2:$AR$601,0))&amp;IF(COUNTIFS(DESK!$F$2:$F$601,INDEX(DESK!$F$2:$F$601,MATCH(299,DESK!$AR$2:$AR$601,0)),DESK!$L$2:$L$601,1)&gt;1," and "&amp;(COUNTIFS(DESK!$F$2:$F$601,INDEX(DESK!$F$2:$F$601,MATCH(299,DESK!$AR$2:$AR$601,0)),DESK!$L$2:$L$601,1)-1)&amp;" more",""))</f>
        <v/>
      </c>
      <c r="F307" s="28" t="str">
        <f>IF(B307="","",IF(C307="B",INDEX(DESK!$AD$2:$AD$601,MATCH(299,DESK!$AR$2:$AR$601,0)),""))</f>
        <v/>
      </c>
      <c r="G307" s="28" t="str">
        <f>IF(B307="","",INDEX(DESK!$AV$2:$AV$601,MATCH(299,DESK!$AR$2:$AR$601,0)))</f>
        <v/>
      </c>
      <c r="I307" s="21"/>
      <c r="J307" s="20"/>
      <c r="K307" s="20"/>
      <c r="L307" s="20"/>
      <c r="M307" s="23" t="str">
        <f t="shared" si="4"/>
        <v/>
      </c>
    </row>
    <row r="308" spans="1:13" x14ac:dyDescent="0.35">
      <c r="A308" s="28">
        <v>300</v>
      </c>
      <c r="B308" s="43" t="str">
        <f>IF(SETTINGS!$B$22&lt;&gt;"YES","",IFERROR(IF(OR($J$3="Everyone",INDEX(DESK!$AV$2:$AV$601,MATCH(300,DESK!$AR$2:$AR$601,0))="SEND"),"91"&amp;INDEX(DESK!$F$2:$F$601,MATCH(300,DESK!$AR$2:$AR$601,0)),""),""))</f>
        <v/>
      </c>
      <c r="C308" s="28" t="str">
        <f>IF(B308="","",IF(INDEX(DESK!$AC$2:$AC$601,MATCH(300,DESK!$AR$2:$AR$601,0))="YES","A","B"))</f>
        <v/>
      </c>
      <c r="D308" s="28" t="str">
        <f>IF(B308="","",INDEX(DESK!$AQ$2:$AQ$601,MATCH(300,DESK!$AR$2:$AR$601,0)))</f>
        <v/>
      </c>
      <c r="E308" s="28" t="str">
        <f>IF(B308="","",INDEX(DESK!$B$2:$B$601,MATCH(300,DESK!$AR$2:$AR$601,0))&amp;IF(COUNTIFS(DESK!$F$2:$F$601,INDEX(DESK!$F$2:$F$601,MATCH(300,DESK!$AR$2:$AR$601,0)),DESK!$L$2:$L$601,1)&gt;1," and "&amp;(COUNTIFS(DESK!$F$2:$F$601,INDEX(DESK!$F$2:$F$601,MATCH(300,DESK!$AR$2:$AR$601,0)),DESK!$L$2:$L$601,1)-1)&amp;" more",""))</f>
        <v/>
      </c>
      <c r="F308" s="28" t="str">
        <f>IF(B308="","",IF(C308="B",INDEX(DESK!$AD$2:$AD$601,MATCH(300,DESK!$AR$2:$AR$601,0)),""))</f>
        <v/>
      </c>
      <c r="G308" s="28" t="str">
        <f>IF(B308="","",INDEX(DESK!$AV$2:$AV$601,MATCH(300,DESK!$AR$2:$AR$601,0)))</f>
        <v/>
      </c>
      <c r="I308" s="21"/>
      <c r="J308" s="20"/>
      <c r="K308" s="20"/>
      <c r="L308" s="20"/>
      <c r="M308" s="23" t="str">
        <f t="shared" si="4"/>
        <v/>
      </c>
    </row>
    <row r="309" spans="1:13" x14ac:dyDescent="0.35">
      <c r="A309" s="28">
        <v>301</v>
      </c>
      <c r="B309" s="43" t="str">
        <f>IF(SETTINGS!$B$22&lt;&gt;"YES","",IFERROR(IF(OR($J$3="Everyone",INDEX(DESK!$AV$2:$AV$601,MATCH(301,DESK!$AR$2:$AR$601,0))="SEND"),"91"&amp;INDEX(DESK!$F$2:$F$601,MATCH(301,DESK!$AR$2:$AR$601,0)),""),""))</f>
        <v/>
      </c>
      <c r="C309" s="28" t="str">
        <f>IF(B309="","",IF(INDEX(DESK!$AC$2:$AC$601,MATCH(301,DESK!$AR$2:$AR$601,0))="YES","A","B"))</f>
        <v/>
      </c>
      <c r="D309" s="28" t="str">
        <f>IF(B309="","",INDEX(DESK!$AQ$2:$AQ$601,MATCH(301,DESK!$AR$2:$AR$601,0)))</f>
        <v/>
      </c>
      <c r="E309" s="28" t="str">
        <f>IF(B309="","",INDEX(DESK!$B$2:$B$601,MATCH(301,DESK!$AR$2:$AR$601,0))&amp;IF(COUNTIFS(DESK!$F$2:$F$601,INDEX(DESK!$F$2:$F$601,MATCH(301,DESK!$AR$2:$AR$601,0)),DESK!$L$2:$L$601,1)&gt;1," and "&amp;(COUNTIFS(DESK!$F$2:$F$601,INDEX(DESK!$F$2:$F$601,MATCH(301,DESK!$AR$2:$AR$601,0)),DESK!$L$2:$L$601,1)-1)&amp;" more",""))</f>
        <v/>
      </c>
      <c r="F309" s="28" t="str">
        <f>IF(B309="","",IF(C309="B",INDEX(DESK!$AD$2:$AD$601,MATCH(301,DESK!$AR$2:$AR$601,0)),""))</f>
        <v/>
      </c>
      <c r="G309" s="28" t="str">
        <f>IF(B309="","",INDEX(DESK!$AV$2:$AV$601,MATCH(301,DESK!$AR$2:$AR$601,0)))</f>
        <v/>
      </c>
      <c r="I309" s="21"/>
      <c r="J309" s="20"/>
      <c r="K309" s="20"/>
      <c r="L309" s="20"/>
      <c r="M309" s="23" t="str">
        <f t="shared" si="4"/>
        <v/>
      </c>
    </row>
    <row r="310" spans="1:13" x14ac:dyDescent="0.35">
      <c r="A310" s="28">
        <v>302</v>
      </c>
      <c r="B310" s="43" t="str">
        <f>IF(SETTINGS!$B$22&lt;&gt;"YES","",IFERROR(IF(OR($J$3="Everyone",INDEX(DESK!$AV$2:$AV$601,MATCH(302,DESK!$AR$2:$AR$601,0))="SEND"),"91"&amp;INDEX(DESK!$F$2:$F$601,MATCH(302,DESK!$AR$2:$AR$601,0)),""),""))</f>
        <v/>
      </c>
      <c r="C310" s="28" t="str">
        <f>IF(B310="","",IF(INDEX(DESK!$AC$2:$AC$601,MATCH(302,DESK!$AR$2:$AR$601,0))="YES","A","B"))</f>
        <v/>
      </c>
      <c r="D310" s="28" t="str">
        <f>IF(B310="","",INDEX(DESK!$AQ$2:$AQ$601,MATCH(302,DESK!$AR$2:$AR$601,0)))</f>
        <v/>
      </c>
      <c r="E310" s="28" t="str">
        <f>IF(B310="","",INDEX(DESK!$B$2:$B$601,MATCH(302,DESK!$AR$2:$AR$601,0))&amp;IF(COUNTIFS(DESK!$F$2:$F$601,INDEX(DESK!$F$2:$F$601,MATCH(302,DESK!$AR$2:$AR$601,0)),DESK!$L$2:$L$601,1)&gt;1," and "&amp;(COUNTIFS(DESK!$F$2:$F$601,INDEX(DESK!$F$2:$F$601,MATCH(302,DESK!$AR$2:$AR$601,0)),DESK!$L$2:$L$601,1)-1)&amp;" more",""))</f>
        <v/>
      </c>
      <c r="F310" s="28" t="str">
        <f>IF(B310="","",IF(C310="B",INDEX(DESK!$AD$2:$AD$601,MATCH(302,DESK!$AR$2:$AR$601,0)),""))</f>
        <v/>
      </c>
      <c r="G310" s="28" t="str">
        <f>IF(B310="","",INDEX(DESK!$AV$2:$AV$601,MATCH(302,DESK!$AR$2:$AR$601,0)))</f>
        <v/>
      </c>
      <c r="I310" s="21"/>
      <c r="J310" s="20"/>
      <c r="K310" s="20"/>
      <c r="L310" s="20"/>
      <c r="M310" s="23" t="str">
        <f t="shared" si="4"/>
        <v/>
      </c>
    </row>
    <row r="311" spans="1:13" x14ac:dyDescent="0.35">
      <c r="A311" s="28">
        <v>303</v>
      </c>
      <c r="B311" s="43" t="str">
        <f>IF(SETTINGS!$B$22&lt;&gt;"YES","",IFERROR(IF(OR($J$3="Everyone",INDEX(DESK!$AV$2:$AV$601,MATCH(303,DESK!$AR$2:$AR$601,0))="SEND"),"91"&amp;INDEX(DESK!$F$2:$F$601,MATCH(303,DESK!$AR$2:$AR$601,0)),""),""))</f>
        <v/>
      </c>
      <c r="C311" s="28" t="str">
        <f>IF(B311="","",IF(INDEX(DESK!$AC$2:$AC$601,MATCH(303,DESK!$AR$2:$AR$601,0))="YES","A","B"))</f>
        <v/>
      </c>
      <c r="D311" s="28" t="str">
        <f>IF(B311="","",INDEX(DESK!$AQ$2:$AQ$601,MATCH(303,DESK!$AR$2:$AR$601,0)))</f>
        <v/>
      </c>
      <c r="E311" s="28" t="str">
        <f>IF(B311="","",INDEX(DESK!$B$2:$B$601,MATCH(303,DESK!$AR$2:$AR$601,0))&amp;IF(COUNTIFS(DESK!$F$2:$F$601,INDEX(DESK!$F$2:$F$601,MATCH(303,DESK!$AR$2:$AR$601,0)),DESK!$L$2:$L$601,1)&gt;1," and "&amp;(COUNTIFS(DESK!$F$2:$F$601,INDEX(DESK!$F$2:$F$601,MATCH(303,DESK!$AR$2:$AR$601,0)),DESK!$L$2:$L$601,1)-1)&amp;" more",""))</f>
        <v/>
      </c>
      <c r="F311" s="28" t="str">
        <f>IF(B311="","",IF(C311="B",INDEX(DESK!$AD$2:$AD$601,MATCH(303,DESK!$AR$2:$AR$601,0)),""))</f>
        <v/>
      </c>
      <c r="G311" s="28" t="str">
        <f>IF(B311="","",INDEX(DESK!$AV$2:$AV$601,MATCH(303,DESK!$AR$2:$AR$601,0)))</f>
        <v/>
      </c>
      <c r="I311" s="21"/>
      <c r="J311" s="20"/>
      <c r="K311" s="20"/>
      <c r="L311" s="20"/>
      <c r="M311" s="23" t="str">
        <f t="shared" si="4"/>
        <v/>
      </c>
    </row>
    <row r="312" spans="1:13" x14ac:dyDescent="0.35">
      <c r="A312" s="28">
        <v>304</v>
      </c>
      <c r="B312" s="43" t="str">
        <f>IF(SETTINGS!$B$22&lt;&gt;"YES","",IFERROR(IF(OR($J$3="Everyone",INDEX(DESK!$AV$2:$AV$601,MATCH(304,DESK!$AR$2:$AR$601,0))="SEND"),"91"&amp;INDEX(DESK!$F$2:$F$601,MATCH(304,DESK!$AR$2:$AR$601,0)),""),""))</f>
        <v/>
      </c>
      <c r="C312" s="28" t="str">
        <f>IF(B312="","",IF(INDEX(DESK!$AC$2:$AC$601,MATCH(304,DESK!$AR$2:$AR$601,0))="YES","A","B"))</f>
        <v/>
      </c>
      <c r="D312" s="28" t="str">
        <f>IF(B312="","",INDEX(DESK!$AQ$2:$AQ$601,MATCH(304,DESK!$AR$2:$AR$601,0)))</f>
        <v/>
      </c>
      <c r="E312" s="28" t="str">
        <f>IF(B312="","",INDEX(DESK!$B$2:$B$601,MATCH(304,DESK!$AR$2:$AR$601,0))&amp;IF(COUNTIFS(DESK!$F$2:$F$601,INDEX(DESK!$F$2:$F$601,MATCH(304,DESK!$AR$2:$AR$601,0)),DESK!$L$2:$L$601,1)&gt;1," and "&amp;(COUNTIFS(DESK!$F$2:$F$601,INDEX(DESK!$F$2:$F$601,MATCH(304,DESK!$AR$2:$AR$601,0)),DESK!$L$2:$L$601,1)-1)&amp;" more",""))</f>
        <v/>
      </c>
      <c r="F312" s="28" t="str">
        <f>IF(B312="","",IF(C312="B",INDEX(DESK!$AD$2:$AD$601,MATCH(304,DESK!$AR$2:$AR$601,0)),""))</f>
        <v/>
      </c>
      <c r="G312" s="28" t="str">
        <f>IF(B312="","",INDEX(DESK!$AV$2:$AV$601,MATCH(304,DESK!$AR$2:$AR$601,0)))</f>
        <v/>
      </c>
      <c r="I312" s="21"/>
      <c r="J312" s="20"/>
      <c r="K312" s="20"/>
      <c r="L312" s="20"/>
      <c r="M312" s="23" t="str">
        <f t="shared" si="4"/>
        <v/>
      </c>
    </row>
    <row r="313" spans="1:13" x14ac:dyDescent="0.35">
      <c r="A313" s="28">
        <v>305</v>
      </c>
      <c r="B313" s="43" t="str">
        <f>IF(SETTINGS!$B$22&lt;&gt;"YES","",IFERROR(IF(OR($J$3="Everyone",INDEX(DESK!$AV$2:$AV$601,MATCH(305,DESK!$AR$2:$AR$601,0))="SEND"),"91"&amp;INDEX(DESK!$F$2:$F$601,MATCH(305,DESK!$AR$2:$AR$601,0)),""),""))</f>
        <v/>
      </c>
      <c r="C313" s="28" t="str">
        <f>IF(B313="","",IF(INDEX(DESK!$AC$2:$AC$601,MATCH(305,DESK!$AR$2:$AR$601,0))="YES","A","B"))</f>
        <v/>
      </c>
      <c r="D313" s="28" t="str">
        <f>IF(B313="","",INDEX(DESK!$AQ$2:$AQ$601,MATCH(305,DESK!$AR$2:$AR$601,0)))</f>
        <v/>
      </c>
      <c r="E313" s="28" t="str">
        <f>IF(B313="","",INDEX(DESK!$B$2:$B$601,MATCH(305,DESK!$AR$2:$AR$601,0))&amp;IF(COUNTIFS(DESK!$F$2:$F$601,INDEX(DESK!$F$2:$F$601,MATCH(305,DESK!$AR$2:$AR$601,0)),DESK!$L$2:$L$601,1)&gt;1," and "&amp;(COUNTIFS(DESK!$F$2:$F$601,INDEX(DESK!$F$2:$F$601,MATCH(305,DESK!$AR$2:$AR$601,0)),DESK!$L$2:$L$601,1)-1)&amp;" more",""))</f>
        <v/>
      </c>
      <c r="F313" s="28" t="str">
        <f>IF(B313="","",IF(C313="B",INDEX(DESK!$AD$2:$AD$601,MATCH(305,DESK!$AR$2:$AR$601,0)),""))</f>
        <v/>
      </c>
      <c r="G313" s="28" t="str">
        <f>IF(B313="","",INDEX(DESK!$AV$2:$AV$601,MATCH(305,DESK!$AR$2:$AR$601,0)))</f>
        <v/>
      </c>
      <c r="I313" s="21"/>
      <c r="J313" s="20"/>
      <c r="K313" s="20"/>
      <c r="L313" s="20"/>
      <c r="M313" s="23" t="str">
        <f t="shared" si="4"/>
        <v/>
      </c>
    </row>
    <row r="314" spans="1:13" x14ac:dyDescent="0.35">
      <c r="A314" s="28">
        <v>306</v>
      </c>
      <c r="B314" s="43" t="str">
        <f>IF(SETTINGS!$B$22&lt;&gt;"YES","",IFERROR(IF(OR($J$3="Everyone",INDEX(DESK!$AV$2:$AV$601,MATCH(306,DESK!$AR$2:$AR$601,0))="SEND"),"91"&amp;INDEX(DESK!$F$2:$F$601,MATCH(306,DESK!$AR$2:$AR$601,0)),""),""))</f>
        <v/>
      </c>
      <c r="C314" s="28" t="str">
        <f>IF(B314="","",IF(INDEX(DESK!$AC$2:$AC$601,MATCH(306,DESK!$AR$2:$AR$601,0))="YES","A","B"))</f>
        <v/>
      </c>
      <c r="D314" s="28" t="str">
        <f>IF(B314="","",INDEX(DESK!$AQ$2:$AQ$601,MATCH(306,DESK!$AR$2:$AR$601,0)))</f>
        <v/>
      </c>
      <c r="E314" s="28" t="str">
        <f>IF(B314="","",INDEX(DESK!$B$2:$B$601,MATCH(306,DESK!$AR$2:$AR$601,0))&amp;IF(COUNTIFS(DESK!$F$2:$F$601,INDEX(DESK!$F$2:$F$601,MATCH(306,DESK!$AR$2:$AR$601,0)),DESK!$L$2:$L$601,1)&gt;1," and "&amp;(COUNTIFS(DESK!$F$2:$F$601,INDEX(DESK!$F$2:$F$601,MATCH(306,DESK!$AR$2:$AR$601,0)),DESK!$L$2:$L$601,1)-1)&amp;" more",""))</f>
        <v/>
      </c>
      <c r="F314" s="28" t="str">
        <f>IF(B314="","",IF(C314="B",INDEX(DESK!$AD$2:$AD$601,MATCH(306,DESK!$AR$2:$AR$601,0)),""))</f>
        <v/>
      </c>
      <c r="G314" s="28" t="str">
        <f>IF(B314="","",INDEX(DESK!$AV$2:$AV$601,MATCH(306,DESK!$AR$2:$AR$601,0)))</f>
        <v/>
      </c>
      <c r="I314" s="21"/>
      <c r="J314" s="20"/>
      <c r="K314" s="20"/>
      <c r="L314" s="20"/>
      <c r="M314" s="23" t="str">
        <f t="shared" si="4"/>
        <v/>
      </c>
    </row>
    <row r="315" spans="1:13" x14ac:dyDescent="0.35">
      <c r="A315" s="28">
        <v>307</v>
      </c>
      <c r="B315" s="43" t="str">
        <f>IF(SETTINGS!$B$22&lt;&gt;"YES","",IFERROR(IF(OR($J$3="Everyone",INDEX(DESK!$AV$2:$AV$601,MATCH(307,DESK!$AR$2:$AR$601,0))="SEND"),"91"&amp;INDEX(DESK!$F$2:$F$601,MATCH(307,DESK!$AR$2:$AR$601,0)),""),""))</f>
        <v/>
      </c>
      <c r="C315" s="28" t="str">
        <f>IF(B315="","",IF(INDEX(DESK!$AC$2:$AC$601,MATCH(307,DESK!$AR$2:$AR$601,0))="YES","A","B"))</f>
        <v/>
      </c>
      <c r="D315" s="28" t="str">
        <f>IF(B315="","",INDEX(DESK!$AQ$2:$AQ$601,MATCH(307,DESK!$AR$2:$AR$601,0)))</f>
        <v/>
      </c>
      <c r="E315" s="28" t="str">
        <f>IF(B315="","",INDEX(DESK!$B$2:$B$601,MATCH(307,DESK!$AR$2:$AR$601,0))&amp;IF(COUNTIFS(DESK!$F$2:$F$601,INDEX(DESK!$F$2:$F$601,MATCH(307,DESK!$AR$2:$AR$601,0)),DESK!$L$2:$L$601,1)&gt;1," and "&amp;(COUNTIFS(DESK!$F$2:$F$601,INDEX(DESK!$F$2:$F$601,MATCH(307,DESK!$AR$2:$AR$601,0)),DESK!$L$2:$L$601,1)-1)&amp;" more",""))</f>
        <v/>
      </c>
      <c r="F315" s="28" t="str">
        <f>IF(B315="","",IF(C315="B",INDEX(DESK!$AD$2:$AD$601,MATCH(307,DESK!$AR$2:$AR$601,0)),""))</f>
        <v/>
      </c>
      <c r="G315" s="28" t="str">
        <f>IF(B315="","",INDEX(DESK!$AV$2:$AV$601,MATCH(307,DESK!$AR$2:$AR$601,0)))</f>
        <v/>
      </c>
      <c r="I315" s="21"/>
      <c r="J315" s="20"/>
      <c r="K315" s="20"/>
      <c r="L315" s="20"/>
      <c r="M315" s="23" t="str">
        <f t="shared" si="4"/>
        <v/>
      </c>
    </row>
    <row r="316" spans="1:13" x14ac:dyDescent="0.35">
      <c r="A316" s="28">
        <v>308</v>
      </c>
      <c r="B316" s="43" t="str">
        <f>IF(SETTINGS!$B$22&lt;&gt;"YES","",IFERROR(IF(OR($J$3="Everyone",INDEX(DESK!$AV$2:$AV$601,MATCH(308,DESK!$AR$2:$AR$601,0))="SEND"),"91"&amp;INDEX(DESK!$F$2:$F$601,MATCH(308,DESK!$AR$2:$AR$601,0)),""),""))</f>
        <v/>
      </c>
      <c r="C316" s="28" t="str">
        <f>IF(B316="","",IF(INDEX(DESK!$AC$2:$AC$601,MATCH(308,DESK!$AR$2:$AR$601,0))="YES","A","B"))</f>
        <v/>
      </c>
      <c r="D316" s="28" t="str">
        <f>IF(B316="","",INDEX(DESK!$AQ$2:$AQ$601,MATCH(308,DESK!$AR$2:$AR$601,0)))</f>
        <v/>
      </c>
      <c r="E316" s="28" t="str">
        <f>IF(B316="","",INDEX(DESK!$B$2:$B$601,MATCH(308,DESK!$AR$2:$AR$601,0))&amp;IF(COUNTIFS(DESK!$F$2:$F$601,INDEX(DESK!$F$2:$F$601,MATCH(308,DESK!$AR$2:$AR$601,0)),DESK!$L$2:$L$601,1)&gt;1," and "&amp;(COUNTIFS(DESK!$F$2:$F$601,INDEX(DESK!$F$2:$F$601,MATCH(308,DESK!$AR$2:$AR$601,0)),DESK!$L$2:$L$601,1)-1)&amp;" more",""))</f>
        <v/>
      </c>
      <c r="F316" s="28" t="str">
        <f>IF(B316="","",IF(C316="B",INDEX(DESK!$AD$2:$AD$601,MATCH(308,DESK!$AR$2:$AR$601,0)),""))</f>
        <v/>
      </c>
      <c r="G316" s="28" t="str">
        <f>IF(B316="","",INDEX(DESK!$AV$2:$AV$601,MATCH(308,DESK!$AR$2:$AR$601,0)))</f>
        <v/>
      </c>
      <c r="I316" s="21"/>
      <c r="J316" s="20"/>
      <c r="K316" s="20"/>
      <c r="L316" s="20"/>
      <c r="M316" s="23" t="str">
        <f t="shared" si="4"/>
        <v/>
      </c>
    </row>
    <row r="317" spans="1:13" x14ac:dyDescent="0.35">
      <c r="A317" s="28">
        <v>309</v>
      </c>
      <c r="B317" s="43" t="str">
        <f>IF(SETTINGS!$B$22&lt;&gt;"YES","",IFERROR(IF(OR($J$3="Everyone",INDEX(DESK!$AV$2:$AV$601,MATCH(309,DESK!$AR$2:$AR$601,0))="SEND"),"91"&amp;INDEX(DESK!$F$2:$F$601,MATCH(309,DESK!$AR$2:$AR$601,0)),""),""))</f>
        <v/>
      </c>
      <c r="C317" s="28" t="str">
        <f>IF(B317="","",IF(INDEX(DESK!$AC$2:$AC$601,MATCH(309,DESK!$AR$2:$AR$601,0))="YES","A","B"))</f>
        <v/>
      </c>
      <c r="D317" s="28" t="str">
        <f>IF(B317="","",INDEX(DESK!$AQ$2:$AQ$601,MATCH(309,DESK!$AR$2:$AR$601,0)))</f>
        <v/>
      </c>
      <c r="E317" s="28" t="str">
        <f>IF(B317="","",INDEX(DESK!$B$2:$B$601,MATCH(309,DESK!$AR$2:$AR$601,0))&amp;IF(COUNTIFS(DESK!$F$2:$F$601,INDEX(DESK!$F$2:$F$601,MATCH(309,DESK!$AR$2:$AR$601,0)),DESK!$L$2:$L$601,1)&gt;1," and "&amp;(COUNTIFS(DESK!$F$2:$F$601,INDEX(DESK!$F$2:$F$601,MATCH(309,DESK!$AR$2:$AR$601,0)),DESK!$L$2:$L$601,1)-1)&amp;" more",""))</f>
        <v/>
      </c>
      <c r="F317" s="28" t="str">
        <f>IF(B317="","",IF(C317="B",INDEX(DESK!$AD$2:$AD$601,MATCH(309,DESK!$AR$2:$AR$601,0)),""))</f>
        <v/>
      </c>
      <c r="G317" s="28" t="str">
        <f>IF(B317="","",INDEX(DESK!$AV$2:$AV$601,MATCH(309,DESK!$AR$2:$AR$601,0)))</f>
        <v/>
      </c>
      <c r="I317" s="21"/>
      <c r="J317" s="20"/>
      <c r="K317" s="20"/>
      <c r="L317" s="20"/>
      <c r="M317" s="23" t="str">
        <f t="shared" si="4"/>
        <v/>
      </c>
    </row>
    <row r="318" spans="1:13" x14ac:dyDescent="0.35">
      <c r="A318" s="28">
        <v>310</v>
      </c>
      <c r="B318" s="43" t="str">
        <f>IF(SETTINGS!$B$22&lt;&gt;"YES","",IFERROR(IF(OR($J$3="Everyone",INDEX(DESK!$AV$2:$AV$601,MATCH(310,DESK!$AR$2:$AR$601,0))="SEND"),"91"&amp;INDEX(DESK!$F$2:$F$601,MATCH(310,DESK!$AR$2:$AR$601,0)),""),""))</f>
        <v/>
      </c>
      <c r="C318" s="28" t="str">
        <f>IF(B318="","",IF(INDEX(DESK!$AC$2:$AC$601,MATCH(310,DESK!$AR$2:$AR$601,0))="YES","A","B"))</f>
        <v/>
      </c>
      <c r="D318" s="28" t="str">
        <f>IF(B318="","",INDEX(DESK!$AQ$2:$AQ$601,MATCH(310,DESK!$AR$2:$AR$601,0)))</f>
        <v/>
      </c>
      <c r="E318" s="28" t="str">
        <f>IF(B318="","",INDEX(DESK!$B$2:$B$601,MATCH(310,DESK!$AR$2:$AR$601,0))&amp;IF(COUNTIFS(DESK!$F$2:$F$601,INDEX(DESK!$F$2:$F$601,MATCH(310,DESK!$AR$2:$AR$601,0)),DESK!$L$2:$L$601,1)&gt;1," and "&amp;(COUNTIFS(DESK!$F$2:$F$601,INDEX(DESK!$F$2:$F$601,MATCH(310,DESK!$AR$2:$AR$601,0)),DESK!$L$2:$L$601,1)-1)&amp;" more",""))</f>
        <v/>
      </c>
      <c r="F318" s="28" t="str">
        <f>IF(B318="","",IF(C318="B",INDEX(DESK!$AD$2:$AD$601,MATCH(310,DESK!$AR$2:$AR$601,0)),""))</f>
        <v/>
      </c>
      <c r="G318" s="28" t="str">
        <f>IF(B318="","",INDEX(DESK!$AV$2:$AV$601,MATCH(310,DESK!$AR$2:$AR$601,0)))</f>
        <v/>
      </c>
      <c r="I318" s="21"/>
      <c r="J318" s="20"/>
      <c r="K318" s="20"/>
      <c r="L318" s="20"/>
      <c r="M318" s="23" t="str">
        <f t="shared" si="4"/>
        <v/>
      </c>
    </row>
    <row r="319" spans="1:13" x14ac:dyDescent="0.35">
      <c r="A319" s="28">
        <v>311</v>
      </c>
      <c r="B319" s="43" t="str">
        <f>IF(SETTINGS!$B$22&lt;&gt;"YES","",IFERROR(IF(OR($J$3="Everyone",INDEX(DESK!$AV$2:$AV$601,MATCH(311,DESK!$AR$2:$AR$601,0))="SEND"),"91"&amp;INDEX(DESK!$F$2:$F$601,MATCH(311,DESK!$AR$2:$AR$601,0)),""),""))</f>
        <v/>
      </c>
      <c r="C319" s="28" t="str">
        <f>IF(B319="","",IF(INDEX(DESK!$AC$2:$AC$601,MATCH(311,DESK!$AR$2:$AR$601,0))="YES","A","B"))</f>
        <v/>
      </c>
      <c r="D319" s="28" t="str">
        <f>IF(B319="","",INDEX(DESK!$AQ$2:$AQ$601,MATCH(311,DESK!$AR$2:$AR$601,0)))</f>
        <v/>
      </c>
      <c r="E319" s="28" t="str">
        <f>IF(B319="","",INDEX(DESK!$B$2:$B$601,MATCH(311,DESK!$AR$2:$AR$601,0))&amp;IF(COUNTIFS(DESK!$F$2:$F$601,INDEX(DESK!$F$2:$F$601,MATCH(311,DESK!$AR$2:$AR$601,0)),DESK!$L$2:$L$601,1)&gt;1," and "&amp;(COUNTIFS(DESK!$F$2:$F$601,INDEX(DESK!$F$2:$F$601,MATCH(311,DESK!$AR$2:$AR$601,0)),DESK!$L$2:$L$601,1)-1)&amp;" more",""))</f>
        <v/>
      </c>
      <c r="F319" s="28" t="str">
        <f>IF(B319="","",IF(C319="B",INDEX(DESK!$AD$2:$AD$601,MATCH(311,DESK!$AR$2:$AR$601,0)),""))</f>
        <v/>
      </c>
      <c r="G319" s="28" t="str">
        <f>IF(B319="","",INDEX(DESK!$AV$2:$AV$601,MATCH(311,DESK!$AR$2:$AR$601,0)))</f>
        <v/>
      </c>
      <c r="I319" s="21"/>
      <c r="J319" s="20"/>
      <c r="K319" s="20"/>
      <c r="L319" s="20"/>
      <c r="M319" s="23" t="str">
        <f t="shared" si="4"/>
        <v/>
      </c>
    </row>
    <row r="320" spans="1:13" x14ac:dyDescent="0.35">
      <c r="A320" s="28">
        <v>312</v>
      </c>
      <c r="B320" s="43" t="str">
        <f>IF(SETTINGS!$B$22&lt;&gt;"YES","",IFERROR(IF(OR($J$3="Everyone",INDEX(DESK!$AV$2:$AV$601,MATCH(312,DESK!$AR$2:$AR$601,0))="SEND"),"91"&amp;INDEX(DESK!$F$2:$F$601,MATCH(312,DESK!$AR$2:$AR$601,0)),""),""))</f>
        <v/>
      </c>
      <c r="C320" s="28" t="str">
        <f>IF(B320="","",IF(INDEX(DESK!$AC$2:$AC$601,MATCH(312,DESK!$AR$2:$AR$601,0))="YES","A","B"))</f>
        <v/>
      </c>
      <c r="D320" s="28" t="str">
        <f>IF(B320="","",INDEX(DESK!$AQ$2:$AQ$601,MATCH(312,DESK!$AR$2:$AR$601,0)))</f>
        <v/>
      </c>
      <c r="E320" s="28" t="str">
        <f>IF(B320="","",INDEX(DESK!$B$2:$B$601,MATCH(312,DESK!$AR$2:$AR$601,0))&amp;IF(COUNTIFS(DESK!$F$2:$F$601,INDEX(DESK!$F$2:$F$601,MATCH(312,DESK!$AR$2:$AR$601,0)),DESK!$L$2:$L$601,1)&gt;1," and "&amp;(COUNTIFS(DESK!$F$2:$F$601,INDEX(DESK!$F$2:$F$601,MATCH(312,DESK!$AR$2:$AR$601,0)),DESK!$L$2:$L$601,1)-1)&amp;" more",""))</f>
        <v/>
      </c>
      <c r="F320" s="28" t="str">
        <f>IF(B320="","",IF(C320="B",INDEX(DESK!$AD$2:$AD$601,MATCH(312,DESK!$AR$2:$AR$601,0)),""))</f>
        <v/>
      </c>
      <c r="G320" s="28" t="str">
        <f>IF(B320="","",INDEX(DESK!$AV$2:$AV$601,MATCH(312,DESK!$AR$2:$AR$601,0)))</f>
        <v/>
      </c>
      <c r="I320" s="21"/>
      <c r="J320" s="20"/>
      <c r="K320" s="20"/>
      <c r="L320" s="20"/>
      <c r="M320" s="23" t="str">
        <f t="shared" si="4"/>
        <v/>
      </c>
    </row>
    <row r="321" spans="1:13" x14ac:dyDescent="0.35">
      <c r="A321" s="28">
        <v>313</v>
      </c>
      <c r="B321" s="43" t="str">
        <f>IF(SETTINGS!$B$22&lt;&gt;"YES","",IFERROR(IF(OR($J$3="Everyone",INDEX(DESK!$AV$2:$AV$601,MATCH(313,DESK!$AR$2:$AR$601,0))="SEND"),"91"&amp;INDEX(DESK!$F$2:$F$601,MATCH(313,DESK!$AR$2:$AR$601,0)),""),""))</f>
        <v/>
      </c>
      <c r="C321" s="28" t="str">
        <f>IF(B321="","",IF(INDEX(DESK!$AC$2:$AC$601,MATCH(313,DESK!$AR$2:$AR$601,0))="YES","A","B"))</f>
        <v/>
      </c>
      <c r="D321" s="28" t="str">
        <f>IF(B321="","",INDEX(DESK!$AQ$2:$AQ$601,MATCH(313,DESK!$AR$2:$AR$601,0)))</f>
        <v/>
      </c>
      <c r="E321" s="28" t="str">
        <f>IF(B321="","",INDEX(DESK!$B$2:$B$601,MATCH(313,DESK!$AR$2:$AR$601,0))&amp;IF(COUNTIFS(DESK!$F$2:$F$601,INDEX(DESK!$F$2:$F$601,MATCH(313,DESK!$AR$2:$AR$601,0)),DESK!$L$2:$L$601,1)&gt;1," and "&amp;(COUNTIFS(DESK!$F$2:$F$601,INDEX(DESK!$F$2:$F$601,MATCH(313,DESK!$AR$2:$AR$601,0)),DESK!$L$2:$L$601,1)-1)&amp;" more",""))</f>
        <v/>
      </c>
      <c r="F321" s="28" t="str">
        <f>IF(B321="","",IF(C321="B",INDEX(DESK!$AD$2:$AD$601,MATCH(313,DESK!$AR$2:$AR$601,0)),""))</f>
        <v/>
      </c>
      <c r="G321" s="28" t="str">
        <f>IF(B321="","",INDEX(DESK!$AV$2:$AV$601,MATCH(313,DESK!$AR$2:$AR$601,0)))</f>
        <v/>
      </c>
      <c r="I321" s="21"/>
      <c r="J321" s="20"/>
      <c r="K321" s="20"/>
      <c r="L321" s="20"/>
      <c r="M321" s="23" t="str">
        <f t="shared" si="4"/>
        <v/>
      </c>
    </row>
    <row r="322" spans="1:13" x14ac:dyDescent="0.35">
      <c r="A322" s="28">
        <v>314</v>
      </c>
      <c r="B322" s="43" t="str">
        <f>IF(SETTINGS!$B$22&lt;&gt;"YES","",IFERROR(IF(OR($J$3="Everyone",INDEX(DESK!$AV$2:$AV$601,MATCH(314,DESK!$AR$2:$AR$601,0))="SEND"),"91"&amp;INDEX(DESK!$F$2:$F$601,MATCH(314,DESK!$AR$2:$AR$601,0)),""),""))</f>
        <v/>
      </c>
      <c r="C322" s="28" t="str">
        <f>IF(B322="","",IF(INDEX(DESK!$AC$2:$AC$601,MATCH(314,DESK!$AR$2:$AR$601,0))="YES","A","B"))</f>
        <v/>
      </c>
      <c r="D322" s="28" t="str">
        <f>IF(B322="","",INDEX(DESK!$AQ$2:$AQ$601,MATCH(314,DESK!$AR$2:$AR$601,0)))</f>
        <v/>
      </c>
      <c r="E322" s="28" t="str">
        <f>IF(B322="","",INDEX(DESK!$B$2:$B$601,MATCH(314,DESK!$AR$2:$AR$601,0))&amp;IF(COUNTIFS(DESK!$F$2:$F$601,INDEX(DESK!$F$2:$F$601,MATCH(314,DESK!$AR$2:$AR$601,0)),DESK!$L$2:$L$601,1)&gt;1," and "&amp;(COUNTIFS(DESK!$F$2:$F$601,INDEX(DESK!$F$2:$F$601,MATCH(314,DESK!$AR$2:$AR$601,0)),DESK!$L$2:$L$601,1)-1)&amp;" more",""))</f>
        <v/>
      </c>
      <c r="F322" s="28" t="str">
        <f>IF(B322="","",IF(C322="B",INDEX(DESK!$AD$2:$AD$601,MATCH(314,DESK!$AR$2:$AR$601,0)),""))</f>
        <v/>
      </c>
      <c r="G322" s="28" t="str">
        <f>IF(B322="","",INDEX(DESK!$AV$2:$AV$601,MATCH(314,DESK!$AR$2:$AR$601,0)))</f>
        <v/>
      </c>
      <c r="I322" s="21"/>
      <c r="J322" s="20"/>
      <c r="K322" s="20"/>
      <c r="L322" s="20"/>
      <c r="M322" s="23" t="str">
        <f t="shared" si="4"/>
        <v/>
      </c>
    </row>
    <row r="323" spans="1:13" x14ac:dyDescent="0.35">
      <c r="A323" s="28">
        <v>315</v>
      </c>
      <c r="B323" s="43" t="str">
        <f>IF(SETTINGS!$B$22&lt;&gt;"YES","",IFERROR(IF(OR($J$3="Everyone",INDEX(DESK!$AV$2:$AV$601,MATCH(315,DESK!$AR$2:$AR$601,0))="SEND"),"91"&amp;INDEX(DESK!$F$2:$F$601,MATCH(315,DESK!$AR$2:$AR$601,0)),""),""))</f>
        <v/>
      </c>
      <c r="C323" s="28" t="str">
        <f>IF(B323="","",IF(INDEX(DESK!$AC$2:$AC$601,MATCH(315,DESK!$AR$2:$AR$601,0))="YES","A","B"))</f>
        <v/>
      </c>
      <c r="D323" s="28" t="str">
        <f>IF(B323="","",INDEX(DESK!$AQ$2:$AQ$601,MATCH(315,DESK!$AR$2:$AR$601,0)))</f>
        <v/>
      </c>
      <c r="E323" s="28" t="str">
        <f>IF(B323="","",INDEX(DESK!$B$2:$B$601,MATCH(315,DESK!$AR$2:$AR$601,0))&amp;IF(COUNTIFS(DESK!$F$2:$F$601,INDEX(DESK!$F$2:$F$601,MATCH(315,DESK!$AR$2:$AR$601,0)),DESK!$L$2:$L$601,1)&gt;1," and "&amp;(COUNTIFS(DESK!$F$2:$F$601,INDEX(DESK!$F$2:$F$601,MATCH(315,DESK!$AR$2:$AR$601,0)),DESK!$L$2:$L$601,1)-1)&amp;" more",""))</f>
        <v/>
      </c>
      <c r="F323" s="28" t="str">
        <f>IF(B323="","",IF(C323="B",INDEX(DESK!$AD$2:$AD$601,MATCH(315,DESK!$AR$2:$AR$601,0)),""))</f>
        <v/>
      </c>
      <c r="G323" s="28" t="str">
        <f>IF(B323="","",INDEX(DESK!$AV$2:$AV$601,MATCH(315,DESK!$AR$2:$AR$601,0)))</f>
        <v/>
      </c>
      <c r="I323" s="21"/>
      <c r="J323" s="20"/>
      <c r="K323" s="20"/>
      <c r="L323" s="20"/>
      <c r="M323" s="23" t="str">
        <f t="shared" si="4"/>
        <v/>
      </c>
    </row>
    <row r="324" spans="1:13" x14ac:dyDescent="0.35">
      <c r="A324" s="28">
        <v>316</v>
      </c>
      <c r="B324" s="43" t="str">
        <f>IF(SETTINGS!$B$22&lt;&gt;"YES","",IFERROR(IF(OR($J$3="Everyone",INDEX(DESK!$AV$2:$AV$601,MATCH(316,DESK!$AR$2:$AR$601,0))="SEND"),"91"&amp;INDEX(DESK!$F$2:$F$601,MATCH(316,DESK!$AR$2:$AR$601,0)),""),""))</f>
        <v/>
      </c>
      <c r="C324" s="28" t="str">
        <f>IF(B324="","",IF(INDEX(DESK!$AC$2:$AC$601,MATCH(316,DESK!$AR$2:$AR$601,0))="YES","A","B"))</f>
        <v/>
      </c>
      <c r="D324" s="28" t="str">
        <f>IF(B324="","",INDEX(DESK!$AQ$2:$AQ$601,MATCH(316,DESK!$AR$2:$AR$601,0)))</f>
        <v/>
      </c>
      <c r="E324" s="28" t="str">
        <f>IF(B324="","",INDEX(DESK!$B$2:$B$601,MATCH(316,DESK!$AR$2:$AR$601,0))&amp;IF(COUNTIFS(DESK!$F$2:$F$601,INDEX(DESK!$F$2:$F$601,MATCH(316,DESK!$AR$2:$AR$601,0)),DESK!$L$2:$L$601,1)&gt;1," and "&amp;(COUNTIFS(DESK!$F$2:$F$601,INDEX(DESK!$F$2:$F$601,MATCH(316,DESK!$AR$2:$AR$601,0)),DESK!$L$2:$L$601,1)-1)&amp;" more",""))</f>
        <v/>
      </c>
      <c r="F324" s="28" t="str">
        <f>IF(B324="","",IF(C324="B",INDEX(DESK!$AD$2:$AD$601,MATCH(316,DESK!$AR$2:$AR$601,0)),""))</f>
        <v/>
      </c>
      <c r="G324" s="28" t="str">
        <f>IF(B324="","",INDEX(DESK!$AV$2:$AV$601,MATCH(316,DESK!$AR$2:$AR$601,0)))</f>
        <v/>
      </c>
      <c r="I324" s="21"/>
      <c r="J324" s="20"/>
      <c r="K324" s="20"/>
      <c r="L324" s="20"/>
      <c r="M324" s="23" t="str">
        <f t="shared" si="4"/>
        <v/>
      </c>
    </row>
    <row r="325" spans="1:13" x14ac:dyDescent="0.35">
      <c r="A325" s="28">
        <v>317</v>
      </c>
      <c r="B325" s="43" t="str">
        <f>IF(SETTINGS!$B$22&lt;&gt;"YES","",IFERROR(IF(OR($J$3="Everyone",INDEX(DESK!$AV$2:$AV$601,MATCH(317,DESK!$AR$2:$AR$601,0))="SEND"),"91"&amp;INDEX(DESK!$F$2:$F$601,MATCH(317,DESK!$AR$2:$AR$601,0)),""),""))</f>
        <v/>
      </c>
      <c r="C325" s="28" t="str">
        <f>IF(B325="","",IF(INDEX(DESK!$AC$2:$AC$601,MATCH(317,DESK!$AR$2:$AR$601,0))="YES","A","B"))</f>
        <v/>
      </c>
      <c r="D325" s="28" t="str">
        <f>IF(B325="","",INDEX(DESK!$AQ$2:$AQ$601,MATCH(317,DESK!$AR$2:$AR$601,0)))</f>
        <v/>
      </c>
      <c r="E325" s="28" t="str">
        <f>IF(B325="","",INDEX(DESK!$B$2:$B$601,MATCH(317,DESK!$AR$2:$AR$601,0))&amp;IF(COUNTIFS(DESK!$F$2:$F$601,INDEX(DESK!$F$2:$F$601,MATCH(317,DESK!$AR$2:$AR$601,0)),DESK!$L$2:$L$601,1)&gt;1," and "&amp;(COUNTIFS(DESK!$F$2:$F$601,INDEX(DESK!$F$2:$F$601,MATCH(317,DESK!$AR$2:$AR$601,0)),DESK!$L$2:$L$601,1)-1)&amp;" more",""))</f>
        <v/>
      </c>
      <c r="F325" s="28" t="str">
        <f>IF(B325="","",IF(C325="B",INDEX(DESK!$AD$2:$AD$601,MATCH(317,DESK!$AR$2:$AR$601,0)),""))</f>
        <v/>
      </c>
      <c r="G325" s="28" t="str">
        <f>IF(B325="","",INDEX(DESK!$AV$2:$AV$601,MATCH(317,DESK!$AR$2:$AR$601,0)))</f>
        <v/>
      </c>
      <c r="I325" s="21"/>
      <c r="J325" s="20"/>
      <c r="K325" s="20"/>
      <c r="L325" s="20"/>
      <c r="M325" s="23" t="str">
        <f t="shared" si="4"/>
        <v/>
      </c>
    </row>
    <row r="326" spans="1:13" x14ac:dyDescent="0.35">
      <c r="A326" s="28">
        <v>318</v>
      </c>
      <c r="B326" s="43" t="str">
        <f>IF(SETTINGS!$B$22&lt;&gt;"YES","",IFERROR(IF(OR($J$3="Everyone",INDEX(DESK!$AV$2:$AV$601,MATCH(318,DESK!$AR$2:$AR$601,0))="SEND"),"91"&amp;INDEX(DESK!$F$2:$F$601,MATCH(318,DESK!$AR$2:$AR$601,0)),""),""))</f>
        <v/>
      </c>
      <c r="C326" s="28" t="str">
        <f>IF(B326="","",IF(INDEX(DESK!$AC$2:$AC$601,MATCH(318,DESK!$AR$2:$AR$601,0))="YES","A","B"))</f>
        <v/>
      </c>
      <c r="D326" s="28" t="str">
        <f>IF(B326="","",INDEX(DESK!$AQ$2:$AQ$601,MATCH(318,DESK!$AR$2:$AR$601,0)))</f>
        <v/>
      </c>
      <c r="E326" s="28" t="str">
        <f>IF(B326="","",INDEX(DESK!$B$2:$B$601,MATCH(318,DESK!$AR$2:$AR$601,0))&amp;IF(COUNTIFS(DESK!$F$2:$F$601,INDEX(DESK!$F$2:$F$601,MATCH(318,DESK!$AR$2:$AR$601,0)),DESK!$L$2:$L$601,1)&gt;1," and "&amp;(COUNTIFS(DESK!$F$2:$F$601,INDEX(DESK!$F$2:$F$601,MATCH(318,DESK!$AR$2:$AR$601,0)),DESK!$L$2:$L$601,1)-1)&amp;" more",""))</f>
        <v/>
      </c>
      <c r="F326" s="28" t="str">
        <f>IF(B326="","",IF(C326="B",INDEX(DESK!$AD$2:$AD$601,MATCH(318,DESK!$AR$2:$AR$601,0)),""))</f>
        <v/>
      </c>
      <c r="G326" s="28" t="str">
        <f>IF(B326="","",INDEX(DESK!$AV$2:$AV$601,MATCH(318,DESK!$AR$2:$AR$601,0)))</f>
        <v/>
      </c>
      <c r="I326" s="21"/>
      <c r="J326" s="20"/>
      <c r="K326" s="20"/>
      <c r="L326" s="20"/>
      <c r="M326" s="23" t="str">
        <f t="shared" si="4"/>
        <v/>
      </c>
    </row>
    <row r="327" spans="1:13" x14ac:dyDescent="0.35">
      <c r="A327" s="28">
        <v>319</v>
      </c>
      <c r="B327" s="43" t="str">
        <f>IF(SETTINGS!$B$22&lt;&gt;"YES","",IFERROR(IF(OR($J$3="Everyone",INDEX(DESK!$AV$2:$AV$601,MATCH(319,DESK!$AR$2:$AR$601,0))="SEND"),"91"&amp;INDEX(DESK!$F$2:$F$601,MATCH(319,DESK!$AR$2:$AR$601,0)),""),""))</f>
        <v/>
      </c>
      <c r="C327" s="28" t="str">
        <f>IF(B327="","",IF(INDEX(DESK!$AC$2:$AC$601,MATCH(319,DESK!$AR$2:$AR$601,0))="YES","A","B"))</f>
        <v/>
      </c>
      <c r="D327" s="28" t="str">
        <f>IF(B327="","",INDEX(DESK!$AQ$2:$AQ$601,MATCH(319,DESK!$AR$2:$AR$601,0)))</f>
        <v/>
      </c>
      <c r="E327" s="28" t="str">
        <f>IF(B327="","",INDEX(DESK!$B$2:$B$601,MATCH(319,DESK!$AR$2:$AR$601,0))&amp;IF(COUNTIFS(DESK!$F$2:$F$601,INDEX(DESK!$F$2:$F$601,MATCH(319,DESK!$AR$2:$AR$601,0)),DESK!$L$2:$L$601,1)&gt;1," and "&amp;(COUNTIFS(DESK!$F$2:$F$601,INDEX(DESK!$F$2:$F$601,MATCH(319,DESK!$AR$2:$AR$601,0)),DESK!$L$2:$L$601,1)-1)&amp;" more",""))</f>
        <v/>
      </c>
      <c r="F327" s="28" t="str">
        <f>IF(B327="","",IF(C327="B",INDEX(DESK!$AD$2:$AD$601,MATCH(319,DESK!$AR$2:$AR$601,0)),""))</f>
        <v/>
      </c>
      <c r="G327" s="28" t="str">
        <f>IF(B327="","",INDEX(DESK!$AV$2:$AV$601,MATCH(319,DESK!$AR$2:$AR$601,0)))</f>
        <v/>
      </c>
      <c r="I327" s="21"/>
      <c r="J327" s="20"/>
      <c r="K327" s="20"/>
      <c r="L327" s="20"/>
      <c r="M327" s="23" t="str">
        <f t="shared" si="4"/>
        <v/>
      </c>
    </row>
    <row r="328" spans="1:13" x14ac:dyDescent="0.35">
      <c r="A328" s="28">
        <v>320</v>
      </c>
      <c r="B328" s="43" t="str">
        <f>IF(SETTINGS!$B$22&lt;&gt;"YES","",IFERROR(IF(OR($J$3="Everyone",INDEX(DESK!$AV$2:$AV$601,MATCH(320,DESK!$AR$2:$AR$601,0))="SEND"),"91"&amp;INDEX(DESK!$F$2:$F$601,MATCH(320,DESK!$AR$2:$AR$601,0)),""),""))</f>
        <v/>
      </c>
      <c r="C328" s="28" t="str">
        <f>IF(B328="","",IF(INDEX(DESK!$AC$2:$AC$601,MATCH(320,DESK!$AR$2:$AR$601,0))="YES","A","B"))</f>
        <v/>
      </c>
      <c r="D328" s="28" t="str">
        <f>IF(B328="","",INDEX(DESK!$AQ$2:$AQ$601,MATCH(320,DESK!$AR$2:$AR$601,0)))</f>
        <v/>
      </c>
      <c r="E328" s="28" t="str">
        <f>IF(B328="","",INDEX(DESK!$B$2:$B$601,MATCH(320,DESK!$AR$2:$AR$601,0))&amp;IF(COUNTIFS(DESK!$F$2:$F$601,INDEX(DESK!$F$2:$F$601,MATCH(320,DESK!$AR$2:$AR$601,0)),DESK!$L$2:$L$601,1)&gt;1," and "&amp;(COUNTIFS(DESK!$F$2:$F$601,INDEX(DESK!$F$2:$F$601,MATCH(320,DESK!$AR$2:$AR$601,0)),DESK!$L$2:$L$601,1)-1)&amp;" more",""))</f>
        <v/>
      </c>
      <c r="F328" s="28" t="str">
        <f>IF(B328="","",IF(C328="B",INDEX(DESK!$AD$2:$AD$601,MATCH(320,DESK!$AR$2:$AR$601,0)),""))</f>
        <v/>
      </c>
      <c r="G328" s="28" t="str">
        <f>IF(B328="","",INDEX(DESK!$AV$2:$AV$601,MATCH(320,DESK!$AR$2:$AR$601,0)))</f>
        <v/>
      </c>
      <c r="I328" s="21"/>
      <c r="J328" s="20"/>
      <c r="K328" s="20"/>
      <c r="L328" s="20"/>
      <c r="M328" s="23" t="str">
        <f t="shared" si="4"/>
        <v/>
      </c>
    </row>
    <row r="329" spans="1:13" x14ac:dyDescent="0.35">
      <c r="A329" s="28">
        <v>321</v>
      </c>
      <c r="B329" s="43" t="str">
        <f>IF(SETTINGS!$B$22&lt;&gt;"YES","",IFERROR(IF(OR($J$3="Everyone",INDEX(DESK!$AV$2:$AV$601,MATCH(321,DESK!$AR$2:$AR$601,0))="SEND"),"91"&amp;INDEX(DESK!$F$2:$F$601,MATCH(321,DESK!$AR$2:$AR$601,0)),""),""))</f>
        <v/>
      </c>
      <c r="C329" s="28" t="str">
        <f>IF(B329="","",IF(INDEX(DESK!$AC$2:$AC$601,MATCH(321,DESK!$AR$2:$AR$601,0))="YES","A","B"))</f>
        <v/>
      </c>
      <c r="D329" s="28" t="str">
        <f>IF(B329="","",INDEX(DESK!$AQ$2:$AQ$601,MATCH(321,DESK!$AR$2:$AR$601,0)))</f>
        <v/>
      </c>
      <c r="E329" s="28" t="str">
        <f>IF(B329="","",INDEX(DESK!$B$2:$B$601,MATCH(321,DESK!$AR$2:$AR$601,0))&amp;IF(COUNTIFS(DESK!$F$2:$F$601,INDEX(DESK!$F$2:$F$601,MATCH(321,DESK!$AR$2:$AR$601,0)),DESK!$L$2:$L$601,1)&gt;1," and "&amp;(COUNTIFS(DESK!$F$2:$F$601,INDEX(DESK!$F$2:$F$601,MATCH(321,DESK!$AR$2:$AR$601,0)),DESK!$L$2:$L$601,1)-1)&amp;" more",""))</f>
        <v/>
      </c>
      <c r="F329" s="28" t="str">
        <f>IF(B329="","",IF(C329="B",INDEX(DESK!$AD$2:$AD$601,MATCH(321,DESK!$AR$2:$AR$601,0)),""))</f>
        <v/>
      </c>
      <c r="G329" s="28" t="str">
        <f>IF(B329="","",INDEX(DESK!$AV$2:$AV$601,MATCH(321,DESK!$AR$2:$AR$601,0)))</f>
        <v/>
      </c>
      <c r="I329" s="21"/>
      <c r="J329" s="20"/>
      <c r="K329" s="20"/>
      <c r="L329" s="20"/>
      <c r="M329" s="23" t="str">
        <f t="shared" ref="M329:M392" si="5">IF(I329="","",RIGHT(SUBSTITUTE(SUBSTITUTE(I329&amp;""," ",""),"+",""),10))</f>
        <v/>
      </c>
    </row>
    <row r="330" spans="1:13" x14ac:dyDescent="0.35">
      <c r="A330" s="28">
        <v>322</v>
      </c>
      <c r="B330" s="43" t="str">
        <f>IF(SETTINGS!$B$22&lt;&gt;"YES","",IFERROR(IF(OR($J$3="Everyone",INDEX(DESK!$AV$2:$AV$601,MATCH(322,DESK!$AR$2:$AR$601,0))="SEND"),"91"&amp;INDEX(DESK!$F$2:$F$601,MATCH(322,DESK!$AR$2:$AR$601,0)),""),""))</f>
        <v/>
      </c>
      <c r="C330" s="28" t="str">
        <f>IF(B330="","",IF(INDEX(DESK!$AC$2:$AC$601,MATCH(322,DESK!$AR$2:$AR$601,0))="YES","A","B"))</f>
        <v/>
      </c>
      <c r="D330" s="28" t="str">
        <f>IF(B330="","",INDEX(DESK!$AQ$2:$AQ$601,MATCH(322,DESK!$AR$2:$AR$601,0)))</f>
        <v/>
      </c>
      <c r="E330" s="28" t="str">
        <f>IF(B330="","",INDEX(DESK!$B$2:$B$601,MATCH(322,DESK!$AR$2:$AR$601,0))&amp;IF(COUNTIFS(DESK!$F$2:$F$601,INDEX(DESK!$F$2:$F$601,MATCH(322,DESK!$AR$2:$AR$601,0)),DESK!$L$2:$L$601,1)&gt;1," and "&amp;(COUNTIFS(DESK!$F$2:$F$601,INDEX(DESK!$F$2:$F$601,MATCH(322,DESK!$AR$2:$AR$601,0)),DESK!$L$2:$L$601,1)-1)&amp;" more",""))</f>
        <v/>
      </c>
      <c r="F330" s="28" t="str">
        <f>IF(B330="","",IF(C330="B",INDEX(DESK!$AD$2:$AD$601,MATCH(322,DESK!$AR$2:$AR$601,0)),""))</f>
        <v/>
      </c>
      <c r="G330" s="28" t="str">
        <f>IF(B330="","",INDEX(DESK!$AV$2:$AV$601,MATCH(322,DESK!$AR$2:$AR$601,0)))</f>
        <v/>
      </c>
      <c r="I330" s="21"/>
      <c r="J330" s="20"/>
      <c r="K330" s="20"/>
      <c r="L330" s="20"/>
      <c r="M330" s="23" t="str">
        <f t="shared" si="5"/>
        <v/>
      </c>
    </row>
    <row r="331" spans="1:13" x14ac:dyDescent="0.35">
      <c r="A331" s="28">
        <v>323</v>
      </c>
      <c r="B331" s="43" t="str">
        <f>IF(SETTINGS!$B$22&lt;&gt;"YES","",IFERROR(IF(OR($J$3="Everyone",INDEX(DESK!$AV$2:$AV$601,MATCH(323,DESK!$AR$2:$AR$601,0))="SEND"),"91"&amp;INDEX(DESK!$F$2:$F$601,MATCH(323,DESK!$AR$2:$AR$601,0)),""),""))</f>
        <v/>
      </c>
      <c r="C331" s="28" t="str">
        <f>IF(B331="","",IF(INDEX(DESK!$AC$2:$AC$601,MATCH(323,DESK!$AR$2:$AR$601,0))="YES","A","B"))</f>
        <v/>
      </c>
      <c r="D331" s="28" t="str">
        <f>IF(B331="","",INDEX(DESK!$AQ$2:$AQ$601,MATCH(323,DESK!$AR$2:$AR$601,0)))</f>
        <v/>
      </c>
      <c r="E331" s="28" t="str">
        <f>IF(B331="","",INDEX(DESK!$B$2:$B$601,MATCH(323,DESK!$AR$2:$AR$601,0))&amp;IF(COUNTIFS(DESK!$F$2:$F$601,INDEX(DESK!$F$2:$F$601,MATCH(323,DESK!$AR$2:$AR$601,0)),DESK!$L$2:$L$601,1)&gt;1," and "&amp;(COUNTIFS(DESK!$F$2:$F$601,INDEX(DESK!$F$2:$F$601,MATCH(323,DESK!$AR$2:$AR$601,0)),DESK!$L$2:$L$601,1)-1)&amp;" more",""))</f>
        <v/>
      </c>
      <c r="F331" s="28" t="str">
        <f>IF(B331="","",IF(C331="B",INDEX(DESK!$AD$2:$AD$601,MATCH(323,DESK!$AR$2:$AR$601,0)),""))</f>
        <v/>
      </c>
      <c r="G331" s="28" t="str">
        <f>IF(B331="","",INDEX(DESK!$AV$2:$AV$601,MATCH(323,DESK!$AR$2:$AR$601,0)))</f>
        <v/>
      </c>
      <c r="I331" s="21"/>
      <c r="J331" s="20"/>
      <c r="K331" s="20"/>
      <c r="L331" s="20"/>
      <c r="M331" s="23" t="str">
        <f t="shared" si="5"/>
        <v/>
      </c>
    </row>
    <row r="332" spans="1:13" x14ac:dyDescent="0.35">
      <c r="A332" s="28">
        <v>324</v>
      </c>
      <c r="B332" s="43" t="str">
        <f>IF(SETTINGS!$B$22&lt;&gt;"YES","",IFERROR(IF(OR($J$3="Everyone",INDEX(DESK!$AV$2:$AV$601,MATCH(324,DESK!$AR$2:$AR$601,0))="SEND"),"91"&amp;INDEX(DESK!$F$2:$F$601,MATCH(324,DESK!$AR$2:$AR$601,0)),""),""))</f>
        <v/>
      </c>
      <c r="C332" s="28" t="str">
        <f>IF(B332="","",IF(INDEX(DESK!$AC$2:$AC$601,MATCH(324,DESK!$AR$2:$AR$601,0))="YES","A","B"))</f>
        <v/>
      </c>
      <c r="D332" s="28" t="str">
        <f>IF(B332="","",INDEX(DESK!$AQ$2:$AQ$601,MATCH(324,DESK!$AR$2:$AR$601,0)))</f>
        <v/>
      </c>
      <c r="E332" s="28" t="str">
        <f>IF(B332="","",INDEX(DESK!$B$2:$B$601,MATCH(324,DESK!$AR$2:$AR$601,0))&amp;IF(COUNTIFS(DESK!$F$2:$F$601,INDEX(DESK!$F$2:$F$601,MATCH(324,DESK!$AR$2:$AR$601,0)),DESK!$L$2:$L$601,1)&gt;1," and "&amp;(COUNTIFS(DESK!$F$2:$F$601,INDEX(DESK!$F$2:$F$601,MATCH(324,DESK!$AR$2:$AR$601,0)),DESK!$L$2:$L$601,1)-1)&amp;" more",""))</f>
        <v/>
      </c>
      <c r="F332" s="28" t="str">
        <f>IF(B332="","",IF(C332="B",INDEX(DESK!$AD$2:$AD$601,MATCH(324,DESK!$AR$2:$AR$601,0)),""))</f>
        <v/>
      </c>
      <c r="G332" s="28" t="str">
        <f>IF(B332="","",INDEX(DESK!$AV$2:$AV$601,MATCH(324,DESK!$AR$2:$AR$601,0)))</f>
        <v/>
      </c>
      <c r="I332" s="21"/>
      <c r="J332" s="20"/>
      <c r="K332" s="20"/>
      <c r="L332" s="20"/>
      <c r="M332" s="23" t="str">
        <f t="shared" si="5"/>
        <v/>
      </c>
    </row>
    <row r="333" spans="1:13" x14ac:dyDescent="0.35">
      <c r="A333" s="28">
        <v>325</v>
      </c>
      <c r="B333" s="43" t="str">
        <f>IF(SETTINGS!$B$22&lt;&gt;"YES","",IFERROR(IF(OR($J$3="Everyone",INDEX(DESK!$AV$2:$AV$601,MATCH(325,DESK!$AR$2:$AR$601,0))="SEND"),"91"&amp;INDEX(DESK!$F$2:$F$601,MATCH(325,DESK!$AR$2:$AR$601,0)),""),""))</f>
        <v/>
      </c>
      <c r="C333" s="28" t="str">
        <f>IF(B333="","",IF(INDEX(DESK!$AC$2:$AC$601,MATCH(325,DESK!$AR$2:$AR$601,0))="YES","A","B"))</f>
        <v/>
      </c>
      <c r="D333" s="28" t="str">
        <f>IF(B333="","",INDEX(DESK!$AQ$2:$AQ$601,MATCH(325,DESK!$AR$2:$AR$601,0)))</f>
        <v/>
      </c>
      <c r="E333" s="28" t="str">
        <f>IF(B333="","",INDEX(DESK!$B$2:$B$601,MATCH(325,DESK!$AR$2:$AR$601,0))&amp;IF(COUNTIFS(DESK!$F$2:$F$601,INDEX(DESK!$F$2:$F$601,MATCH(325,DESK!$AR$2:$AR$601,0)),DESK!$L$2:$L$601,1)&gt;1," and "&amp;(COUNTIFS(DESK!$F$2:$F$601,INDEX(DESK!$F$2:$F$601,MATCH(325,DESK!$AR$2:$AR$601,0)),DESK!$L$2:$L$601,1)-1)&amp;" more",""))</f>
        <v/>
      </c>
      <c r="F333" s="28" t="str">
        <f>IF(B333="","",IF(C333="B",INDEX(DESK!$AD$2:$AD$601,MATCH(325,DESK!$AR$2:$AR$601,0)),""))</f>
        <v/>
      </c>
      <c r="G333" s="28" t="str">
        <f>IF(B333="","",INDEX(DESK!$AV$2:$AV$601,MATCH(325,DESK!$AR$2:$AR$601,0)))</f>
        <v/>
      </c>
      <c r="I333" s="21"/>
      <c r="J333" s="20"/>
      <c r="K333" s="20"/>
      <c r="L333" s="20"/>
      <c r="M333" s="23" t="str">
        <f t="shared" si="5"/>
        <v/>
      </c>
    </row>
    <row r="334" spans="1:13" x14ac:dyDescent="0.35">
      <c r="A334" s="28">
        <v>326</v>
      </c>
      <c r="B334" s="43" t="str">
        <f>IF(SETTINGS!$B$22&lt;&gt;"YES","",IFERROR(IF(OR($J$3="Everyone",INDEX(DESK!$AV$2:$AV$601,MATCH(326,DESK!$AR$2:$AR$601,0))="SEND"),"91"&amp;INDEX(DESK!$F$2:$F$601,MATCH(326,DESK!$AR$2:$AR$601,0)),""),""))</f>
        <v/>
      </c>
      <c r="C334" s="28" t="str">
        <f>IF(B334="","",IF(INDEX(DESK!$AC$2:$AC$601,MATCH(326,DESK!$AR$2:$AR$601,0))="YES","A","B"))</f>
        <v/>
      </c>
      <c r="D334" s="28" t="str">
        <f>IF(B334="","",INDEX(DESK!$AQ$2:$AQ$601,MATCH(326,DESK!$AR$2:$AR$601,0)))</f>
        <v/>
      </c>
      <c r="E334" s="28" t="str">
        <f>IF(B334="","",INDEX(DESK!$B$2:$B$601,MATCH(326,DESK!$AR$2:$AR$601,0))&amp;IF(COUNTIFS(DESK!$F$2:$F$601,INDEX(DESK!$F$2:$F$601,MATCH(326,DESK!$AR$2:$AR$601,0)),DESK!$L$2:$L$601,1)&gt;1," and "&amp;(COUNTIFS(DESK!$F$2:$F$601,INDEX(DESK!$F$2:$F$601,MATCH(326,DESK!$AR$2:$AR$601,0)),DESK!$L$2:$L$601,1)-1)&amp;" more",""))</f>
        <v/>
      </c>
      <c r="F334" s="28" t="str">
        <f>IF(B334="","",IF(C334="B",INDEX(DESK!$AD$2:$AD$601,MATCH(326,DESK!$AR$2:$AR$601,0)),""))</f>
        <v/>
      </c>
      <c r="G334" s="28" t="str">
        <f>IF(B334="","",INDEX(DESK!$AV$2:$AV$601,MATCH(326,DESK!$AR$2:$AR$601,0)))</f>
        <v/>
      </c>
      <c r="I334" s="21"/>
      <c r="J334" s="20"/>
      <c r="K334" s="20"/>
      <c r="L334" s="20"/>
      <c r="M334" s="23" t="str">
        <f t="shared" si="5"/>
        <v/>
      </c>
    </row>
    <row r="335" spans="1:13" x14ac:dyDescent="0.35">
      <c r="A335" s="28">
        <v>327</v>
      </c>
      <c r="B335" s="43" t="str">
        <f>IF(SETTINGS!$B$22&lt;&gt;"YES","",IFERROR(IF(OR($J$3="Everyone",INDEX(DESK!$AV$2:$AV$601,MATCH(327,DESK!$AR$2:$AR$601,0))="SEND"),"91"&amp;INDEX(DESK!$F$2:$F$601,MATCH(327,DESK!$AR$2:$AR$601,0)),""),""))</f>
        <v/>
      </c>
      <c r="C335" s="28" t="str">
        <f>IF(B335="","",IF(INDEX(DESK!$AC$2:$AC$601,MATCH(327,DESK!$AR$2:$AR$601,0))="YES","A","B"))</f>
        <v/>
      </c>
      <c r="D335" s="28" t="str">
        <f>IF(B335="","",INDEX(DESK!$AQ$2:$AQ$601,MATCH(327,DESK!$AR$2:$AR$601,0)))</f>
        <v/>
      </c>
      <c r="E335" s="28" t="str">
        <f>IF(B335="","",INDEX(DESK!$B$2:$B$601,MATCH(327,DESK!$AR$2:$AR$601,0))&amp;IF(COUNTIFS(DESK!$F$2:$F$601,INDEX(DESK!$F$2:$F$601,MATCH(327,DESK!$AR$2:$AR$601,0)),DESK!$L$2:$L$601,1)&gt;1," and "&amp;(COUNTIFS(DESK!$F$2:$F$601,INDEX(DESK!$F$2:$F$601,MATCH(327,DESK!$AR$2:$AR$601,0)),DESK!$L$2:$L$601,1)-1)&amp;" more",""))</f>
        <v/>
      </c>
      <c r="F335" s="28" t="str">
        <f>IF(B335="","",IF(C335="B",INDEX(DESK!$AD$2:$AD$601,MATCH(327,DESK!$AR$2:$AR$601,0)),""))</f>
        <v/>
      </c>
      <c r="G335" s="28" t="str">
        <f>IF(B335="","",INDEX(DESK!$AV$2:$AV$601,MATCH(327,DESK!$AR$2:$AR$601,0)))</f>
        <v/>
      </c>
      <c r="I335" s="21"/>
      <c r="J335" s="20"/>
      <c r="K335" s="20"/>
      <c r="L335" s="20"/>
      <c r="M335" s="23" t="str">
        <f t="shared" si="5"/>
        <v/>
      </c>
    </row>
    <row r="336" spans="1:13" x14ac:dyDescent="0.35">
      <c r="A336" s="28">
        <v>328</v>
      </c>
      <c r="B336" s="43" t="str">
        <f>IF(SETTINGS!$B$22&lt;&gt;"YES","",IFERROR(IF(OR($J$3="Everyone",INDEX(DESK!$AV$2:$AV$601,MATCH(328,DESK!$AR$2:$AR$601,0))="SEND"),"91"&amp;INDEX(DESK!$F$2:$F$601,MATCH(328,DESK!$AR$2:$AR$601,0)),""),""))</f>
        <v/>
      </c>
      <c r="C336" s="28" t="str">
        <f>IF(B336="","",IF(INDEX(DESK!$AC$2:$AC$601,MATCH(328,DESK!$AR$2:$AR$601,0))="YES","A","B"))</f>
        <v/>
      </c>
      <c r="D336" s="28" t="str">
        <f>IF(B336="","",INDEX(DESK!$AQ$2:$AQ$601,MATCH(328,DESK!$AR$2:$AR$601,0)))</f>
        <v/>
      </c>
      <c r="E336" s="28" t="str">
        <f>IF(B336="","",INDEX(DESK!$B$2:$B$601,MATCH(328,DESK!$AR$2:$AR$601,0))&amp;IF(COUNTIFS(DESK!$F$2:$F$601,INDEX(DESK!$F$2:$F$601,MATCH(328,DESK!$AR$2:$AR$601,0)),DESK!$L$2:$L$601,1)&gt;1," and "&amp;(COUNTIFS(DESK!$F$2:$F$601,INDEX(DESK!$F$2:$F$601,MATCH(328,DESK!$AR$2:$AR$601,0)),DESK!$L$2:$L$601,1)-1)&amp;" more",""))</f>
        <v/>
      </c>
      <c r="F336" s="28" t="str">
        <f>IF(B336="","",IF(C336="B",INDEX(DESK!$AD$2:$AD$601,MATCH(328,DESK!$AR$2:$AR$601,0)),""))</f>
        <v/>
      </c>
      <c r="G336" s="28" t="str">
        <f>IF(B336="","",INDEX(DESK!$AV$2:$AV$601,MATCH(328,DESK!$AR$2:$AR$601,0)))</f>
        <v/>
      </c>
      <c r="I336" s="21"/>
      <c r="J336" s="20"/>
      <c r="K336" s="20"/>
      <c r="L336" s="20"/>
      <c r="M336" s="23" t="str">
        <f t="shared" si="5"/>
        <v/>
      </c>
    </row>
    <row r="337" spans="1:13" x14ac:dyDescent="0.35">
      <c r="A337" s="28">
        <v>329</v>
      </c>
      <c r="B337" s="43" t="str">
        <f>IF(SETTINGS!$B$22&lt;&gt;"YES","",IFERROR(IF(OR($J$3="Everyone",INDEX(DESK!$AV$2:$AV$601,MATCH(329,DESK!$AR$2:$AR$601,0))="SEND"),"91"&amp;INDEX(DESK!$F$2:$F$601,MATCH(329,DESK!$AR$2:$AR$601,0)),""),""))</f>
        <v/>
      </c>
      <c r="C337" s="28" t="str">
        <f>IF(B337="","",IF(INDEX(DESK!$AC$2:$AC$601,MATCH(329,DESK!$AR$2:$AR$601,0))="YES","A","B"))</f>
        <v/>
      </c>
      <c r="D337" s="28" t="str">
        <f>IF(B337="","",INDEX(DESK!$AQ$2:$AQ$601,MATCH(329,DESK!$AR$2:$AR$601,0)))</f>
        <v/>
      </c>
      <c r="E337" s="28" t="str">
        <f>IF(B337="","",INDEX(DESK!$B$2:$B$601,MATCH(329,DESK!$AR$2:$AR$601,0))&amp;IF(COUNTIFS(DESK!$F$2:$F$601,INDEX(DESK!$F$2:$F$601,MATCH(329,DESK!$AR$2:$AR$601,0)),DESK!$L$2:$L$601,1)&gt;1," and "&amp;(COUNTIFS(DESK!$F$2:$F$601,INDEX(DESK!$F$2:$F$601,MATCH(329,DESK!$AR$2:$AR$601,0)),DESK!$L$2:$L$601,1)-1)&amp;" more",""))</f>
        <v/>
      </c>
      <c r="F337" s="28" t="str">
        <f>IF(B337="","",IF(C337="B",INDEX(DESK!$AD$2:$AD$601,MATCH(329,DESK!$AR$2:$AR$601,0)),""))</f>
        <v/>
      </c>
      <c r="G337" s="28" t="str">
        <f>IF(B337="","",INDEX(DESK!$AV$2:$AV$601,MATCH(329,DESK!$AR$2:$AR$601,0)))</f>
        <v/>
      </c>
      <c r="I337" s="21"/>
      <c r="J337" s="20"/>
      <c r="K337" s="20"/>
      <c r="L337" s="20"/>
      <c r="M337" s="23" t="str">
        <f t="shared" si="5"/>
        <v/>
      </c>
    </row>
    <row r="338" spans="1:13" x14ac:dyDescent="0.35">
      <c r="A338" s="28">
        <v>330</v>
      </c>
      <c r="B338" s="43" t="str">
        <f>IF(SETTINGS!$B$22&lt;&gt;"YES","",IFERROR(IF(OR($J$3="Everyone",INDEX(DESK!$AV$2:$AV$601,MATCH(330,DESK!$AR$2:$AR$601,0))="SEND"),"91"&amp;INDEX(DESK!$F$2:$F$601,MATCH(330,DESK!$AR$2:$AR$601,0)),""),""))</f>
        <v/>
      </c>
      <c r="C338" s="28" t="str">
        <f>IF(B338="","",IF(INDEX(DESK!$AC$2:$AC$601,MATCH(330,DESK!$AR$2:$AR$601,0))="YES","A","B"))</f>
        <v/>
      </c>
      <c r="D338" s="28" t="str">
        <f>IF(B338="","",INDEX(DESK!$AQ$2:$AQ$601,MATCH(330,DESK!$AR$2:$AR$601,0)))</f>
        <v/>
      </c>
      <c r="E338" s="28" t="str">
        <f>IF(B338="","",INDEX(DESK!$B$2:$B$601,MATCH(330,DESK!$AR$2:$AR$601,0))&amp;IF(COUNTIFS(DESK!$F$2:$F$601,INDEX(DESK!$F$2:$F$601,MATCH(330,DESK!$AR$2:$AR$601,0)),DESK!$L$2:$L$601,1)&gt;1," and "&amp;(COUNTIFS(DESK!$F$2:$F$601,INDEX(DESK!$F$2:$F$601,MATCH(330,DESK!$AR$2:$AR$601,0)),DESK!$L$2:$L$601,1)-1)&amp;" more",""))</f>
        <v/>
      </c>
      <c r="F338" s="28" t="str">
        <f>IF(B338="","",IF(C338="B",INDEX(DESK!$AD$2:$AD$601,MATCH(330,DESK!$AR$2:$AR$601,0)),""))</f>
        <v/>
      </c>
      <c r="G338" s="28" t="str">
        <f>IF(B338="","",INDEX(DESK!$AV$2:$AV$601,MATCH(330,DESK!$AR$2:$AR$601,0)))</f>
        <v/>
      </c>
      <c r="I338" s="21"/>
      <c r="J338" s="20"/>
      <c r="K338" s="20"/>
      <c r="L338" s="20"/>
      <c r="M338" s="23" t="str">
        <f t="shared" si="5"/>
        <v/>
      </c>
    </row>
    <row r="339" spans="1:13" x14ac:dyDescent="0.35">
      <c r="A339" s="28">
        <v>331</v>
      </c>
      <c r="B339" s="43" t="str">
        <f>IF(SETTINGS!$B$22&lt;&gt;"YES","",IFERROR(IF(OR($J$3="Everyone",INDEX(DESK!$AV$2:$AV$601,MATCH(331,DESK!$AR$2:$AR$601,0))="SEND"),"91"&amp;INDEX(DESK!$F$2:$F$601,MATCH(331,DESK!$AR$2:$AR$601,0)),""),""))</f>
        <v/>
      </c>
      <c r="C339" s="28" t="str">
        <f>IF(B339="","",IF(INDEX(DESK!$AC$2:$AC$601,MATCH(331,DESK!$AR$2:$AR$601,0))="YES","A","B"))</f>
        <v/>
      </c>
      <c r="D339" s="28" t="str">
        <f>IF(B339="","",INDEX(DESK!$AQ$2:$AQ$601,MATCH(331,DESK!$AR$2:$AR$601,0)))</f>
        <v/>
      </c>
      <c r="E339" s="28" t="str">
        <f>IF(B339="","",INDEX(DESK!$B$2:$B$601,MATCH(331,DESK!$AR$2:$AR$601,0))&amp;IF(COUNTIFS(DESK!$F$2:$F$601,INDEX(DESK!$F$2:$F$601,MATCH(331,DESK!$AR$2:$AR$601,0)),DESK!$L$2:$L$601,1)&gt;1," and "&amp;(COUNTIFS(DESK!$F$2:$F$601,INDEX(DESK!$F$2:$F$601,MATCH(331,DESK!$AR$2:$AR$601,0)),DESK!$L$2:$L$601,1)-1)&amp;" more",""))</f>
        <v/>
      </c>
      <c r="F339" s="28" t="str">
        <f>IF(B339="","",IF(C339="B",INDEX(DESK!$AD$2:$AD$601,MATCH(331,DESK!$AR$2:$AR$601,0)),""))</f>
        <v/>
      </c>
      <c r="G339" s="28" t="str">
        <f>IF(B339="","",INDEX(DESK!$AV$2:$AV$601,MATCH(331,DESK!$AR$2:$AR$601,0)))</f>
        <v/>
      </c>
      <c r="I339" s="21"/>
      <c r="J339" s="20"/>
      <c r="K339" s="20"/>
      <c r="L339" s="20"/>
      <c r="M339" s="23" t="str">
        <f t="shared" si="5"/>
        <v/>
      </c>
    </row>
    <row r="340" spans="1:13" x14ac:dyDescent="0.35">
      <c r="A340" s="28">
        <v>332</v>
      </c>
      <c r="B340" s="43" t="str">
        <f>IF(SETTINGS!$B$22&lt;&gt;"YES","",IFERROR(IF(OR($J$3="Everyone",INDEX(DESK!$AV$2:$AV$601,MATCH(332,DESK!$AR$2:$AR$601,0))="SEND"),"91"&amp;INDEX(DESK!$F$2:$F$601,MATCH(332,DESK!$AR$2:$AR$601,0)),""),""))</f>
        <v/>
      </c>
      <c r="C340" s="28" t="str">
        <f>IF(B340="","",IF(INDEX(DESK!$AC$2:$AC$601,MATCH(332,DESK!$AR$2:$AR$601,0))="YES","A","B"))</f>
        <v/>
      </c>
      <c r="D340" s="28" t="str">
        <f>IF(B340="","",INDEX(DESK!$AQ$2:$AQ$601,MATCH(332,DESK!$AR$2:$AR$601,0)))</f>
        <v/>
      </c>
      <c r="E340" s="28" t="str">
        <f>IF(B340="","",INDEX(DESK!$B$2:$B$601,MATCH(332,DESK!$AR$2:$AR$601,0))&amp;IF(COUNTIFS(DESK!$F$2:$F$601,INDEX(DESK!$F$2:$F$601,MATCH(332,DESK!$AR$2:$AR$601,0)),DESK!$L$2:$L$601,1)&gt;1," and "&amp;(COUNTIFS(DESK!$F$2:$F$601,INDEX(DESK!$F$2:$F$601,MATCH(332,DESK!$AR$2:$AR$601,0)),DESK!$L$2:$L$601,1)-1)&amp;" more",""))</f>
        <v/>
      </c>
      <c r="F340" s="28" t="str">
        <f>IF(B340="","",IF(C340="B",INDEX(DESK!$AD$2:$AD$601,MATCH(332,DESK!$AR$2:$AR$601,0)),""))</f>
        <v/>
      </c>
      <c r="G340" s="28" t="str">
        <f>IF(B340="","",INDEX(DESK!$AV$2:$AV$601,MATCH(332,DESK!$AR$2:$AR$601,0)))</f>
        <v/>
      </c>
      <c r="I340" s="21"/>
      <c r="J340" s="20"/>
      <c r="K340" s="20"/>
      <c r="L340" s="20"/>
      <c r="M340" s="23" t="str">
        <f t="shared" si="5"/>
        <v/>
      </c>
    </row>
    <row r="341" spans="1:13" x14ac:dyDescent="0.35">
      <c r="A341" s="28">
        <v>333</v>
      </c>
      <c r="B341" s="43" t="str">
        <f>IF(SETTINGS!$B$22&lt;&gt;"YES","",IFERROR(IF(OR($J$3="Everyone",INDEX(DESK!$AV$2:$AV$601,MATCH(333,DESK!$AR$2:$AR$601,0))="SEND"),"91"&amp;INDEX(DESK!$F$2:$F$601,MATCH(333,DESK!$AR$2:$AR$601,0)),""),""))</f>
        <v/>
      </c>
      <c r="C341" s="28" t="str">
        <f>IF(B341="","",IF(INDEX(DESK!$AC$2:$AC$601,MATCH(333,DESK!$AR$2:$AR$601,0))="YES","A","B"))</f>
        <v/>
      </c>
      <c r="D341" s="28" t="str">
        <f>IF(B341="","",INDEX(DESK!$AQ$2:$AQ$601,MATCH(333,DESK!$AR$2:$AR$601,0)))</f>
        <v/>
      </c>
      <c r="E341" s="28" t="str">
        <f>IF(B341="","",INDEX(DESK!$B$2:$B$601,MATCH(333,DESK!$AR$2:$AR$601,0))&amp;IF(COUNTIFS(DESK!$F$2:$F$601,INDEX(DESK!$F$2:$F$601,MATCH(333,DESK!$AR$2:$AR$601,0)),DESK!$L$2:$L$601,1)&gt;1," and "&amp;(COUNTIFS(DESK!$F$2:$F$601,INDEX(DESK!$F$2:$F$601,MATCH(333,DESK!$AR$2:$AR$601,0)),DESK!$L$2:$L$601,1)-1)&amp;" more",""))</f>
        <v/>
      </c>
      <c r="F341" s="28" t="str">
        <f>IF(B341="","",IF(C341="B",INDEX(DESK!$AD$2:$AD$601,MATCH(333,DESK!$AR$2:$AR$601,0)),""))</f>
        <v/>
      </c>
      <c r="G341" s="28" t="str">
        <f>IF(B341="","",INDEX(DESK!$AV$2:$AV$601,MATCH(333,DESK!$AR$2:$AR$601,0)))</f>
        <v/>
      </c>
      <c r="I341" s="21"/>
      <c r="J341" s="20"/>
      <c r="K341" s="20"/>
      <c r="L341" s="20"/>
      <c r="M341" s="23" t="str">
        <f t="shared" si="5"/>
        <v/>
      </c>
    </row>
    <row r="342" spans="1:13" x14ac:dyDescent="0.35">
      <c r="A342" s="28">
        <v>334</v>
      </c>
      <c r="B342" s="43" t="str">
        <f>IF(SETTINGS!$B$22&lt;&gt;"YES","",IFERROR(IF(OR($J$3="Everyone",INDEX(DESK!$AV$2:$AV$601,MATCH(334,DESK!$AR$2:$AR$601,0))="SEND"),"91"&amp;INDEX(DESK!$F$2:$F$601,MATCH(334,DESK!$AR$2:$AR$601,0)),""),""))</f>
        <v/>
      </c>
      <c r="C342" s="28" t="str">
        <f>IF(B342="","",IF(INDEX(DESK!$AC$2:$AC$601,MATCH(334,DESK!$AR$2:$AR$601,0))="YES","A","B"))</f>
        <v/>
      </c>
      <c r="D342" s="28" t="str">
        <f>IF(B342="","",INDEX(DESK!$AQ$2:$AQ$601,MATCH(334,DESK!$AR$2:$AR$601,0)))</f>
        <v/>
      </c>
      <c r="E342" s="28" t="str">
        <f>IF(B342="","",INDEX(DESK!$B$2:$B$601,MATCH(334,DESK!$AR$2:$AR$601,0))&amp;IF(COUNTIFS(DESK!$F$2:$F$601,INDEX(DESK!$F$2:$F$601,MATCH(334,DESK!$AR$2:$AR$601,0)),DESK!$L$2:$L$601,1)&gt;1," and "&amp;(COUNTIFS(DESK!$F$2:$F$601,INDEX(DESK!$F$2:$F$601,MATCH(334,DESK!$AR$2:$AR$601,0)),DESK!$L$2:$L$601,1)-1)&amp;" more",""))</f>
        <v/>
      </c>
      <c r="F342" s="28" t="str">
        <f>IF(B342="","",IF(C342="B",INDEX(DESK!$AD$2:$AD$601,MATCH(334,DESK!$AR$2:$AR$601,0)),""))</f>
        <v/>
      </c>
      <c r="G342" s="28" t="str">
        <f>IF(B342="","",INDEX(DESK!$AV$2:$AV$601,MATCH(334,DESK!$AR$2:$AR$601,0)))</f>
        <v/>
      </c>
      <c r="I342" s="21"/>
      <c r="J342" s="20"/>
      <c r="K342" s="20"/>
      <c r="L342" s="20"/>
      <c r="M342" s="23" t="str">
        <f t="shared" si="5"/>
        <v/>
      </c>
    </row>
    <row r="343" spans="1:13" x14ac:dyDescent="0.35">
      <c r="A343" s="28">
        <v>335</v>
      </c>
      <c r="B343" s="43" t="str">
        <f>IF(SETTINGS!$B$22&lt;&gt;"YES","",IFERROR(IF(OR($J$3="Everyone",INDEX(DESK!$AV$2:$AV$601,MATCH(335,DESK!$AR$2:$AR$601,0))="SEND"),"91"&amp;INDEX(DESK!$F$2:$F$601,MATCH(335,DESK!$AR$2:$AR$601,0)),""),""))</f>
        <v/>
      </c>
      <c r="C343" s="28" t="str">
        <f>IF(B343="","",IF(INDEX(DESK!$AC$2:$AC$601,MATCH(335,DESK!$AR$2:$AR$601,0))="YES","A","B"))</f>
        <v/>
      </c>
      <c r="D343" s="28" t="str">
        <f>IF(B343="","",INDEX(DESK!$AQ$2:$AQ$601,MATCH(335,DESK!$AR$2:$AR$601,0)))</f>
        <v/>
      </c>
      <c r="E343" s="28" t="str">
        <f>IF(B343="","",INDEX(DESK!$B$2:$B$601,MATCH(335,DESK!$AR$2:$AR$601,0))&amp;IF(COUNTIFS(DESK!$F$2:$F$601,INDEX(DESK!$F$2:$F$601,MATCH(335,DESK!$AR$2:$AR$601,0)),DESK!$L$2:$L$601,1)&gt;1," and "&amp;(COUNTIFS(DESK!$F$2:$F$601,INDEX(DESK!$F$2:$F$601,MATCH(335,DESK!$AR$2:$AR$601,0)),DESK!$L$2:$L$601,1)-1)&amp;" more",""))</f>
        <v/>
      </c>
      <c r="F343" s="28" t="str">
        <f>IF(B343="","",IF(C343="B",INDEX(DESK!$AD$2:$AD$601,MATCH(335,DESK!$AR$2:$AR$601,0)),""))</f>
        <v/>
      </c>
      <c r="G343" s="28" t="str">
        <f>IF(B343="","",INDEX(DESK!$AV$2:$AV$601,MATCH(335,DESK!$AR$2:$AR$601,0)))</f>
        <v/>
      </c>
      <c r="I343" s="21"/>
      <c r="J343" s="20"/>
      <c r="K343" s="20"/>
      <c r="L343" s="20"/>
      <c r="M343" s="23" t="str">
        <f t="shared" si="5"/>
        <v/>
      </c>
    </row>
    <row r="344" spans="1:13" x14ac:dyDescent="0.35">
      <c r="A344" s="28">
        <v>336</v>
      </c>
      <c r="B344" s="43" t="str">
        <f>IF(SETTINGS!$B$22&lt;&gt;"YES","",IFERROR(IF(OR($J$3="Everyone",INDEX(DESK!$AV$2:$AV$601,MATCH(336,DESK!$AR$2:$AR$601,0))="SEND"),"91"&amp;INDEX(DESK!$F$2:$F$601,MATCH(336,DESK!$AR$2:$AR$601,0)),""),""))</f>
        <v/>
      </c>
      <c r="C344" s="28" t="str">
        <f>IF(B344="","",IF(INDEX(DESK!$AC$2:$AC$601,MATCH(336,DESK!$AR$2:$AR$601,0))="YES","A","B"))</f>
        <v/>
      </c>
      <c r="D344" s="28" t="str">
        <f>IF(B344="","",INDEX(DESK!$AQ$2:$AQ$601,MATCH(336,DESK!$AR$2:$AR$601,0)))</f>
        <v/>
      </c>
      <c r="E344" s="28" t="str">
        <f>IF(B344="","",INDEX(DESK!$B$2:$B$601,MATCH(336,DESK!$AR$2:$AR$601,0))&amp;IF(COUNTIFS(DESK!$F$2:$F$601,INDEX(DESK!$F$2:$F$601,MATCH(336,DESK!$AR$2:$AR$601,0)),DESK!$L$2:$L$601,1)&gt;1," and "&amp;(COUNTIFS(DESK!$F$2:$F$601,INDEX(DESK!$F$2:$F$601,MATCH(336,DESK!$AR$2:$AR$601,0)),DESK!$L$2:$L$601,1)-1)&amp;" more",""))</f>
        <v/>
      </c>
      <c r="F344" s="28" t="str">
        <f>IF(B344="","",IF(C344="B",INDEX(DESK!$AD$2:$AD$601,MATCH(336,DESK!$AR$2:$AR$601,0)),""))</f>
        <v/>
      </c>
      <c r="G344" s="28" t="str">
        <f>IF(B344="","",INDEX(DESK!$AV$2:$AV$601,MATCH(336,DESK!$AR$2:$AR$601,0)))</f>
        <v/>
      </c>
      <c r="I344" s="21"/>
      <c r="J344" s="20"/>
      <c r="K344" s="20"/>
      <c r="L344" s="20"/>
      <c r="M344" s="23" t="str">
        <f t="shared" si="5"/>
        <v/>
      </c>
    </row>
    <row r="345" spans="1:13" x14ac:dyDescent="0.35">
      <c r="A345" s="28">
        <v>337</v>
      </c>
      <c r="B345" s="43" t="str">
        <f>IF(SETTINGS!$B$22&lt;&gt;"YES","",IFERROR(IF(OR($J$3="Everyone",INDEX(DESK!$AV$2:$AV$601,MATCH(337,DESK!$AR$2:$AR$601,0))="SEND"),"91"&amp;INDEX(DESK!$F$2:$F$601,MATCH(337,DESK!$AR$2:$AR$601,0)),""),""))</f>
        <v/>
      </c>
      <c r="C345" s="28" t="str">
        <f>IF(B345="","",IF(INDEX(DESK!$AC$2:$AC$601,MATCH(337,DESK!$AR$2:$AR$601,0))="YES","A","B"))</f>
        <v/>
      </c>
      <c r="D345" s="28" t="str">
        <f>IF(B345="","",INDEX(DESK!$AQ$2:$AQ$601,MATCH(337,DESK!$AR$2:$AR$601,0)))</f>
        <v/>
      </c>
      <c r="E345" s="28" t="str">
        <f>IF(B345="","",INDEX(DESK!$B$2:$B$601,MATCH(337,DESK!$AR$2:$AR$601,0))&amp;IF(COUNTIFS(DESK!$F$2:$F$601,INDEX(DESK!$F$2:$F$601,MATCH(337,DESK!$AR$2:$AR$601,0)),DESK!$L$2:$L$601,1)&gt;1," and "&amp;(COUNTIFS(DESK!$F$2:$F$601,INDEX(DESK!$F$2:$F$601,MATCH(337,DESK!$AR$2:$AR$601,0)),DESK!$L$2:$L$601,1)-1)&amp;" more",""))</f>
        <v/>
      </c>
      <c r="F345" s="28" t="str">
        <f>IF(B345="","",IF(C345="B",INDEX(DESK!$AD$2:$AD$601,MATCH(337,DESK!$AR$2:$AR$601,0)),""))</f>
        <v/>
      </c>
      <c r="G345" s="28" t="str">
        <f>IF(B345="","",INDEX(DESK!$AV$2:$AV$601,MATCH(337,DESK!$AR$2:$AR$601,0)))</f>
        <v/>
      </c>
      <c r="I345" s="21"/>
      <c r="J345" s="20"/>
      <c r="K345" s="20"/>
      <c r="L345" s="20"/>
      <c r="M345" s="23" t="str">
        <f t="shared" si="5"/>
        <v/>
      </c>
    </row>
    <row r="346" spans="1:13" x14ac:dyDescent="0.35">
      <c r="A346" s="28">
        <v>338</v>
      </c>
      <c r="B346" s="43" t="str">
        <f>IF(SETTINGS!$B$22&lt;&gt;"YES","",IFERROR(IF(OR($J$3="Everyone",INDEX(DESK!$AV$2:$AV$601,MATCH(338,DESK!$AR$2:$AR$601,0))="SEND"),"91"&amp;INDEX(DESK!$F$2:$F$601,MATCH(338,DESK!$AR$2:$AR$601,0)),""),""))</f>
        <v/>
      </c>
      <c r="C346" s="28" t="str">
        <f>IF(B346="","",IF(INDEX(DESK!$AC$2:$AC$601,MATCH(338,DESK!$AR$2:$AR$601,0))="YES","A","B"))</f>
        <v/>
      </c>
      <c r="D346" s="28" t="str">
        <f>IF(B346="","",INDEX(DESK!$AQ$2:$AQ$601,MATCH(338,DESK!$AR$2:$AR$601,0)))</f>
        <v/>
      </c>
      <c r="E346" s="28" t="str">
        <f>IF(B346="","",INDEX(DESK!$B$2:$B$601,MATCH(338,DESK!$AR$2:$AR$601,0))&amp;IF(COUNTIFS(DESK!$F$2:$F$601,INDEX(DESK!$F$2:$F$601,MATCH(338,DESK!$AR$2:$AR$601,0)),DESK!$L$2:$L$601,1)&gt;1," and "&amp;(COUNTIFS(DESK!$F$2:$F$601,INDEX(DESK!$F$2:$F$601,MATCH(338,DESK!$AR$2:$AR$601,0)),DESK!$L$2:$L$601,1)-1)&amp;" more",""))</f>
        <v/>
      </c>
      <c r="F346" s="28" t="str">
        <f>IF(B346="","",IF(C346="B",INDEX(DESK!$AD$2:$AD$601,MATCH(338,DESK!$AR$2:$AR$601,0)),""))</f>
        <v/>
      </c>
      <c r="G346" s="28" t="str">
        <f>IF(B346="","",INDEX(DESK!$AV$2:$AV$601,MATCH(338,DESK!$AR$2:$AR$601,0)))</f>
        <v/>
      </c>
      <c r="I346" s="21"/>
      <c r="J346" s="20"/>
      <c r="K346" s="20"/>
      <c r="L346" s="20"/>
      <c r="M346" s="23" t="str">
        <f t="shared" si="5"/>
        <v/>
      </c>
    </row>
    <row r="347" spans="1:13" x14ac:dyDescent="0.35">
      <c r="A347" s="28">
        <v>339</v>
      </c>
      <c r="B347" s="43" t="str">
        <f>IF(SETTINGS!$B$22&lt;&gt;"YES","",IFERROR(IF(OR($J$3="Everyone",INDEX(DESK!$AV$2:$AV$601,MATCH(339,DESK!$AR$2:$AR$601,0))="SEND"),"91"&amp;INDEX(DESK!$F$2:$F$601,MATCH(339,DESK!$AR$2:$AR$601,0)),""),""))</f>
        <v/>
      </c>
      <c r="C347" s="28" t="str">
        <f>IF(B347="","",IF(INDEX(DESK!$AC$2:$AC$601,MATCH(339,DESK!$AR$2:$AR$601,0))="YES","A","B"))</f>
        <v/>
      </c>
      <c r="D347" s="28" t="str">
        <f>IF(B347="","",INDEX(DESK!$AQ$2:$AQ$601,MATCH(339,DESK!$AR$2:$AR$601,0)))</f>
        <v/>
      </c>
      <c r="E347" s="28" t="str">
        <f>IF(B347="","",INDEX(DESK!$B$2:$B$601,MATCH(339,DESK!$AR$2:$AR$601,0))&amp;IF(COUNTIFS(DESK!$F$2:$F$601,INDEX(DESK!$F$2:$F$601,MATCH(339,DESK!$AR$2:$AR$601,0)),DESK!$L$2:$L$601,1)&gt;1," and "&amp;(COUNTIFS(DESK!$F$2:$F$601,INDEX(DESK!$F$2:$F$601,MATCH(339,DESK!$AR$2:$AR$601,0)),DESK!$L$2:$L$601,1)-1)&amp;" more",""))</f>
        <v/>
      </c>
      <c r="F347" s="28" t="str">
        <f>IF(B347="","",IF(C347="B",INDEX(DESK!$AD$2:$AD$601,MATCH(339,DESK!$AR$2:$AR$601,0)),""))</f>
        <v/>
      </c>
      <c r="G347" s="28" t="str">
        <f>IF(B347="","",INDEX(DESK!$AV$2:$AV$601,MATCH(339,DESK!$AR$2:$AR$601,0)))</f>
        <v/>
      </c>
      <c r="I347" s="21"/>
      <c r="J347" s="20"/>
      <c r="K347" s="20"/>
      <c r="L347" s="20"/>
      <c r="M347" s="23" t="str">
        <f t="shared" si="5"/>
        <v/>
      </c>
    </row>
    <row r="348" spans="1:13" x14ac:dyDescent="0.35">
      <c r="A348" s="28">
        <v>340</v>
      </c>
      <c r="B348" s="43" t="str">
        <f>IF(SETTINGS!$B$22&lt;&gt;"YES","",IFERROR(IF(OR($J$3="Everyone",INDEX(DESK!$AV$2:$AV$601,MATCH(340,DESK!$AR$2:$AR$601,0))="SEND"),"91"&amp;INDEX(DESK!$F$2:$F$601,MATCH(340,DESK!$AR$2:$AR$601,0)),""),""))</f>
        <v/>
      </c>
      <c r="C348" s="28" t="str">
        <f>IF(B348="","",IF(INDEX(DESK!$AC$2:$AC$601,MATCH(340,DESK!$AR$2:$AR$601,0))="YES","A","B"))</f>
        <v/>
      </c>
      <c r="D348" s="28" t="str">
        <f>IF(B348="","",INDEX(DESK!$AQ$2:$AQ$601,MATCH(340,DESK!$AR$2:$AR$601,0)))</f>
        <v/>
      </c>
      <c r="E348" s="28" t="str">
        <f>IF(B348="","",INDEX(DESK!$B$2:$B$601,MATCH(340,DESK!$AR$2:$AR$601,0))&amp;IF(COUNTIFS(DESK!$F$2:$F$601,INDEX(DESK!$F$2:$F$601,MATCH(340,DESK!$AR$2:$AR$601,0)),DESK!$L$2:$L$601,1)&gt;1," and "&amp;(COUNTIFS(DESK!$F$2:$F$601,INDEX(DESK!$F$2:$F$601,MATCH(340,DESK!$AR$2:$AR$601,0)),DESK!$L$2:$L$601,1)-1)&amp;" more",""))</f>
        <v/>
      </c>
      <c r="F348" s="28" t="str">
        <f>IF(B348="","",IF(C348="B",INDEX(DESK!$AD$2:$AD$601,MATCH(340,DESK!$AR$2:$AR$601,0)),""))</f>
        <v/>
      </c>
      <c r="G348" s="28" t="str">
        <f>IF(B348="","",INDEX(DESK!$AV$2:$AV$601,MATCH(340,DESK!$AR$2:$AR$601,0)))</f>
        <v/>
      </c>
      <c r="I348" s="21"/>
      <c r="J348" s="20"/>
      <c r="K348" s="20"/>
      <c r="L348" s="20"/>
      <c r="M348" s="23" t="str">
        <f t="shared" si="5"/>
        <v/>
      </c>
    </row>
    <row r="349" spans="1:13" x14ac:dyDescent="0.35">
      <c r="A349" s="28">
        <v>341</v>
      </c>
      <c r="B349" s="43" t="str">
        <f>IF(SETTINGS!$B$22&lt;&gt;"YES","",IFERROR(IF(OR($J$3="Everyone",INDEX(DESK!$AV$2:$AV$601,MATCH(341,DESK!$AR$2:$AR$601,0))="SEND"),"91"&amp;INDEX(DESK!$F$2:$F$601,MATCH(341,DESK!$AR$2:$AR$601,0)),""),""))</f>
        <v/>
      </c>
      <c r="C349" s="28" t="str">
        <f>IF(B349="","",IF(INDEX(DESK!$AC$2:$AC$601,MATCH(341,DESK!$AR$2:$AR$601,0))="YES","A","B"))</f>
        <v/>
      </c>
      <c r="D349" s="28" t="str">
        <f>IF(B349="","",INDEX(DESK!$AQ$2:$AQ$601,MATCH(341,DESK!$AR$2:$AR$601,0)))</f>
        <v/>
      </c>
      <c r="E349" s="28" t="str">
        <f>IF(B349="","",INDEX(DESK!$B$2:$B$601,MATCH(341,DESK!$AR$2:$AR$601,0))&amp;IF(COUNTIFS(DESK!$F$2:$F$601,INDEX(DESK!$F$2:$F$601,MATCH(341,DESK!$AR$2:$AR$601,0)),DESK!$L$2:$L$601,1)&gt;1," and "&amp;(COUNTIFS(DESK!$F$2:$F$601,INDEX(DESK!$F$2:$F$601,MATCH(341,DESK!$AR$2:$AR$601,0)),DESK!$L$2:$L$601,1)-1)&amp;" more",""))</f>
        <v/>
      </c>
      <c r="F349" s="28" t="str">
        <f>IF(B349="","",IF(C349="B",INDEX(DESK!$AD$2:$AD$601,MATCH(341,DESK!$AR$2:$AR$601,0)),""))</f>
        <v/>
      </c>
      <c r="G349" s="28" t="str">
        <f>IF(B349="","",INDEX(DESK!$AV$2:$AV$601,MATCH(341,DESK!$AR$2:$AR$601,0)))</f>
        <v/>
      </c>
      <c r="I349" s="21"/>
      <c r="J349" s="20"/>
      <c r="K349" s="20"/>
      <c r="L349" s="20"/>
      <c r="M349" s="23" t="str">
        <f t="shared" si="5"/>
        <v/>
      </c>
    </row>
    <row r="350" spans="1:13" x14ac:dyDescent="0.35">
      <c r="A350" s="28">
        <v>342</v>
      </c>
      <c r="B350" s="43" t="str">
        <f>IF(SETTINGS!$B$22&lt;&gt;"YES","",IFERROR(IF(OR($J$3="Everyone",INDEX(DESK!$AV$2:$AV$601,MATCH(342,DESK!$AR$2:$AR$601,0))="SEND"),"91"&amp;INDEX(DESK!$F$2:$F$601,MATCH(342,DESK!$AR$2:$AR$601,0)),""),""))</f>
        <v/>
      </c>
      <c r="C350" s="28" t="str">
        <f>IF(B350="","",IF(INDEX(DESK!$AC$2:$AC$601,MATCH(342,DESK!$AR$2:$AR$601,0))="YES","A","B"))</f>
        <v/>
      </c>
      <c r="D350" s="28" t="str">
        <f>IF(B350="","",INDEX(DESK!$AQ$2:$AQ$601,MATCH(342,DESK!$AR$2:$AR$601,0)))</f>
        <v/>
      </c>
      <c r="E350" s="28" t="str">
        <f>IF(B350="","",INDEX(DESK!$B$2:$B$601,MATCH(342,DESK!$AR$2:$AR$601,0))&amp;IF(COUNTIFS(DESK!$F$2:$F$601,INDEX(DESK!$F$2:$F$601,MATCH(342,DESK!$AR$2:$AR$601,0)),DESK!$L$2:$L$601,1)&gt;1," and "&amp;(COUNTIFS(DESK!$F$2:$F$601,INDEX(DESK!$F$2:$F$601,MATCH(342,DESK!$AR$2:$AR$601,0)),DESK!$L$2:$L$601,1)-1)&amp;" more",""))</f>
        <v/>
      </c>
      <c r="F350" s="28" t="str">
        <f>IF(B350="","",IF(C350="B",INDEX(DESK!$AD$2:$AD$601,MATCH(342,DESK!$AR$2:$AR$601,0)),""))</f>
        <v/>
      </c>
      <c r="G350" s="28" t="str">
        <f>IF(B350="","",INDEX(DESK!$AV$2:$AV$601,MATCH(342,DESK!$AR$2:$AR$601,0)))</f>
        <v/>
      </c>
      <c r="I350" s="21"/>
      <c r="J350" s="20"/>
      <c r="K350" s="20"/>
      <c r="L350" s="20"/>
      <c r="M350" s="23" t="str">
        <f t="shared" si="5"/>
        <v/>
      </c>
    </row>
    <row r="351" spans="1:13" x14ac:dyDescent="0.35">
      <c r="A351" s="28">
        <v>343</v>
      </c>
      <c r="B351" s="43" t="str">
        <f>IF(SETTINGS!$B$22&lt;&gt;"YES","",IFERROR(IF(OR($J$3="Everyone",INDEX(DESK!$AV$2:$AV$601,MATCH(343,DESK!$AR$2:$AR$601,0))="SEND"),"91"&amp;INDEX(DESK!$F$2:$F$601,MATCH(343,DESK!$AR$2:$AR$601,0)),""),""))</f>
        <v/>
      </c>
      <c r="C351" s="28" t="str">
        <f>IF(B351="","",IF(INDEX(DESK!$AC$2:$AC$601,MATCH(343,DESK!$AR$2:$AR$601,0))="YES","A","B"))</f>
        <v/>
      </c>
      <c r="D351" s="28" t="str">
        <f>IF(B351="","",INDEX(DESK!$AQ$2:$AQ$601,MATCH(343,DESK!$AR$2:$AR$601,0)))</f>
        <v/>
      </c>
      <c r="E351" s="28" t="str">
        <f>IF(B351="","",INDEX(DESK!$B$2:$B$601,MATCH(343,DESK!$AR$2:$AR$601,0))&amp;IF(COUNTIFS(DESK!$F$2:$F$601,INDEX(DESK!$F$2:$F$601,MATCH(343,DESK!$AR$2:$AR$601,0)),DESK!$L$2:$L$601,1)&gt;1," and "&amp;(COUNTIFS(DESK!$F$2:$F$601,INDEX(DESK!$F$2:$F$601,MATCH(343,DESK!$AR$2:$AR$601,0)),DESK!$L$2:$L$601,1)-1)&amp;" more",""))</f>
        <v/>
      </c>
      <c r="F351" s="28" t="str">
        <f>IF(B351="","",IF(C351="B",INDEX(DESK!$AD$2:$AD$601,MATCH(343,DESK!$AR$2:$AR$601,0)),""))</f>
        <v/>
      </c>
      <c r="G351" s="28" t="str">
        <f>IF(B351="","",INDEX(DESK!$AV$2:$AV$601,MATCH(343,DESK!$AR$2:$AR$601,0)))</f>
        <v/>
      </c>
      <c r="I351" s="21"/>
      <c r="J351" s="20"/>
      <c r="K351" s="20"/>
      <c r="L351" s="20"/>
      <c r="M351" s="23" t="str">
        <f t="shared" si="5"/>
        <v/>
      </c>
    </row>
    <row r="352" spans="1:13" x14ac:dyDescent="0.35">
      <c r="A352" s="28">
        <v>344</v>
      </c>
      <c r="B352" s="43" t="str">
        <f>IF(SETTINGS!$B$22&lt;&gt;"YES","",IFERROR(IF(OR($J$3="Everyone",INDEX(DESK!$AV$2:$AV$601,MATCH(344,DESK!$AR$2:$AR$601,0))="SEND"),"91"&amp;INDEX(DESK!$F$2:$F$601,MATCH(344,DESK!$AR$2:$AR$601,0)),""),""))</f>
        <v/>
      </c>
      <c r="C352" s="28" t="str">
        <f>IF(B352="","",IF(INDEX(DESK!$AC$2:$AC$601,MATCH(344,DESK!$AR$2:$AR$601,0))="YES","A","B"))</f>
        <v/>
      </c>
      <c r="D352" s="28" t="str">
        <f>IF(B352="","",INDEX(DESK!$AQ$2:$AQ$601,MATCH(344,DESK!$AR$2:$AR$601,0)))</f>
        <v/>
      </c>
      <c r="E352" s="28" t="str">
        <f>IF(B352="","",INDEX(DESK!$B$2:$B$601,MATCH(344,DESK!$AR$2:$AR$601,0))&amp;IF(COUNTIFS(DESK!$F$2:$F$601,INDEX(DESK!$F$2:$F$601,MATCH(344,DESK!$AR$2:$AR$601,0)),DESK!$L$2:$L$601,1)&gt;1," and "&amp;(COUNTIFS(DESK!$F$2:$F$601,INDEX(DESK!$F$2:$F$601,MATCH(344,DESK!$AR$2:$AR$601,0)),DESK!$L$2:$L$601,1)-1)&amp;" more",""))</f>
        <v/>
      </c>
      <c r="F352" s="28" t="str">
        <f>IF(B352="","",IF(C352="B",INDEX(DESK!$AD$2:$AD$601,MATCH(344,DESK!$AR$2:$AR$601,0)),""))</f>
        <v/>
      </c>
      <c r="G352" s="28" t="str">
        <f>IF(B352="","",INDEX(DESK!$AV$2:$AV$601,MATCH(344,DESK!$AR$2:$AR$601,0)))</f>
        <v/>
      </c>
      <c r="I352" s="21"/>
      <c r="J352" s="20"/>
      <c r="K352" s="20"/>
      <c r="L352" s="20"/>
      <c r="M352" s="23" t="str">
        <f t="shared" si="5"/>
        <v/>
      </c>
    </row>
    <row r="353" spans="1:13" x14ac:dyDescent="0.35">
      <c r="A353" s="28">
        <v>345</v>
      </c>
      <c r="B353" s="43" t="str">
        <f>IF(SETTINGS!$B$22&lt;&gt;"YES","",IFERROR(IF(OR($J$3="Everyone",INDEX(DESK!$AV$2:$AV$601,MATCH(345,DESK!$AR$2:$AR$601,0))="SEND"),"91"&amp;INDEX(DESK!$F$2:$F$601,MATCH(345,DESK!$AR$2:$AR$601,0)),""),""))</f>
        <v/>
      </c>
      <c r="C353" s="28" t="str">
        <f>IF(B353="","",IF(INDEX(DESK!$AC$2:$AC$601,MATCH(345,DESK!$AR$2:$AR$601,0))="YES","A","B"))</f>
        <v/>
      </c>
      <c r="D353" s="28" t="str">
        <f>IF(B353="","",INDEX(DESK!$AQ$2:$AQ$601,MATCH(345,DESK!$AR$2:$AR$601,0)))</f>
        <v/>
      </c>
      <c r="E353" s="28" t="str">
        <f>IF(B353="","",INDEX(DESK!$B$2:$B$601,MATCH(345,DESK!$AR$2:$AR$601,0))&amp;IF(COUNTIFS(DESK!$F$2:$F$601,INDEX(DESK!$F$2:$F$601,MATCH(345,DESK!$AR$2:$AR$601,0)),DESK!$L$2:$L$601,1)&gt;1," and "&amp;(COUNTIFS(DESK!$F$2:$F$601,INDEX(DESK!$F$2:$F$601,MATCH(345,DESK!$AR$2:$AR$601,0)),DESK!$L$2:$L$601,1)-1)&amp;" more",""))</f>
        <v/>
      </c>
      <c r="F353" s="28" t="str">
        <f>IF(B353="","",IF(C353="B",INDEX(DESK!$AD$2:$AD$601,MATCH(345,DESK!$AR$2:$AR$601,0)),""))</f>
        <v/>
      </c>
      <c r="G353" s="28" t="str">
        <f>IF(B353="","",INDEX(DESK!$AV$2:$AV$601,MATCH(345,DESK!$AR$2:$AR$601,0)))</f>
        <v/>
      </c>
      <c r="I353" s="21"/>
      <c r="J353" s="20"/>
      <c r="K353" s="20"/>
      <c r="L353" s="20"/>
      <c r="M353" s="23" t="str">
        <f t="shared" si="5"/>
        <v/>
      </c>
    </row>
    <row r="354" spans="1:13" x14ac:dyDescent="0.35">
      <c r="A354" s="28">
        <v>346</v>
      </c>
      <c r="B354" s="43" t="str">
        <f>IF(SETTINGS!$B$22&lt;&gt;"YES","",IFERROR(IF(OR($J$3="Everyone",INDEX(DESK!$AV$2:$AV$601,MATCH(346,DESK!$AR$2:$AR$601,0))="SEND"),"91"&amp;INDEX(DESK!$F$2:$F$601,MATCH(346,DESK!$AR$2:$AR$601,0)),""),""))</f>
        <v/>
      </c>
      <c r="C354" s="28" t="str">
        <f>IF(B354="","",IF(INDEX(DESK!$AC$2:$AC$601,MATCH(346,DESK!$AR$2:$AR$601,0))="YES","A","B"))</f>
        <v/>
      </c>
      <c r="D354" s="28" t="str">
        <f>IF(B354="","",INDEX(DESK!$AQ$2:$AQ$601,MATCH(346,DESK!$AR$2:$AR$601,0)))</f>
        <v/>
      </c>
      <c r="E354" s="28" t="str">
        <f>IF(B354="","",INDEX(DESK!$B$2:$B$601,MATCH(346,DESK!$AR$2:$AR$601,0))&amp;IF(COUNTIFS(DESK!$F$2:$F$601,INDEX(DESK!$F$2:$F$601,MATCH(346,DESK!$AR$2:$AR$601,0)),DESK!$L$2:$L$601,1)&gt;1," and "&amp;(COUNTIFS(DESK!$F$2:$F$601,INDEX(DESK!$F$2:$F$601,MATCH(346,DESK!$AR$2:$AR$601,0)),DESK!$L$2:$L$601,1)-1)&amp;" more",""))</f>
        <v/>
      </c>
      <c r="F354" s="28" t="str">
        <f>IF(B354="","",IF(C354="B",INDEX(DESK!$AD$2:$AD$601,MATCH(346,DESK!$AR$2:$AR$601,0)),""))</f>
        <v/>
      </c>
      <c r="G354" s="28" t="str">
        <f>IF(B354="","",INDEX(DESK!$AV$2:$AV$601,MATCH(346,DESK!$AR$2:$AR$601,0)))</f>
        <v/>
      </c>
      <c r="I354" s="21"/>
      <c r="J354" s="20"/>
      <c r="K354" s="20"/>
      <c r="L354" s="20"/>
      <c r="M354" s="23" t="str">
        <f t="shared" si="5"/>
        <v/>
      </c>
    </row>
    <row r="355" spans="1:13" x14ac:dyDescent="0.35">
      <c r="A355" s="28">
        <v>347</v>
      </c>
      <c r="B355" s="43" t="str">
        <f>IF(SETTINGS!$B$22&lt;&gt;"YES","",IFERROR(IF(OR($J$3="Everyone",INDEX(DESK!$AV$2:$AV$601,MATCH(347,DESK!$AR$2:$AR$601,0))="SEND"),"91"&amp;INDEX(DESK!$F$2:$F$601,MATCH(347,DESK!$AR$2:$AR$601,0)),""),""))</f>
        <v/>
      </c>
      <c r="C355" s="28" t="str">
        <f>IF(B355="","",IF(INDEX(DESK!$AC$2:$AC$601,MATCH(347,DESK!$AR$2:$AR$601,0))="YES","A","B"))</f>
        <v/>
      </c>
      <c r="D355" s="28" t="str">
        <f>IF(B355="","",INDEX(DESK!$AQ$2:$AQ$601,MATCH(347,DESK!$AR$2:$AR$601,0)))</f>
        <v/>
      </c>
      <c r="E355" s="28" t="str">
        <f>IF(B355="","",INDEX(DESK!$B$2:$B$601,MATCH(347,DESK!$AR$2:$AR$601,0))&amp;IF(COUNTIFS(DESK!$F$2:$F$601,INDEX(DESK!$F$2:$F$601,MATCH(347,DESK!$AR$2:$AR$601,0)),DESK!$L$2:$L$601,1)&gt;1," and "&amp;(COUNTIFS(DESK!$F$2:$F$601,INDEX(DESK!$F$2:$F$601,MATCH(347,DESK!$AR$2:$AR$601,0)),DESK!$L$2:$L$601,1)-1)&amp;" more",""))</f>
        <v/>
      </c>
      <c r="F355" s="28" t="str">
        <f>IF(B355="","",IF(C355="B",INDEX(DESK!$AD$2:$AD$601,MATCH(347,DESK!$AR$2:$AR$601,0)),""))</f>
        <v/>
      </c>
      <c r="G355" s="28" t="str">
        <f>IF(B355="","",INDEX(DESK!$AV$2:$AV$601,MATCH(347,DESK!$AR$2:$AR$601,0)))</f>
        <v/>
      </c>
      <c r="I355" s="21"/>
      <c r="J355" s="20"/>
      <c r="K355" s="20"/>
      <c r="L355" s="20"/>
      <c r="M355" s="23" t="str">
        <f t="shared" si="5"/>
        <v/>
      </c>
    </row>
    <row r="356" spans="1:13" x14ac:dyDescent="0.35">
      <c r="A356" s="28">
        <v>348</v>
      </c>
      <c r="B356" s="43" t="str">
        <f>IF(SETTINGS!$B$22&lt;&gt;"YES","",IFERROR(IF(OR($J$3="Everyone",INDEX(DESK!$AV$2:$AV$601,MATCH(348,DESK!$AR$2:$AR$601,0))="SEND"),"91"&amp;INDEX(DESK!$F$2:$F$601,MATCH(348,DESK!$AR$2:$AR$601,0)),""),""))</f>
        <v/>
      </c>
      <c r="C356" s="28" t="str">
        <f>IF(B356="","",IF(INDEX(DESK!$AC$2:$AC$601,MATCH(348,DESK!$AR$2:$AR$601,0))="YES","A","B"))</f>
        <v/>
      </c>
      <c r="D356" s="28" t="str">
        <f>IF(B356="","",INDEX(DESK!$AQ$2:$AQ$601,MATCH(348,DESK!$AR$2:$AR$601,0)))</f>
        <v/>
      </c>
      <c r="E356" s="28" t="str">
        <f>IF(B356="","",INDEX(DESK!$B$2:$B$601,MATCH(348,DESK!$AR$2:$AR$601,0))&amp;IF(COUNTIFS(DESK!$F$2:$F$601,INDEX(DESK!$F$2:$F$601,MATCH(348,DESK!$AR$2:$AR$601,0)),DESK!$L$2:$L$601,1)&gt;1," and "&amp;(COUNTIFS(DESK!$F$2:$F$601,INDEX(DESK!$F$2:$F$601,MATCH(348,DESK!$AR$2:$AR$601,0)),DESK!$L$2:$L$601,1)-1)&amp;" more",""))</f>
        <v/>
      </c>
      <c r="F356" s="28" t="str">
        <f>IF(B356="","",IF(C356="B",INDEX(DESK!$AD$2:$AD$601,MATCH(348,DESK!$AR$2:$AR$601,0)),""))</f>
        <v/>
      </c>
      <c r="G356" s="28" t="str">
        <f>IF(B356="","",INDEX(DESK!$AV$2:$AV$601,MATCH(348,DESK!$AR$2:$AR$601,0)))</f>
        <v/>
      </c>
      <c r="I356" s="21"/>
      <c r="J356" s="20"/>
      <c r="K356" s="20"/>
      <c r="L356" s="20"/>
      <c r="M356" s="23" t="str">
        <f t="shared" si="5"/>
        <v/>
      </c>
    </row>
    <row r="357" spans="1:13" x14ac:dyDescent="0.35">
      <c r="A357" s="28">
        <v>349</v>
      </c>
      <c r="B357" s="43" t="str">
        <f>IF(SETTINGS!$B$22&lt;&gt;"YES","",IFERROR(IF(OR($J$3="Everyone",INDEX(DESK!$AV$2:$AV$601,MATCH(349,DESK!$AR$2:$AR$601,0))="SEND"),"91"&amp;INDEX(DESK!$F$2:$F$601,MATCH(349,DESK!$AR$2:$AR$601,0)),""),""))</f>
        <v/>
      </c>
      <c r="C357" s="28" t="str">
        <f>IF(B357="","",IF(INDEX(DESK!$AC$2:$AC$601,MATCH(349,DESK!$AR$2:$AR$601,0))="YES","A","B"))</f>
        <v/>
      </c>
      <c r="D357" s="28" t="str">
        <f>IF(B357="","",INDEX(DESK!$AQ$2:$AQ$601,MATCH(349,DESK!$AR$2:$AR$601,0)))</f>
        <v/>
      </c>
      <c r="E357" s="28" t="str">
        <f>IF(B357="","",INDEX(DESK!$B$2:$B$601,MATCH(349,DESK!$AR$2:$AR$601,0))&amp;IF(COUNTIFS(DESK!$F$2:$F$601,INDEX(DESK!$F$2:$F$601,MATCH(349,DESK!$AR$2:$AR$601,0)),DESK!$L$2:$L$601,1)&gt;1," and "&amp;(COUNTIFS(DESK!$F$2:$F$601,INDEX(DESK!$F$2:$F$601,MATCH(349,DESK!$AR$2:$AR$601,0)),DESK!$L$2:$L$601,1)-1)&amp;" more",""))</f>
        <v/>
      </c>
      <c r="F357" s="28" t="str">
        <f>IF(B357="","",IF(C357="B",INDEX(DESK!$AD$2:$AD$601,MATCH(349,DESK!$AR$2:$AR$601,0)),""))</f>
        <v/>
      </c>
      <c r="G357" s="28" t="str">
        <f>IF(B357="","",INDEX(DESK!$AV$2:$AV$601,MATCH(349,DESK!$AR$2:$AR$601,0)))</f>
        <v/>
      </c>
      <c r="I357" s="21"/>
      <c r="J357" s="20"/>
      <c r="K357" s="20"/>
      <c r="L357" s="20"/>
      <c r="M357" s="23" t="str">
        <f t="shared" si="5"/>
        <v/>
      </c>
    </row>
    <row r="358" spans="1:13" x14ac:dyDescent="0.35">
      <c r="A358" s="28">
        <v>350</v>
      </c>
      <c r="B358" s="43" t="str">
        <f>IF(SETTINGS!$B$22&lt;&gt;"YES","",IFERROR(IF(OR($J$3="Everyone",INDEX(DESK!$AV$2:$AV$601,MATCH(350,DESK!$AR$2:$AR$601,0))="SEND"),"91"&amp;INDEX(DESK!$F$2:$F$601,MATCH(350,DESK!$AR$2:$AR$601,0)),""),""))</f>
        <v/>
      </c>
      <c r="C358" s="28" t="str">
        <f>IF(B358="","",IF(INDEX(DESK!$AC$2:$AC$601,MATCH(350,DESK!$AR$2:$AR$601,0))="YES","A","B"))</f>
        <v/>
      </c>
      <c r="D358" s="28" t="str">
        <f>IF(B358="","",INDEX(DESK!$AQ$2:$AQ$601,MATCH(350,DESK!$AR$2:$AR$601,0)))</f>
        <v/>
      </c>
      <c r="E358" s="28" t="str">
        <f>IF(B358="","",INDEX(DESK!$B$2:$B$601,MATCH(350,DESK!$AR$2:$AR$601,0))&amp;IF(COUNTIFS(DESK!$F$2:$F$601,INDEX(DESK!$F$2:$F$601,MATCH(350,DESK!$AR$2:$AR$601,0)),DESK!$L$2:$L$601,1)&gt;1," and "&amp;(COUNTIFS(DESK!$F$2:$F$601,INDEX(DESK!$F$2:$F$601,MATCH(350,DESK!$AR$2:$AR$601,0)),DESK!$L$2:$L$601,1)-1)&amp;" more",""))</f>
        <v/>
      </c>
      <c r="F358" s="28" t="str">
        <f>IF(B358="","",IF(C358="B",INDEX(DESK!$AD$2:$AD$601,MATCH(350,DESK!$AR$2:$AR$601,0)),""))</f>
        <v/>
      </c>
      <c r="G358" s="28" t="str">
        <f>IF(B358="","",INDEX(DESK!$AV$2:$AV$601,MATCH(350,DESK!$AR$2:$AR$601,0)))</f>
        <v/>
      </c>
      <c r="I358" s="21"/>
      <c r="J358" s="20"/>
      <c r="K358" s="20"/>
      <c r="L358" s="20"/>
      <c r="M358" s="23" t="str">
        <f t="shared" si="5"/>
        <v/>
      </c>
    </row>
    <row r="359" spans="1:13" x14ac:dyDescent="0.35">
      <c r="A359" s="28">
        <v>351</v>
      </c>
      <c r="B359" s="43" t="str">
        <f>IF(SETTINGS!$B$22&lt;&gt;"YES","",IFERROR(IF(OR($J$3="Everyone",INDEX(DESK!$AV$2:$AV$601,MATCH(351,DESK!$AR$2:$AR$601,0))="SEND"),"91"&amp;INDEX(DESK!$F$2:$F$601,MATCH(351,DESK!$AR$2:$AR$601,0)),""),""))</f>
        <v/>
      </c>
      <c r="C359" s="28" t="str">
        <f>IF(B359="","",IF(INDEX(DESK!$AC$2:$AC$601,MATCH(351,DESK!$AR$2:$AR$601,0))="YES","A","B"))</f>
        <v/>
      </c>
      <c r="D359" s="28" t="str">
        <f>IF(B359="","",INDEX(DESK!$AQ$2:$AQ$601,MATCH(351,DESK!$AR$2:$AR$601,0)))</f>
        <v/>
      </c>
      <c r="E359" s="28" t="str">
        <f>IF(B359="","",INDEX(DESK!$B$2:$B$601,MATCH(351,DESK!$AR$2:$AR$601,0))&amp;IF(COUNTIFS(DESK!$F$2:$F$601,INDEX(DESK!$F$2:$F$601,MATCH(351,DESK!$AR$2:$AR$601,0)),DESK!$L$2:$L$601,1)&gt;1," and "&amp;(COUNTIFS(DESK!$F$2:$F$601,INDEX(DESK!$F$2:$F$601,MATCH(351,DESK!$AR$2:$AR$601,0)),DESK!$L$2:$L$601,1)-1)&amp;" more",""))</f>
        <v/>
      </c>
      <c r="F359" s="28" t="str">
        <f>IF(B359="","",IF(C359="B",INDEX(DESK!$AD$2:$AD$601,MATCH(351,DESK!$AR$2:$AR$601,0)),""))</f>
        <v/>
      </c>
      <c r="G359" s="28" t="str">
        <f>IF(B359="","",INDEX(DESK!$AV$2:$AV$601,MATCH(351,DESK!$AR$2:$AR$601,0)))</f>
        <v/>
      </c>
      <c r="I359" s="21"/>
      <c r="J359" s="20"/>
      <c r="K359" s="20"/>
      <c r="L359" s="20"/>
      <c r="M359" s="23" t="str">
        <f t="shared" si="5"/>
        <v/>
      </c>
    </row>
    <row r="360" spans="1:13" x14ac:dyDescent="0.35">
      <c r="A360" s="28">
        <v>352</v>
      </c>
      <c r="B360" s="43" t="str">
        <f>IF(SETTINGS!$B$22&lt;&gt;"YES","",IFERROR(IF(OR($J$3="Everyone",INDEX(DESK!$AV$2:$AV$601,MATCH(352,DESK!$AR$2:$AR$601,0))="SEND"),"91"&amp;INDEX(DESK!$F$2:$F$601,MATCH(352,DESK!$AR$2:$AR$601,0)),""),""))</f>
        <v/>
      </c>
      <c r="C360" s="28" t="str">
        <f>IF(B360="","",IF(INDEX(DESK!$AC$2:$AC$601,MATCH(352,DESK!$AR$2:$AR$601,0))="YES","A","B"))</f>
        <v/>
      </c>
      <c r="D360" s="28" t="str">
        <f>IF(B360="","",INDEX(DESK!$AQ$2:$AQ$601,MATCH(352,DESK!$AR$2:$AR$601,0)))</f>
        <v/>
      </c>
      <c r="E360" s="28" t="str">
        <f>IF(B360="","",INDEX(DESK!$B$2:$B$601,MATCH(352,DESK!$AR$2:$AR$601,0))&amp;IF(COUNTIFS(DESK!$F$2:$F$601,INDEX(DESK!$F$2:$F$601,MATCH(352,DESK!$AR$2:$AR$601,0)),DESK!$L$2:$L$601,1)&gt;1," and "&amp;(COUNTIFS(DESK!$F$2:$F$601,INDEX(DESK!$F$2:$F$601,MATCH(352,DESK!$AR$2:$AR$601,0)),DESK!$L$2:$L$601,1)-1)&amp;" more",""))</f>
        <v/>
      </c>
      <c r="F360" s="28" t="str">
        <f>IF(B360="","",IF(C360="B",INDEX(DESK!$AD$2:$AD$601,MATCH(352,DESK!$AR$2:$AR$601,0)),""))</f>
        <v/>
      </c>
      <c r="G360" s="28" t="str">
        <f>IF(B360="","",INDEX(DESK!$AV$2:$AV$601,MATCH(352,DESK!$AR$2:$AR$601,0)))</f>
        <v/>
      </c>
      <c r="I360" s="21"/>
      <c r="J360" s="20"/>
      <c r="K360" s="20"/>
      <c r="L360" s="20"/>
      <c r="M360" s="23" t="str">
        <f t="shared" si="5"/>
        <v/>
      </c>
    </row>
    <row r="361" spans="1:13" x14ac:dyDescent="0.35">
      <c r="A361" s="28">
        <v>353</v>
      </c>
      <c r="B361" s="43" t="str">
        <f>IF(SETTINGS!$B$22&lt;&gt;"YES","",IFERROR(IF(OR($J$3="Everyone",INDEX(DESK!$AV$2:$AV$601,MATCH(353,DESK!$AR$2:$AR$601,0))="SEND"),"91"&amp;INDEX(DESK!$F$2:$F$601,MATCH(353,DESK!$AR$2:$AR$601,0)),""),""))</f>
        <v/>
      </c>
      <c r="C361" s="28" t="str">
        <f>IF(B361="","",IF(INDEX(DESK!$AC$2:$AC$601,MATCH(353,DESK!$AR$2:$AR$601,0))="YES","A","B"))</f>
        <v/>
      </c>
      <c r="D361" s="28" t="str">
        <f>IF(B361="","",INDEX(DESK!$AQ$2:$AQ$601,MATCH(353,DESK!$AR$2:$AR$601,0)))</f>
        <v/>
      </c>
      <c r="E361" s="28" t="str">
        <f>IF(B361="","",INDEX(DESK!$B$2:$B$601,MATCH(353,DESK!$AR$2:$AR$601,0))&amp;IF(COUNTIFS(DESK!$F$2:$F$601,INDEX(DESK!$F$2:$F$601,MATCH(353,DESK!$AR$2:$AR$601,0)),DESK!$L$2:$L$601,1)&gt;1," and "&amp;(COUNTIFS(DESK!$F$2:$F$601,INDEX(DESK!$F$2:$F$601,MATCH(353,DESK!$AR$2:$AR$601,0)),DESK!$L$2:$L$601,1)-1)&amp;" more",""))</f>
        <v/>
      </c>
      <c r="F361" s="28" t="str">
        <f>IF(B361="","",IF(C361="B",INDEX(DESK!$AD$2:$AD$601,MATCH(353,DESK!$AR$2:$AR$601,0)),""))</f>
        <v/>
      </c>
      <c r="G361" s="28" t="str">
        <f>IF(B361="","",INDEX(DESK!$AV$2:$AV$601,MATCH(353,DESK!$AR$2:$AR$601,0)))</f>
        <v/>
      </c>
      <c r="I361" s="21"/>
      <c r="J361" s="20"/>
      <c r="K361" s="20"/>
      <c r="L361" s="20"/>
      <c r="M361" s="23" t="str">
        <f t="shared" si="5"/>
        <v/>
      </c>
    </row>
    <row r="362" spans="1:13" x14ac:dyDescent="0.35">
      <c r="A362" s="28">
        <v>354</v>
      </c>
      <c r="B362" s="43" t="str">
        <f>IF(SETTINGS!$B$22&lt;&gt;"YES","",IFERROR(IF(OR($J$3="Everyone",INDEX(DESK!$AV$2:$AV$601,MATCH(354,DESK!$AR$2:$AR$601,0))="SEND"),"91"&amp;INDEX(DESK!$F$2:$F$601,MATCH(354,DESK!$AR$2:$AR$601,0)),""),""))</f>
        <v/>
      </c>
      <c r="C362" s="28" t="str">
        <f>IF(B362="","",IF(INDEX(DESK!$AC$2:$AC$601,MATCH(354,DESK!$AR$2:$AR$601,0))="YES","A","B"))</f>
        <v/>
      </c>
      <c r="D362" s="28" t="str">
        <f>IF(B362="","",INDEX(DESK!$AQ$2:$AQ$601,MATCH(354,DESK!$AR$2:$AR$601,0)))</f>
        <v/>
      </c>
      <c r="E362" s="28" t="str">
        <f>IF(B362="","",INDEX(DESK!$B$2:$B$601,MATCH(354,DESK!$AR$2:$AR$601,0))&amp;IF(COUNTIFS(DESK!$F$2:$F$601,INDEX(DESK!$F$2:$F$601,MATCH(354,DESK!$AR$2:$AR$601,0)),DESK!$L$2:$L$601,1)&gt;1," and "&amp;(COUNTIFS(DESK!$F$2:$F$601,INDEX(DESK!$F$2:$F$601,MATCH(354,DESK!$AR$2:$AR$601,0)),DESK!$L$2:$L$601,1)-1)&amp;" more",""))</f>
        <v/>
      </c>
      <c r="F362" s="28" t="str">
        <f>IF(B362="","",IF(C362="B",INDEX(DESK!$AD$2:$AD$601,MATCH(354,DESK!$AR$2:$AR$601,0)),""))</f>
        <v/>
      </c>
      <c r="G362" s="28" t="str">
        <f>IF(B362="","",INDEX(DESK!$AV$2:$AV$601,MATCH(354,DESK!$AR$2:$AR$601,0)))</f>
        <v/>
      </c>
      <c r="I362" s="21"/>
      <c r="J362" s="20"/>
      <c r="K362" s="20"/>
      <c r="L362" s="20"/>
      <c r="M362" s="23" t="str">
        <f t="shared" si="5"/>
        <v/>
      </c>
    </row>
    <row r="363" spans="1:13" x14ac:dyDescent="0.35">
      <c r="A363" s="28">
        <v>355</v>
      </c>
      <c r="B363" s="43" t="str">
        <f>IF(SETTINGS!$B$22&lt;&gt;"YES","",IFERROR(IF(OR($J$3="Everyone",INDEX(DESK!$AV$2:$AV$601,MATCH(355,DESK!$AR$2:$AR$601,0))="SEND"),"91"&amp;INDEX(DESK!$F$2:$F$601,MATCH(355,DESK!$AR$2:$AR$601,0)),""),""))</f>
        <v/>
      </c>
      <c r="C363" s="28" t="str">
        <f>IF(B363="","",IF(INDEX(DESK!$AC$2:$AC$601,MATCH(355,DESK!$AR$2:$AR$601,0))="YES","A","B"))</f>
        <v/>
      </c>
      <c r="D363" s="28" t="str">
        <f>IF(B363="","",INDEX(DESK!$AQ$2:$AQ$601,MATCH(355,DESK!$AR$2:$AR$601,0)))</f>
        <v/>
      </c>
      <c r="E363" s="28" t="str">
        <f>IF(B363="","",INDEX(DESK!$B$2:$B$601,MATCH(355,DESK!$AR$2:$AR$601,0))&amp;IF(COUNTIFS(DESK!$F$2:$F$601,INDEX(DESK!$F$2:$F$601,MATCH(355,DESK!$AR$2:$AR$601,0)),DESK!$L$2:$L$601,1)&gt;1," and "&amp;(COUNTIFS(DESK!$F$2:$F$601,INDEX(DESK!$F$2:$F$601,MATCH(355,DESK!$AR$2:$AR$601,0)),DESK!$L$2:$L$601,1)-1)&amp;" more",""))</f>
        <v/>
      </c>
      <c r="F363" s="28" t="str">
        <f>IF(B363="","",IF(C363="B",INDEX(DESK!$AD$2:$AD$601,MATCH(355,DESK!$AR$2:$AR$601,0)),""))</f>
        <v/>
      </c>
      <c r="G363" s="28" t="str">
        <f>IF(B363="","",INDEX(DESK!$AV$2:$AV$601,MATCH(355,DESK!$AR$2:$AR$601,0)))</f>
        <v/>
      </c>
      <c r="I363" s="21"/>
      <c r="J363" s="20"/>
      <c r="K363" s="20"/>
      <c r="L363" s="20"/>
      <c r="M363" s="23" t="str">
        <f t="shared" si="5"/>
        <v/>
      </c>
    </row>
    <row r="364" spans="1:13" x14ac:dyDescent="0.35">
      <c r="A364" s="28">
        <v>356</v>
      </c>
      <c r="B364" s="43" t="str">
        <f>IF(SETTINGS!$B$22&lt;&gt;"YES","",IFERROR(IF(OR($J$3="Everyone",INDEX(DESK!$AV$2:$AV$601,MATCH(356,DESK!$AR$2:$AR$601,0))="SEND"),"91"&amp;INDEX(DESK!$F$2:$F$601,MATCH(356,DESK!$AR$2:$AR$601,0)),""),""))</f>
        <v/>
      </c>
      <c r="C364" s="28" t="str">
        <f>IF(B364="","",IF(INDEX(DESK!$AC$2:$AC$601,MATCH(356,DESK!$AR$2:$AR$601,0))="YES","A","B"))</f>
        <v/>
      </c>
      <c r="D364" s="28" t="str">
        <f>IF(B364="","",INDEX(DESK!$AQ$2:$AQ$601,MATCH(356,DESK!$AR$2:$AR$601,0)))</f>
        <v/>
      </c>
      <c r="E364" s="28" t="str">
        <f>IF(B364="","",INDEX(DESK!$B$2:$B$601,MATCH(356,DESK!$AR$2:$AR$601,0))&amp;IF(COUNTIFS(DESK!$F$2:$F$601,INDEX(DESK!$F$2:$F$601,MATCH(356,DESK!$AR$2:$AR$601,0)),DESK!$L$2:$L$601,1)&gt;1," and "&amp;(COUNTIFS(DESK!$F$2:$F$601,INDEX(DESK!$F$2:$F$601,MATCH(356,DESK!$AR$2:$AR$601,0)),DESK!$L$2:$L$601,1)-1)&amp;" more",""))</f>
        <v/>
      </c>
      <c r="F364" s="28" t="str">
        <f>IF(B364="","",IF(C364="B",INDEX(DESK!$AD$2:$AD$601,MATCH(356,DESK!$AR$2:$AR$601,0)),""))</f>
        <v/>
      </c>
      <c r="G364" s="28" t="str">
        <f>IF(B364="","",INDEX(DESK!$AV$2:$AV$601,MATCH(356,DESK!$AR$2:$AR$601,0)))</f>
        <v/>
      </c>
      <c r="I364" s="21"/>
      <c r="J364" s="20"/>
      <c r="K364" s="20"/>
      <c r="L364" s="20"/>
      <c r="M364" s="23" t="str">
        <f t="shared" si="5"/>
        <v/>
      </c>
    </row>
    <row r="365" spans="1:13" x14ac:dyDescent="0.35">
      <c r="A365" s="28">
        <v>357</v>
      </c>
      <c r="B365" s="43" t="str">
        <f>IF(SETTINGS!$B$22&lt;&gt;"YES","",IFERROR(IF(OR($J$3="Everyone",INDEX(DESK!$AV$2:$AV$601,MATCH(357,DESK!$AR$2:$AR$601,0))="SEND"),"91"&amp;INDEX(DESK!$F$2:$F$601,MATCH(357,DESK!$AR$2:$AR$601,0)),""),""))</f>
        <v/>
      </c>
      <c r="C365" s="28" t="str">
        <f>IF(B365="","",IF(INDEX(DESK!$AC$2:$AC$601,MATCH(357,DESK!$AR$2:$AR$601,0))="YES","A","B"))</f>
        <v/>
      </c>
      <c r="D365" s="28" t="str">
        <f>IF(B365="","",INDEX(DESK!$AQ$2:$AQ$601,MATCH(357,DESK!$AR$2:$AR$601,0)))</f>
        <v/>
      </c>
      <c r="E365" s="28" t="str">
        <f>IF(B365="","",INDEX(DESK!$B$2:$B$601,MATCH(357,DESK!$AR$2:$AR$601,0))&amp;IF(COUNTIFS(DESK!$F$2:$F$601,INDEX(DESK!$F$2:$F$601,MATCH(357,DESK!$AR$2:$AR$601,0)),DESK!$L$2:$L$601,1)&gt;1," and "&amp;(COUNTIFS(DESK!$F$2:$F$601,INDEX(DESK!$F$2:$F$601,MATCH(357,DESK!$AR$2:$AR$601,0)),DESK!$L$2:$L$601,1)-1)&amp;" more",""))</f>
        <v/>
      </c>
      <c r="F365" s="28" t="str">
        <f>IF(B365="","",IF(C365="B",INDEX(DESK!$AD$2:$AD$601,MATCH(357,DESK!$AR$2:$AR$601,0)),""))</f>
        <v/>
      </c>
      <c r="G365" s="28" t="str">
        <f>IF(B365="","",INDEX(DESK!$AV$2:$AV$601,MATCH(357,DESK!$AR$2:$AR$601,0)))</f>
        <v/>
      </c>
      <c r="I365" s="21"/>
      <c r="J365" s="20"/>
      <c r="K365" s="20"/>
      <c r="L365" s="20"/>
      <c r="M365" s="23" t="str">
        <f t="shared" si="5"/>
        <v/>
      </c>
    </row>
    <row r="366" spans="1:13" x14ac:dyDescent="0.35">
      <c r="A366" s="28">
        <v>358</v>
      </c>
      <c r="B366" s="43" t="str">
        <f>IF(SETTINGS!$B$22&lt;&gt;"YES","",IFERROR(IF(OR($J$3="Everyone",INDEX(DESK!$AV$2:$AV$601,MATCH(358,DESK!$AR$2:$AR$601,0))="SEND"),"91"&amp;INDEX(DESK!$F$2:$F$601,MATCH(358,DESK!$AR$2:$AR$601,0)),""),""))</f>
        <v/>
      </c>
      <c r="C366" s="28" t="str">
        <f>IF(B366="","",IF(INDEX(DESK!$AC$2:$AC$601,MATCH(358,DESK!$AR$2:$AR$601,0))="YES","A","B"))</f>
        <v/>
      </c>
      <c r="D366" s="28" t="str">
        <f>IF(B366="","",INDEX(DESK!$AQ$2:$AQ$601,MATCH(358,DESK!$AR$2:$AR$601,0)))</f>
        <v/>
      </c>
      <c r="E366" s="28" t="str">
        <f>IF(B366="","",INDEX(DESK!$B$2:$B$601,MATCH(358,DESK!$AR$2:$AR$601,0))&amp;IF(COUNTIFS(DESK!$F$2:$F$601,INDEX(DESK!$F$2:$F$601,MATCH(358,DESK!$AR$2:$AR$601,0)),DESK!$L$2:$L$601,1)&gt;1," and "&amp;(COUNTIFS(DESK!$F$2:$F$601,INDEX(DESK!$F$2:$F$601,MATCH(358,DESK!$AR$2:$AR$601,0)),DESK!$L$2:$L$601,1)-1)&amp;" more",""))</f>
        <v/>
      </c>
      <c r="F366" s="28" t="str">
        <f>IF(B366="","",IF(C366="B",INDEX(DESK!$AD$2:$AD$601,MATCH(358,DESK!$AR$2:$AR$601,0)),""))</f>
        <v/>
      </c>
      <c r="G366" s="28" t="str">
        <f>IF(B366="","",INDEX(DESK!$AV$2:$AV$601,MATCH(358,DESK!$AR$2:$AR$601,0)))</f>
        <v/>
      </c>
      <c r="I366" s="21"/>
      <c r="J366" s="20"/>
      <c r="K366" s="20"/>
      <c r="L366" s="20"/>
      <c r="M366" s="23" t="str">
        <f t="shared" si="5"/>
        <v/>
      </c>
    </row>
    <row r="367" spans="1:13" x14ac:dyDescent="0.35">
      <c r="A367" s="28">
        <v>359</v>
      </c>
      <c r="B367" s="43" t="str">
        <f>IF(SETTINGS!$B$22&lt;&gt;"YES","",IFERROR(IF(OR($J$3="Everyone",INDEX(DESK!$AV$2:$AV$601,MATCH(359,DESK!$AR$2:$AR$601,0))="SEND"),"91"&amp;INDEX(DESK!$F$2:$F$601,MATCH(359,DESK!$AR$2:$AR$601,0)),""),""))</f>
        <v/>
      </c>
      <c r="C367" s="28" t="str">
        <f>IF(B367="","",IF(INDEX(DESK!$AC$2:$AC$601,MATCH(359,DESK!$AR$2:$AR$601,0))="YES","A","B"))</f>
        <v/>
      </c>
      <c r="D367" s="28" t="str">
        <f>IF(B367="","",INDEX(DESK!$AQ$2:$AQ$601,MATCH(359,DESK!$AR$2:$AR$601,0)))</f>
        <v/>
      </c>
      <c r="E367" s="28" t="str">
        <f>IF(B367="","",INDEX(DESK!$B$2:$B$601,MATCH(359,DESK!$AR$2:$AR$601,0))&amp;IF(COUNTIFS(DESK!$F$2:$F$601,INDEX(DESK!$F$2:$F$601,MATCH(359,DESK!$AR$2:$AR$601,0)),DESK!$L$2:$L$601,1)&gt;1," and "&amp;(COUNTIFS(DESK!$F$2:$F$601,INDEX(DESK!$F$2:$F$601,MATCH(359,DESK!$AR$2:$AR$601,0)),DESK!$L$2:$L$601,1)-1)&amp;" more",""))</f>
        <v/>
      </c>
      <c r="F367" s="28" t="str">
        <f>IF(B367="","",IF(C367="B",INDEX(DESK!$AD$2:$AD$601,MATCH(359,DESK!$AR$2:$AR$601,0)),""))</f>
        <v/>
      </c>
      <c r="G367" s="28" t="str">
        <f>IF(B367="","",INDEX(DESK!$AV$2:$AV$601,MATCH(359,DESK!$AR$2:$AR$601,0)))</f>
        <v/>
      </c>
      <c r="I367" s="21"/>
      <c r="J367" s="20"/>
      <c r="K367" s="20"/>
      <c r="L367" s="20"/>
      <c r="M367" s="23" t="str">
        <f t="shared" si="5"/>
        <v/>
      </c>
    </row>
    <row r="368" spans="1:13" x14ac:dyDescent="0.35">
      <c r="A368" s="28">
        <v>360</v>
      </c>
      <c r="B368" s="43" t="str">
        <f>IF(SETTINGS!$B$22&lt;&gt;"YES","",IFERROR(IF(OR($J$3="Everyone",INDEX(DESK!$AV$2:$AV$601,MATCH(360,DESK!$AR$2:$AR$601,0))="SEND"),"91"&amp;INDEX(DESK!$F$2:$F$601,MATCH(360,DESK!$AR$2:$AR$601,0)),""),""))</f>
        <v/>
      </c>
      <c r="C368" s="28" t="str">
        <f>IF(B368="","",IF(INDEX(DESK!$AC$2:$AC$601,MATCH(360,DESK!$AR$2:$AR$601,0))="YES","A","B"))</f>
        <v/>
      </c>
      <c r="D368" s="28" t="str">
        <f>IF(B368="","",INDEX(DESK!$AQ$2:$AQ$601,MATCH(360,DESK!$AR$2:$AR$601,0)))</f>
        <v/>
      </c>
      <c r="E368" s="28" t="str">
        <f>IF(B368="","",INDEX(DESK!$B$2:$B$601,MATCH(360,DESK!$AR$2:$AR$601,0))&amp;IF(COUNTIFS(DESK!$F$2:$F$601,INDEX(DESK!$F$2:$F$601,MATCH(360,DESK!$AR$2:$AR$601,0)),DESK!$L$2:$L$601,1)&gt;1," and "&amp;(COUNTIFS(DESK!$F$2:$F$601,INDEX(DESK!$F$2:$F$601,MATCH(360,DESK!$AR$2:$AR$601,0)),DESK!$L$2:$L$601,1)-1)&amp;" more",""))</f>
        <v/>
      </c>
      <c r="F368" s="28" t="str">
        <f>IF(B368="","",IF(C368="B",INDEX(DESK!$AD$2:$AD$601,MATCH(360,DESK!$AR$2:$AR$601,0)),""))</f>
        <v/>
      </c>
      <c r="G368" s="28" t="str">
        <f>IF(B368="","",INDEX(DESK!$AV$2:$AV$601,MATCH(360,DESK!$AR$2:$AR$601,0)))</f>
        <v/>
      </c>
      <c r="I368" s="21"/>
      <c r="J368" s="20"/>
      <c r="K368" s="20"/>
      <c r="L368" s="20"/>
      <c r="M368" s="23" t="str">
        <f t="shared" si="5"/>
        <v/>
      </c>
    </row>
    <row r="369" spans="1:13" x14ac:dyDescent="0.35">
      <c r="A369" s="28">
        <v>361</v>
      </c>
      <c r="B369" s="43" t="str">
        <f>IF(SETTINGS!$B$22&lt;&gt;"YES","",IFERROR(IF(OR($J$3="Everyone",INDEX(DESK!$AV$2:$AV$601,MATCH(361,DESK!$AR$2:$AR$601,0))="SEND"),"91"&amp;INDEX(DESK!$F$2:$F$601,MATCH(361,DESK!$AR$2:$AR$601,0)),""),""))</f>
        <v/>
      </c>
      <c r="C369" s="28" t="str">
        <f>IF(B369="","",IF(INDEX(DESK!$AC$2:$AC$601,MATCH(361,DESK!$AR$2:$AR$601,0))="YES","A","B"))</f>
        <v/>
      </c>
      <c r="D369" s="28" t="str">
        <f>IF(B369="","",INDEX(DESK!$AQ$2:$AQ$601,MATCH(361,DESK!$AR$2:$AR$601,0)))</f>
        <v/>
      </c>
      <c r="E369" s="28" t="str">
        <f>IF(B369="","",INDEX(DESK!$B$2:$B$601,MATCH(361,DESK!$AR$2:$AR$601,0))&amp;IF(COUNTIFS(DESK!$F$2:$F$601,INDEX(DESK!$F$2:$F$601,MATCH(361,DESK!$AR$2:$AR$601,0)),DESK!$L$2:$L$601,1)&gt;1," and "&amp;(COUNTIFS(DESK!$F$2:$F$601,INDEX(DESK!$F$2:$F$601,MATCH(361,DESK!$AR$2:$AR$601,0)),DESK!$L$2:$L$601,1)-1)&amp;" more",""))</f>
        <v/>
      </c>
      <c r="F369" s="28" t="str">
        <f>IF(B369="","",IF(C369="B",INDEX(DESK!$AD$2:$AD$601,MATCH(361,DESK!$AR$2:$AR$601,0)),""))</f>
        <v/>
      </c>
      <c r="G369" s="28" t="str">
        <f>IF(B369="","",INDEX(DESK!$AV$2:$AV$601,MATCH(361,DESK!$AR$2:$AR$601,0)))</f>
        <v/>
      </c>
      <c r="I369" s="21"/>
      <c r="J369" s="20"/>
      <c r="K369" s="20"/>
      <c r="L369" s="20"/>
      <c r="M369" s="23" t="str">
        <f t="shared" si="5"/>
        <v/>
      </c>
    </row>
    <row r="370" spans="1:13" x14ac:dyDescent="0.35">
      <c r="A370" s="28">
        <v>362</v>
      </c>
      <c r="B370" s="43" t="str">
        <f>IF(SETTINGS!$B$22&lt;&gt;"YES","",IFERROR(IF(OR($J$3="Everyone",INDEX(DESK!$AV$2:$AV$601,MATCH(362,DESK!$AR$2:$AR$601,0))="SEND"),"91"&amp;INDEX(DESK!$F$2:$F$601,MATCH(362,DESK!$AR$2:$AR$601,0)),""),""))</f>
        <v/>
      </c>
      <c r="C370" s="28" t="str">
        <f>IF(B370="","",IF(INDEX(DESK!$AC$2:$AC$601,MATCH(362,DESK!$AR$2:$AR$601,0))="YES","A","B"))</f>
        <v/>
      </c>
      <c r="D370" s="28" t="str">
        <f>IF(B370="","",INDEX(DESK!$AQ$2:$AQ$601,MATCH(362,DESK!$AR$2:$AR$601,0)))</f>
        <v/>
      </c>
      <c r="E370" s="28" t="str">
        <f>IF(B370="","",INDEX(DESK!$B$2:$B$601,MATCH(362,DESK!$AR$2:$AR$601,0))&amp;IF(COUNTIFS(DESK!$F$2:$F$601,INDEX(DESK!$F$2:$F$601,MATCH(362,DESK!$AR$2:$AR$601,0)),DESK!$L$2:$L$601,1)&gt;1," and "&amp;(COUNTIFS(DESK!$F$2:$F$601,INDEX(DESK!$F$2:$F$601,MATCH(362,DESK!$AR$2:$AR$601,0)),DESK!$L$2:$L$601,1)-1)&amp;" more",""))</f>
        <v/>
      </c>
      <c r="F370" s="28" t="str">
        <f>IF(B370="","",IF(C370="B",INDEX(DESK!$AD$2:$AD$601,MATCH(362,DESK!$AR$2:$AR$601,0)),""))</f>
        <v/>
      </c>
      <c r="G370" s="28" t="str">
        <f>IF(B370="","",INDEX(DESK!$AV$2:$AV$601,MATCH(362,DESK!$AR$2:$AR$601,0)))</f>
        <v/>
      </c>
      <c r="I370" s="21"/>
      <c r="J370" s="20"/>
      <c r="K370" s="20"/>
      <c r="L370" s="20"/>
      <c r="M370" s="23" t="str">
        <f t="shared" si="5"/>
        <v/>
      </c>
    </row>
    <row r="371" spans="1:13" x14ac:dyDescent="0.35">
      <c r="A371" s="28">
        <v>363</v>
      </c>
      <c r="B371" s="43" t="str">
        <f>IF(SETTINGS!$B$22&lt;&gt;"YES","",IFERROR(IF(OR($J$3="Everyone",INDEX(DESK!$AV$2:$AV$601,MATCH(363,DESK!$AR$2:$AR$601,0))="SEND"),"91"&amp;INDEX(DESK!$F$2:$F$601,MATCH(363,DESK!$AR$2:$AR$601,0)),""),""))</f>
        <v/>
      </c>
      <c r="C371" s="28" t="str">
        <f>IF(B371="","",IF(INDEX(DESK!$AC$2:$AC$601,MATCH(363,DESK!$AR$2:$AR$601,0))="YES","A","B"))</f>
        <v/>
      </c>
      <c r="D371" s="28" t="str">
        <f>IF(B371="","",INDEX(DESK!$AQ$2:$AQ$601,MATCH(363,DESK!$AR$2:$AR$601,0)))</f>
        <v/>
      </c>
      <c r="E371" s="28" t="str">
        <f>IF(B371="","",INDEX(DESK!$B$2:$B$601,MATCH(363,DESK!$AR$2:$AR$601,0))&amp;IF(COUNTIFS(DESK!$F$2:$F$601,INDEX(DESK!$F$2:$F$601,MATCH(363,DESK!$AR$2:$AR$601,0)),DESK!$L$2:$L$601,1)&gt;1," and "&amp;(COUNTIFS(DESK!$F$2:$F$601,INDEX(DESK!$F$2:$F$601,MATCH(363,DESK!$AR$2:$AR$601,0)),DESK!$L$2:$L$601,1)-1)&amp;" more",""))</f>
        <v/>
      </c>
      <c r="F371" s="28" t="str">
        <f>IF(B371="","",IF(C371="B",INDEX(DESK!$AD$2:$AD$601,MATCH(363,DESK!$AR$2:$AR$601,0)),""))</f>
        <v/>
      </c>
      <c r="G371" s="28" t="str">
        <f>IF(B371="","",INDEX(DESK!$AV$2:$AV$601,MATCH(363,DESK!$AR$2:$AR$601,0)))</f>
        <v/>
      </c>
      <c r="I371" s="21"/>
      <c r="J371" s="20"/>
      <c r="K371" s="20"/>
      <c r="L371" s="20"/>
      <c r="M371" s="23" t="str">
        <f t="shared" si="5"/>
        <v/>
      </c>
    </row>
    <row r="372" spans="1:13" x14ac:dyDescent="0.35">
      <c r="A372" s="28">
        <v>364</v>
      </c>
      <c r="B372" s="43" t="str">
        <f>IF(SETTINGS!$B$22&lt;&gt;"YES","",IFERROR(IF(OR($J$3="Everyone",INDEX(DESK!$AV$2:$AV$601,MATCH(364,DESK!$AR$2:$AR$601,0))="SEND"),"91"&amp;INDEX(DESK!$F$2:$F$601,MATCH(364,DESK!$AR$2:$AR$601,0)),""),""))</f>
        <v/>
      </c>
      <c r="C372" s="28" t="str">
        <f>IF(B372="","",IF(INDEX(DESK!$AC$2:$AC$601,MATCH(364,DESK!$AR$2:$AR$601,0))="YES","A","B"))</f>
        <v/>
      </c>
      <c r="D372" s="28" t="str">
        <f>IF(B372="","",INDEX(DESK!$AQ$2:$AQ$601,MATCH(364,DESK!$AR$2:$AR$601,0)))</f>
        <v/>
      </c>
      <c r="E372" s="28" t="str">
        <f>IF(B372="","",INDEX(DESK!$B$2:$B$601,MATCH(364,DESK!$AR$2:$AR$601,0))&amp;IF(COUNTIFS(DESK!$F$2:$F$601,INDEX(DESK!$F$2:$F$601,MATCH(364,DESK!$AR$2:$AR$601,0)),DESK!$L$2:$L$601,1)&gt;1," and "&amp;(COUNTIFS(DESK!$F$2:$F$601,INDEX(DESK!$F$2:$F$601,MATCH(364,DESK!$AR$2:$AR$601,0)),DESK!$L$2:$L$601,1)-1)&amp;" more",""))</f>
        <v/>
      </c>
      <c r="F372" s="28" t="str">
        <f>IF(B372="","",IF(C372="B",INDEX(DESK!$AD$2:$AD$601,MATCH(364,DESK!$AR$2:$AR$601,0)),""))</f>
        <v/>
      </c>
      <c r="G372" s="28" t="str">
        <f>IF(B372="","",INDEX(DESK!$AV$2:$AV$601,MATCH(364,DESK!$AR$2:$AR$601,0)))</f>
        <v/>
      </c>
      <c r="I372" s="21"/>
      <c r="J372" s="20"/>
      <c r="K372" s="20"/>
      <c r="L372" s="20"/>
      <c r="M372" s="23" t="str">
        <f t="shared" si="5"/>
        <v/>
      </c>
    </row>
    <row r="373" spans="1:13" x14ac:dyDescent="0.35">
      <c r="A373" s="28">
        <v>365</v>
      </c>
      <c r="B373" s="43" t="str">
        <f>IF(SETTINGS!$B$22&lt;&gt;"YES","",IFERROR(IF(OR($J$3="Everyone",INDEX(DESK!$AV$2:$AV$601,MATCH(365,DESK!$AR$2:$AR$601,0))="SEND"),"91"&amp;INDEX(DESK!$F$2:$F$601,MATCH(365,DESK!$AR$2:$AR$601,0)),""),""))</f>
        <v/>
      </c>
      <c r="C373" s="28" t="str">
        <f>IF(B373="","",IF(INDEX(DESK!$AC$2:$AC$601,MATCH(365,DESK!$AR$2:$AR$601,0))="YES","A","B"))</f>
        <v/>
      </c>
      <c r="D373" s="28" t="str">
        <f>IF(B373="","",INDEX(DESK!$AQ$2:$AQ$601,MATCH(365,DESK!$AR$2:$AR$601,0)))</f>
        <v/>
      </c>
      <c r="E373" s="28" t="str">
        <f>IF(B373="","",INDEX(DESK!$B$2:$B$601,MATCH(365,DESK!$AR$2:$AR$601,0))&amp;IF(COUNTIFS(DESK!$F$2:$F$601,INDEX(DESK!$F$2:$F$601,MATCH(365,DESK!$AR$2:$AR$601,0)),DESK!$L$2:$L$601,1)&gt;1," and "&amp;(COUNTIFS(DESK!$F$2:$F$601,INDEX(DESK!$F$2:$F$601,MATCH(365,DESK!$AR$2:$AR$601,0)),DESK!$L$2:$L$601,1)-1)&amp;" more",""))</f>
        <v/>
      </c>
      <c r="F373" s="28" t="str">
        <f>IF(B373="","",IF(C373="B",INDEX(DESK!$AD$2:$AD$601,MATCH(365,DESK!$AR$2:$AR$601,0)),""))</f>
        <v/>
      </c>
      <c r="G373" s="28" t="str">
        <f>IF(B373="","",INDEX(DESK!$AV$2:$AV$601,MATCH(365,DESK!$AR$2:$AR$601,0)))</f>
        <v/>
      </c>
      <c r="I373" s="21"/>
      <c r="J373" s="20"/>
      <c r="K373" s="20"/>
      <c r="L373" s="20"/>
      <c r="M373" s="23" t="str">
        <f t="shared" si="5"/>
        <v/>
      </c>
    </row>
    <row r="374" spans="1:13" x14ac:dyDescent="0.35">
      <c r="A374" s="28">
        <v>366</v>
      </c>
      <c r="B374" s="43" t="str">
        <f>IF(SETTINGS!$B$22&lt;&gt;"YES","",IFERROR(IF(OR($J$3="Everyone",INDEX(DESK!$AV$2:$AV$601,MATCH(366,DESK!$AR$2:$AR$601,0))="SEND"),"91"&amp;INDEX(DESK!$F$2:$F$601,MATCH(366,DESK!$AR$2:$AR$601,0)),""),""))</f>
        <v/>
      </c>
      <c r="C374" s="28" t="str">
        <f>IF(B374="","",IF(INDEX(DESK!$AC$2:$AC$601,MATCH(366,DESK!$AR$2:$AR$601,0))="YES","A","B"))</f>
        <v/>
      </c>
      <c r="D374" s="28" t="str">
        <f>IF(B374="","",INDEX(DESK!$AQ$2:$AQ$601,MATCH(366,DESK!$AR$2:$AR$601,0)))</f>
        <v/>
      </c>
      <c r="E374" s="28" t="str">
        <f>IF(B374="","",INDEX(DESK!$B$2:$B$601,MATCH(366,DESK!$AR$2:$AR$601,0))&amp;IF(COUNTIFS(DESK!$F$2:$F$601,INDEX(DESK!$F$2:$F$601,MATCH(366,DESK!$AR$2:$AR$601,0)),DESK!$L$2:$L$601,1)&gt;1," and "&amp;(COUNTIFS(DESK!$F$2:$F$601,INDEX(DESK!$F$2:$F$601,MATCH(366,DESK!$AR$2:$AR$601,0)),DESK!$L$2:$L$601,1)-1)&amp;" more",""))</f>
        <v/>
      </c>
      <c r="F374" s="28" t="str">
        <f>IF(B374="","",IF(C374="B",INDEX(DESK!$AD$2:$AD$601,MATCH(366,DESK!$AR$2:$AR$601,0)),""))</f>
        <v/>
      </c>
      <c r="G374" s="28" t="str">
        <f>IF(B374="","",INDEX(DESK!$AV$2:$AV$601,MATCH(366,DESK!$AR$2:$AR$601,0)))</f>
        <v/>
      </c>
      <c r="I374" s="21"/>
      <c r="J374" s="20"/>
      <c r="K374" s="20"/>
      <c r="L374" s="20"/>
      <c r="M374" s="23" t="str">
        <f t="shared" si="5"/>
        <v/>
      </c>
    </row>
    <row r="375" spans="1:13" x14ac:dyDescent="0.35">
      <c r="A375" s="28">
        <v>367</v>
      </c>
      <c r="B375" s="43" t="str">
        <f>IF(SETTINGS!$B$22&lt;&gt;"YES","",IFERROR(IF(OR($J$3="Everyone",INDEX(DESK!$AV$2:$AV$601,MATCH(367,DESK!$AR$2:$AR$601,0))="SEND"),"91"&amp;INDEX(DESK!$F$2:$F$601,MATCH(367,DESK!$AR$2:$AR$601,0)),""),""))</f>
        <v/>
      </c>
      <c r="C375" s="28" t="str">
        <f>IF(B375="","",IF(INDEX(DESK!$AC$2:$AC$601,MATCH(367,DESK!$AR$2:$AR$601,0))="YES","A","B"))</f>
        <v/>
      </c>
      <c r="D375" s="28" t="str">
        <f>IF(B375="","",INDEX(DESK!$AQ$2:$AQ$601,MATCH(367,DESK!$AR$2:$AR$601,0)))</f>
        <v/>
      </c>
      <c r="E375" s="28" t="str">
        <f>IF(B375="","",INDEX(DESK!$B$2:$B$601,MATCH(367,DESK!$AR$2:$AR$601,0))&amp;IF(COUNTIFS(DESK!$F$2:$F$601,INDEX(DESK!$F$2:$F$601,MATCH(367,DESK!$AR$2:$AR$601,0)),DESK!$L$2:$L$601,1)&gt;1," and "&amp;(COUNTIFS(DESK!$F$2:$F$601,INDEX(DESK!$F$2:$F$601,MATCH(367,DESK!$AR$2:$AR$601,0)),DESK!$L$2:$L$601,1)-1)&amp;" more",""))</f>
        <v/>
      </c>
      <c r="F375" s="28" t="str">
        <f>IF(B375="","",IF(C375="B",INDEX(DESK!$AD$2:$AD$601,MATCH(367,DESK!$AR$2:$AR$601,0)),""))</f>
        <v/>
      </c>
      <c r="G375" s="28" t="str">
        <f>IF(B375="","",INDEX(DESK!$AV$2:$AV$601,MATCH(367,DESK!$AR$2:$AR$601,0)))</f>
        <v/>
      </c>
      <c r="I375" s="21"/>
      <c r="J375" s="20"/>
      <c r="K375" s="20"/>
      <c r="L375" s="20"/>
      <c r="M375" s="23" t="str">
        <f t="shared" si="5"/>
        <v/>
      </c>
    </row>
    <row r="376" spans="1:13" x14ac:dyDescent="0.35">
      <c r="A376" s="28">
        <v>368</v>
      </c>
      <c r="B376" s="43" t="str">
        <f>IF(SETTINGS!$B$22&lt;&gt;"YES","",IFERROR(IF(OR($J$3="Everyone",INDEX(DESK!$AV$2:$AV$601,MATCH(368,DESK!$AR$2:$AR$601,0))="SEND"),"91"&amp;INDEX(DESK!$F$2:$F$601,MATCH(368,DESK!$AR$2:$AR$601,0)),""),""))</f>
        <v/>
      </c>
      <c r="C376" s="28" t="str">
        <f>IF(B376="","",IF(INDEX(DESK!$AC$2:$AC$601,MATCH(368,DESK!$AR$2:$AR$601,0))="YES","A","B"))</f>
        <v/>
      </c>
      <c r="D376" s="28" t="str">
        <f>IF(B376="","",INDEX(DESK!$AQ$2:$AQ$601,MATCH(368,DESK!$AR$2:$AR$601,0)))</f>
        <v/>
      </c>
      <c r="E376" s="28" t="str">
        <f>IF(B376="","",INDEX(DESK!$B$2:$B$601,MATCH(368,DESK!$AR$2:$AR$601,0))&amp;IF(COUNTIFS(DESK!$F$2:$F$601,INDEX(DESK!$F$2:$F$601,MATCH(368,DESK!$AR$2:$AR$601,0)),DESK!$L$2:$L$601,1)&gt;1," and "&amp;(COUNTIFS(DESK!$F$2:$F$601,INDEX(DESK!$F$2:$F$601,MATCH(368,DESK!$AR$2:$AR$601,0)),DESK!$L$2:$L$601,1)-1)&amp;" more",""))</f>
        <v/>
      </c>
      <c r="F376" s="28" t="str">
        <f>IF(B376="","",IF(C376="B",INDEX(DESK!$AD$2:$AD$601,MATCH(368,DESK!$AR$2:$AR$601,0)),""))</f>
        <v/>
      </c>
      <c r="G376" s="28" t="str">
        <f>IF(B376="","",INDEX(DESK!$AV$2:$AV$601,MATCH(368,DESK!$AR$2:$AR$601,0)))</f>
        <v/>
      </c>
      <c r="I376" s="21"/>
      <c r="J376" s="20"/>
      <c r="K376" s="20"/>
      <c r="L376" s="20"/>
      <c r="M376" s="23" t="str">
        <f t="shared" si="5"/>
        <v/>
      </c>
    </row>
    <row r="377" spans="1:13" x14ac:dyDescent="0.35">
      <c r="A377" s="28">
        <v>369</v>
      </c>
      <c r="B377" s="43" t="str">
        <f>IF(SETTINGS!$B$22&lt;&gt;"YES","",IFERROR(IF(OR($J$3="Everyone",INDEX(DESK!$AV$2:$AV$601,MATCH(369,DESK!$AR$2:$AR$601,0))="SEND"),"91"&amp;INDEX(DESK!$F$2:$F$601,MATCH(369,DESK!$AR$2:$AR$601,0)),""),""))</f>
        <v/>
      </c>
      <c r="C377" s="28" t="str">
        <f>IF(B377="","",IF(INDEX(DESK!$AC$2:$AC$601,MATCH(369,DESK!$AR$2:$AR$601,0))="YES","A","B"))</f>
        <v/>
      </c>
      <c r="D377" s="28" t="str">
        <f>IF(B377="","",INDEX(DESK!$AQ$2:$AQ$601,MATCH(369,DESK!$AR$2:$AR$601,0)))</f>
        <v/>
      </c>
      <c r="E377" s="28" t="str">
        <f>IF(B377="","",INDEX(DESK!$B$2:$B$601,MATCH(369,DESK!$AR$2:$AR$601,0))&amp;IF(COUNTIFS(DESK!$F$2:$F$601,INDEX(DESK!$F$2:$F$601,MATCH(369,DESK!$AR$2:$AR$601,0)),DESK!$L$2:$L$601,1)&gt;1," and "&amp;(COUNTIFS(DESK!$F$2:$F$601,INDEX(DESK!$F$2:$F$601,MATCH(369,DESK!$AR$2:$AR$601,0)),DESK!$L$2:$L$601,1)-1)&amp;" more",""))</f>
        <v/>
      </c>
      <c r="F377" s="28" t="str">
        <f>IF(B377="","",IF(C377="B",INDEX(DESK!$AD$2:$AD$601,MATCH(369,DESK!$AR$2:$AR$601,0)),""))</f>
        <v/>
      </c>
      <c r="G377" s="28" t="str">
        <f>IF(B377="","",INDEX(DESK!$AV$2:$AV$601,MATCH(369,DESK!$AR$2:$AR$601,0)))</f>
        <v/>
      </c>
      <c r="I377" s="21"/>
      <c r="J377" s="20"/>
      <c r="K377" s="20"/>
      <c r="L377" s="20"/>
      <c r="M377" s="23" t="str">
        <f t="shared" si="5"/>
        <v/>
      </c>
    </row>
    <row r="378" spans="1:13" x14ac:dyDescent="0.35">
      <c r="A378" s="28">
        <v>370</v>
      </c>
      <c r="B378" s="43" t="str">
        <f>IF(SETTINGS!$B$22&lt;&gt;"YES","",IFERROR(IF(OR($J$3="Everyone",INDEX(DESK!$AV$2:$AV$601,MATCH(370,DESK!$AR$2:$AR$601,0))="SEND"),"91"&amp;INDEX(DESK!$F$2:$F$601,MATCH(370,DESK!$AR$2:$AR$601,0)),""),""))</f>
        <v/>
      </c>
      <c r="C378" s="28" t="str">
        <f>IF(B378="","",IF(INDEX(DESK!$AC$2:$AC$601,MATCH(370,DESK!$AR$2:$AR$601,0))="YES","A","B"))</f>
        <v/>
      </c>
      <c r="D378" s="28" t="str">
        <f>IF(B378="","",INDEX(DESK!$AQ$2:$AQ$601,MATCH(370,DESK!$AR$2:$AR$601,0)))</f>
        <v/>
      </c>
      <c r="E378" s="28" t="str">
        <f>IF(B378="","",INDEX(DESK!$B$2:$B$601,MATCH(370,DESK!$AR$2:$AR$601,0))&amp;IF(COUNTIFS(DESK!$F$2:$F$601,INDEX(DESK!$F$2:$F$601,MATCH(370,DESK!$AR$2:$AR$601,0)),DESK!$L$2:$L$601,1)&gt;1," and "&amp;(COUNTIFS(DESK!$F$2:$F$601,INDEX(DESK!$F$2:$F$601,MATCH(370,DESK!$AR$2:$AR$601,0)),DESK!$L$2:$L$601,1)-1)&amp;" more",""))</f>
        <v/>
      </c>
      <c r="F378" s="28" t="str">
        <f>IF(B378="","",IF(C378="B",INDEX(DESK!$AD$2:$AD$601,MATCH(370,DESK!$AR$2:$AR$601,0)),""))</f>
        <v/>
      </c>
      <c r="G378" s="28" t="str">
        <f>IF(B378="","",INDEX(DESK!$AV$2:$AV$601,MATCH(370,DESK!$AR$2:$AR$601,0)))</f>
        <v/>
      </c>
      <c r="I378" s="21"/>
      <c r="J378" s="20"/>
      <c r="K378" s="20"/>
      <c r="L378" s="20"/>
      <c r="M378" s="23" t="str">
        <f t="shared" si="5"/>
        <v/>
      </c>
    </row>
    <row r="379" spans="1:13" x14ac:dyDescent="0.35">
      <c r="A379" s="28">
        <v>371</v>
      </c>
      <c r="B379" s="43" t="str">
        <f>IF(SETTINGS!$B$22&lt;&gt;"YES","",IFERROR(IF(OR($J$3="Everyone",INDEX(DESK!$AV$2:$AV$601,MATCH(371,DESK!$AR$2:$AR$601,0))="SEND"),"91"&amp;INDEX(DESK!$F$2:$F$601,MATCH(371,DESK!$AR$2:$AR$601,0)),""),""))</f>
        <v/>
      </c>
      <c r="C379" s="28" t="str">
        <f>IF(B379="","",IF(INDEX(DESK!$AC$2:$AC$601,MATCH(371,DESK!$AR$2:$AR$601,0))="YES","A","B"))</f>
        <v/>
      </c>
      <c r="D379" s="28" t="str">
        <f>IF(B379="","",INDEX(DESK!$AQ$2:$AQ$601,MATCH(371,DESK!$AR$2:$AR$601,0)))</f>
        <v/>
      </c>
      <c r="E379" s="28" t="str">
        <f>IF(B379="","",INDEX(DESK!$B$2:$B$601,MATCH(371,DESK!$AR$2:$AR$601,0))&amp;IF(COUNTIFS(DESK!$F$2:$F$601,INDEX(DESK!$F$2:$F$601,MATCH(371,DESK!$AR$2:$AR$601,0)),DESK!$L$2:$L$601,1)&gt;1," and "&amp;(COUNTIFS(DESK!$F$2:$F$601,INDEX(DESK!$F$2:$F$601,MATCH(371,DESK!$AR$2:$AR$601,0)),DESK!$L$2:$L$601,1)-1)&amp;" more",""))</f>
        <v/>
      </c>
      <c r="F379" s="28" t="str">
        <f>IF(B379="","",IF(C379="B",INDEX(DESK!$AD$2:$AD$601,MATCH(371,DESK!$AR$2:$AR$601,0)),""))</f>
        <v/>
      </c>
      <c r="G379" s="28" t="str">
        <f>IF(B379="","",INDEX(DESK!$AV$2:$AV$601,MATCH(371,DESK!$AR$2:$AR$601,0)))</f>
        <v/>
      </c>
      <c r="I379" s="21"/>
      <c r="J379" s="20"/>
      <c r="K379" s="20"/>
      <c r="L379" s="20"/>
      <c r="M379" s="23" t="str">
        <f t="shared" si="5"/>
        <v/>
      </c>
    </row>
    <row r="380" spans="1:13" x14ac:dyDescent="0.35">
      <c r="A380" s="28">
        <v>372</v>
      </c>
      <c r="B380" s="43" t="str">
        <f>IF(SETTINGS!$B$22&lt;&gt;"YES","",IFERROR(IF(OR($J$3="Everyone",INDEX(DESK!$AV$2:$AV$601,MATCH(372,DESK!$AR$2:$AR$601,0))="SEND"),"91"&amp;INDEX(DESK!$F$2:$F$601,MATCH(372,DESK!$AR$2:$AR$601,0)),""),""))</f>
        <v/>
      </c>
      <c r="C380" s="28" t="str">
        <f>IF(B380="","",IF(INDEX(DESK!$AC$2:$AC$601,MATCH(372,DESK!$AR$2:$AR$601,0))="YES","A","B"))</f>
        <v/>
      </c>
      <c r="D380" s="28" t="str">
        <f>IF(B380="","",INDEX(DESK!$AQ$2:$AQ$601,MATCH(372,DESK!$AR$2:$AR$601,0)))</f>
        <v/>
      </c>
      <c r="E380" s="28" t="str">
        <f>IF(B380="","",INDEX(DESK!$B$2:$B$601,MATCH(372,DESK!$AR$2:$AR$601,0))&amp;IF(COUNTIFS(DESK!$F$2:$F$601,INDEX(DESK!$F$2:$F$601,MATCH(372,DESK!$AR$2:$AR$601,0)),DESK!$L$2:$L$601,1)&gt;1," and "&amp;(COUNTIFS(DESK!$F$2:$F$601,INDEX(DESK!$F$2:$F$601,MATCH(372,DESK!$AR$2:$AR$601,0)),DESK!$L$2:$L$601,1)-1)&amp;" more",""))</f>
        <v/>
      </c>
      <c r="F380" s="28" t="str">
        <f>IF(B380="","",IF(C380="B",INDEX(DESK!$AD$2:$AD$601,MATCH(372,DESK!$AR$2:$AR$601,0)),""))</f>
        <v/>
      </c>
      <c r="G380" s="28" t="str">
        <f>IF(B380="","",INDEX(DESK!$AV$2:$AV$601,MATCH(372,DESK!$AR$2:$AR$601,0)))</f>
        <v/>
      </c>
      <c r="I380" s="21"/>
      <c r="J380" s="20"/>
      <c r="K380" s="20"/>
      <c r="L380" s="20"/>
      <c r="M380" s="23" t="str">
        <f t="shared" si="5"/>
        <v/>
      </c>
    </row>
    <row r="381" spans="1:13" x14ac:dyDescent="0.35">
      <c r="A381" s="28">
        <v>373</v>
      </c>
      <c r="B381" s="43" t="str">
        <f>IF(SETTINGS!$B$22&lt;&gt;"YES","",IFERROR(IF(OR($J$3="Everyone",INDEX(DESK!$AV$2:$AV$601,MATCH(373,DESK!$AR$2:$AR$601,0))="SEND"),"91"&amp;INDEX(DESK!$F$2:$F$601,MATCH(373,DESK!$AR$2:$AR$601,0)),""),""))</f>
        <v/>
      </c>
      <c r="C381" s="28" t="str">
        <f>IF(B381="","",IF(INDEX(DESK!$AC$2:$AC$601,MATCH(373,DESK!$AR$2:$AR$601,0))="YES","A","B"))</f>
        <v/>
      </c>
      <c r="D381" s="28" t="str">
        <f>IF(B381="","",INDEX(DESK!$AQ$2:$AQ$601,MATCH(373,DESK!$AR$2:$AR$601,0)))</f>
        <v/>
      </c>
      <c r="E381" s="28" t="str">
        <f>IF(B381="","",INDEX(DESK!$B$2:$B$601,MATCH(373,DESK!$AR$2:$AR$601,0))&amp;IF(COUNTIFS(DESK!$F$2:$F$601,INDEX(DESK!$F$2:$F$601,MATCH(373,DESK!$AR$2:$AR$601,0)),DESK!$L$2:$L$601,1)&gt;1," and "&amp;(COUNTIFS(DESK!$F$2:$F$601,INDEX(DESK!$F$2:$F$601,MATCH(373,DESK!$AR$2:$AR$601,0)),DESK!$L$2:$L$601,1)-1)&amp;" more",""))</f>
        <v/>
      </c>
      <c r="F381" s="28" t="str">
        <f>IF(B381="","",IF(C381="B",INDEX(DESK!$AD$2:$AD$601,MATCH(373,DESK!$AR$2:$AR$601,0)),""))</f>
        <v/>
      </c>
      <c r="G381" s="28" t="str">
        <f>IF(B381="","",INDEX(DESK!$AV$2:$AV$601,MATCH(373,DESK!$AR$2:$AR$601,0)))</f>
        <v/>
      </c>
      <c r="I381" s="21"/>
      <c r="J381" s="20"/>
      <c r="K381" s="20"/>
      <c r="L381" s="20"/>
      <c r="M381" s="23" t="str">
        <f t="shared" si="5"/>
        <v/>
      </c>
    </row>
    <row r="382" spans="1:13" x14ac:dyDescent="0.35">
      <c r="A382" s="28">
        <v>374</v>
      </c>
      <c r="B382" s="43" t="str">
        <f>IF(SETTINGS!$B$22&lt;&gt;"YES","",IFERROR(IF(OR($J$3="Everyone",INDEX(DESK!$AV$2:$AV$601,MATCH(374,DESK!$AR$2:$AR$601,0))="SEND"),"91"&amp;INDEX(DESK!$F$2:$F$601,MATCH(374,DESK!$AR$2:$AR$601,0)),""),""))</f>
        <v/>
      </c>
      <c r="C382" s="28" t="str">
        <f>IF(B382="","",IF(INDEX(DESK!$AC$2:$AC$601,MATCH(374,DESK!$AR$2:$AR$601,0))="YES","A","B"))</f>
        <v/>
      </c>
      <c r="D382" s="28" t="str">
        <f>IF(B382="","",INDEX(DESK!$AQ$2:$AQ$601,MATCH(374,DESK!$AR$2:$AR$601,0)))</f>
        <v/>
      </c>
      <c r="E382" s="28" t="str">
        <f>IF(B382="","",INDEX(DESK!$B$2:$B$601,MATCH(374,DESK!$AR$2:$AR$601,0))&amp;IF(COUNTIFS(DESK!$F$2:$F$601,INDEX(DESK!$F$2:$F$601,MATCH(374,DESK!$AR$2:$AR$601,0)),DESK!$L$2:$L$601,1)&gt;1," and "&amp;(COUNTIFS(DESK!$F$2:$F$601,INDEX(DESK!$F$2:$F$601,MATCH(374,DESK!$AR$2:$AR$601,0)),DESK!$L$2:$L$601,1)-1)&amp;" more",""))</f>
        <v/>
      </c>
      <c r="F382" s="28" t="str">
        <f>IF(B382="","",IF(C382="B",INDEX(DESK!$AD$2:$AD$601,MATCH(374,DESK!$AR$2:$AR$601,0)),""))</f>
        <v/>
      </c>
      <c r="G382" s="28" t="str">
        <f>IF(B382="","",INDEX(DESK!$AV$2:$AV$601,MATCH(374,DESK!$AR$2:$AR$601,0)))</f>
        <v/>
      </c>
      <c r="I382" s="21"/>
      <c r="J382" s="20"/>
      <c r="K382" s="20"/>
      <c r="L382" s="20"/>
      <c r="M382" s="23" t="str">
        <f t="shared" si="5"/>
        <v/>
      </c>
    </row>
    <row r="383" spans="1:13" x14ac:dyDescent="0.35">
      <c r="A383" s="28">
        <v>375</v>
      </c>
      <c r="B383" s="43" t="str">
        <f>IF(SETTINGS!$B$22&lt;&gt;"YES","",IFERROR(IF(OR($J$3="Everyone",INDEX(DESK!$AV$2:$AV$601,MATCH(375,DESK!$AR$2:$AR$601,0))="SEND"),"91"&amp;INDEX(DESK!$F$2:$F$601,MATCH(375,DESK!$AR$2:$AR$601,0)),""),""))</f>
        <v/>
      </c>
      <c r="C383" s="28" t="str">
        <f>IF(B383="","",IF(INDEX(DESK!$AC$2:$AC$601,MATCH(375,DESK!$AR$2:$AR$601,0))="YES","A","B"))</f>
        <v/>
      </c>
      <c r="D383" s="28" t="str">
        <f>IF(B383="","",INDEX(DESK!$AQ$2:$AQ$601,MATCH(375,DESK!$AR$2:$AR$601,0)))</f>
        <v/>
      </c>
      <c r="E383" s="28" t="str">
        <f>IF(B383="","",INDEX(DESK!$B$2:$B$601,MATCH(375,DESK!$AR$2:$AR$601,0))&amp;IF(COUNTIFS(DESK!$F$2:$F$601,INDEX(DESK!$F$2:$F$601,MATCH(375,DESK!$AR$2:$AR$601,0)),DESK!$L$2:$L$601,1)&gt;1," and "&amp;(COUNTIFS(DESK!$F$2:$F$601,INDEX(DESK!$F$2:$F$601,MATCH(375,DESK!$AR$2:$AR$601,0)),DESK!$L$2:$L$601,1)-1)&amp;" more",""))</f>
        <v/>
      </c>
      <c r="F383" s="28" t="str">
        <f>IF(B383="","",IF(C383="B",INDEX(DESK!$AD$2:$AD$601,MATCH(375,DESK!$AR$2:$AR$601,0)),""))</f>
        <v/>
      </c>
      <c r="G383" s="28" t="str">
        <f>IF(B383="","",INDEX(DESK!$AV$2:$AV$601,MATCH(375,DESK!$AR$2:$AR$601,0)))</f>
        <v/>
      </c>
      <c r="I383" s="21"/>
      <c r="J383" s="20"/>
      <c r="K383" s="20"/>
      <c r="L383" s="20"/>
      <c r="M383" s="23" t="str">
        <f t="shared" si="5"/>
        <v/>
      </c>
    </row>
    <row r="384" spans="1:13" x14ac:dyDescent="0.35">
      <c r="A384" s="28">
        <v>376</v>
      </c>
      <c r="B384" s="43" t="str">
        <f>IF(SETTINGS!$B$22&lt;&gt;"YES","",IFERROR(IF(OR($J$3="Everyone",INDEX(DESK!$AV$2:$AV$601,MATCH(376,DESK!$AR$2:$AR$601,0))="SEND"),"91"&amp;INDEX(DESK!$F$2:$F$601,MATCH(376,DESK!$AR$2:$AR$601,0)),""),""))</f>
        <v/>
      </c>
      <c r="C384" s="28" t="str">
        <f>IF(B384="","",IF(INDEX(DESK!$AC$2:$AC$601,MATCH(376,DESK!$AR$2:$AR$601,0))="YES","A","B"))</f>
        <v/>
      </c>
      <c r="D384" s="28" t="str">
        <f>IF(B384="","",INDEX(DESK!$AQ$2:$AQ$601,MATCH(376,DESK!$AR$2:$AR$601,0)))</f>
        <v/>
      </c>
      <c r="E384" s="28" t="str">
        <f>IF(B384="","",INDEX(DESK!$B$2:$B$601,MATCH(376,DESK!$AR$2:$AR$601,0))&amp;IF(COUNTIFS(DESK!$F$2:$F$601,INDEX(DESK!$F$2:$F$601,MATCH(376,DESK!$AR$2:$AR$601,0)),DESK!$L$2:$L$601,1)&gt;1," and "&amp;(COUNTIFS(DESK!$F$2:$F$601,INDEX(DESK!$F$2:$F$601,MATCH(376,DESK!$AR$2:$AR$601,0)),DESK!$L$2:$L$601,1)-1)&amp;" more",""))</f>
        <v/>
      </c>
      <c r="F384" s="28" t="str">
        <f>IF(B384="","",IF(C384="B",INDEX(DESK!$AD$2:$AD$601,MATCH(376,DESK!$AR$2:$AR$601,0)),""))</f>
        <v/>
      </c>
      <c r="G384" s="28" t="str">
        <f>IF(B384="","",INDEX(DESK!$AV$2:$AV$601,MATCH(376,DESK!$AR$2:$AR$601,0)))</f>
        <v/>
      </c>
      <c r="I384" s="21"/>
      <c r="J384" s="20"/>
      <c r="K384" s="20"/>
      <c r="L384" s="20"/>
      <c r="M384" s="23" t="str">
        <f t="shared" si="5"/>
        <v/>
      </c>
    </row>
    <row r="385" spans="1:13" x14ac:dyDescent="0.35">
      <c r="A385" s="28">
        <v>377</v>
      </c>
      <c r="B385" s="43" t="str">
        <f>IF(SETTINGS!$B$22&lt;&gt;"YES","",IFERROR(IF(OR($J$3="Everyone",INDEX(DESK!$AV$2:$AV$601,MATCH(377,DESK!$AR$2:$AR$601,0))="SEND"),"91"&amp;INDEX(DESK!$F$2:$F$601,MATCH(377,DESK!$AR$2:$AR$601,0)),""),""))</f>
        <v/>
      </c>
      <c r="C385" s="28" t="str">
        <f>IF(B385="","",IF(INDEX(DESK!$AC$2:$AC$601,MATCH(377,DESK!$AR$2:$AR$601,0))="YES","A","B"))</f>
        <v/>
      </c>
      <c r="D385" s="28" t="str">
        <f>IF(B385="","",INDEX(DESK!$AQ$2:$AQ$601,MATCH(377,DESK!$AR$2:$AR$601,0)))</f>
        <v/>
      </c>
      <c r="E385" s="28" t="str">
        <f>IF(B385="","",INDEX(DESK!$B$2:$B$601,MATCH(377,DESK!$AR$2:$AR$601,0))&amp;IF(COUNTIFS(DESK!$F$2:$F$601,INDEX(DESK!$F$2:$F$601,MATCH(377,DESK!$AR$2:$AR$601,0)),DESK!$L$2:$L$601,1)&gt;1," and "&amp;(COUNTIFS(DESK!$F$2:$F$601,INDEX(DESK!$F$2:$F$601,MATCH(377,DESK!$AR$2:$AR$601,0)),DESK!$L$2:$L$601,1)-1)&amp;" more",""))</f>
        <v/>
      </c>
      <c r="F385" s="28" t="str">
        <f>IF(B385="","",IF(C385="B",INDEX(DESK!$AD$2:$AD$601,MATCH(377,DESK!$AR$2:$AR$601,0)),""))</f>
        <v/>
      </c>
      <c r="G385" s="28" t="str">
        <f>IF(B385="","",INDEX(DESK!$AV$2:$AV$601,MATCH(377,DESK!$AR$2:$AR$601,0)))</f>
        <v/>
      </c>
      <c r="I385" s="21"/>
      <c r="J385" s="20"/>
      <c r="K385" s="20"/>
      <c r="L385" s="20"/>
      <c r="M385" s="23" t="str">
        <f t="shared" si="5"/>
        <v/>
      </c>
    </row>
    <row r="386" spans="1:13" x14ac:dyDescent="0.35">
      <c r="A386" s="28">
        <v>378</v>
      </c>
      <c r="B386" s="43" t="str">
        <f>IF(SETTINGS!$B$22&lt;&gt;"YES","",IFERROR(IF(OR($J$3="Everyone",INDEX(DESK!$AV$2:$AV$601,MATCH(378,DESK!$AR$2:$AR$601,0))="SEND"),"91"&amp;INDEX(DESK!$F$2:$F$601,MATCH(378,DESK!$AR$2:$AR$601,0)),""),""))</f>
        <v/>
      </c>
      <c r="C386" s="28" t="str">
        <f>IF(B386="","",IF(INDEX(DESK!$AC$2:$AC$601,MATCH(378,DESK!$AR$2:$AR$601,0))="YES","A","B"))</f>
        <v/>
      </c>
      <c r="D386" s="28" t="str">
        <f>IF(B386="","",INDEX(DESK!$AQ$2:$AQ$601,MATCH(378,DESK!$AR$2:$AR$601,0)))</f>
        <v/>
      </c>
      <c r="E386" s="28" t="str">
        <f>IF(B386="","",INDEX(DESK!$B$2:$B$601,MATCH(378,DESK!$AR$2:$AR$601,0))&amp;IF(COUNTIFS(DESK!$F$2:$F$601,INDEX(DESK!$F$2:$F$601,MATCH(378,DESK!$AR$2:$AR$601,0)),DESK!$L$2:$L$601,1)&gt;1," and "&amp;(COUNTIFS(DESK!$F$2:$F$601,INDEX(DESK!$F$2:$F$601,MATCH(378,DESK!$AR$2:$AR$601,0)),DESK!$L$2:$L$601,1)-1)&amp;" more",""))</f>
        <v/>
      </c>
      <c r="F386" s="28" t="str">
        <f>IF(B386="","",IF(C386="B",INDEX(DESK!$AD$2:$AD$601,MATCH(378,DESK!$AR$2:$AR$601,0)),""))</f>
        <v/>
      </c>
      <c r="G386" s="28" t="str">
        <f>IF(B386="","",INDEX(DESK!$AV$2:$AV$601,MATCH(378,DESK!$AR$2:$AR$601,0)))</f>
        <v/>
      </c>
      <c r="I386" s="21"/>
      <c r="J386" s="20"/>
      <c r="K386" s="20"/>
      <c r="L386" s="20"/>
      <c r="M386" s="23" t="str">
        <f t="shared" si="5"/>
        <v/>
      </c>
    </row>
    <row r="387" spans="1:13" x14ac:dyDescent="0.35">
      <c r="A387" s="28">
        <v>379</v>
      </c>
      <c r="B387" s="43" t="str">
        <f>IF(SETTINGS!$B$22&lt;&gt;"YES","",IFERROR(IF(OR($J$3="Everyone",INDEX(DESK!$AV$2:$AV$601,MATCH(379,DESK!$AR$2:$AR$601,0))="SEND"),"91"&amp;INDEX(DESK!$F$2:$F$601,MATCH(379,DESK!$AR$2:$AR$601,0)),""),""))</f>
        <v/>
      </c>
      <c r="C387" s="28" t="str">
        <f>IF(B387="","",IF(INDEX(DESK!$AC$2:$AC$601,MATCH(379,DESK!$AR$2:$AR$601,0))="YES","A","B"))</f>
        <v/>
      </c>
      <c r="D387" s="28" t="str">
        <f>IF(B387="","",INDEX(DESK!$AQ$2:$AQ$601,MATCH(379,DESK!$AR$2:$AR$601,0)))</f>
        <v/>
      </c>
      <c r="E387" s="28" t="str">
        <f>IF(B387="","",INDEX(DESK!$B$2:$B$601,MATCH(379,DESK!$AR$2:$AR$601,0))&amp;IF(COUNTIFS(DESK!$F$2:$F$601,INDEX(DESK!$F$2:$F$601,MATCH(379,DESK!$AR$2:$AR$601,0)),DESK!$L$2:$L$601,1)&gt;1," and "&amp;(COUNTIFS(DESK!$F$2:$F$601,INDEX(DESK!$F$2:$F$601,MATCH(379,DESK!$AR$2:$AR$601,0)),DESK!$L$2:$L$601,1)-1)&amp;" more",""))</f>
        <v/>
      </c>
      <c r="F387" s="28" t="str">
        <f>IF(B387="","",IF(C387="B",INDEX(DESK!$AD$2:$AD$601,MATCH(379,DESK!$AR$2:$AR$601,0)),""))</f>
        <v/>
      </c>
      <c r="G387" s="28" t="str">
        <f>IF(B387="","",INDEX(DESK!$AV$2:$AV$601,MATCH(379,DESK!$AR$2:$AR$601,0)))</f>
        <v/>
      </c>
      <c r="I387" s="21"/>
      <c r="J387" s="20"/>
      <c r="K387" s="20"/>
      <c r="L387" s="20"/>
      <c r="M387" s="23" t="str">
        <f t="shared" si="5"/>
        <v/>
      </c>
    </row>
    <row r="388" spans="1:13" x14ac:dyDescent="0.35">
      <c r="A388" s="28">
        <v>380</v>
      </c>
      <c r="B388" s="43" t="str">
        <f>IF(SETTINGS!$B$22&lt;&gt;"YES","",IFERROR(IF(OR($J$3="Everyone",INDEX(DESK!$AV$2:$AV$601,MATCH(380,DESK!$AR$2:$AR$601,0))="SEND"),"91"&amp;INDEX(DESK!$F$2:$F$601,MATCH(380,DESK!$AR$2:$AR$601,0)),""),""))</f>
        <v/>
      </c>
      <c r="C388" s="28" t="str">
        <f>IF(B388="","",IF(INDEX(DESK!$AC$2:$AC$601,MATCH(380,DESK!$AR$2:$AR$601,0))="YES","A","B"))</f>
        <v/>
      </c>
      <c r="D388" s="28" t="str">
        <f>IF(B388="","",INDEX(DESK!$AQ$2:$AQ$601,MATCH(380,DESK!$AR$2:$AR$601,0)))</f>
        <v/>
      </c>
      <c r="E388" s="28" t="str">
        <f>IF(B388="","",INDEX(DESK!$B$2:$B$601,MATCH(380,DESK!$AR$2:$AR$601,0))&amp;IF(COUNTIFS(DESK!$F$2:$F$601,INDEX(DESK!$F$2:$F$601,MATCH(380,DESK!$AR$2:$AR$601,0)),DESK!$L$2:$L$601,1)&gt;1," and "&amp;(COUNTIFS(DESK!$F$2:$F$601,INDEX(DESK!$F$2:$F$601,MATCH(380,DESK!$AR$2:$AR$601,0)),DESK!$L$2:$L$601,1)-1)&amp;" more",""))</f>
        <v/>
      </c>
      <c r="F388" s="28" t="str">
        <f>IF(B388="","",IF(C388="B",INDEX(DESK!$AD$2:$AD$601,MATCH(380,DESK!$AR$2:$AR$601,0)),""))</f>
        <v/>
      </c>
      <c r="G388" s="28" t="str">
        <f>IF(B388="","",INDEX(DESK!$AV$2:$AV$601,MATCH(380,DESK!$AR$2:$AR$601,0)))</f>
        <v/>
      </c>
      <c r="I388" s="21"/>
      <c r="J388" s="20"/>
      <c r="K388" s="20"/>
      <c r="L388" s="20"/>
      <c r="M388" s="23" t="str">
        <f t="shared" si="5"/>
        <v/>
      </c>
    </row>
    <row r="389" spans="1:13" x14ac:dyDescent="0.35">
      <c r="A389" s="28">
        <v>381</v>
      </c>
      <c r="B389" s="43" t="str">
        <f>IF(SETTINGS!$B$22&lt;&gt;"YES","",IFERROR(IF(OR($J$3="Everyone",INDEX(DESK!$AV$2:$AV$601,MATCH(381,DESK!$AR$2:$AR$601,0))="SEND"),"91"&amp;INDEX(DESK!$F$2:$F$601,MATCH(381,DESK!$AR$2:$AR$601,0)),""),""))</f>
        <v/>
      </c>
      <c r="C389" s="28" t="str">
        <f>IF(B389="","",IF(INDEX(DESK!$AC$2:$AC$601,MATCH(381,DESK!$AR$2:$AR$601,0))="YES","A","B"))</f>
        <v/>
      </c>
      <c r="D389" s="28" t="str">
        <f>IF(B389="","",INDEX(DESK!$AQ$2:$AQ$601,MATCH(381,DESK!$AR$2:$AR$601,0)))</f>
        <v/>
      </c>
      <c r="E389" s="28" t="str">
        <f>IF(B389="","",INDEX(DESK!$B$2:$B$601,MATCH(381,DESK!$AR$2:$AR$601,0))&amp;IF(COUNTIFS(DESK!$F$2:$F$601,INDEX(DESK!$F$2:$F$601,MATCH(381,DESK!$AR$2:$AR$601,0)),DESK!$L$2:$L$601,1)&gt;1," and "&amp;(COUNTIFS(DESK!$F$2:$F$601,INDEX(DESK!$F$2:$F$601,MATCH(381,DESK!$AR$2:$AR$601,0)),DESK!$L$2:$L$601,1)-1)&amp;" more",""))</f>
        <v/>
      </c>
      <c r="F389" s="28" t="str">
        <f>IF(B389="","",IF(C389="B",INDEX(DESK!$AD$2:$AD$601,MATCH(381,DESK!$AR$2:$AR$601,0)),""))</f>
        <v/>
      </c>
      <c r="G389" s="28" t="str">
        <f>IF(B389="","",INDEX(DESK!$AV$2:$AV$601,MATCH(381,DESK!$AR$2:$AR$601,0)))</f>
        <v/>
      </c>
      <c r="I389" s="21"/>
      <c r="J389" s="20"/>
      <c r="K389" s="20"/>
      <c r="L389" s="20"/>
      <c r="M389" s="23" t="str">
        <f t="shared" si="5"/>
        <v/>
      </c>
    </row>
    <row r="390" spans="1:13" x14ac:dyDescent="0.35">
      <c r="A390" s="28">
        <v>382</v>
      </c>
      <c r="B390" s="43" t="str">
        <f>IF(SETTINGS!$B$22&lt;&gt;"YES","",IFERROR(IF(OR($J$3="Everyone",INDEX(DESK!$AV$2:$AV$601,MATCH(382,DESK!$AR$2:$AR$601,0))="SEND"),"91"&amp;INDEX(DESK!$F$2:$F$601,MATCH(382,DESK!$AR$2:$AR$601,0)),""),""))</f>
        <v/>
      </c>
      <c r="C390" s="28" t="str">
        <f>IF(B390="","",IF(INDEX(DESK!$AC$2:$AC$601,MATCH(382,DESK!$AR$2:$AR$601,0))="YES","A","B"))</f>
        <v/>
      </c>
      <c r="D390" s="28" t="str">
        <f>IF(B390="","",INDEX(DESK!$AQ$2:$AQ$601,MATCH(382,DESK!$AR$2:$AR$601,0)))</f>
        <v/>
      </c>
      <c r="E390" s="28" t="str">
        <f>IF(B390="","",INDEX(DESK!$B$2:$B$601,MATCH(382,DESK!$AR$2:$AR$601,0))&amp;IF(COUNTIFS(DESK!$F$2:$F$601,INDEX(DESK!$F$2:$F$601,MATCH(382,DESK!$AR$2:$AR$601,0)),DESK!$L$2:$L$601,1)&gt;1," and "&amp;(COUNTIFS(DESK!$F$2:$F$601,INDEX(DESK!$F$2:$F$601,MATCH(382,DESK!$AR$2:$AR$601,0)),DESK!$L$2:$L$601,1)-1)&amp;" more",""))</f>
        <v/>
      </c>
      <c r="F390" s="28" t="str">
        <f>IF(B390="","",IF(C390="B",INDEX(DESK!$AD$2:$AD$601,MATCH(382,DESK!$AR$2:$AR$601,0)),""))</f>
        <v/>
      </c>
      <c r="G390" s="28" t="str">
        <f>IF(B390="","",INDEX(DESK!$AV$2:$AV$601,MATCH(382,DESK!$AR$2:$AR$601,0)))</f>
        <v/>
      </c>
      <c r="I390" s="21"/>
      <c r="J390" s="20"/>
      <c r="K390" s="20"/>
      <c r="L390" s="20"/>
      <c r="M390" s="23" t="str">
        <f t="shared" si="5"/>
        <v/>
      </c>
    </row>
    <row r="391" spans="1:13" x14ac:dyDescent="0.35">
      <c r="A391" s="28">
        <v>383</v>
      </c>
      <c r="B391" s="43" t="str">
        <f>IF(SETTINGS!$B$22&lt;&gt;"YES","",IFERROR(IF(OR($J$3="Everyone",INDEX(DESK!$AV$2:$AV$601,MATCH(383,DESK!$AR$2:$AR$601,0))="SEND"),"91"&amp;INDEX(DESK!$F$2:$F$601,MATCH(383,DESK!$AR$2:$AR$601,0)),""),""))</f>
        <v/>
      </c>
      <c r="C391" s="28" t="str">
        <f>IF(B391="","",IF(INDEX(DESK!$AC$2:$AC$601,MATCH(383,DESK!$AR$2:$AR$601,0))="YES","A","B"))</f>
        <v/>
      </c>
      <c r="D391" s="28" t="str">
        <f>IF(B391="","",INDEX(DESK!$AQ$2:$AQ$601,MATCH(383,DESK!$AR$2:$AR$601,0)))</f>
        <v/>
      </c>
      <c r="E391" s="28" t="str">
        <f>IF(B391="","",INDEX(DESK!$B$2:$B$601,MATCH(383,DESK!$AR$2:$AR$601,0))&amp;IF(COUNTIFS(DESK!$F$2:$F$601,INDEX(DESK!$F$2:$F$601,MATCH(383,DESK!$AR$2:$AR$601,0)),DESK!$L$2:$L$601,1)&gt;1," and "&amp;(COUNTIFS(DESK!$F$2:$F$601,INDEX(DESK!$F$2:$F$601,MATCH(383,DESK!$AR$2:$AR$601,0)),DESK!$L$2:$L$601,1)-1)&amp;" more",""))</f>
        <v/>
      </c>
      <c r="F391" s="28" t="str">
        <f>IF(B391="","",IF(C391="B",INDEX(DESK!$AD$2:$AD$601,MATCH(383,DESK!$AR$2:$AR$601,0)),""))</f>
        <v/>
      </c>
      <c r="G391" s="28" t="str">
        <f>IF(B391="","",INDEX(DESK!$AV$2:$AV$601,MATCH(383,DESK!$AR$2:$AR$601,0)))</f>
        <v/>
      </c>
      <c r="I391" s="21"/>
      <c r="J391" s="20"/>
      <c r="K391" s="20"/>
      <c r="L391" s="20"/>
      <c r="M391" s="23" t="str">
        <f t="shared" si="5"/>
        <v/>
      </c>
    </row>
    <row r="392" spans="1:13" x14ac:dyDescent="0.35">
      <c r="A392" s="28">
        <v>384</v>
      </c>
      <c r="B392" s="43" t="str">
        <f>IF(SETTINGS!$B$22&lt;&gt;"YES","",IFERROR(IF(OR($J$3="Everyone",INDEX(DESK!$AV$2:$AV$601,MATCH(384,DESK!$AR$2:$AR$601,0))="SEND"),"91"&amp;INDEX(DESK!$F$2:$F$601,MATCH(384,DESK!$AR$2:$AR$601,0)),""),""))</f>
        <v/>
      </c>
      <c r="C392" s="28" t="str">
        <f>IF(B392="","",IF(INDEX(DESK!$AC$2:$AC$601,MATCH(384,DESK!$AR$2:$AR$601,0))="YES","A","B"))</f>
        <v/>
      </c>
      <c r="D392" s="28" t="str">
        <f>IF(B392="","",INDEX(DESK!$AQ$2:$AQ$601,MATCH(384,DESK!$AR$2:$AR$601,0)))</f>
        <v/>
      </c>
      <c r="E392" s="28" t="str">
        <f>IF(B392="","",INDEX(DESK!$B$2:$B$601,MATCH(384,DESK!$AR$2:$AR$601,0))&amp;IF(COUNTIFS(DESK!$F$2:$F$601,INDEX(DESK!$F$2:$F$601,MATCH(384,DESK!$AR$2:$AR$601,0)),DESK!$L$2:$L$601,1)&gt;1," and "&amp;(COUNTIFS(DESK!$F$2:$F$601,INDEX(DESK!$F$2:$F$601,MATCH(384,DESK!$AR$2:$AR$601,0)),DESK!$L$2:$L$601,1)-1)&amp;" more",""))</f>
        <v/>
      </c>
      <c r="F392" s="28" t="str">
        <f>IF(B392="","",IF(C392="B",INDEX(DESK!$AD$2:$AD$601,MATCH(384,DESK!$AR$2:$AR$601,0)),""))</f>
        <v/>
      </c>
      <c r="G392" s="28" t="str">
        <f>IF(B392="","",INDEX(DESK!$AV$2:$AV$601,MATCH(384,DESK!$AR$2:$AR$601,0)))</f>
        <v/>
      </c>
      <c r="I392" s="21"/>
      <c r="J392" s="20"/>
      <c r="K392" s="20"/>
      <c r="L392" s="20"/>
      <c r="M392" s="23" t="str">
        <f t="shared" si="5"/>
        <v/>
      </c>
    </row>
    <row r="393" spans="1:13" x14ac:dyDescent="0.35">
      <c r="A393" s="28">
        <v>385</v>
      </c>
      <c r="B393" s="43" t="str">
        <f>IF(SETTINGS!$B$22&lt;&gt;"YES","",IFERROR(IF(OR($J$3="Everyone",INDEX(DESK!$AV$2:$AV$601,MATCH(385,DESK!$AR$2:$AR$601,0))="SEND"),"91"&amp;INDEX(DESK!$F$2:$F$601,MATCH(385,DESK!$AR$2:$AR$601,0)),""),""))</f>
        <v/>
      </c>
      <c r="C393" s="28" t="str">
        <f>IF(B393="","",IF(INDEX(DESK!$AC$2:$AC$601,MATCH(385,DESK!$AR$2:$AR$601,0))="YES","A","B"))</f>
        <v/>
      </c>
      <c r="D393" s="28" t="str">
        <f>IF(B393="","",INDEX(DESK!$AQ$2:$AQ$601,MATCH(385,DESK!$AR$2:$AR$601,0)))</f>
        <v/>
      </c>
      <c r="E393" s="28" t="str">
        <f>IF(B393="","",INDEX(DESK!$B$2:$B$601,MATCH(385,DESK!$AR$2:$AR$601,0))&amp;IF(COUNTIFS(DESK!$F$2:$F$601,INDEX(DESK!$F$2:$F$601,MATCH(385,DESK!$AR$2:$AR$601,0)),DESK!$L$2:$L$601,1)&gt;1," and "&amp;(COUNTIFS(DESK!$F$2:$F$601,INDEX(DESK!$F$2:$F$601,MATCH(385,DESK!$AR$2:$AR$601,0)),DESK!$L$2:$L$601,1)-1)&amp;" more",""))</f>
        <v/>
      </c>
      <c r="F393" s="28" t="str">
        <f>IF(B393="","",IF(C393="B",INDEX(DESK!$AD$2:$AD$601,MATCH(385,DESK!$AR$2:$AR$601,0)),""))</f>
        <v/>
      </c>
      <c r="G393" s="28" t="str">
        <f>IF(B393="","",INDEX(DESK!$AV$2:$AV$601,MATCH(385,DESK!$AR$2:$AR$601,0)))</f>
        <v/>
      </c>
      <c r="I393" s="21"/>
      <c r="J393" s="20"/>
      <c r="K393" s="20"/>
      <c r="L393" s="20"/>
      <c r="M393" s="23" t="str">
        <f t="shared" ref="M393:M456" si="6">IF(I393="","",RIGHT(SUBSTITUTE(SUBSTITUTE(I393&amp;""," ",""),"+",""),10))</f>
        <v/>
      </c>
    </row>
    <row r="394" spans="1:13" x14ac:dyDescent="0.35">
      <c r="A394" s="28">
        <v>386</v>
      </c>
      <c r="B394" s="43" t="str">
        <f>IF(SETTINGS!$B$22&lt;&gt;"YES","",IFERROR(IF(OR($J$3="Everyone",INDEX(DESK!$AV$2:$AV$601,MATCH(386,DESK!$AR$2:$AR$601,0))="SEND"),"91"&amp;INDEX(DESK!$F$2:$F$601,MATCH(386,DESK!$AR$2:$AR$601,0)),""),""))</f>
        <v/>
      </c>
      <c r="C394" s="28" t="str">
        <f>IF(B394="","",IF(INDEX(DESK!$AC$2:$AC$601,MATCH(386,DESK!$AR$2:$AR$601,0))="YES","A","B"))</f>
        <v/>
      </c>
      <c r="D394" s="28" t="str">
        <f>IF(B394="","",INDEX(DESK!$AQ$2:$AQ$601,MATCH(386,DESK!$AR$2:$AR$601,0)))</f>
        <v/>
      </c>
      <c r="E394" s="28" t="str">
        <f>IF(B394="","",INDEX(DESK!$B$2:$B$601,MATCH(386,DESK!$AR$2:$AR$601,0))&amp;IF(COUNTIFS(DESK!$F$2:$F$601,INDEX(DESK!$F$2:$F$601,MATCH(386,DESK!$AR$2:$AR$601,0)),DESK!$L$2:$L$601,1)&gt;1," and "&amp;(COUNTIFS(DESK!$F$2:$F$601,INDEX(DESK!$F$2:$F$601,MATCH(386,DESK!$AR$2:$AR$601,0)),DESK!$L$2:$L$601,1)-1)&amp;" more",""))</f>
        <v/>
      </c>
      <c r="F394" s="28" t="str">
        <f>IF(B394="","",IF(C394="B",INDEX(DESK!$AD$2:$AD$601,MATCH(386,DESK!$AR$2:$AR$601,0)),""))</f>
        <v/>
      </c>
      <c r="G394" s="28" t="str">
        <f>IF(B394="","",INDEX(DESK!$AV$2:$AV$601,MATCH(386,DESK!$AR$2:$AR$601,0)))</f>
        <v/>
      </c>
      <c r="I394" s="21"/>
      <c r="J394" s="20"/>
      <c r="K394" s="20"/>
      <c r="L394" s="20"/>
      <c r="M394" s="23" t="str">
        <f t="shared" si="6"/>
        <v/>
      </c>
    </row>
    <row r="395" spans="1:13" x14ac:dyDescent="0.35">
      <c r="A395" s="28">
        <v>387</v>
      </c>
      <c r="B395" s="43" t="str">
        <f>IF(SETTINGS!$B$22&lt;&gt;"YES","",IFERROR(IF(OR($J$3="Everyone",INDEX(DESK!$AV$2:$AV$601,MATCH(387,DESK!$AR$2:$AR$601,0))="SEND"),"91"&amp;INDEX(DESK!$F$2:$F$601,MATCH(387,DESK!$AR$2:$AR$601,0)),""),""))</f>
        <v/>
      </c>
      <c r="C395" s="28" t="str">
        <f>IF(B395="","",IF(INDEX(DESK!$AC$2:$AC$601,MATCH(387,DESK!$AR$2:$AR$601,0))="YES","A","B"))</f>
        <v/>
      </c>
      <c r="D395" s="28" t="str">
        <f>IF(B395="","",INDEX(DESK!$AQ$2:$AQ$601,MATCH(387,DESK!$AR$2:$AR$601,0)))</f>
        <v/>
      </c>
      <c r="E395" s="28" t="str">
        <f>IF(B395="","",INDEX(DESK!$B$2:$B$601,MATCH(387,DESK!$AR$2:$AR$601,0))&amp;IF(COUNTIFS(DESK!$F$2:$F$601,INDEX(DESK!$F$2:$F$601,MATCH(387,DESK!$AR$2:$AR$601,0)),DESK!$L$2:$L$601,1)&gt;1," and "&amp;(COUNTIFS(DESK!$F$2:$F$601,INDEX(DESK!$F$2:$F$601,MATCH(387,DESK!$AR$2:$AR$601,0)),DESK!$L$2:$L$601,1)-1)&amp;" more",""))</f>
        <v/>
      </c>
      <c r="F395" s="28" t="str">
        <f>IF(B395="","",IF(C395="B",INDEX(DESK!$AD$2:$AD$601,MATCH(387,DESK!$AR$2:$AR$601,0)),""))</f>
        <v/>
      </c>
      <c r="G395" s="28" t="str">
        <f>IF(B395="","",INDEX(DESK!$AV$2:$AV$601,MATCH(387,DESK!$AR$2:$AR$601,0)))</f>
        <v/>
      </c>
      <c r="I395" s="21"/>
      <c r="J395" s="20"/>
      <c r="K395" s="20"/>
      <c r="L395" s="20"/>
      <c r="M395" s="23" t="str">
        <f t="shared" si="6"/>
        <v/>
      </c>
    </row>
    <row r="396" spans="1:13" x14ac:dyDescent="0.35">
      <c r="A396" s="28">
        <v>388</v>
      </c>
      <c r="B396" s="43" t="str">
        <f>IF(SETTINGS!$B$22&lt;&gt;"YES","",IFERROR(IF(OR($J$3="Everyone",INDEX(DESK!$AV$2:$AV$601,MATCH(388,DESK!$AR$2:$AR$601,0))="SEND"),"91"&amp;INDEX(DESK!$F$2:$F$601,MATCH(388,DESK!$AR$2:$AR$601,0)),""),""))</f>
        <v/>
      </c>
      <c r="C396" s="28" t="str">
        <f>IF(B396="","",IF(INDEX(DESK!$AC$2:$AC$601,MATCH(388,DESK!$AR$2:$AR$601,0))="YES","A","B"))</f>
        <v/>
      </c>
      <c r="D396" s="28" t="str">
        <f>IF(B396="","",INDEX(DESK!$AQ$2:$AQ$601,MATCH(388,DESK!$AR$2:$AR$601,0)))</f>
        <v/>
      </c>
      <c r="E396" s="28" t="str">
        <f>IF(B396="","",INDEX(DESK!$B$2:$B$601,MATCH(388,DESK!$AR$2:$AR$601,0))&amp;IF(COUNTIFS(DESK!$F$2:$F$601,INDEX(DESK!$F$2:$F$601,MATCH(388,DESK!$AR$2:$AR$601,0)),DESK!$L$2:$L$601,1)&gt;1," and "&amp;(COUNTIFS(DESK!$F$2:$F$601,INDEX(DESK!$F$2:$F$601,MATCH(388,DESK!$AR$2:$AR$601,0)),DESK!$L$2:$L$601,1)-1)&amp;" more",""))</f>
        <v/>
      </c>
      <c r="F396" s="28" t="str">
        <f>IF(B396="","",IF(C396="B",INDEX(DESK!$AD$2:$AD$601,MATCH(388,DESK!$AR$2:$AR$601,0)),""))</f>
        <v/>
      </c>
      <c r="G396" s="28" t="str">
        <f>IF(B396="","",INDEX(DESK!$AV$2:$AV$601,MATCH(388,DESK!$AR$2:$AR$601,0)))</f>
        <v/>
      </c>
      <c r="I396" s="21"/>
      <c r="J396" s="20"/>
      <c r="K396" s="20"/>
      <c r="L396" s="20"/>
      <c r="M396" s="23" t="str">
        <f t="shared" si="6"/>
        <v/>
      </c>
    </row>
    <row r="397" spans="1:13" x14ac:dyDescent="0.35">
      <c r="A397" s="28">
        <v>389</v>
      </c>
      <c r="B397" s="43" t="str">
        <f>IF(SETTINGS!$B$22&lt;&gt;"YES","",IFERROR(IF(OR($J$3="Everyone",INDEX(DESK!$AV$2:$AV$601,MATCH(389,DESK!$AR$2:$AR$601,0))="SEND"),"91"&amp;INDEX(DESK!$F$2:$F$601,MATCH(389,DESK!$AR$2:$AR$601,0)),""),""))</f>
        <v/>
      </c>
      <c r="C397" s="28" t="str">
        <f>IF(B397="","",IF(INDEX(DESK!$AC$2:$AC$601,MATCH(389,DESK!$AR$2:$AR$601,0))="YES","A","B"))</f>
        <v/>
      </c>
      <c r="D397" s="28" t="str">
        <f>IF(B397="","",INDEX(DESK!$AQ$2:$AQ$601,MATCH(389,DESK!$AR$2:$AR$601,0)))</f>
        <v/>
      </c>
      <c r="E397" s="28" t="str">
        <f>IF(B397="","",INDEX(DESK!$B$2:$B$601,MATCH(389,DESK!$AR$2:$AR$601,0))&amp;IF(COUNTIFS(DESK!$F$2:$F$601,INDEX(DESK!$F$2:$F$601,MATCH(389,DESK!$AR$2:$AR$601,0)),DESK!$L$2:$L$601,1)&gt;1," and "&amp;(COUNTIFS(DESK!$F$2:$F$601,INDEX(DESK!$F$2:$F$601,MATCH(389,DESK!$AR$2:$AR$601,0)),DESK!$L$2:$L$601,1)-1)&amp;" more",""))</f>
        <v/>
      </c>
      <c r="F397" s="28" t="str">
        <f>IF(B397="","",IF(C397="B",INDEX(DESK!$AD$2:$AD$601,MATCH(389,DESK!$AR$2:$AR$601,0)),""))</f>
        <v/>
      </c>
      <c r="G397" s="28" t="str">
        <f>IF(B397="","",INDEX(DESK!$AV$2:$AV$601,MATCH(389,DESK!$AR$2:$AR$601,0)))</f>
        <v/>
      </c>
      <c r="I397" s="21"/>
      <c r="J397" s="20"/>
      <c r="K397" s="20"/>
      <c r="L397" s="20"/>
      <c r="M397" s="23" t="str">
        <f t="shared" si="6"/>
        <v/>
      </c>
    </row>
    <row r="398" spans="1:13" x14ac:dyDescent="0.35">
      <c r="A398" s="28">
        <v>390</v>
      </c>
      <c r="B398" s="43" t="str">
        <f>IF(SETTINGS!$B$22&lt;&gt;"YES","",IFERROR(IF(OR($J$3="Everyone",INDEX(DESK!$AV$2:$AV$601,MATCH(390,DESK!$AR$2:$AR$601,0))="SEND"),"91"&amp;INDEX(DESK!$F$2:$F$601,MATCH(390,DESK!$AR$2:$AR$601,0)),""),""))</f>
        <v/>
      </c>
      <c r="C398" s="28" t="str">
        <f>IF(B398="","",IF(INDEX(DESK!$AC$2:$AC$601,MATCH(390,DESK!$AR$2:$AR$601,0))="YES","A","B"))</f>
        <v/>
      </c>
      <c r="D398" s="28" t="str">
        <f>IF(B398="","",INDEX(DESK!$AQ$2:$AQ$601,MATCH(390,DESK!$AR$2:$AR$601,0)))</f>
        <v/>
      </c>
      <c r="E398" s="28" t="str">
        <f>IF(B398="","",INDEX(DESK!$B$2:$B$601,MATCH(390,DESK!$AR$2:$AR$601,0))&amp;IF(COUNTIFS(DESK!$F$2:$F$601,INDEX(DESK!$F$2:$F$601,MATCH(390,DESK!$AR$2:$AR$601,0)),DESK!$L$2:$L$601,1)&gt;1," and "&amp;(COUNTIFS(DESK!$F$2:$F$601,INDEX(DESK!$F$2:$F$601,MATCH(390,DESK!$AR$2:$AR$601,0)),DESK!$L$2:$L$601,1)-1)&amp;" more",""))</f>
        <v/>
      </c>
      <c r="F398" s="28" t="str">
        <f>IF(B398="","",IF(C398="B",INDEX(DESK!$AD$2:$AD$601,MATCH(390,DESK!$AR$2:$AR$601,0)),""))</f>
        <v/>
      </c>
      <c r="G398" s="28" t="str">
        <f>IF(B398="","",INDEX(DESK!$AV$2:$AV$601,MATCH(390,DESK!$AR$2:$AR$601,0)))</f>
        <v/>
      </c>
      <c r="I398" s="21"/>
      <c r="J398" s="20"/>
      <c r="K398" s="20"/>
      <c r="L398" s="20"/>
      <c r="M398" s="23" t="str">
        <f t="shared" si="6"/>
        <v/>
      </c>
    </row>
    <row r="399" spans="1:13" x14ac:dyDescent="0.35">
      <c r="A399" s="28">
        <v>391</v>
      </c>
      <c r="B399" s="43" t="str">
        <f>IF(SETTINGS!$B$22&lt;&gt;"YES","",IFERROR(IF(OR($J$3="Everyone",INDEX(DESK!$AV$2:$AV$601,MATCH(391,DESK!$AR$2:$AR$601,0))="SEND"),"91"&amp;INDEX(DESK!$F$2:$F$601,MATCH(391,DESK!$AR$2:$AR$601,0)),""),""))</f>
        <v/>
      </c>
      <c r="C399" s="28" t="str">
        <f>IF(B399="","",IF(INDEX(DESK!$AC$2:$AC$601,MATCH(391,DESK!$AR$2:$AR$601,0))="YES","A","B"))</f>
        <v/>
      </c>
      <c r="D399" s="28" t="str">
        <f>IF(B399="","",INDEX(DESK!$AQ$2:$AQ$601,MATCH(391,DESK!$AR$2:$AR$601,0)))</f>
        <v/>
      </c>
      <c r="E399" s="28" t="str">
        <f>IF(B399="","",INDEX(DESK!$B$2:$B$601,MATCH(391,DESK!$AR$2:$AR$601,0))&amp;IF(COUNTIFS(DESK!$F$2:$F$601,INDEX(DESK!$F$2:$F$601,MATCH(391,DESK!$AR$2:$AR$601,0)),DESK!$L$2:$L$601,1)&gt;1," and "&amp;(COUNTIFS(DESK!$F$2:$F$601,INDEX(DESK!$F$2:$F$601,MATCH(391,DESK!$AR$2:$AR$601,0)),DESK!$L$2:$L$601,1)-1)&amp;" more",""))</f>
        <v/>
      </c>
      <c r="F399" s="28" t="str">
        <f>IF(B399="","",IF(C399="B",INDEX(DESK!$AD$2:$AD$601,MATCH(391,DESK!$AR$2:$AR$601,0)),""))</f>
        <v/>
      </c>
      <c r="G399" s="28" t="str">
        <f>IF(B399="","",INDEX(DESK!$AV$2:$AV$601,MATCH(391,DESK!$AR$2:$AR$601,0)))</f>
        <v/>
      </c>
      <c r="I399" s="21"/>
      <c r="J399" s="20"/>
      <c r="K399" s="20"/>
      <c r="L399" s="20"/>
      <c r="M399" s="23" t="str">
        <f t="shared" si="6"/>
        <v/>
      </c>
    </row>
    <row r="400" spans="1:13" x14ac:dyDescent="0.35">
      <c r="A400" s="28">
        <v>392</v>
      </c>
      <c r="B400" s="43" t="str">
        <f>IF(SETTINGS!$B$22&lt;&gt;"YES","",IFERROR(IF(OR($J$3="Everyone",INDEX(DESK!$AV$2:$AV$601,MATCH(392,DESK!$AR$2:$AR$601,0))="SEND"),"91"&amp;INDEX(DESK!$F$2:$F$601,MATCH(392,DESK!$AR$2:$AR$601,0)),""),""))</f>
        <v/>
      </c>
      <c r="C400" s="28" t="str">
        <f>IF(B400="","",IF(INDEX(DESK!$AC$2:$AC$601,MATCH(392,DESK!$AR$2:$AR$601,0))="YES","A","B"))</f>
        <v/>
      </c>
      <c r="D400" s="28" t="str">
        <f>IF(B400="","",INDEX(DESK!$AQ$2:$AQ$601,MATCH(392,DESK!$AR$2:$AR$601,0)))</f>
        <v/>
      </c>
      <c r="E400" s="28" t="str">
        <f>IF(B400="","",INDEX(DESK!$B$2:$B$601,MATCH(392,DESK!$AR$2:$AR$601,0))&amp;IF(COUNTIFS(DESK!$F$2:$F$601,INDEX(DESK!$F$2:$F$601,MATCH(392,DESK!$AR$2:$AR$601,0)),DESK!$L$2:$L$601,1)&gt;1," and "&amp;(COUNTIFS(DESK!$F$2:$F$601,INDEX(DESK!$F$2:$F$601,MATCH(392,DESK!$AR$2:$AR$601,0)),DESK!$L$2:$L$601,1)-1)&amp;" more",""))</f>
        <v/>
      </c>
      <c r="F400" s="28" t="str">
        <f>IF(B400="","",IF(C400="B",INDEX(DESK!$AD$2:$AD$601,MATCH(392,DESK!$AR$2:$AR$601,0)),""))</f>
        <v/>
      </c>
      <c r="G400" s="28" t="str">
        <f>IF(B400="","",INDEX(DESK!$AV$2:$AV$601,MATCH(392,DESK!$AR$2:$AR$601,0)))</f>
        <v/>
      </c>
      <c r="I400" s="21"/>
      <c r="J400" s="20"/>
      <c r="K400" s="20"/>
      <c r="L400" s="20"/>
      <c r="M400" s="23" t="str">
        <f t="shared" si="6"/>
        <v/>
      </c>
    </row>
    <row r="401" spans="1:13" x14ac:dyDescent="0.35">
      <c r="A401" s="28">
        <v>393</v>
      </c>
      <c r="B401" s="43" t="str">
        <f>IF(SETTINGS!$B$22&lt;&gt;"YES","",IFERROR(IF(OR($J$3="Everyone",INDEX(DESK!$AV$2:$AV$601,MATCH(393,DESK!$AR$2:$AR$601,0))="SEND"),"91"&amp;INDEX(DESK!$F$2:$F$601,MATCH(393,DESK!$AR$2:$AR$601,0)),""),""))</f>
        <v/>
      </c>
      <c r="C401" s="28" t="str">
        <f>IF(B401="","",IF(INDEX(DESK!$AC$2:$AC$601,MATCH(393,DESK!$AR$2:$AR$601,0))="YES","A","B"))</f>
        <v/>
      </c>
      <c r="D401" s="28" t="str">
        <f>IF(B401="","",INDEX(DESK!$AQ$2:$AQ$601,MATCH(393,DESK!$AR$2:$AR$601,0)))</f>
        <v/>
      </c>
      <c r="E401" s="28" t="str">
        <f>IF(B401="","",INDEX(DESK!$B$2:$B$601,MATCH(393,DESK!$AR$2:$AR$601,0))&amp;IF(COUNTIFS(DESK!$F$2:$F$601,INDEX(DESK!$F$2:$F$601,MATCH(393,DESK!$AR$2:$AR$601,0)),DESK!$L$2:$L$601,1)&gt;1," and "&amp;(COUNTIFS(DESK!$F$2:$F$601,INDEX(DESK!$F$2:$F$601,MATCH(393,DESK!$AR$2:$AR$601,0)),DESK!$L$2:$L$601,1)-1)&amp;" more",""))</f>
        <v/>
      </c>
      <c r="F401" s="28" t="str">
        <f>IF(B401="","",IF(C401="B",INDEX(DESK!$AD$2:$AD$601,MATCH(393,DESK!$AR$2:$AR$601,0)),""))</f>
        <v/>
      </c>
      <c r="G401" s="28" t="str">
        <f>IF(B401="","",INDEX(DESK!$AV$2:$AV$601,MATCH(393,DESK!$AR$2:$AR$601,0)))</f>
        <v/>
      </c>
      <c r="I401" s="21"/>
      <c r="J401" s="20"/>
      <c r="K401" s="20"/>
      <c r="L401" s="20"/>
      <c r="M401" s="23" t="str">
        <f t="shared" si="6"/>
        <v/>
      </c>
    </row>
    <row r="402" spans="1:13" x14ac:dyDescent="0.35">
      <c r="A402" s="28">
        <v>394</v>
      </c>
      <c r="B402" s="43" t="str">
        <f>IF(SETTINGS!$B$22&lt;&gt;"YES","",IFERROR(IF(OR($J$3="Everyone",INDEX(DESK!$AV$2:$AV$601,MATCH(394,DESK!$AR$2:$AR$601,0))="SEND"),"91"&amp;INDEX(DESK!$F$2:$F$601,MATCH(394,DESK!$AR$2:$AR$601,0)),""),""))</f>
        <v/>
      </c>
      <c r="C402" s="28" t="str">
        <f>IF(B402="","",IF(INDEX(DESK!$AC$2:$AC$601,MATCH(394,DESK!$AR$2:$AR$601,0))="YES","A","B"))</f>
        <v/>
      </c>
      <c r="D402" s="28" t="str">
        <f>IF(B402="","",INDEX(DESK!$AQ$2:$AQ$601,MATCH(394,DESK!$AR$2:$AR$601,0)))</f>
        <v/>
      </c>
      <c r="E402" s="28" t="str">
        <f>IF(B402="","",INDEX(DESK!$B$2:$B$601,MATCH(394,DESK!$AR$2:$AR$601,0))&amp;IF(COUNTIFS(DESK!$F$2:$F$601,INDEX(DESK!$F$2:$F$601,MATCH(394,DESK!$AR$2:$AR$601,0)),DESK!$L$2:$L$601,1)&gt;1," and "&amp;(COUNTIFS(DESK!$F$2:$F$601,INDEX(DESK!$F$2:$F$601,MATCH(394,DESK!$AR$2:$AR$601,0)),DESK!$L$2:$L$601,1)-1)&amp;" more",""))</f>
        <v/>
      </c>
      <c r="F402" s="28" t="str">
        <f>IF(B402="","",IF(C402="B",INDEX(DESK!$AD$2:$AD$601,MATCH(394,DESK!$AR$2:$AR$601,0)),""))</f>
        <v/>
      </c>
      <c r="G402" s="28" t="str">
        <f>IF(B402="","",INDEX(DESK!$AV$2:$AV$601,MATCH(394,DESK!$AR$2:$AR$601,0)))</f>
        <v/>
      </c>
      <c r="I402" s="21"/>
      <c r="J402" s="20"/>
      <c r="K402" s="20"/>
      <c r="L402" s="20"/>
      <c r="M402" s="23" t="str">
        <f t="shared" si="6"/>
        <v/>
      </c>
    </row>
    <row r="403" spans="1:13" x14ac:dyDescent="0.35">
      <c r="A403" s="28">
        <v>395</v>
      </c>
      <c r="B403" s="43" t="str">
        <f>IF(SETTINGS!$B$22&lt;&gt;"YES","",IFERROR(IF(OR($J$3="Everyone",INDEX(DESK!$AV$2:$AV$601,MATCH(395,DESK!$AR$2:$AR$601,0))="SEND"),"91"&amp;INDEX(DESK!$F$2:$F$601,MATCH(395,DESK!$AR$2:$AR$601,0)),""),""))</f>
        <v/>
      </c>
      <c r="C403" s="28" t="str">
        <f>IF(B403="","",IF(INDEX(DESK!$AC$2:$AC$601,MATCH(395,DESK!$AR$2:$AR$601,0))="YES","A","B"))</f>
        <v/>
      </c>
      <c r="D403" s="28" t="str">
        <f>IF(B403="","",INDEX(DESK!$AQ$2:$AQ$601,MATCH(395,DESK!$AR$2:$AR$601,0)))</f>
        <v/>
      </c>
      <c r="E403" s="28" t="str">
        <f>IF(B403="","",INDEX(DESK!$B$2:$B$601,MATCH(395,DESK!$AR$2:$AR$601,0))&amp;IF(COUNTIFS(DESK!$F$2:$F$601,INDEX(DESK!$F$2:$F$601,MATCH(395,DESK!$AR$2:$AR$601,0)),DESK!$L$2:$L$601,1)&gt;1," and "&amp;(COUNTIFS(DESK!$F$2:$F$601,INDEX(DESK!$F$2:$F$601,MATCH(395,DESK!$AR$2:$AR$601,0)),DESK!$L$2:$L$601,1)-1)&amp;" more",""))</f>
        <v/>
      </c>
      <c r="F403" s="28" t="str">
        <f>IF(B403="","",IF(C403="B",INDEX(DESK!$AD$2:$AD$601,MATCH(395,DESK!$AR$2:$AR$601,0)),""))</f>
        <v/>
      </c>
      <c r="G403" s="28" t="str">
        <f>IF(B403="","",INDEX(DESK!$AV$2:$AV$601,MATCH(395,DESK!$AR$2:$AR$601,0)))</f>
        <v/>
      </c>
      <c r="I403" s="21"/>
      <c r="J403" s="20"/>
      <c r="K403" s="20"/>
      <c r="L403" s="20"/>
      <c r="M403" s="23" t="str">
        <f t="shared" si="6"/>
        <v/>
      </c>
    </row>
    <row r="404" spans="1:13" x14ac:dyDescent="0.35">
      <c r="A404" s="28">
        <v>396</v>
      </c>
      <c r="B404" s="43" t="str">
        <f>IF(SETTINGS!$B$22&lt;&gt;"YES","",IFERROR(IF(OR($J$3="Everyone",INDEX(DESK!$AV$2:$AV$601,MATCH(396,DESK!$AR$2:$AR$601,0))="SEND"),"91"&amp;INDEX(DESK!$F$2:$F$601,MATCH(396,DESK!$AR$2:$AR$601,0)),""),""))</f>
        <v/>
      </c>
      <c r="C404" s="28" t="str">
        <f>IF(B404="","",IF(INDEX(DESK!$AC$2:$AC$601,MATCH(396,DESK!$AR$2:$AR$601,0))="YES","A","B"))</f>
        <v/>
      </c>
      <c r="D404" s="28" t="str">
        <f>IF(B404="","",INDEX(DESK!$AQ$2:$AQ$601,MATCH(396,DESK!$AR$2:$AR$601,0)))</f>
        <v/>
      </c>
      <c r="E404" s="28" t="str">
        <f>IF(B404="","",INDEX(DESK!$B$2:$B$601,MATCH(396,DESK!$AR$2:$AR$601,0))&amp;IF(COUNTIFS(DESK!$F$2:$F$601,INDEX(DESK!$F$2:$F$601,MATCH(396,DESK!$AR$2:$AR$601,0)),DESK!$L$2:$L$601,1)&gt;1," and "&amp;(COUNTIFS(DESK!$F$2:$F$601,INDEX(DESK!$F$2:$F$601,MATCH(396,DESK!$AR$2:$AR$601,0)),DESK!$L$2:$L$601,1)-1)&amp;" more",""))</f>
        <v/>
      </c>
      <c r="F404" s="28" t="str">
        <f>IF(B404="","",IF(C404="B",INDEX(DESK!$AD$2:$AD$601,MATCH(396,DESK!$AR$2:$AR$601,0)),""))</f>
        <v/>
      </c>
      <c r="G404" s="28" t="str">
        <f>IF(B404="","",INDEX(DESK!$AV$2:$AV$601,MATCH(396,DESK!$AR$2:$AR$601,0)))</f>
        <v/>
      </c>
      <c r="I404" s="21"/>
      <c r="J404" s="20"/>
      <c r="K404" s="20"/>
      <c r="L404" s="20"/>
      <c r="M404" s="23" t="str">
        <f t="shared" si="6"/>
        <v/>
      </c>
    </row>
    <row r="405" spans="1:13" x14ac:dyDescent="0.35">
      <c r="A405" s="28">
        <v>397</v>
      </c>
      <c r="B405" s="43" t="str">
        <f>IF(SETTINGS!$B$22&lt;&gt;"YES","",IFERROR(IF(OR($J$3="Everyone",INDEX(DESK!$AV$2:$AV$601,MATCH(397,DESK!$AR$2:$AR$601,0))="SEND"),"91"&amp;INDEX(DESK!$F$2:$F$601,MATCH(397,DESK!$AR$2:$AR$601,0)),""),""))</f>
        <v/>
      </c>
      <c r="C405" s="28" t="str">
        <f>IF(B405="","",IF(INDEX(DESK!$AC$2:$AC$601,MATCH(397,DESK!$AR$2:$AR$601,0))="YES","A","B"))</f>
        <v/>
      </c>
      <c r="D405" s="28" t="str">
        <f>IF(B405="","",INDEX(DESK!$AQ$2:$AQ$601,MATCH(397,DESK!$AR$2:$AR$601,0)))</f>
        <v/>
      </c>
      <c r="E405" s="28" t="str">
        <f>IF(B405="","",INDEX(DESK!$B$2:$B$601,MATCH(397,DESK!$AR$2:$AR$601,0))&amp;IF(COUNTIFS(DESK!$F$2:$F$601,INDEX(DESK!$F$2:$F$601,MATCH(397,DESK!$AR$2:$AR$601,0)),DESK!$L$2:$L$601,1)&gt;1," and "&amp;(COUNTIFS(DESK!$F$2:$F$601,INDEX(DESK!$F$2:$F$601,MATCH(397,DESK!$AR$2:$AR$601,0)),DESK!$L$2:$L$601,1)-1)&amp;" more",""))</f>
        <v/>
      </c>
      <c r="F405" s="28" t="str">
        <f>IF(B405="","",IF(C405="B",INDEX(DESK!$AD$2:$AD$601,MATCH(397,DESK!$AR$2:$AR$601,0)),""))</f>
        <v/>
      </c>
      <c r="G405" s="28" t="str">
        <f>IF(B405="","",INDEX(DESK!$AV$2:$AV$601,MATCH(397,DESK!$AR$2:$AR$601,0)))</f>
        <v/>
      </c>
      <c r="I405" s="21"/>
      <c r="J405" s="20"/>
      <c r="K405" s="20"/>
      <c r="L405" s="20"/>
      <c r="M405" s="23" t="str">
        <f t="shared" si="6"/>
        <v/>
      </c>
    </row>
    <row r="406" spans="1:13" x14ac:dyDescent="0.35">
      <c r="A406" s="28">
        <v>398</v>
      </c>
      <c r="B406" s="43" t="str">
        <f>IF(SETTINGS!$B$22&lt;&gt;"YES","",IFERROR(IF(OR($J$3="Everyone",INDEX(DESK!$AV$2:$AV$601,MATCH(398,DESK!$AR$2:$AR$601,0))="SEND"),"91"&amp;INDEX(DESK!$F$2:$F$601,MATCH(398,DESK!$AR$2:$AR$601,0)),""),""))</f>
        <v/>
      </c>
      <c r="C406" s="28" t="str">
        <f>IF(B406="","",IF(INDEX(DESK!$AC$2:$AC$601,MATCH(398,DESK!$AR$2:$AR$601,0))="YES","A","B"))</f>
        <v/>
      </c>
      <c r="D406" s="28" t="str">
        <f>IF(B406="","",INDEX(DESK!$AQ$2:$AQ$601,MATCH(398,DESK!$AR$2:$AR$601,0)))</f>
        <v/>
      </c>
      <c r="E406" s="28" t="str">
        <f>IF(B406="","",INDEX(DESK!$B$2:$B$601,MATCH(398,DESK!$AR$2:$AR$601,0))&amp;IF(COUNTIFS(DESK!$F$2:$F$601,INDEX(DESK!$F$2:$F$601,MATCH(398,DESK!$AR$2:$AR$601,0)),DESK!$L$2:$L$601,1)&gt;1," and "&amp;(COUNTIFS(DESK!$F$2:$F$601,INDEX(DESK!$F$2:$F$601,MATCH(398,DESK!$AR$2:$AR$601,0)),DESK!$L$2:$L$601,1)-1)&amp;" more",""))</f>
        <v/>
      </c>
      <c r="F406" s="28" t="str">
        <f>IF(B406="","",IF(C406="B",INDEX(DESK!$AD$2:$AD$601,MATCH(398,DESK!$AR$2:$AR$601,0)),""))</f>
        <v/>
      </c>
      <c r="G406" s="28" t="str">
        <f>IF(B406="","",INDEX(DESK!$AV$2:$AV$601,MATCH(398,DESK!$AR$2:$AR$601,0)))</f>
        <v/>
      </c>
      <c r="I406" s="21"/>
      <c r="J406" s="20"/>
      <c r="K406" s="20"/>
      <c r="L406" s="20"/>
      <c r="M406" s="23" t="str">
        <f t="shared" si="6"/>
        <v/>
      </c>
    </row>
    <row r="407" spans="1:13" x14ac:dyDescent="0.35">
      <c r="A407" s="28">
        <v>399</v>
      </c>
      <c r="B407" s="43" t="str">
        <f>IF(SETTINGS!$B$22&lt;&gt;"YES","",IFERROR(IF(OR($J$3="Everyone",INDEX(DESK!$AV$2:$AV$601,MATCH(399,DESK!$AR$2:$AR$601,0))="SEND"),"91"&amp;INDEX(DESK!$F$2:$F$601,MATCH(399,DESK!$AR$2:$AR$601,0)),""),""))</f>
        <v/>
      </c>
      <c r="C407" s="28" t="str">
        <f>IF(B407="","",IF(INDEX(DESK!$AC$2:$AC$601,MATCH(399,DESK!$AR$2:$AR$601,0))="YES","A","B"))</f>
        <v/>
      </c>
      <c r="D407" s="28" t="str">
        <f>IF(B407="","",INDEX(DESK!$AQ$2:$AQ$601,MATCH(399,DESK!$AR$2:$AR$601,0)))</f>
        <v/>
      </c>
      <c r="E407" s="28" t="str">
        <f>IF(B407="","",INDEX(DESK!$B$2:$B$601,MATCH(399,DESK!$AR$2:$AR$601,0))&amp;IF(COUNTIFS(DESK!$F$2:$F$601,INDEX(DESK!$F$2:$F$601,MATCH(399,DESK!$AR$2:$AR$601,0)),DESK!$L$2:$L$601,1)&gt;1," and "&amp;(COUNTIFS(DESK!$F$2:$F$601,INDEX(DESK!$F$2:$F$601,MATCH(399,DESK!$AR$2:$AR$601,0)),DESK!$L$2:$L$601,1)-1)&amp;" more",""))</f>
        <v/>
      </c>
      <c r="F407" s="28" t="str">
        <f>IF(B407="","",IF(C407="B",INDEX(DESK!$AD$2:$AD$601,MATCH(399,DESK!$AR$2:$AR$601,0)),""))</f>
        <v/>
      </c>
      <c r="G407" s="28" t="str">
        <f>IF(B407="","",INDEX(DESK!$AV$2:$AV$601,MATCH(399,DESK!$AR$2:$AR$601,0)))</f>
        <v/>
      </c>
      <c r="I407" s="21"/>
      <c r="J407" s="20"/>
      <c r="K407" s="20"/>
      <c r="L407" s="20"/>
      <c r="M407" s="23" t="str">
        <f t="shared" si="6"/>
        <v/>
      </c>
    </row>
    <row r="408" spans="1:13" x14ac:dyDescent="0.35">
      <c r="A408" s="28">
        <v>400</v>
      </c>
      <c r="B408" s="43" t="str">
        <f>IF(SETTINGS!$B$22&lt;&gt;"YES","",IFERROR(IF(OR($J$3="Everyone",INDEX(DESK!$AV$2:$AV$601,MATCH(400,DESK!$AR$2:$AR$601,0))="SEND"),"91"&amp;INDEX(DESK!$F$2:$F$601,MATCH(400,DESK!$AR$2:$AR$601,0)),""),""))</f>
        <v/>
      </c>
      <c r="C408" s="28" t="str">
        <f>IF(B408="","",IF(INDEX(DESK!$AC$2:$AC$601,MATCH(400,DESK!$AR$2:$AR$601,0))="YES","A","B"))</f>
        <v/>
      </c>
      <c r="D408" s="28" t="str">
        <f>IF(B408="","",INDEX(DESK!$AQ$2:$AQ$601,MATCH(400,DESK!$AR$2:$AR$601,0)))</f>
        <v/>
      </c>
      <c r="E408" s="28" t="str">
        <f>IF(B408="","",INDEX(DESK!$B$2:$B$601,MATCH(400,DESK!$AR$2:$AR$601,0))&amp;IF(COUNTIFS(DESK!$F$2:$F$601,INDEX(DESK!$F$2:$F$601,MATCH(400,DESK!$AR$2:$AR$601,0)),DESK!$L$2:$L$601,1)&gt;1," and "&amp;(COUNTIFS(DESK!$F$2:$F$601,INDEX(DESK!$F$2:$F$601,MATCH(400,DESK!$AR$2:$AR$601,0)),DESK!$L$2:$L$601,1)-1)&amp;" more",""))</f>
        <v/>
      </c>
      <c r="F408" s="28" t="str">
        <f>IF(B408="","",IF(C408="B",INDEX(DESK!$AD$2:$AD$601,MATCH(400,DESK!$AR$2:$AR$601,0)),""))</f>
        <v/>
      </c>
      <c r="G408" s="28" t="str">
        <f>IF(B408="","",INDEX(DESK!$AV$2:$AV$601,MATCH(400,DESK!$AR$2:$AR$601,0)))</f>
        <v/>
      </c>
      <c r="I408" s="21"/>
      <c r="J408" s="20"/>
      <c r="K408" s="20"/>
      <c r="L408" s="20"/>
      <c r="M408" s="23" t="str">
        <f t="shared" si="6"/>
        <v/>
      </c>
    </row>
    <row r="409" spans="1:13" x14ac:dyDescent="0.35">
      <c r="A409" s="28">
        <v>401</v>
      </c>
      <c r="B409" s="43" t="str">
        <f>IF(SETTINGS!$B$22&lt;&gt;"YES","",IFERROR(IF(OR($J$3="Everyone",INDEX(DESK!$AV$2:$AV$601,MATCH(401,DESK!$AR$2:$AR$601,0))="SEND"),"91"&amp;INDEX(DESK!$F$2:$F$601,MATCH(401,DESK!$AR$2:$AR$601,0)),""),""))</f>
        <v/>
      </c>
      <c r="C409" s="28" t="str">
        <f>IF(B409="","",IF(INDEX(DESK!$AC$2:$AC$601,MATCH(401,DESK!$AR$2:$AR$601,0))="YES","A","B"))</f>
        <v/>
      </c>
      <c r="D409" s="28" t="str">
        <f>IF(B409="","",INDEX(DESK!$AQ$2:$AQ$601,MATCH(401,DESK!$AR$2:$AR$601,0)))</f>
        <v/>
      </c>
      <c r="E409" s="28" t="str">
        <f>IF(B409="","",INDEX(DESK!$B$2:$B$601,MATCH(401,DESK!$AR$2:$AR$601,0))&amp;IF(COUNTIFS(DESK!$F$2:$F$601,INDEX(DESK!$F$2:$F$601,MATCH(401,DESK!$AR$2:$AR$601,0)),DESK!$L$2:$L$601,1)&gt;1," and "&amp;(COUNTIFS(DESK!$F$2:$F$601,INDEX(DESK!$F$2:$F$601,MATCH(401,DESK!$AR$2:$AR$601,0)),DESK!$L$2:$L$601,1)-1)&amp;" more",""))</f>
        <v/>
      </c>
      <c r="F409" s="28" t="str">
        <f>IF(B409="","",IF(C409="B",INDEX(DESK!$AD$2:$AD$601,MATCH(401,DESK!$AR$2:$AR$601,0)),""))</f>
        <v/>
      </c>
      <c r="G409" s="28" t="str">
        <f>IF(B409="","",INDEX(DESK!$AV$2:$AV$601,MATCH(401,DESK!$AR$2:$AR$601,0)))</f>
        <v/>
      </c>
      <c r="I409" s="21"/>
      <c r="J409" s="20"/>
      <c r="K409" s="20"/>
      <c r="L409" s="20"/>
      <c r="M409" s="23" t="str">
        <f t="shared" si="6"/>
        <v/>
      </c>
    </row>
    <row r="410" spans="1:13" x14ac:dyDescent="0.35">
      <c r="A410" s="28">
        <v>402</v>
      </c>
      <c r="B410" s="43" t="str">
        <f>IF(SETTINGS!$B$22&lt;&gt;"YES","",IFERROR(IF(OR($J$3="Everyone",INDEX(DESK!$AV$2:$AV$601,MATCH(402,DESK!$AR$2:$AR$601,0))="SEND"),"91"&amp;INDEX(DESK!$F$2:$F$601,MATCH(402,DESK!$AR$2:$AR$601,0)),""),""))</f>
        <v/>
      </c>
      <c r="C410" s="28" t="str">
        <f>IF(B410="","",IF(INDEX(DESK!$AC$2:$AC$601,MATCH(402,DESK!$AR$2:$AR$601,0))="YES","A","B"))</f>
        <v/>
      </c>
      <c r="D410" s="28" t="str">
        <f>IF(B410="","",INDEX(DESK!$AQ$2:$AQ$601,MATCH(402,DESK!$AR$2:$AR$601,0)))</f>
        <v/>
      </c>
      <c r="E410" s="28" t="str">
        <f>IF(B410="","",INDEX(DESK!$B$2:$B$601,MATCH(402,DESK!$AR$2:$AR$601,0))&amp;IF(COUNTIFS(DESK!$F$2:$F$601,INDEX(DESK!$F$2:$F$601,MATCH(402,DESK!$AR$2:$AR$601,0)),DESK!$L$2:$L$601,1)&gt;1," and "&amp;(COUNTIFS(DESK!$F$2:$F$601,INDEX(DESK!$F$2:$F$601,MATCH(402,DESK!$AR$2:$AR$601,0)),DESK!$L$2:$L$601,1)-1)&amp;" more",""))</f>
        <v/>
      </c>
      <c r="F410" s="28" t="str">
        <f>IF(B410="","",IF(C410="B",INDEX(DESK!$AD$2:$AD$601,MATCH(402,DESK!$AR$2:$AR$601,0)),""))</f>
        <v/>
      </c>
      <c r="G410" s="28" t="str">
        <f>IF(B410="","",INDEX(DESK!$AV$2:$AV$601,MATCH(402,DESK!$AR$2:$AR$601,0)))</f>
        <v/>
      </c>
      <c r="I410" s="21"/>
      <c r="J410" s="20"/>
      <c r="K410" s="20"/>
      <c r="L410" s="20"/>
      <c r="M410" s="23" t="str">
        <f t="shared" si="6"/>
        <v/>
      </c>
    </row>
    <row r="411" spans="1:13" x14ac:dyDescent="0.35">
      <c r="A411" s="28">
        <v>403</v>
      </c>
      <c r="B411" s="43" t="str">
        <f>IF(SETTINGS!$B$22&lt;&gt;"YES","",IFERROR(IF(OR($J$3="Everyone",INDEX(DESK!$AV$2:$AV$601,MATCH(403,DESK!$AR$2:$AR$601,0))="SEND"),"91"&amp;INDEX(DESK!$F$2:$F$601,MATCH(403,DESK!$AR$2:$AR$601,0)),""),""))</f>
        <v/>
      </c>
      <c r="C411" s="28" t="str">
        <f>IF(B411="","",IF(INDEX(DESK!$AC$2:$AC$601,MATCH(403,DESK!$AR$2:$AR$601,0))="YES","A","B"))</f>
        <v/>
      </c>
      <c r="D411" s="28" t="str">
        <f>IF(B411="","",INDEX(DESK!$AQ$2:$AQ$601,MATCH(403,DESK!$AR$2:$AR$601,0)))</f>
        <v/>
      </c>
      <c r="E411" s="28" t="str">
        <f>IF(B411="","",INDEX(DESK!$B$2:$B$601,MATCH(403,DESK!$AR$2:$AR$601,0))&amp;IF(COUNTIFS(DESK!$F$2:$F$601,INDEX(DESK!$F$2:$F$601,MATCH(403,DESK!$AR$2:$AR$601,0)),DESK!$L$2:$L$601,1)&gt;1," and "&amp;(COUNTIFS(DESK!$F$2:$F$601,INDEX(DESK!$F$2:$F$601,MATCH(403,DESK!$AR$2:$AR$601,0)),DESK!$L$2:$L$601,1)-1)&amp;" more",""))</f>
        <v/>
      </c>
      <c r="F411" s="28" t="str">
        <f>IF(B411="","",IF(C411="B",INDEX(DESK!$AD$2:$AD$601,MATCH(403,DESK!$AR$2:$AR$601,0)),""))</f>
        <v/>
      </c>
      <c r="G411" s="28" t="str">
        <f>IF(B411="","",INDEX(DESK!$AV$2:$AV$601,MATCH(403,DESK!$AR$2:$AR$601,0)))</f>
        <v/>
      </c>
      <c r="I411" s="21"/>
      <c r="J411" s="20"/>
      <c r="K411" s="20"/>
      <c r="L411" s="20"/>
      <c r="M411" s="23" t="str">
        <f t="shared" si="6"/>
        <v/>
      </c>
    </row>
    <row r="412" spans="1:13" x14ac:dyDescent="0.35">
      <c r="A412" s="28">
        <v>404</v>
      </c>
      <c r="B412" s="43" t="str">
        <f>IF(SETTINGS!$B$22&lt;&gt;"YES","",IFERROR(IF(OR($J$3="Everyone",INDEX(DESK!$AV$2:$AV$601,MATCH(404,DESK!$AR$2:$AR$601,0))="SEND"),"91"&amp;INDEX(DESK!$F$2:$F$601,MATCH(404,DESK!$AR$2:$AR$601,0)),""),""))</f>
        <v/>
      </c>
      <c r="C412" s="28" t="str">
        <f>IF(B412="","",IF(INDEX(DESK!$AC$2:$AC$601,MATCH(404,DESK!$AR$2:$AR$601,0))="YES","A","B"))</f>
        <v/>
      </c>
      <c r="D412" s="28" t="str">
        <f>IF(B412="","",INDEX(DESK!$AQ$2:$AQ$601,MATCH(404,DESK!$AR$2:$AR$601,0)))</f>
        <v/>
      </c>
      <c r="E412" s="28" t="str">
        <f>IF(B412="","",INDEX(DESK!$B$2:$B$601,MATCH(404,DESK!$AR$2:$AR$601,0))&amp;IF(COUNTIFS(DESK!$F$2:$F$601,INDEX(DESK!$F$2:$F$601,MATCH(404,DESK!$AR$2:$AR$601,0)),DESK!$L$2:$L$601,1)&gt;1," and "&amp;(COUNTIFS(DESK!$F$2:$F$601,INDEX(DESK!$F$2:$F$601,MATCH(404,DESK!$AR$2:$AR$601,0)),DESK!$L$2:$L$601,1)-1)&amp;" more",""))</f>
        <v/>
      </c>
      <c r="F412" s="28" t="str">
        <f>IF(B412="","",IF(C412="B",INDEX(DESK!$AD$2:$AD$601,MATCH(404,DESK!$AR$2:$AR$601,0)),""))</f>
        <v/>
      </c>
      <c r="G412" s="28" t="str">
        <f>IF(B412="","",INDEX(DESK!$AV$2:$AV$601,MATCH(404,DESK!$AR$2:$AR$601,0)))</f>
        <v/>
      </c>
      <c r="I412" s="21"/>
      <c r="J412" s="20"/>
      <c r="K412" s="20"/>
      <c r="L412" s="20"/>
      <c r="M412" s="23" t="str">
        <f t="shared" si="6"/>
        <v/>
      </c>
    </row>
    <row r="413" spans="1:13" x14ac:dyDescent="0.35">
      <c r="A413" s="28">
        <v>405</v>
      </c>
      <c r="B413" s="43" t="str">
        <f>IF(SETTINGS!$B$22&lt;&gt;"YES","",IFERROR(IF(OR($J$3="Everyone",INDEX(DESK!$AV$2:$AV$601,MATCH(405,DESK!$AR$2:$AR$601,0))="SEND"),"91"&amp;INDEX(DESK!$F$2:$F$601,MATCH(405,DESK!$AR$2:$AR$601,0)),""),""))</f>
        <v/>
      </c>
      <c r="C413" s="28" t="str">
        <f>IF(B413="","",IF(INDEX(DESK!$AC$2:$AC$601,MATCH(405,DESK!$AR$2:$AR$601,0))="YES","A","B"))</f>
        <v/>
      </c>
      <c r="D413" s="28" t="str">
        <f>IF(B413="","",INDEX(DESK!$AQ$2:$AQ$601,MATCH(405,DESK!$AR$2:$AR$601,0)))</f>
        <v/>
      </c>
      <c r="E413" s="28" t="str">
        <f>IF(B413="","",INDEX(DESK!$B$2:$B$601,MATCH(405,DESK!$AR$2:$AR$601,0))&amp;IF(COUNTIFS(DESK!$F$2:$F$601,INDEX(DESK!$F$2:$F$601,MATCH(405,DESK!$AR$2:$AR$601,0)),DESK!$L$2:$L$601,1)&gt;1," and "&amp;(COUNTIFS(DESK!$F$2:$F$601,INDEX(DESK!$F$2:$F$601,MATCH(405,DESK!$AR$2:$AR$601,0)),DESK!$L$2:$L$601,1)-1)&amp;" more",""))</f>
        <v/>
      </c>
      <c r="F413" s="28" t="str">
        <f>IF(B413="","",IF(C413="B",INDEX(DESK!$AD$2:$AD$601,MATCH(405,DESK!$AR$2:$AR$601,0)),""))</f>
        <v/>
      </c>
      <c r="G413" s="28" t="str">
        <f>IF(B413="","",INDEX(DESK!$AV$2:$AV$601,MATCH(405,DESK!$AR$2:$AR$601,0)))</f>
        <v/>
      </c>
      <c r="I413" s="21"/>
      <c r="J413" s="20"/>
      <c r="K413" s="20"/>
      <c r="L413" s="20"/>
      <c r="M413" s="23" t="str">
        <f t="shared" si="6"/>
        <v/>
      </c>
    </row>
    <row r="414" spans="1:13" x14ac:dyDescent="0.35">
      <c r="A414" s="28">
        <v>406</v>
      </c>
      <c r="B414" s="43" t="str">
        <f>IF(SETTINGS!$B$22&lt;&gt;"YES","",IFERROR(IF(OR($J$3="Everyone",INDEX(DESK!$AV$2:$AV$601,MATCH(406,DESK!$AR$2:$AR$601,0))="SEND"),"91"&amp;INDEX(DESK!$F$2:$F$601,MATCH(406,DESK!$AR$2:$AR$601,0)),""),""))</f>
        <v/>
      </c>
      <c r="C414" s="28" t="str">
        <f>IF(B414="","",IF(INDEX(DESK!$AC$2:$AC$601,MATCH(406,DESK!$AR$2:$AR$601,0))="YES","A","B"))</f>
        <v/>
      </c>
      <c r="D414" s="28" t="str">
        <f>IF(B414="","",INDEX(DESK!$AQ$2:$AQ$601,MATCH(406,DESK!$AR$2:$AR$601,0)))</f>
        <v/>
      </c>
      <c r="E414" s="28" t="str">
        <f>IF(B414="","",INDEX(DESK!$B$2:$B$601,MATCH(406,DESK!$AR$2:$AR$601,0))&amp;IF(COUNTIFS(DESK!$F$2:$F$601,INDEX(DESK!$F$2:$F$601,MATCH(406,DESK!$AR$2:$AR$601,0)),DESK!$L$2:$L$601,1)&gt;1," and "&amp;(COUNTIFS(DESK!$F$2:$F$601,INDEX(DESK!$F$2:$F$601,MATCH(406,DESK!$AR$2:$AR$601,0)),DESK!$L$2:$L$601,1)-1)&amp;" more",""))</f>
        <v/>
      </c>
      <c r="F414" s="28" t="str">
        <f>IF(B414="","",IF(C414="B",INDEX(DESK!$AD$2:$AD$601,MATCH(406,DESK!$AR$2:$AR$601,0)),""))</f>
        <v/>
      </c>
      <c r="G414" s="28" t="str">
        <f>IF(B414="","",INDEX(DESK!$AV$2:$AV$601,MATCH(406,DESK!$AR$2:$AR$601,0)))</f>
        <v/>
      </c>
      <c r="I414" s="21"/>
      <c r="J414" s="20"/>
      <c r="K414" s="20"/>
      <c r="L414" s="20"/>
      <c r="M414" s="23" t="str">
        <f t="shared" si="6"/>
        <v/>
      </c>
    </row>
    <row r="415" spans="1:13" x14ac:dyDescent="0.35">
      <c r="A415" s="28">
        <v>407</v>
      </c>
      <c r="B415" s="43" t="str">
        <f>IF(SETTINGS!$B$22&lt;&gt;"YES","",IFERROR(IF(OR($J$3="Everyone",INDEX(DESK!$AV$2:$AV$601,MATCH(407,DESK!$AR$2:$AR$601,0))="SEND"),"91"&amp;INDEX(DESK!$F$2:$F$601,MATCH(407,DESK!$AR$2:$AR$601,0)),""),""))</f>
        <v/>
      </c>
      <c r="C415" s="28" t="str">
        <f>IF(B415="","",IF(INDEX(DESK!$AC$2:$AC$601,MATCH(407,DESK!$AR$2:$AR$601,0))="YES","A","B"))</f>
        <v/>
      </c>
      <c r="D415" s="28" t="str">
        <f>IF(B415="","",INDEX(DESK!$AQ$2:$AQ$601,MATCH(407,DESK!$AR$2:$AR$601,0)))</f>
        <v/>
      </c>
      <c r="E415" s="28" t="str">
        <f>IF(B415="","",INDEX(DESK!$B$2:$B$601,MATCH(407,DESK!$AR$2:$AR$601,0))&amp;IF(COUNTIFS(DESK!$F$2:$F$601,INDEX(DESK!$F$2:$F$601,MATCH(407,DESK!$AR$2:$AR$601,0)),DESK!$L$2:$L$601,1)&gt;1," and "&amp;(COUNTIFS(DESK!$F$2:$F$601,INDEX(DESK!$F$2:$F$601,MATCH(407,DESK!$AR$2:$AR$601,0)),DESK!$L$2:$L$601,1)-1)&amp;" more",""))</f>
        <v/>
      </c>
      <c r="F415" s="28" t="str">
        <f>IF(B415="","",IF(C415="B",INDEX(DESK!$AD$2:$AD$601,MATCH(407,DESK!$AR$2:$AR$601,0)),""))</f>
        <v/>
      </c>
      <c r="G415" s="28" t="str">
        <f>IF(B415="","",INDEX(DESK!$AV$2:$AV$601,MATCH(407,DESK!$AR$2:$AR$601,0)))</f>
        <v/>
      </c>
      <c r="I415" s="21"/>
      <c r="J415" s="20"/>
      <c r="K415" s="20"/>
      <c r="L415" s="20"/>
      <c r="M415" s="23" t="str">
        <f t="shared" si="6"/>
        <v/>
      </c>
    </row>
    <row r="416" spans="1:13" x14ac:dyDescent="0.35">
      <c r="A416" s="28">
        <v>408</v>
      </c>
      <c r="B416" s="43" t="str">
        <f>IF(SETTINGS!$B$22&lt;&gt;"YES","",IFERROR(IF(OR($J$3="Everyone",INDEX(DESK!$AV$2:$AV$601,MATCH(408,DESK!$AR$2:$AR$601,0))="SEND"),"91"&amp;INDEX(DESK!$F$2:$F$601,MATCH(408,DESK!$AR$2:$AR$601,0)),""),""))</f>
        <v/>
      </c>
      <c r="C416" s="28" t="str">
        <f>IF(B416="","",IF(INDEX(DESK!$AC$2:$AC$601,MATCH(408,DESK!$AR$2:$AR$601,0))="YES","A","B"))</f>
        <v/>
      </c>
      <c r="D416" s="28" t="str">
        <f>IF(B416="","",INDEX(DESK!$AQ$2:$AQ$601,MATCH(408,DESK!$AR$2:$AR$601,0)))</f>
        <v/>
      </c>
      <c r="E416" s="28" t="str">
        <f>IF(B416="","",INDEX(DESK!$B$2:$B$601,MATCH(408,DESK!$AR$2:$AR$601,0))&amp;IF(COUNTIFS(DESK!$F$2:$F$601,INDEX(DESK!$F$2:$F$601,MATCH(408,DESK!$AR$2:$AR$601,0)),DESK!$L$2:$L$601,1)&gt;1," and "&amp;(COUNTIFS(DESK!$F$2:$F$601,INDEX(DESK!$F$2:$F$601,MATCH(408,DESK!$AR$2:$AR$601,0)),DESK!$L$2:$L$601,1)-1)&amp;" more",""))</f>
        <v/>
      </c>
      <c r="F416" s="28" t="str">
        <f>IF(B416="","",IF(C416="B",INDEX(DESK!$AD$2:$AD$601,MATCH(408,DESK!$AR$2:$AR$601,0)),""))</f>
        <v/>
      </c>
      <c r="G416" s="28" t="str">
        <f>IF(B416="","",INDEX(DESK!$AV$2:$AV$601,MATCH(408,DESK!$AR$2:$AR$601,0)))</f>
        <v/>
      </c>
      <c r="I416" s="21"/>
      <c r="J416" s="20"/>
      <c r="K416" s="20"/>
      <c r="L416" s="20"/>
      <c r="M416" s="23" t="str">
        <f t="shared" si="6"/>
        <v/>
      </c>
    </row>
    <row r="417" spans="1:13" x14ac:dyDescent="0.35">
      <c r="A417" s="28">
        <v>409</v>
      </c>
      <c r="B417" s="43" t="str">
        <f>IF(SETTINGS!$B$22&lt;&gt;"YES","",IFERROR(IF(OR($J$3="Everyone",INDEX(DESK!$AV$2:$AV$601,MATCH(409,DESK!$AR$2:$AR$601,0))="SEND"),"91"&amp;INDEX(DESK!$F$2:$F$601,MATCH(409,DESK!$AR$2:$AR$601,0)),""),""))</f>
        <v/>
      </c>
      <c r="C417" s="28" t="str">
        <f>IF(B417="","",IF(INDEX(DESK!$AC$2:$AC$601,MATCH(409,DESK!$AR$2:$AR$601,0))="YES","A","B"))</f>
        <v/>
      </c>
      <c r="D417" s="28" t="str">
        <f>IF(B417="","",INDEX(DESK!$AQ$2:$AQ$601,MATCH(409,DESK!$AR$2:$AR$601,0)))</f>
        <v/>
      </c>
      <c r="E417" s="28" t="str">
        <f>IF(B417="","",INDEX(DESK!$B$2:$B$601,MATCH(409,DESK!$AR$2:$AR$601,0))&amp;IF(COUNTIFS(DESK!$F$2:$F$601,INDEX(DESK!$F$2:$F$601,MATCH(409,DESK!$AR$2:$AR$601,0)),DESK!$L$2:$L$601,1)&gt;1," and "&amp;(COUNTIFS(DESK!$F$2:$F$601,INDEX(DESK!$F$2:$F$601,MATCH(409,DESK!$AR$2:$AR$601,0)),DESK!$L$2:$L$601,1)-1)&amp;" more",""))</f>
        <v/>
      </c>
      <c r="F417" s="28" t="str">
        <f>IF(B417="","",IF(C417="B",INDEX(DESK!$AD$2:$AD$601,MATCH(409,DESK!$AR$2:$AR$601,0)),""))</f>
        <v/>
      </c>
      <c r="G417" s="28" t="str">
        <f>IF(B417="","",INDEX(DESK!$AV$2:$AV$601,MATCH(409,DESK!$AR$2:$AR$601,0)))</f>
        <v/>
      </c>
      <c r="I417" s="21"/>
      <c r="J417" s="20"/>
      <c r="K417" s="20"/>
      <c r="L417" s="20"/>
      <c r="M417" s="23" t="str">
        <f t="shared" si="6"/>
        <v/>
      </c>
    </row>
    <row r="418" spans="1:13" x14ac:dyDescent="0.35">
      <c r="A418" s="28">
        <v>410</v>
      </c>
      <c r="B418" s="43" t="str">
        <f>IF(SETTINGS!$B$22&lt;&gt;"YES","",IFERROR(IF(OR($J$3="Everyone",INDEX(DESK!$AV$2:$AV$601,MATCH(410,DESK!$AR$2:$AR$601,0))="SEND"),"91"&amp;INDEX(DESK!$F$2:$F$601,MATCH(410,DESK!$AR$2:$AR$601,0)),""),""))</f>
        <v/>
      </c>
      <c r="C418" s="28" t="str">
        <f>IF(B418="","",IF(INDEX(DESK!$AC$2:$AC$601,MATCH(410,DESK!$AR$2:$AR$601,0))="YES","A","B"))</f>
        <v/>
      </c>
      <c r="D418" s="28" t="str">
        <f>IF(B418="","",INDEX(DESK!$AQ$2:$AQ$601,MATCH(410,DESK!$AR$2:$AR$601,0)))</f>
        <v/>
      </c>
      <c r="E418" s="28" t="str">
        <f>IF(B418="","",INDEX(DESK!$B$2:$B$601,MATCH(410,DESK!$AR$2:$AR$601,0))&amp;IF(COUNTIFS(DESK!$F$2:$F$601,INDEX(DESK!$F$2:$F$601,MATCH(410,DESK!$AR$2:$AR$601,0)),DESK!$L$2:$L$601,1)&gt;1," and "&amp;(COUNTIFS(DESK!$F$2:$F$601,INDEX(DESK!$F$2:$F$601,MATCH(410,DESK!$AR$2:$AR$601,0)),DESK!$L$2:$L$601,1)-1)&amp;" more",""))</f>
        <v/>
      </c>
      <c r="F418" s="28" t="str">
        <f>IF(B418="","",IF(C418="B",INDEX(DESK!$AD$2:$AD$601,MATCH(410,DESK!$AR$2:$AR$601,0)),""))</f>
        <v/>
      </c>
      <c r="G418" s="28" t="str">
        <f>IF(B418="","",INDEX(DESK!$AV$2:$AV$601,MATCH(410,DESK!$AR$2:$AR$601,0)))</f>
        <v/>
      </c>
      <c r="I418" s="21"/>
      <c r="J418" s="20"/>
      <c r="K418" s="20"/>
      <c r="L418" s="20"/>
      <c r="M418" s="23" t="str">
        <f t="shared" si="6"/>
        <v/>
      </c>
    </row>
    <row r="419" spans="1:13" x14ac:dyDescent="0.35">
      <c r="A419" s="28">
        <v>411</v>
      </c>
      <c r="B419" s="43" t="str">
        <f>IF(SETTINGS!$B$22&lt;&gt;"YES","",IFERROR(IF(OR($J$3="Everyone",INDEX(DESK!$AV$2:$AV$601,MATCH(411,DESK!$AR$2:$AR$601,0))="SEND"),"91"&amp;INDEX(DESK!$F$2:$F$601,MATCH(411,DESK!$AR$2:$AR$601,0)),""),""))</f>
        <v/>
      </c>
      <c r="C419" s="28" t="str">
        <f>IF(B419="","",IF(INDEX(DESK!$AC$2:$AC$601,MATCH(411,DESK!$AR$2:$AR$601,0))="YES","A","B"))</f>
        <v/>
      </c>
      <c r="D419" s="28" t="str">
        <f>IF(B419="","",INDEX(DESK!$AQ$2:$AQ$601,MATCH(411,DESK!$AR$2:$AR$601,0)))</f>
        <v/>
      </c>
      <c r="E419" s="28" t="str">
        <f>IF(B419="","",INDEX(DESK!$B$2:$B$601,MATCH(411,DESK!$AR$2:$AR$601,0))&amp;IF(COUNTIFS(DESK!$F$2:$F$601,INDEX(DESK!$F$2:$F$601,MATCH(411,DESK!$AR$2:$AR$601,0)),DESK!$L$2:$L$601,1)&gt;1," and "&amp;(COUNTIFS(DESK!$F$2:$F$601,INDEX(DESK!$F$2:$F$601,MATCH(411,DESK!$AR$2:$AR$601,0)),DESK!$L$2:$L$601,1)-1)&amp;" more",""))</f>
        <v/>
      </c>
      <c r="F419" s="28" t="str">
        <f>IF(B419="","",IF(C419="B",INDEX(DESK!$AD$2:$AD$601,MATCH(411,DESK!$AR$2:$AR$601,0)),""))</f>
        <v/>
      </c>
      <c r="G419" s="28" t="str">
        <f>IF(B419="","",INDEX(DESK!$AV$2:$AV$601,MATCH(411,DESK!$AR$2:$AR$601,0)))</f>
        <v/>
      </c>
      <c r="I419" s="21"/>
      <c r="J419" s="20"/>
      <c r="K419" s="20"/>
      <c r="L419" s="20"/>
      <c r="M419" s="23" t="str">
        <f t="shared" si="6"/>
        <v/>
      </c>
    </row>
    <row r="420" spans="1:13" x14ac:dyDescent="0.35">
      <c r="A420" s="28">
        <v>412</v>
      </c>
      <c r="B420" s="43" t="str">
        <f>IF(SETTINGS!$B$22&lt;&gt;"YES","",IFERROR(IF(OR($J$3="Everyone",INDEX(DESK!$AV$2:$AV$601,MATCH(412,DESK!$AR$2:$AR$601,0))="SEND"),"91"&amp;INDEX(DESK!$F$2:$F$601,MATCH(412,DESK!$AR$2:$AR$601,0)),""),""))</f>
        <v/>
      </c>
      <c r="C420" s="28" t="str">
        <f>IF(B420="","",IF(INDEX(DESK!$AC$2:$AC$601,MATCH(412,DESK!$AR$2:$AR$601,0))="YES","A","B"))</f>
        <v/>
      </c>
      <c r="D420" s="28" t="str">
        <f>IF(B420="","",INDEX(DESK!$AQ$2:$AQ$601,MATCH(412,DESK!$AR$2:$AR$601,0)))</f>
        <v/>
      </c>
      <c r="E420" s="28" t="str">
        <f>IF(B420="","",INDEX(DESK!$B$2:$B$601,MATCH(412,DESK!$AR$2:$AR$601,0))&amp;IF(COUNTIFS(DESK!$F$2:$F$601,INDEX(DESK!$F$2:$F$601,MATCH(412,DESK!$AR$2:$AR$601,0)),DESK!$L$2:$L$601,1)&gt;1," and "&amp;(COUNTIFS(DESK!$F$2:$F$601,INDEX(DESK!$F$2:$F$601,MATCH(412,DESK!$AR$2:$AR$601,0)),DESK!$L$2:$L$601,1)-1)&amp;" more",""))</f>
        <v/>
      </c>
      <c r="F420" s="28" t="str">
        <f>IF(B420="","",IF(C420="B",INDEX(DESK!$AD$2:$AD$601,MATCH(412,DESK!$AR$2:$AR$601,0)),""))</f>
        <v/>
      </c>
      <c r="G420" s="28" t="str">
        <f>IF(B420="","",INDEX(DESK!$AV$2:$AV$601,MATCH(412,DESK!$AR$2:$AR$601,0)))</f>
        <v/>
      </c>
      <c r="I420" s="21"/>
      <c r="J420" s="20"/>
      <c r="K420" s="20"/>
      <c r="L420" s="20"/>
      <c r="M420" s="23" t="str">
        <f t="shared" si="6"/>
        <v/>
      </c>
    </row>
    <row r="421" spans="1:13" x14ac:dyDescent="0.35">
      <c r="A421" s="28">
        <v>413</v>
      </c>
      <c r="B421" s="43" t="str">
        <f>IF(SETTINGS!$B$22&lt;&gt;"YES","",IFERROR(IF(OR($J$3="Everyone",INDEX(DESK!$AV$2:$AV$601,MATCH(413,DESK!$AR$2:$AR$601,0))="SEND"),"91"&amp;INDEX(DESK!$F$2:$F$601,MATCH(413,DESK!$AR$2:$AR$601,0)),""),""))</f>
        <v/>
      </c>
      <c r="C421" s="28" t="str">
        <f>IF(B421="","",IF(INDEX(DESK!$AC$2:$AC$601,MATCH(413,DESK!$AR$2:$AR$601,0))="YES","A","B"))</f>
        <v/>
      </c>
      <c r="D421" s="28" t="str">
        <f>IF(B421="","",INDEX(DESK!$AQ$2:$AQ$601,MATCH(413,DESK!$AR$2:$AR$601,0)))</f>
        <v/>
      </c>
      <c r="E421" s="28" t="str">
        <f>IF(B421="","",INDEX(DESK!$B$2:$B$601,MATCH(413,DESK!$AR$2:$AR$601,0))&amp;IF(COUNTIFS(DESK!$F$2:$F$601,INDEX(DESK!$F$2:$F$601,MATCH(413,DESK!$AR$2:$AR$601,0)),DESK!$L$2:$L$601,1)&gt;1," and "&amp;(COUNTIFS(DESK!$F$2:$F$601,INDEX(DESK!$F$2:$F$601,MATCH(413,DESK!$AR$2:$AR$601,0)),DESK!$L$2:$L$601,1)-1)&amp;" more",""))</f>
        <v/>
      </c>
      <c r="F421" s="28" t="str">
        <f>IF(B421="","",IF(C421="B",INDEX(DESK!$AD$2:$AD$601,MATCH(413,DESK!$AR$2:$AR$601,0)),""))</f>
        <v/>
      </c>
      <c r="G421" s="28" t="str">
        <f>IF(B421="","",INDEX(DESK!$AV$2:$AV$601,MATCH(413,DESK!$AR$2:$AR$601,0)))</f>
        <v/>
      </c>
      <c r="I421" s="21"/>
      <c r="J421" s="20"/>
      <c r="K421" s="20"/>
      <c r="L421" s="20"/>
      <c r="M421" s="23" t="str">
        <f t="shared" si="6"/>
        <v/>
      </c>
    </row>
    <row r="422" spans="1:13" x14ac:dyDescent="0.35">
      <c r="A422" s="28">
        <v>414</v>
      </c>
      <c r="B422" s="43" t="str">
        <f>IF(SETTINGS!$B$22&lt;&gt;"YES","",IFERROR(IF(OR($J$3="Everyone",INDEX(DESK!$AV$2:$AV$601,MATCH(414,DESK!$AR$2:$AR$601,0))="SEND"),"91"&amp;INDEX(DESK!$F$2:$F$601,MATCH(414,DESK!$AR$2:$AR$601,0)),""),""))</f>
        <v/>
      </c>
      <c r="C422" s="28" t="str">
        <f>IF(B422="","",IF(INDEX(DESK!$AC$2:$AC$601,MATCH(414,DESK!$AR$2:$AR$601,0))="YES","A","B"))</f>
        <v/>
      </c>
      <c r="D422" s="28" t="str">
        <f>IF(B422="","",INDEX(DESK!$AQ$2:$AQ$601,MATCH(414,DESK!$AR$2:$AR$601,0)))</f>
        <v/>
      </c>
      <c r="E422" s="28" t="str">
        <f>IF(B422="","",INDEX(DESK!$B$2:$B$601,MATCH(414,DESK!$AR$2:$AR$601,0))&amp;IF(COUNTIFS(DESK!$F$2:$F$601,INDEX(DESK!$F$2:$F$601,MATCH(414,DESK!$AR$2:$AR$601,0)),DESK!$L$2:$L$601,1)&gt;1," and "&amp;(COUNTIFS(DESK!$F$2:$F$601,INDEX(DESK!$F$2:$F$601,MATCH(414,DESK!$AR$2:$AR$601,0)),DESK!$L$2:$L$601,1)-1)&amp;" more",""))</f>
        <v/>
      </c>
      <c r="F422" s="28" t="str">
        <f>IF(B422="","",IF(C422="B",INDEX(DESK!$AD$2:$AD$601,MATCH(414,DESK!$AR$2:$AR$601,0)),""))</f>
        <v/>
      </c>
      <c r="G422" s="28" t="str">
        <f>IF(B422="","",INDEX(DESK!$AV$2:$AV$601,MATCH(414,DESK!$AR$2:$AR$601,0)))</f>
        <v/>
      </c>
      <c r="I422" s="21"/>
      <c r="J422" s="20"/>
      <c r="K422" s="20"/>
      <c r="L422" s="20"/>
      <c r="M422" s="23" t="str">
        <f t="shared" si="6"/>
        <v/>
      </c>
    </row>
    <row r="423" spans="1:13" x14ac:dyDescent="0.35">
      <c r="A423" s="28">
        <v>415</v>
      </c>
      <c r="B423" s="43" t="str">
        <f>IF(SETTINGS!$B$22&lt;&gt;"YES","",IFERROR(IF(OR($J$3="Everyone",INDEX(DESK!$AV$2:$AV$601,MATCH(415,DESK!$AR$2:$AR$601,0))="SEND"),"91"&amp;INDEX(DESK!$F$2:$F$601,MATCH(415,DESK!$AR$2:$AR$601,0)),""),""))</f>
        <v/>
      </c>
      <c r="C423" s="28" t="str">
        <f>IF(B423="","",IF(INDEX(DESK!$AC$2:$AC$601,MATCH(415,DESK!$AR$2:$AR$601,0))="YES","A","B"))</f>
        <v/>
      </c>
      <c r="D423" s="28" t="str">
        <f>IF(B423="","",INDEX(DESK!$AQ$2:$AQ$601,MATCH(415,DESK!$AR$2:$AR$601,0)))</f>
        <v/>
      </c>
      <c r="E423" s="28" t="str">
        <f>IF(B423="","",INDEX(DESK!$B$2:$B$601,MATCH(415,DESK!$AR$2:$AR$601,0))&amp;IF(COUNTIFS(DESK!$F$2:$F$601,INDEX(DESK!$F$2:$F$601,MATCH(415,DESK!$AR$2:$AR$601,0)),DESK!$L$2:$L$601,1)&gt;1," and "&amp;(COUNTIFS(DESK!$F$2:$F$601,INDEX(DESK!$F$2:$F$601,MATCH(415,DESK!$AR$2:$AR$601,0)),DESK!$L$2:$L$601,1)-1)&amp;" more",""))</f>
        <v/>
      </c>
      <c r="F423" s="28" t="str">
        <f>IF(B423="","",IF(C423="B",INDEX(DESK!$AD$2:$AD$601,MATCH(415,DESK!$AR$2:$AR$601,0)),""))</f>
        <v/>
      </c>
      <c r="G423" s="28" t="str">
        <f>IF(B423="","",INDEX(DESK!$AV$2:$AV$601,MATCH(415,DESK!$AR$2:$AR$601,0)))</f>
        <v/>
      </c>
      <c r="I423" s="21"/>
      <c r="J423" s="20"/>
      <c r="K423" s="20"/>
      <c r="L423" s="20"/>
      <c r="M423" s="23" t="str">
        <f t="shared" si="6"/>
        <v/>
      </c>
    </row>
    <row r="424" spans="1:13" x14ac:dyDescent="0.35">
      <c r="A424" s="28">
        <v>416</v>
      </c>
      <c r="B424" s="43" t="str">
        <f>IF(SETTINGS!$B$22&lt;&gt;"YES","",IFERROR(IF(OR($J$3="Everyone",INDEX(DESK!$AV$2:$AV$601,MATCH(416,DESK!$AR$2:$AR$601,0))="SEND"),"91"&amp;INDEX(DESK!$F$2:$F$601,MATCH(416,DESK!$AR$2:$AR$601,0)),""),""))</f>
        <v/>
      </c>
      <c r="C424" s="28" t="str">
        <f>IF(B424="","",IF(INDEX(DESK!$AC$2:$AC$601,MATCH(416,DESK!$AR$2:$AR$601,0))="YES","A","B"))</f>
        <v/>
      </c>
      <c r="D424" s="28" t="str">
        <f>IF(B424="","",INDEX(DESK!$AQ$2:$AQ$601,MATCH(416,DESK!$AR$2:$AR$601,0)))</f>
        <v/>
      </c>
      <c r="E424" s="28" t="str">
        <f>IF(B424="","",INDEX(DESK!$B$2:$B$601,MATCH(416,DESK!$AR$2:$AR$601,0))&amp;IF(COUNTIFS(DESK!$F$2:$F$601,INDEX(DESK!$F$2:$F$601,MATCH(416,DESK!$AR$2:$AR$601,0)),DESK!$L$2:$L$601,1)&gt;1," and "&amp;(COUNTIFS(DESK!$F$2:$F$601,INDEX(DESK!$F$2:$F$601,MATCH(416,DESK!$AR$2:$AR$601,0)),DESK!$L$2:$L$601,1)-1)&amp;" more",""))</f>
        <v/>
      </c>
      <c r="F424" s="28" t="str">
        <f>IF(B424="","",IF(C424="B",INDEX(DESK!$AD$2:$AD$601,MATCH(416,DESK!$AR$2:$AR$601,0)),""))</f>
        <v/>
      </c>
      <c r="G424" s="28" t="str">
        <f>IF(B424="","",INDEX(DESK!$AV$2:$AV$601,MATCH(416,DESK!$AR$2:$AR$601,0)))</f>
        <v/>
      </c>
      <c r="I424" s="21"/>
      <c r="J424" s="20"/>
      <c r="K424" s="20"/>
      <c r="L424" s="20"/>
      <c r="M424" s="23" t="str">
        <f t="shared" si="6"/>
        <v/>
      </c>
    </row>
    <row r="425" spans="1:13" x14ac:dyDescent="0.35">
      <c r="A425" s="28">
        <v>417</v>
      </c>
      <c r="B425" s="43" t="str">
        <f>IF(SETTINGS!$B$22&lt;&gt;"YES","",IFERROR(IF(OR($J$3="Everyone",INDEX(DESK!$AV$2:$AV$601,MATCH(417,DESK!$AR$2:$AR$601,0))="SEND"),"91"&amp;INDEX(DESK!$F$2:$F$601,MATCH(417,DESK!$AR$2:$AR$601,0)),""),""))</f>
        <v/>
      </c>
      <c r="C425" s="28" t="str">
        <f>IF(B425="","",IF(INDEX(DESK!$AC$2:$AC$601,MATCH(417,DESK!$AR$2:$AR$601,0))="YES","A","B"))</f>
        <v/>
      </c>
      <c r="D425" s="28" t="str">
        <f>IF(B425="","",INDEX(DESK!$AQ$2:$AQ$601,MATCH(417,DESK!$AR$2:$AR$601,0)))</f>
        <v/>
      </c>
      <c r="E425" s="28" t="str">
        <f>IF(B425="","",INDEX(DESK!$B$2:$B$601,MATCH(417,DESK!$AR$2:$AR$601,0))&amp;IF(COUNTIFS(DESK!$F$2:$F$601,INDEX(DESK!$F$2:$F$601,MATCH(417,DESK!$AR$2:$AR$601,0)),DESK!$L$2:$L$601,1)&gt;1," and "&amp;(COUNTIFS(DESK!$F$2:$F$601,INDEX(DESK!$F$2:$F$601,MATCH(417,DESK!$AR$2:$AR$601,0)),DESK!$L$2:$L$601,1)-1)&amp;" more",""))</f>
        <v/>
      </c>
      <c r="F425" s="28" t="str">
        <f>IF(B425="","",IF(C425="B",INDEX(DESK!$AD$2:$AD$601,MATCH(417,DESK!$AR$2:$AR$601,0)),""))</f>
        <v/>
      </c>
      <c r="G425" s="28" t="str">
        <f>IF(B425="","",INDEX(DESK!$AV$2:$AV$601,MATCH(417,DESK!$AR$2:$AR$601,0)))</f>
        <v/>
      </c>
      <c r="I425" s="21"/>
      <c r="J425" s="20"/>
      <c r="K425" s="20"/>
      <c r="L425" s="20"/>
      <c r="M425" s="23" t="str">
        <f t="shared" si="6"/>
        <v/>
      </c>
    </row>
    <row r="426" spans="1:13" x14ac:dyDescent="0.35">
      <c r="A426" s="28">
        <v>418</v>
      </c>
      <c r="B426" s="43" t="str">
        <f>IF(SETTINGS!$B$22&lt;&gt;"YES","",IFERROR(IF(OR($J$3="Everyone",INDEX(DESK!$AV$2:$AV$601,MATCH(418,DESK!$AR$2:$AR$601,0))="SEND"),"91"&amp;INDEX(DESK!$F$2:$F$601,MATCH(418,DESK!$AR$2:$AR$601,0)),""),""))</f>
        <v/>
      </c>
      <c r="C426" s="28" t="str">
        <f>IF(B426="","",IF(INDEX(DESK!$AC$2:$AC$601,MATCH(418,DESK!$AR$2:$AR$601,0))="YES","A","B"))</f>
        <v/>
      </c>
      <c r="D426" s="28" t="str">
        <f>IF(B426="","",INDEX(DESK!$AQ$2:$AQ$601,MATCH(418,DESK!$AR$2:$AR$601,0)))</f>
        <v/>
      </c>
      <c r="E426" s="28" t="str">
        <f>IF(B426="","",INDEX(DESK!$B$2:$B$601,MATCH(418,DESK!$AR$2:$AR$601,0))&amp;IF(COUNTIFS(DESK!$F$2:$F$601,INDEX(DESK!$F$2:$F$601,MATCH(418,DESK!$AR$2:$AR$601,0)),DESK!$L$2:$L$601,1)&gt;1," and "&amp;(COUNTIFS(DESK!$F$2:$F$601,INDEX(DESK!$F$2:$F$601,MATCH(418,DESK!$AR$2:$AR$601,0)),DESK!$L$2:$L$601,1)-1)&amp;" more",""))</f>
        <v/>
      </c>
      <c r="F426" s="28" t="str">
        <f>IF(B426="","",IF(C426="B",INDEX(DESK!$AD$2:$AD$601,MATCH(418,DESK!$AR$2:$AR$601,0)),""))</f>
        <v/>
      </c>
      <c r="G426" s="28" t="str">
        <f>IF(B426="","",INDEX(DESK!$AV$2:$AV$601,MATCH(418,DESK!$AR$2:$AR$601,0)))</f>
        <v/>
      </c>
      <c r="I426" s="21"/>
      <c r="J426" s="20"/>
      <c r="K426" s="20"/>
      <c r="L426" s="20"/>
      <c r="M426" s="23" t="str">
        <f t="shared" si="6"/>
        <v/>
      </c>
    </row>
    <row r="427" spans="1:13" x14ac:dyDescent="0.35">
      <c r="A427" s="28">
        <v>419</v>
      </c>
      <c r="B427" s="43" t="str">
        <f>IF(SETTINGS!$B$22&lt;&gt;"YES","",IFERROR(IF(OR($J$3="Everyone",INDEX(DESK!$AV$2:$AV$601,MATCH(419,DESK!$AR$2:$AR$601,0))="SEND"),"91"&amp;INDEX(DESK!$F$2:$F$601,MATCH(419,DESK!$AR$2:$AR$601,0)),""),""))</f>
        <v/>
      </c>
      <c r="C427" s="28" t="str">
        <f>IF(B427="","",IF(INDEX(DESK!$AC$2:$AC$601,MATCH(419,DESK!$AR$2:$AR$601,0))="YES","A","B"))</f>
        <v/>
      </c>
      <c r="D427" s="28" t="str">
        <f>IF(B427="","",INDEX(DESK!$AQ$2:$AQ$601,MATCH(419,DESK!$AR$2:$AR$601,0)))</f>
        <v/>
      </c>
      <c r="E427" s="28" t="str">
        <f>IF(B427="","",INDEX(DESK!$B$2:$B$601,MATCH(419,DESK!$AR$2:$AR$601,0))&amp;IF(COUNTIFS(DESK!$F$2:$F$601,INDEX(DESK!$F$2:$F$601,MATCH(419,DESK!$AR$2:$AR$601,0)),DESK!$L$2:$L$601,1)&gt;1," and "&amp;(COUNTIFS(DESK!$F$2:$F$601,INDEX(DESK!$F$2:$F$601,MATCH(419,DESK!$AR$2:$AR$601,0)),DESK!$L$2:$L$601,1)-1)&amp;" more",""))</f>
        <v/>
      </c>
      <c r="F427" s="28" t="str">
        <f>IF(B427="","",IF(C427="B",INDEX(DESK!$AD$2:$AD$601,MATCH(419,DESK!$AR$2:$AR$601,0)),""))</f>
        <v/>
      </c>
      <c r="G427" s="28" t="str">
        <f>IF(B427="","",INDEX(DESK!$AV$2:$AV$601,MATCH(419,DESK!$AR$2:$AR$601,0)))</f>
        <v/>
      </c>
      <c r="I427" s="21"/>
      <c r="J427" s="20"/>
      <c r="K427" s="20"/>
      <c r="L427" s="20"/>
      <c r="M427" s="23" t="str">
        <f t="shared" si="6"/>
        <v/>
      </c>
    </row>
    <row r="428" spans="1:13" x14ac:dyDescent="0.35">
      <c r="A428" s="28">
        <v>420</v>
      </c>
      <c r="B428" s="43" t="str">
        <f>IF(SETTINGS!$B$22&lt;&gt;"YES","",IFERROR(IF(OR($J$3="Everyone",INDEX(DESK!$AV$2:$AV$601,MATCH(420,DESK!$AR$2:$AR$601,0))="SEND"),"91"&amp;INDEX(DESK!$F$2:$F$601,MATCH(420,DESK!$AR$2:$AR$601,0)),""),""))</f>
        <v/>
      </c>
      <c r="C428" s="28" t="str">
        <f>IF(B428="","",IF(INDEX(DESK!$AC$2:$AC$601,MATCH(420,DESK!$AR$2:$AR$601,0))="YES","A","B"))</f>
        <v/>
      </c>
      <c r="D428" s="28" t="str">
        <f>IF(B428="","",INDEX(DESK!$AQ$2:$AQ$601,MATCH(420,DESK!$AR$2:$AR$601,0)))</f>
        <v/>
      </c>
      <c r="E428" s="28" t="str">
        <f>IF(B428="","",INDEX(DESK!$B$2:$B$601,MATCH(420,DESK!$AR$2:$AR$601,0))&amp;IF(COUNTIFS(DESK!$F$2:$F$601,INDEX(DESK!$F$2:$F$601,MATCH(420,DESK!$AR$2:$AR$601,0)),DESK!$L$2:$L$601,1)&gt;1," and "&amp;(COUNTIFS(DESK!$F$2:$F$601,INDEX(DESK!$F$2:$F$601,MATCH(420,DESK!$AR$2:$AR$601,0)),DESK!$L$2:$L$601,1)-1)&amp;" more",""))</f>
        <v/>
      </c>
      <c r="F428" s="28" t="str">
        <f>IF(B428="","",IF(C428="B",INDEX(DESK!$AD$2:$AD$601,MATCH(420,DESK!$AR$2:$AR$601,0)),""))</f>
        <v/>
      </c>
      <c r="G428" s="28" t="str">
        <f>IF(B428="","",INDEX(DESK!$AV$2:$AV$601,MATCH(420,DESK!$AR$2:$AR$601,0)))</f>
        <v/>
      </c>
      <c r="I428" s="21"/>
      <c r="J428" s="20"/>
      <c r="K428" s="20"/>
      <c r="L428" s="20"/>
      <c r="M428" s="23" t="str">
        <f t="shared" si="6"/>
        <v/>
      </c>
    </row>
    <row r="429" spans="1:13" x14ac:dyDescent="0.35">
      <c r="A429" s="28">
        <v>421</v>
      </c>
      <c r="B429" s="43" t="str">
        <f>IF(SETTINGS!$B$22&lt;&gt;"YES","",IFERROR(IF(OR($J$3="Everyone",INDEX(DESK!$AV$2:$AV$601,MATCH(421,DESK!$AR$2:$AR$601,0))="SEND"),"91"&amp;INDEX(DESK!$F$2:$F$601,MATCH(421,DESK!$AR$2:$AR$601,0)),""),""))</f>
        <v/>
      </c>
      <c r="C429" s="28" t="str">
        <f>IF(B429="","",IF(INDEX(DESK!$AC$2:$AC$601,MATCH(421,DESK!$AR$2:$AR$601,0))="YES","A","B"))</f>
        <v/>
      </c>
      <c r="D429" s="28" t="str">
        <f>IF(B429="","",INDEX(DESK!$AQ$2:$AQ$601,MATCH(421,DESK!$AR$2:$AR$601,0)))</f>
        <v/>
      </c>
      <c r="E429" s="28" t="str">
        <f>IF(B429="","",INDEX(DESK!$B$2:$B$601,MATCH(421,DESK!$AR$2:$AR$601,0))&amp;IF(COUNTIFS(DESK!$F$2:$F$601,INDEX(DESK!$F$2:$F$601,MATCH(421,DESK!$AR$2:$AR$601,0)),DESK!$L$2:$L$601,1)&gt;1," and "&amp;(COUNTIFS(DESK!$F$2:$F$601,INDEX(DESK!$F$2:$F$601,MATCH(421,DESK!$AR$2:$AR$601,0)),DESK!$L$2:$L$601,1)-1)&amp;" more",""))</f>
        <v/>
      </c>
      <c r="F429" s="28" t="str">
        <f>IF(B429="","",IF(C429="B",INDEX(DESK!$AD$2:$AD$601,MATCH(421,DESK!$AR$2:$AR$601,0)),""))</f>
        <v/>
      </c>
      <c r="G429" s="28" t="str">
        <f>IF(B429="","",INDEX(DESK!$AV$2:$AV$601,MATCH(421,DESK!$AR$2:$AR$601,0)))</f>
        <v/>
      </c>
      <c r="I429" s="21"/>
      <c r="J429" s="20"/>
      <c r="K429" s="20"/>
      <c r="L429" s="20"/>
      <c r="M429" s="23" t="str">
        <f t="shared" si="6"/>
        <v/>
      </c>
    </row>
    <row r="430" spans="1:13" x14ac:dyDescent="0.35">
      <c r="A430" s="28">
        <v>422</v>
      </c>
      <c r="B430" s="43" t="str">
        <f>IF(SETTINGS!$B$22&lt;&gt;"YES","",IFERROR(IF(OR($J$3="Everyone",INDEX(DESK!$AV$2:$AV$601,MATCH(422,DESK!$AR$2:$AR$601,0))="SEND"),"91"&amp;INDEX(DESK!$F$2:$F$601,MATCH(422,DESK!$AR$2:$AR$601,0)),""),""))</f>
        <v/>
      </c>
      <c r="C430" s="28" t="str">
        <f>IF(B430="","",IF(INDEX(DESK!$AC$2:$AC$601,MATCH(422,DESK!$AR$2:$AR$601,0))="YES","A","B"))</f>
        <v/>
      </c>
      <c r="D430" s="28" t="str">
        <f>IF(B430="","",INDEX(DESK!$AQ$2:$AQ$601,MATCH(422,DESK!$AR$2:$AR$601,0)))</f>
        <v/>
      </c>
      <c r="E430" s="28" t="str">
        <f>IF(B430="","",INDEX(DESK!$B$2:$B$601,MATCH(422,DESK!$AR$2:$AR$601,0))&amp;IF(COUNTIFS(DESK!$F$2:$F$601,INDEX(DESK!$F$2:$F$601,MATCH(422,DESK!$AR$2:$AR$601,0)),DESK!$L$2:$L$601,1)&gt;1," and "&amp;(COUNTIFS(DESK!$F$2:$F$601,INDEX(DESK!$F$2:$F$601,MATCH(422,DESK!$AR$2:$AR$601,0)),DESK!$L$2:$L$601,1)-1)&amp;" more",""))</f>
        <v/>
      </c>
      <c r="F430" s="28" t="str">
        <f>IF(B430="","",IF(C430="B",INDEX(DESK!$AD$2:$AD$601,MATCH(422,DESK!$AR$2:$AR$601,0)),""))</f>
        <v/>
      </c>
      <c r="G430" s="28" t="str">
        <f>IF(B430="","",INDEX(DESK!$AV$2:$AV$601,MATCH(422,DESK!$AR$2:$AR$601,0)))</f>
        <v/>
      </c>
      <c r="I430" s="21"/>
      <c r="J430" s="20"/>
      <c r="K430" s="20"/>
      <c r="L430" s="20"/>
      <c r="M430" s="23" t="str">
        <f t="shared" si="6"/>
        <v/>
      </c>
    </row>
    <row r="431" spans="1:13" x14ac:dyDescent="0.35">
      <c r="A431" s="28">
        <v>423</v>
      </c>
      <c r="B431" s="43" t="str">
        <f>IF(SETTINGS!$B$22&lt;&gt;"YES","",IFERROR(IF(OR($J$3="Everyone",INDEX(DESK!$AV$2:$AV$601,MATCH(423,DESK!$AR$2:$AR$601,0))="SEND"),"91"&amp;INDEX(DESK!$F$2:$F$601,MATCH(423,DESK!$AR$2:$AR$601,0)),""),""))</f>
        <v/>
      </c>
      <c r="C431" s="28" t="str">
        <f>IF(B431="","",IF(INDEX(DESK!$AC$2:$AC$601,MATCH(423,DESK!$AR$2:$AR$601,0))="YES","A","B"))</f>
        <v/>
      </c>
      <c r="D431" s="28" t="str">
        <f>IF(B431="","",INDEX(DESK!$AQ$2:$AQ$601,MATCH(423,DESK!$AR$2:$AR$601,0)))</f>
        <v/>
      </c>
      <c r="E431" s="28" t="str">
        <f>IF(B431="","",INDEX(DESK!$B$2:$B$601,MATCH(423,DESK!$AR$2:$AR$601,0))&amp;IF(COUNTIFS(DESK!$F$2:$F$601,INDEX(DESK!$F$2:$F$601,MATCH(423,DESK!$AR$2:$AR$601,0)),DESK!$L$2:$L$601,1)&gt;1," and "&amp;(COUNTIFS(DESK!$F$2:$F$601,INDEX(DESK!$F$2:$F$601,MATCH(423,DESK!$AR$2:$AR$601,0)),DESK!$L$2:$L$601,1)-1)&amp;" more",""))</f>
        <v/>
      </c>
      <c r="F431" s="28" t="str">
        <f>IF(B431="","",IF(C431="B",INDEX(DESK!$AD$2:$AD$601,MATCH(423,DESK!$AR$2:$AR$601,0)),""))</f>
        <v/>
      </c>
      <c r="G431" s="28" t="str">
        <f>IF(B431="","",INDEX(DESK!$AV$2:$AV$601,MATCH(423,DESK!$AR$2:$AR$601,0)))</f>
        <v/>
      </c>
      <c r="I431" s="21"/>
      <c r="J431" s="20"/>
      <c r="K431" s="20"/>
      <c r="L431" s="20"/>
      <c r="M431" s="23" t="str">
        <f t="shared" si="6"/>
        <v/>
      </c>
    </row>
    <row r="432" spans="1:13" x14ac:dyDescent="0.35">
      <c r="A432" s="28">
        <v>424</v>
      </c>
      <c r="B432" s="43" t="str">
        <f>IF(SETTINGS!$B$22&lt;&gt;"YES","",IFERROR(IF(OR($J$3="Everyone",INDEX(DESK!$AV$2:$AV$601,MATCH(424,DESK!$AR$2:$AR$601,0))="SEND"),"91"&amp;INDEX(DESK!$F$2:$F$601,MATCH(424,DESK!$AR$2:$AR$601,0)),""),""))</f>
        <v/>
      </c>
      <c r="C432" s="28" t="str">
        <f>IF(B432="","",IF(INDEX(DESK!$AC$2:$AC$601,MATCH(424,DESK!$AR$2:$AR$601,0))="YES","A","B"))</f>
        <v/>
      </c>
      <c r="D432" s="28" t="str">
        <f>IF(B432="","",INDEX(DESK!$AQ$2:$AQ$601,MATCH(424,DESK!$AR$2:$AR$601,0)))</f>
        <v/>
      </c>
      <c r="E432" s="28" t="str">
        <f>IF(B432="","",INDEX(DESK!$B$2:$B$601,MATCH(424,DESK!$AR$2:$AR$601,0))&amp;IF(COUNTIFS(DESK!$F$2:$F$601,INDEX(DESK!$F$2:$F$601,MATCH(424,DESK!$AR$2:$AR$601,0)),DESK!$L$2:$L$601,1)&gt;1," and "&amp;(COUNTIFS(DESK!$F$2:$F$601,INDEX(DESK!$F$2:$F$601,MATCH(424,DESK!$AR$2:$AR$601,0)),DESK!$L$2:$L$601,1)-1)&amp;" more",""))</f>
        <v/>
      </c>
      <c r="F432" s="28" t="str">
        <f>IF(B432="","",IF(C432="B",INDEX(DESK!$AD$2:$AD$601,MATCH(424,DESK!$AR$2:$AR$601,0)),""))</f>
        <v/>
      </c>
      <c r="G432" s="28" t="str">
        <f>IF(B432="","",INDEX(DESK!$AV$2:$AV$601,MATCH(424,DESK!$AR$2:$AR$601,0)))</f>
        <v/>
      </c>
      <c r="I432" s="21"/>
      <c r="J432" s="20"/>
      <c r="K432" s="20"/>
      <c r="L432" s="20"/>
      <c r="M432" s="23" t="str">
        <f t="shared" si="6"/>
        <v/>
      </c>
    </row>
    <row r="433" spans="1:13" x14ac:dyDescent="0.35">
      <c r="A433" s="28">
        <v>425</v>
      </c>
      <c r="B433" s="43" t="str">
        <f>IF(SETTINGS!$B$22&lt;&gt;"YES","",IFERROR(IF(OR($J$3="Everyone",INDEX(DESK!$AV$2:$AV$601,MATCH(425,DESK!$AR$2:$AR$601,0))="SEND"),"91"&amp;INDEX(DESK!$F$2:$F$601,MATCH(425,DESK!$AR$2:$AR$601,0)),""),""))</f>
        <v/>
      </c>
      <c r="C433" s="28" t="str">
        <f>IF(B433="","",IF(INDEX(DESK!$AC$2:$AC$601,MATCH(425,DESK!$AR$2:$AR$601,0))="YES","A","B"))</f>
        <v/>
      </c>
      <c r="D433" s="28" t="str">
        <f>IF(B433="","",INDEX(DESK!$AQ$2:$AQ$601,MATCH(425,DESK!$AR$2:$AR$601,0)))</f>
        <v/>
      </c>
      <c r="E433" s="28" t="str">
        <f>IF(B433="","",INDEX(DESK!$B$2:$B$601,MATCH(425,DESK!$AR$2:$AR$601,0))&amp;IF(COUNTIFS(DESK!$F$2:$F$601,INDEX(DESK!$F$2:$F$601,MATCH(425,DESK!$AR$2:$AR$601,0)),DESK!$L$2:$L$601,1)&gt;1," and "&amp;(COUNTIFS(DESK!$F$2:$F$601,INDEX(DESK!$F$2:$F$601,MATCH(425,DESK!$AR$2:$AR$601,0)),DESK!$L$2:$L$601,1)-1)&amp;" more",""))</f>
        <v/>
      </c>
      <c r="F433" s="28" t="str">
        <f>IF(B433="","",IF(C433="B",INDEX(DESK!$AD$2:$AD$601,MATCH(425,DESK!$AR$2:$AR$601,0)),""))</f>
        <v/>
      </c>
      <c r="G433" s="28" t="str">
        <f>IF(B433="","",INDEX(DESK!$AV$2:$AV$601,MATCH(425,DESK!$AR$2:$AR$601,0)))</f>
        <v/>
      </c>
      <c r="I433" s="21"/>
      <c r="J433" s="20"/>
      <c r="K433" s="20"/>
      <c r="L433" s="20"/>
      <c r="M433" s="23" t="str">
        <f t="shared" si="6"/>
        <v/>
      </c>
    </row>
    <row r="434" spans="1:13" x14ac:dyDescent="0.35">
      <c r="A434" s="28">
        <v>426</v>
      </c>
      <c r="B434" s="43" t="str">
        <f>IF(SETTINGS!$B$22&lt;&gt;"YES","",IFERROR(IF(OR($J$3="Everyone",INDEX(DESK!$AV$2:$AV$601,MATCH(426,DESK!$AR$2:$AR$601,0))="SEND"),"91"&amp;INDEX(DESK!$F$2:$F$601,MATCH(426,DESK!$AR$2:$AR$601,0)),""),""))</f>
        <v/>
      </c>
      <c r="C434" s="28" t="str">
        <f>IF(B434="","",IF(INDEX(DESK!$AC$2:$AC$601,MATCH(426,DESK!$AR$2:$AR$601,0))="YES","A","B"))</f>
        <v/>
      </c>
      <c r="D434" s="28" t="str">
        <f>IF(B434="","",INDEX(DESK!$AQ$2:$AQ$601,MATCH(426,DESK!$AR$2:$AR$601,0)))</f>
        <v/>
      </c>
      <c r="E434" s="28" t="str">
        <f>IF(B434="","",INDEX(DESK!$B$2:$B$601,MATCH(426,DESK!$AR$2:$AR$601,0))&amp;IF(COUNTIFS(DESK!$F$2:$F$601,INDEX(DESK!$F$2:$F$601,MATCH(426,DESK!$AR$2:$AR$601,0)),DESK!$L$2:$L$601,1)&gt;1," and "&amp;(COUNTIFS(DESK!$F$2:$F$601,INDEX(DESK!$F$2:$F$601,MATCH(426,DESK!$AR$2:$AR$601,0)),DESK!$L$2:$L$601,1)-1)&amp;" more",""))</f>
        <v/>
      </c>
      <c r="F434" s="28" t="str">
        <f>IF(B434="","",IF(C434="B",INDEX(DESK!$AD$2:$AD$601,MATCH(426,DESK!$AR$2:$AR$601,0)),""))</f>
        <v/>
      </c>
      <c r="G434" s="28" t="str">
        <f>IF(B434="","",INDEX(DESK!$AV$2:$AV$601,MATCH(426,DESK!$AR$2:$AR$601,0)))</f>
        <v/>
      </c>
      <c r="I434" s="21"/>
      <c r="J434" s="20"/>
      <c r="K434" s="20"/>
      <c r="L434" s="20"/>
      <c r="M434" s="23" t="str">
        <f t="shared" si="6"/>
        <v/>
      </c>
    </row>
    <row r="435" spans="1:13" x14ac:dyDescent="0.35">
      <c r="A435" s="28">
        <v>427</v>
      </c>
      <c r="B435" s="43" t="str">
        <f>IF(SETTINGS!$B$22&lt;&gt;"YES","",IFERROR(IF(OR($J$3="Everyone",INDEX(DESK!$AV$2:$AV$601,MATCH(427,DESK!$AR$2:$AR$601,0))="SEND"),"91"&amp;INDEX(DESK!$F$2:$F$601,MATCH(427,DESK!$AR$2:$AR$601,0)),""),""))</f>
        <v/>
      </c>
      <c r="C435" s="28" t="str">
        <f>IF(B435="","",IF(INDEX(DESK!$AC$2:$AC$601,MATCH(427,DESK!$AR$2:$AR$601,0))="YES","A","B"))</f>
        <v/>
      </c>
      <c r="D435" s="28" t="str">
        <f>IF(B435="","",INDEX(DESK!$AQ$2:$AQ$601,MATCH(427,DESK!$AR$2:$AR$601,0)))</f>
        <v/>
      </c>
      <c r="E435" s="28" t="str">
        <f>IF(B435="","",INDEX(DESK!$B$2:$B$601,MATCH(427,DESK!$AR$2:$AR$601,0))&amp;IF(COUNTIFS(DESK!$F$2:$F$601,INDEX(DESK!$F$2:$F$601,MATCH(427,DESK!$AR$2:$AR$601,0)),DESK!$L$2:$L$601,1)&gt;1," and "&amp;(COUNTIFS(DESK!$F$2:$F$601,INDEX(DESK!$F$2:$F$601,MATCH(427,DESK!$AR$2:$AR$601,0)),DESK!$L$2:$L$601,1)-1)&amp;" more",""))</f>
        <v/>
      </c>
      <c r="F435" s="28" t="str">
        <f>IF(B435="","",IF(C435="B",INDEX(DESK!$AD$2:$AD$601,MATCH(427,DESK!$AR$2:$AR$601,0)),""))</f>
        <v/>
      </c>
      <c r="G435" s="28" t="str">
        <f>IF(B435="","",INDEX(DESK!$AV$2:$AV$601,MATCH(427,DESK!$AR$2:$AR$601,0)))</f>
        <v/>
      </c>
      <c r="I435" s="21"/>
      <c r="J435" s="20"/>
      <c r="K435" s="20"/>
      <c r="L435" s="20"/>
      <c r="M435" s="23" t="str">
        <f t="shared" si="6"/>
        <v/>
      </c>
    </row>
    <row r="436" spans="1:13" x14ac:dyDescent="0.35">
      <c r="A436" s="28">
        <v>428</v>
      </c>
      <c r="B436" s="43" t="str">
        <f>IF(SETTINGS!$B$22&lt;&gt;"YES","",IFERROR(IF(OR($J$3="Everyone",INDEX(DESK!$AV$2:$AV$601,MATCH(428,DESK!$AR$2:$AR$601,0))="SEND"),"91"&amp;INDEX(DESK!$F$2:$F$601,MATCH(428,DESK!$AR$2:$AR$601,0)),""),""))</f>
        <v/>
      </c>
      <c r="C436" s="28" t="str">
        <f>IF(B436="","",IF(INDEX(DESK!$AC$2:$AC$601,MATCH(428,DESK!$AR$2:$AR$601,0))="YES","A","B"))</f>
        <v/>
      </c>
      <c r="D436" s="28" t="str">
        <f>IF(B436="","",INDEX(DESK!$AQ$2:$AQ$601,MATCH(428,DESK!$AR$2:$AR$601,0)))</f>
        <v/>
      </c>
      <c r="E436" s="28" t="str">
        <f>IF(B436="","",INDEX(DESK!$B$2:$B$601,MATCH(428,DESK!$AR$2:$AR$601,0))&amp;IF(COUNTIFS(DESK!$F$2:$F$601,INDEX(DESK!$F$2:$F$601,MATCH(428,DESK!$AR$2:$AR$601,0)),DESK!$L$2:$L$601,1)&gt;1," and "&amp;(COUNTIFS(DESK!$F$2:$F$601,INDEX(DESK!$F$2:$F$601,MATCH(428,DESK!$AR$2:$AR$601,0)),DESK!$L$2:$L$601,1)-1)&amp;" more",""))</f>
        <v/>
      </c>
      <c r="F436" s="28" t="str">
        <f>IF(B436="","",IF(C436="B",INDEX(DESK!$AD$2:$AD$601,MATCH(428,DESK!$AR$2:$AR$601,0)),""))</f>
        <v/>
      </c>
      <c r="G436" s="28" t="str">
        <f>IF(B436="","",INDEX(DESK!$AV$2:$AV$601,MATCH(428,DESK!$AR$2:$AR$601,0)))</f>
        <v/>
      </c>
      <c r="I436" s="21"/>
      <c r="J436" s="20"/>
      <c r="K436" s="20"/>
      <c r="L436" s="20"/>
      <c r="M436" s="23" t="str">
        <f t="shared" si="6"/>
        <v/>
      </c>
    </row>
    <row r="437" spans="1:13" x14ac:dyDescent="0.35">
      <c r="A437" s="28">
        <v>429</v>
      </c>
      <c r="B437" s="43" t="str">
        <f>IF(SETTINGS!$B$22&lt;&gt;"YES","",IFERROR(IF(OR($J$3="Everyone",INDEX(DESK!$AV$2:$AV$601,MATCH(429,DESK!$AR$2:$AR$601,0))="SEND"),"91"&amp;INDEX(DESK!$F$2:$F$601,MATCH(429,DESK!$AR$2:$AR$601,0)),""),""))</f>
        <v/>
      </c>
      <c r="C437" s="28" t="str">
        <f>IF(B437="","",IF(INDEX(DESK!$AC$2:$AC$601,MATCH(429,DESK!$AR$2:$AR$601,0))="YES","A","B"))</f>
        <v/>
      </c>
      <c r="D437" s="28" t="str">
        <f>IF(B437="","",INDEX(DESK!$AQ$2:$AQ$601,MATCH(429,DESK!$AR$2:$AR$601,0)))</f>
        <v/>
      </c>
      <c r="E437" s="28" t="str">
        <f>IF(B437="","",INDEX(DESK!$B$2:$B$601,MATCH(429,DESK!$AR$2:$AR$601,0))&amp;IF(COUNTIFS(DESK!$F$2:$F$601,INDEX(DESK!$F$2:$F$601,MATCH(429,DESK!$AR$2:$AR$601,0)),DESK!$L$2:$L$601,1)&gt;1," and "&amp;(COUNTIFS(DESK!$F$2:$F$601,INDEX(DESK!$F$2:$F$601,MATCH(429,DESK!$AR$2:$AR$601,0)),DESK!$L$2:$L$601,1)-1)&amp;" more",""))</f>
        <v/>
      </c>
      <c r="F437" s="28" t="str">
        <f>IF(B437="","",IF(C437="B",INDEX(DESK!$AD$2:$AD$601,MATCH(429,DESK!$AR$2:$AR$601,0)),""))</f>
        <v/>
      </c>
      <c r="G437" s="28" t="str">
        <f>IF(B437="","",INDEX(DESK!$AV$2:$AV$601,MATCH(429,DESK!$AR$2:$AR$601,0)))</f>
        <v/>
      </c>
      <c r="I437" s="21"/>
      <c r="J437" s="20"/>
      <c r="K437" s="20"/>
      <c r="L437" s="20"/>
      <c r="M437" s="23" t="str">
        <f t="shared" si="6"/>
        <v/>
      </c>
    </row>
    <row r="438" spans="1:13" x14ac:dyDescent="0.35">
      <c r="A438" s="28">
        <v>430</v>
      </c>
      <c r="B438" s="43" t="str">
        <f>IF(SETTINGS!$B$22&lt;&gt;"YES","",IFERROR(IF(OR($J$3="Everyone",INDEX(DESK!$AV$2:$AV$601,MATCH(430,DESK!$AR$2:$AR$601,0))="SEND"),"91"&amp;INDEX(DESK!$F$2:$F$601,MATCH(430,DESK!$AR$2:$AR$601,0)),""),""))</f>
        <v/>
      </c>
      <c r="C438" s="28" t="str">
        <f>IF(B438="","",IF(INDEX(DESK!$AC$2:$AC$601,MATCH(430,DESK!$AR$2:$AR$601,0))="YES","A","B"))</f>
        <v/>
      </c>
      <c r="D438" s="28" t="str">
        <f>IF(B438="","",INDEX(DESK!$AQ$2:$AQ$601,MATCH(430,DESK!$AR$2:$AR$601,0)))</f>
        <v/>
      </c>
      <c r="E438" s="28" t="str">
        <f>IF(B438="","",INDEX(DESK!$B$2:$B$601,MATCH(430,DESK!$AR$2:$AR$601,0))&amp;IF(COUNTIFS(DESK!$F$2:$F$601,INDEX(DESK!$F$2:$F$601,MATCH(430,DESK!$AR$2:$AR$601,0)),DESK!$L$2:$L$601,1)&gt;1," and "&amp;(COUNTIFS(DESK!$F$2:$F$601,INDEX(DESK!$F$2:$F$601,MATCH(430,DESK!$AR$2:$AR$601,0)),DESK!$L$2:$L$601,1)-1)&amp;" more",""))</f>
        <v/>
      </c>
      <c r="F438" s="28" t="str">
        <f>IF(B438="","",IF(C438="B",INDEX(DESK!$AD$2:$AD$601,MATCH(430,DESK!$AR$2:$AR$601,0)),""))</f>
        <v/>
      </c>
      <c r="G438" s="28" t="str">
        <f>IF(B438="","",INDEX(DESK!$AV$2:$AV$601,MATCH(430,DESK!$AR$2:$AR$601,0)))</f>
        <v/>
      </c>
      <c r="I438" s="21"/>
      <c r="J438" s="20"/>
      <c r="K438" s="20"/>
      <c r="L438" s="20"/>
      <c r="M438" s="23" t="str">
        <f t="shared" si="6"/>
        <v/>
      </c>
    </row>
    <row r="439" spans="1:13" x14ac:dyDescent="0.35">
      <c r="A439" s="28">
        <v>431</v>
      </c>
      <c r="B439" s="43" t="str">
        <f>IF(SETTINGS!$B$22&lt;&gt;"YES","",IFERROR(IF(OR($J$3="Everyone",INDEX(DESK!$AV$2:$AV$601,MATCH(431,DESK!$AR$2:$AR$601,0))="SEND"),"91"&amp;INDEX(DESK!$F$2:$F$601,MATCH(431,DESK!$AR$2:$AR$601,0)),""),""))</f>
        <v/>
      </c>
      <c r="C439" s="28" t="str">
        <f>IF(B439="","",IF(INDEX(DESK!$AC$2:$AC$601,MATCH(431,DESK!$AR$2:$AR$601,0))="YES","A","B"))</f>
        <v/>
      </c>
      <c r="D439" s="28" t="str">
        <f>IF(B439="","",INDEX(DESK!$AQ$2:$AQ$601,MATCH(431,DESK!$AR$2:$AR$601,0)))</f>
        <v/>
      </c>
      <c r="E439" s="28" t="str">
        <f>IF(B439="","",INDEX(DESK!$B$2:$B$601,MATCH(431,DESK!$AR$2:$AR$601,0))&amp;IF(COUNTIFS(DESK!$F$2:$F$601,INDEX(DESK!$F$2:$F$601,MATCH(431,DESK!$AR$2:$AR$601,0)),DESK!$L$2:$L$601,1)&gt;1," and "&amp;(COUNTIFS(DESK!$F$2:$F$601,INDEX(DESK!$F$2:$F$601,MATCH(431,DESK!$AR$2:$AR$601,0)),DESK!$L$2:$L$601,1)-1)&amp;" more",""))</f>
        <v/>
      </c>
      <c r="F439" s="28" t="str">
        <f>IF(B439="","",IF(C439="B",INDEX(DESK!$AD$2:$AD$601,MATCH(431,DESK!$AR$2:$AR$601,0)),""))</f>
        <v/>
      </c>
      <c r="G439" s="28" t="str">
        <f>IF(B439="","",INDEX(DESK!$AV$2:$AV$601,MATCH(431,DESK!$AR$2:$AR$601,0)))</f>
        <v/>
      </c>
      <c r="I439" s="21"/>
      <c r="J439" s="20"/>
      <c r="K439" s="20"/>
      <c r="L439" s="20"/>
      <c r="M439" s="23" t="str">
        <f t="shared" si="6"/>
        <v/>
      </c>
    </row>
    <row r="440" spans="1:13" x14ac:dyDescent="0.35">
      <c r="A440" s="28">
        <v>432</v>
      </c>
      <c r="B440" s="43" t="str">
        <f>IF(SETTINGS!$B$22&lt;&gt;"YES","",IFERROR(IF(OR($J$3="Everyone",INDEX(DESK!$AV$2:$AV$601,MATCH(432,DESK!$AR$2:$AR$601,0))="SEND"),"91"&amp;INDEX(DESK!$F$2:$F$601,MATCH(432,DESK!$AR$2:$AR$601,0)),""),""))</f>
        <v/>
      </c>
      <c r="C440" s="28" t="str">
        <f>IF(B440="","",IF(INDEX(DESK!$AC$2:$AC$601,MATCH(432,DESK!$AR$2:$AR$601,0))="YES","A","B"))</f>
        <v/>
      </c>
      <c r="D440" s="28" t="str">
        <f>IF(B440="","",INDEX(DESK!$AQ$2:$AQ$601,MATCH(432,DESK!$AR$2:$AR$601,0)))</f>
        <v/>
      </c>
      <c r="E440" s="28" t="str">
        <f>IF(B440="","",INDEX(DESK!$B$2:$B$601,MATCH(432,DESK!$AR$2:$AR$601,0))&amp;IF(COUNTIFS(DESK!$F$2:$F$601,INDEX(DESK!$F$2:$F$601,MATCH(432,DESK!$AR$2:$AR$601,0)),DESK!$L$2:$L$601,1)&gt;1," and "&amp;(COUNTIFS(DESK!$F$2:$F$601,INDEX(DESK!$F$2:$F$601,MATCH(432,DESK!$AR$2:$AR$601,0)),DESK!$L$2:$L$601,1)-1)&amp;" more",""))</f>
        <v/>
      </c>
      <c r="F440" s="28" t="str">
        <f>IF(B440="","",IF(C440="B",INDEX(DESK!$AD$2:$AD$601,MATCH(432,DESK!$AR$2:$AR$601,0)),""))</f>
        <v/>
      </c>
      <c r="G440" s="28" t="str">
        <f>IF(B440="","",INDEX(DESK!$AV$2:$AV$601,MATCH(432,DESK!$AR$2:$AR$601,0)))</f>
        <v/>
      </c>
      <c r="I440" s="21"/>
      <c r="J440" s="20"/>
      <c r="K440" s="20"/>
      <c r="L440" s="20"/>
      <c r="M440" s="23" t="str">
        <f t="shared" si="6"/>
        <v/>
      </c>
    </row>
    <row r="441" spans="1:13" x14ac:dyDescent="0.35">
      <c r="A441" s="28">
        <v>433</v>
      </c>
      <c r="B441" s="43" t="str">
        <f>IF(SETTINGS!$B$22&lt;&gt;"YES","",IFERROR(IF(OR($J$3="Everyone",INDEX(DESK!$AV$2:$AV$601,MATCH(433,DESK!$AR$2:$AR$601,0))="SEND"),"91"&amp;INDEX(DESK!$F$2:$F$601,MATCH(433,DESK!$AR$2:$AR$601,0)),""),""))</f>
        <v/>
      </c>
      <c r="C441" s="28" t="str">
        <f>IF(B441="","",IF(INDEX(DESK!$AC$2:$AC$601,MATCH(433,DESK!$AR$2:$AR$601,0))="YES","A","B"))</f>
        <v/>
      </c>
      <c r="D441" s="28" t="str">
        <f>IF(B441="","",INDEX(DESK!$AQ$2:$AQ$601,MATCH(433,DESK!$AR$2:$AR$601,0)))</f>
        <v/>
      </c>
      <c r="E441" s="28" t="str">
        <f>IF(B441="","",INDEX(DESK!$B$2:$B$601,MATCH(433,DESK!$AR$2:$AR$601,0))&amp;IF(COUNTIFS(DESK!$F$2:$F$601,INDEX(DESK!$F$2:$F$601,MATCH(433,DESK!$AR$2:$AR$601,0)),DESK!$L$2:$L$601,1)&gt;1," and "&amp;(COUNTIFS(DESK!$F$2:$F$601,INDEX(DESK!$F$2:$F$601,MATCH(433,DESK!$AR$2:$AR$601,0)),DESK!$L$2:$L$601,1)-1)&amp;" more",""))</f>
        <v/>
      </c>
      <c r="F441" s="28" t="str">
        <f>IF(B441="","",IF(C441="B",INDEX(DESK!$AD$2:$AD$601,MATCH(433,DESK!$AR$2:$AR$601,0)),""))</f>
        <v/>
      </c>
      <c r="G441" s="28" t="str">
        <f>IF(B441="","",INDEX(DESK!$AV$2:$AV$601,MATCH(433,DESK!$AR$2:$AR$601,0)))</f>
        <v/>
      </c>
      <c r="I441" s="21"/>
      <c r="J441" s="20"/>
      <c r="K441" s="20"/>
      <c r="L441" s="20"/>
      <c r="M441" s="23" t="str">
        <f t="shared" si="6"/>
        <v/>
      </c>
    </row>
    <row r="442" spans="1:13" x14ac:dyDescent="0.35">
      <c r="A442" s="28">
        <v>434</v>
      </c>
      <c r="B442" s="43" t="str">
        <f>IF(SETTINGS!$B$22&lt;&gt;"YES","",IFERROR(IF(OR($J$3="Everyone",INDEX(DESK!$AV$2:$AV$601,MATCH(434,DESK!$AR$2:$AR$601,0))="SEND"),"91"&amp;INDEX(DESK!$F$2:$F$601,MATCH(434,DESK!$AR$2:$AR$601,0)),""),""))</f>
        <v/>
      </c>
      <c r="C442" s="28" t="str">
        <f>IF(B442="","",IF(INDEX(DESK!$AC$2:$AC$601,MATCH(434,DESK!$AR$2:$AR$601,0))="YES","A","B"))</f>
        <v/>
      </c>
      <c r="D442" s="28" t="str">
        <f>IF(B442="","",INDEX(DESK!$AQ$2:$AQ$601,MATCH(434,DESK!$AR$2:$AR$601,0)))</f>
        <v/>
      </c>
      <c r="E442" s="28" t="str">
        <f>IF(B442="","",INDEX(DESK!$B$2:$B$601,MATCH(434,DESK!$AR$2:$AR$601,0))&amp;IF(COUNTIFS(DESK!$F$2:$F$601,INDEX(DESK!$F$2:$F$601,MATCH(434,DESK!$AR$2:$AR$601,0)),DESK!$L$2:$L$601,1)&gt;1," and "&amp;(COUNTIFS(DESK!$F$2:$F$601,INDEX(DESK!$F$2:$F$601,MATCH(434,DESK!$AR$2:$AR$601,0)),DESK!$L$2:$L$601,1)-1)&amp;" more",""))</f>
        <v/>
      </c>
      <c r="F442" s="28" t="str">
        <f>IF(B442="","",IF(C442="B",INDEX(DESK!$AD$2:$AD$601,MATCH(434,DESK!$AR$2:$AR$601,0)),""))</f>
        <v/>
      </c>
      <c r="G442" s="28" t="str">
        <f>IF(B442="","",INDEX(DESK!$AV$2:$AV$601,MATCH(434,DESK!$AR$2:$AR$601,0)))</f>
        <v/>
      </c>
      <c r="I442" s="21"/>
      <c r="J442" s="20"/>
      <c r="K442" s="20"/>
      <c r="L442" s="20"/>
      <c r="M442" s="23" t="str">
        <f t="shared" si="6"/>
        <v/>
      </c>
    </row>
    <row r="443" spans="1:13" x14ac:dyDescent="0.35">
      <c r="A443" s="28">
        <v>435</v>
      </c>
      <c r="B443" s="43" t="str">
        <f>IF(SETTINGS!$B$22&lt;&gt;"YES","",IFERROR(IF(OR($J$3="Everyone",INDEX(DESK!$AV$2:$AV$601,MATCH(435,DESK!$AR$2:$AR$601,0))="SEND"),"91"&amp;INDEX(DESK!$F$2:$F$601,MATCH(435,DESK!$AR$2:$AR$601,0)),""),""))</f>
        <v/>
      </c>
      <c r="C443" s="28" t="str">
        <f>IF(B443="","",IF(INDEX(DESK!$AC$2:$AC$601,MATCH(435,DESK!$AR$2:$AR$601,0))="YES","A","B"))</f>
        <v/>
      </c>
      <c r="D443" s="28" t="str">
        <f>IF(B443="","",INDEX(DESK!$AQ$2:$AQ$601,MATCH(435,DESK!$AR$2:$AR$601,0)))</f>
        <v/>
      </c>
      <c r="E443" s="28" t="str">
        <f>IF(B443="","",INDEX(DESK!$B$2:$B$601,MATCH(435,DESK!$AR$2:$AR$601,0))&amp;IF(COUNTIFS(DESK!$F$2:$F$601,INDEX(DESK!$F$2:$F$601,MATCH(435,DESK!$AR$2:$AR$601,0)),DESK!$L$2:$L$601,1)&gt;1," and "&amp;(COUNTIFS(DESK!$F$2:$F$601,INDEX(DESK!$F$2:$F$601,MATCH(435,DESK!$AR$2:$AR$601,0)),DESK!$L$2:$L$601,1)-1)&amp;" more",""))</f>
        <v/>
      </c>
      <c r="F443" s="28" t="str">
        <f>IF(B443="","",IF(C443="B",INDEX(DESK!$AD$2:$AD$601,MATCH(435,DESK!$AR$2:$AR$601,0)),""))</f>
        <v/>
      </c>
      <c r="G443" s="28" t="str">
        <f>IF(B443="","",INDEX(DESK!$AV$2:$AV$601,MATCH(435,DESK!$AR$2:$AR$601,0)))</f>
        <v/>
      </c>
      <c r="I443" s="21"/>
      <c r="J443" s="20"/>
      <c r="K443" s="20"/>
      <c r="L443" s="20"/>
      <c r="M443" s="23" t="str">
        <f t="shared" si="6"/>
        <v/>
      </c>
    </row>
    <row r="444" spans="1:13" x14ac:dyDescent="0.35">
      <c r="A444" s="28">
        <v>436</v>
      </c>
      <c r="B444" s="43" t="str">
        <f>IF(SETTINGS!$B$22&lt;&gt;"YES","",IFERROR(IF(OR($J$3="Everyone",INDEX(DESK!$AV$2:$AV$601,MATCH(436,DESK!$AR$2:$AR$601,0))="SEND"),"91"&amp;INDEX(DESK!$F$2:$F$601,MATCH(436,DESK!$AR$2:$AR$601,0)),""),""))</f>
        <v/>
      </c>
      <c r="C444" s="28" t="str">
        <f>IF(B444="","",IF(INDEX(DESK!$AC$2:$AC$601,MATCH(436,DESK!$AR$2:$AR$601,0))="YES","A","B"))</f>
        <v/>
      </c>
      <c r="D444" s="28" t="str">
        <f>IF(B444="","",INDEX(DESK!$AQ$2:$AQ$601,MATCH(436,DESK!$AR$2:$AR$601,0)))</f>
        <v/>
      </c>
      <c r="E444" s="28" t="str">
        <f>IF(B444="","",INDEX(DESK!$B$2:$B$601,MATCH(436,DESK!$AR$2:$AR$601,0))&amp;IF(COUNTIFS(DESK!$F$2:$F$601,INDEX(DESK!$F$2:$F$601,MATCH(436,DESK!$AR$2:$AR$601,0)),DESK!$L$2:$L$601,1)&gt;1," and "&amp;(COUNTIFS(DESK!$F$2:$F$601,INDEX(DESK!$F$2:$F$601,MATCH(436,DESK!$AR$2:$AR$601,0)),DESK!$L$2:$L$601,1)-1)&amp;" more",""))</f>
        <v/>
      </c>
      <c r="F444" s="28" t="str">
        <f>IF(B444="","",IF(C444="B",INDEX(DESK!$AD$2:$AD$601,MATCH(436,DESK!$AR$2:$AR$601,0)),""))</f>
        <v/>
      </c>
      <c r="G444" s="28" t="str">
        <f>IF(B444="","",INDEX(DESK!$AV$2:$AV$601,MATCH(436,DESK!$AR$2:$AR$601,0)))</f>
        <v/>
      </c>
      <c r="I444" s="21"/>
      <c r="J444" s="20"/>
      <c r="K444" s="20"/>
      <c r="L444" s="20"/>
      <c r="M444" s="23" t="str">
        <f t="shared" si="6"/>
        <v/>
      </c>
    </row>
    <row r="445" spans="1:13" x14ac:dyDescent="0.35">
      <c r="A445" s="28">
        <v>437</v>
      </c>
      <c r="B445" s="43" t="str">
        <f>IF(SETTINGS!$B$22&lt;&gt;"YES","",IFERROR(IF(OR($J$3="Everyone",INDEX(DESK!$AV$2:$AV$601,MATCH(437,DESK!$AR$2:$AR$601,0))="SEND"),"91"&amp;INDEX(DESK!$F$2:$F$601,MATCH(437,DESK!$AR$2:$AR$601,0)),""),""))</f>
        <v/>
      </c>
      <c r="C445" s="28" t="str">
        <f>IF(B445="","",IF(INDEX(DESK!$AC$2:$AC$601,MATCH(437,DESK!$AR$2:$AR$601,0))="YES","A","B"))</f>
        <v/>
      </c>
      <c r="D445" s="28" t="str">
        <f>IF(B445="","",INDEX(DESK!$AQ$2:$AQ$601,MATCH(437,DESK!$AR$2:$AR$601,0)))</f>
        <v/>
      </c>
      <c r="E445" s="28" t="str">
        <f>IF(B445="","",INDEX(DESK!$B$2:$B$601,MATCH(437,DESK!$AR$2:$AR$601,0))&amp;IF(COUNTIFS(DESK!$F$2:$F$601,INDEX(DESK!$F$2:$F$601,MATCH(437,DESK!$AR$2:$AR$601,0)),DESK!$L$2:$L$601,1)&gt;1," and "&amp;(COUNTIFS(DESK!$F$2:$F$601,INDEX(DESK!$F$2:$F$601,MATCH(437,DESK!$AR$2:$AR$601,0)),DESK!$L$2:$L$601,1)-1)&amp;" more",""))</f>
        <v/>
      </c>
      <c r="F445" s="28" t="str">
        <f>IF(B445="","",IF(C445="B",INDEX(DESK!$AD$2:$AD$601,MATCH(437,DESK!$AR$2:$AR$601,0)),""))</f>
        <v/>
      </c>
      <c r="G445" s="28" t="str">
        <f>IF(B445="","",INDEX(DESK!$AV$2:$AV$601,MATCH(437,DESK!$AR$2:$AR$601,0)))</f>
        <v/>
      </c>
      <c r="I445" s="21"/>
      <c r="J445" s="20"/>
      <c r="K445" s="20"/>
      <c r="L445" s="20"/>
      <c r="M445" s="23" t="str">
        <f t="shared" si="6"/>
        <v/>
      </c>
    </row>
    <row r="446" spans="1:13" x14ac:dyDescent="0.35">
      <c r="A446" s="28">
        <v>438</v>
      </c>
      <c r="B446" s="43" t="str">
        <f>IF(SETTINGS!$B$22&lt;&gt;"YES","",IFERROR(IF(OR($J$3="Everyone",INDEX(DESK!$AV$2:$AV$601,MATCH(438,DESK!$AR$2:$AR$601,0))="SEND"),"91"&amp;INDEX(DESK!$F$2:$F$601,MATCH(438,DESK!$AR$2:$AR$601,0)),""),""))</f>
        <v/>
      </c>
      <c r="C446" s="28" t="str">
        <f>IF(B446="","",IF(INDEX(DESK!$AC$2:$AC$601,MATCH(438,DESK!$AR$2:$AR$601,0))="YES","A","B"))</f>
        <v/>
      </c>
      <c r="D446" s="28" t="str">
        <f>IF(B446="","",INDEX(DESK!$AQ$2:$AQ$601,MATCH(438,DESK!$AR$2:$AR$601,0)))</f>
        <v/>
      </c>
      <c r="E446" s="28" t="str">
        <f>IF(B446="","",INDEX(DESK!$B$2:$B$601,MATCH(438,DESK!$AR$2:$AR$601,0))&amp;IF(COUNTIFS(DESK!$F$2:$F$601,INDEX(DESK!$F$2:$F$601,MATCH(438,DESK!$AR$2:$AR$601,0)),DESK!$L$2:$L$601,1)&gt;1," and "&amp;(COUNTIFS(DESK!$F$2:$F$601,INDEX(DESK!$F$2:$F$601,MATCH(438,DESK!$AR$2:$AR$601,0)),DESK!$L$2:$L$601,1)-1)&amp;" more",""))</f>
        <v/>
      </c>
      <c r="F446" s="28" t="str">
        <f>IF(B446="","",IF(C446="B",INDEX(DESK!$AD$2:$AD$601,MATCH(438,DESK!$AR$2:$AR$601,0)),""))</f>
        <v/>
      </c>
      <c r="G446" s="28" t="str">
        <f>IF(B446="","",INDEX(DESK!$AV$2:$AV$601,MATCH(438,DESK!$AR$2:$AR$601,0)))</f>
        <v/>
      </c>
      <c r="I446" s="21"/>
      <c r="J446" s="20"/>
      <c r="K446" s="20"/>
      <c r="L446" s="20"/>
      <c r="M446" s="23" t="str">
        <f t="shared" si="6"/>
        <v/>
      </c>
    </row>
    <row r="447" spans="1:13" x14ac:dyDescent="0.35">
      <c r="A447" s="28">
        <v>439</v>
      </c>
      <c r="B447" s="43" t="str">
        <f>IF(SETTINGS!$B$22&lt;&gt;"YES","",IFERROR(IF(OR($J$3="Everyone",INDEX(DESK!$AV$2:$AV$601,MATCH(439,DESK!$AR$2:$AR$601,0))="SEND"),"91"&amp;INDEX(DESK!$F$2:$F$601,MATCH(439,DESK!$AR$2:$AR$601,0)),""),""))</f>
        <v/>
      </c>
      <c r="C447" s="28" t="str">
        <f>IF(B447="","",IF(INDEX(DESK!$AC$2:$AC$601,MATCH(439,DESK!$AR$2:$AR$601,0))="YES","A","B"))</f>
        <v/>
      </c>
      <c r="D447" s="28" t="str">
        <f>IF(B447="","",INDEX(DESK!$AQ$2:$AQ$601,MATCH(439,DESK!$AR$2:$AR$601,0)))</f>
        <v/>
      </c>
      <c r="E447" s="28" t="str">
        <f>IF(B447="","",INDEX(DESK!$B$2:$B$601,MATCH(439,DESK!$AR$2:$AR$601,0))&amp;IF(COUNTIFS(DESK!$F$2:$F$601,INDEX(DESK!$F$2:$F$601,MATCH(439,DESK!$AR$2:$AR$601,0)),DESK!$L$2:$L$601,1)&gt;1," and "&amp;(COUNTIFS(DESK!$F$2:$F$601,INDEX(DESK!$F$2:$F$601,MATCH(439,DESK!$AR$2:$AR$601,0)),DESK!$L$2:$L$601,1)-1)&amp;" more",""))</f>
        <v/>
      </c>
      <c r="F447" s="28" t="str">
        <f>IF(B447="","",IF(C447="B",INDEX(DESK!$AD$2:$AD$601,MATCH(439,DESK!$AR$2:$AR$601,0)),""))</f>
        <v/>
      </c>
      <c r="G447" s="28" t="str">
        <f>IF(B447="","",INDEX(DESK!$AV$2:$AV$601,MATCH(439,DESK!$AR$2:$AR$601,0)))</f>
        <v/>
      </c>
      <c r="I447" s="21"/>
      <c r="J447" s="20"/>
      <c r="K447" s="20"/>
      <c r="L447" s="20"/>
      <c r="M447" s="23" t="str">
        <f t="shared" si="6"/>
        <v/>
      </c>
    </row>
    <row r="448" spans="1:13" x14ac:dyDescent="0.35">
      <c r="A448" s="28">
        <v>440</v>
      </c>
      <c r="B448" s="43" t="str">
        <f>IF(SETTINGS!$B$22&lt;&gt;"YES","",IFERROR(IF(OR($J$3="Everyone",INDEX(DESK!$AV$2:$AV$601,MATCH(440,DESK!$AR$2:$AR$601,0))="SEND"),"91"&amp;INDEX(DESK!$F$2:$F$601,MATCH(440,DESK!$AR$2:$AR$601,0)),""),""))</f>
        <v/>
      </c>
      <c r="C448" s="28" t="str">
        <f>IF(B448="","",IF(INDEX(DESK!$AC$2:$AC$601,MATCH(440,DESK!$AR$2:$AR$601,0))="YES","A","B"))</f>
        <v/>
      </c>
      <c r="D448" s="28" t="str">
        <f>IF(B448="","",INDEX(DESK!$AQ$2:$AQ$601,MATCH(440,DESK!$AR$2:$AR$601,0)))</f>
        <v/>
      </c>
      <c r="E448" s="28" t="str">
        <f>IF(B448="","",INDEX(DESK!$B$2:$B$601,MATCH(440,DESK!$AR$2:$AR$601,0))&amp;IF(COUNTIFS(DESK!$F$2:$F$601,INDEX(DESK!$F$2:$F$601,MATCH(440,DESK!$AR$2:$AR$601,0)),DESK!$L$2:$L$601,1)&gt;1," and "&amp;(COUNTIFS(DESK!$F$2:$F$601,INDEX(DESK!$F$2:$F$601,MATCH(440,DESK!$AR$2:$AR$601,0)),DESK!$L$2:$L$601,1)-1)&amp;" more",""))</f>
        <v/>
      </c>
      <c r="F448" s="28" t="str">
        <f>IF(B448="","",IF(C448="B",INDEX(DESK!$AD$2:$AD$601,MATCH(440,DESK!$AR$2:$AR$601,0)),""))</f>
        <v/>
      </c>
      <c r="G448" s="28" t="str">
        <f>IF(B448="","",INDEX(DESK!$AV$2:$AV$601,MATCH(440,DESK!$AR$2:$AR$601,0)))</f>
        <v/>
      </c>
      <c r="I448" s="21"/>
      <c r="J448" s="20"/>
      <c r="K448" s="20"/>
      <c r="L448" s="20"/>
      <c r="M448" s="23" t="str">
        <f t="shared" si="6"/>
        <v/>
      </c>
    </row>
    <row r="449" spans="1:13" x14ac:dyDescent="0.35">
      <c r="A449" s="28">
        <v>441</v>
      </c>
      <c r="B449" s="43" t="str">
        <f>IF(SETTINGS!$B$22&lt;&gt;"YES","",IFERROR(IF(OR($J$3="Everyone",INDEX(DESK!$AV$2:$AV$601,MATCH(441,DESK!$AR$2:$AR$601,0))="SEND"),"91"&amp;INDEX(DESK!$F$2:$F$601,MATCH(441,DESK!$AR$2:$AR$601,0)),""),""))</f>
        <v/>
      </c>
      <c r="C449" s="28" t="str">
        <f>IF(B449="","",IF(INDEX(DESK!$AC$2:$AC$601,MATCH(441,DESK!$AR$2:$AR$601,0))="YES","A","B"))</f>
        <v/>
      </c>
      <c r="D449" s="28" t="str">
        <f>IF(B449="","",INDEX(DESK!$AQ$2:$AQ$601,MATCH(441,DESK!$AR$2:$AR$601,0)))</f>
        <v/>
      </c>
      <c r="E449" s="28" t="str">
        <f>IF(B449="","",INDEX(DESK!$B$2:$B$601,MATCH(441,DESK!$AR$2:$AR$601,0))&amp;IF(COUNTIFS(DESK!$F$2:$F$601,INDEX(DESK!$F$2:$F$601,MATCH(441,DESK!$AR$2:$AR$601,0)),DESK!$L$2:$L$601,1)&gt;1," and "&amp;(COUNTIFS(DESK!$F$2:$F$601,INDEX(DESK!$F$2:$F$601,MATCH(441,DESK!$AR$2:$AR$601,0)),DESK!$L$2:$L$601,1)-1)&amp;" more",""))</f>
        <v/>
      </c>
      <c r="F449" s="28" t="str">
        <f>IF(B449="","",IF(C449="B",INDEX(DESK!$AD$2:$AD$601,MATCH(441,DESK!$AR$2:$AR$601,0)),""))</f>
        <v/>
      </c>
      <c r="G449" s="28" t="str">
        <f>IF(B449="","",INDEX(DESK!$AV$2:$AV$601,MATCH(441,DESK!$AR$2:$AR$601,0)))</f>
        <v/>
      </c>
      <c r="I449" s="21"/>
      <c r="J449" s="20"/>
      <c r="K449" s="20"/>
      <c r="L449" s="20"/>
      <c r="M449" s="23" t="str">
        <f t="shared" si="6"/>
        <v/>
      </c>
    </row>
    <row r="450" spans="1:13" x14ac:dyDescent="0.35">
      <c r="A450" s="28">
        <v>442</v>
      </c>
      <c r="B450" s="43" t="str">
        <f>IF(SETTINGS!$B$22&lt;&gt;"YES","",IFERROR(IF(OR($J$3="Everyone",INDEX(DESK!$AV$2:$AV$601,MATCH(442,DESK!$AR$2:$AR$601,0))="SEND"),"91"&amp;INDEX(DESK!$F$2:$F$601,MATCH(442,DESK!$AR$2:$AR$601,0)),""),""))</f>
        <v/>
      </c>
      <c r="C450" s="28" t="str">
        <f>IF(B450="","",IF(INDEX(DESK!$AC$2:$AC$601,MATCH(442,DESK!$AR$2:$AR$601,0))="YES","A","B"))</f>
        <v/>
      </c>
      <c r="D450" s="28" t="str">
        <f>IF(B450="","",INDEX(DESK!$AQ$2:$AQ$601,MATCH(442,DESK!$AR$2:$AR$601,0)))</f>
        <v/>
      </c>
      <c r="E450" s="28" t="str">
        <f>IF(B450="","",INDEX(DESK!$B$2:$B$601,MATCH(442,DESK!$AR$2:$AR$601,0))&amp;IF(COUNTIFS(DESK!$F$2:$F$601,INDEX(DESK!$F$2:$F$601,MATCH(442,DESK!$AR$2:$AR$601,0)),DESK!$L$2:$L$601,1)&gt;1," and "&amp;(COUNTIFS(DESK!$F$2:$F$601,INDEX(DESK!$F$2:$F$601,MATCH(442,DESK!$AR$2:$AR$601,0)),DESK!$L$2:$L$601,1)-1)&amp;" more",""))</f>
        <v/>
      </c>
      <c r="F450" s="28" t="str">
        <f>IF(B450="","",IF(C450="B",INDEX(DESK!$AD$2:$AD$601,MATCH(442,DESK!$AR$2:$AR$601,0)),""))</f>
        <v/>
      </c>
      <c r="G450" s="28" t="str">
        <f>IF(B450="","",INDEX(DESK!$AV$2:$AV$601,MATCH(442,DESK!$AR$2:$AR$601,0)))</f>
        <v/>
      </c>
      <c r="I450" s="21"/>
      <c r="J450" s="20"/>
      <c r="K450" s="20"/>
      <c r="L450" s="20"/>
      <c r="M450" s="23" t="str">
        <f t="shared" si="6"/>
        <v/>
      </c>
    </row>
    <row r="451" spans="1:13" x14ac:dyDescent="0.35">
      <c r="A451" s="28">
        <v>443</v>
      </c>
      <c r="B451" s="43" t="str">
        <f>IF(SETTINGS!$B$22&lt;&gt;"YES","",IFERROR(IF(OR($J$3="Everyone",INDEX(DESK!$AV$2:$AV$601,MATCH(443,DESK!$AR$2:$AR$601,0))="SEND"),"91"&amp;INDEX(DESK!$F$2:$F$601,MATCH(443,DESK!$AR$2:$AR$601,0)),""),""))</f>
        <v/>
      </c>
      <c r="C451" s="28" t="str">
        <f>IF(B451="","",IF(INDEX(DESK!$AC$2:$AC$601,MATCH(443,DESK!$AR$2:$AR$601,0))="YES","A","B"))</f>
        <v/>
      </c>
      <c r="D451" s="28" t="str">
        <f>IF(B451="","",INDEX(DESK!$AQ$2:$AQ$601,MATCH(443,DESK!$AR$2:$AR$601,0)))</f>
        <v/>
      </c>
      <c r="E451" s="28" t="str">
        <f>IF(B451="","",INDEX(DESK!$B$2:$B$601,MATCH(443,DESK!$AR$2:$AR$601,0))&amp;IF(COUNTIFS(DESK!$F$2:$F$601,INDEX(DESK!$F$2:$F$601,MATCH(443,DESK!$AR$2:$AR$601,0)),DESK!$L$2:$L$601,1)&gt;1," and "&amp;(COUNTIFS(DESK!$F$2:$F$601,INDEX(DESK!$F$2:$F$601,MATCH(443,DESK!$AR$2:$AR$601,0)),DESK!$L$2:$L$601,1)-1)&amp;" more",""))</f>
        <v/>
      </c>
      <c r="F451" s="28" t="str">
        <f>IF(B451="","",IF(C451="B",INDEX(DESK!$AD$2:$AD$601,MATCH(443,DESK!$AR$2:$AR$601,0)),""))</f>
        <v/>
      </c>
      <c r="G451" s="28" t="str">
        <f>IF(B451="","",INDEX(DESK!$AV$2:$AV$601,MATCH(443,DESK!$AR$2:$AR$601,0)))</f>
        <v/>
      </c>
      <c r="I451" s="21"/>
      <c r="J451" s="20"/>
      <c r="K451" s="20"/>
      <c r="L451" s="20"/>
      <c r="M451" s="23" t="str">
        <f t="shared" si="6"/>
        <v/>
      </c>
    </row>
    <row r="452" spans="1:13" x14ac:dyDescent="0.35">
      <c r="A452" s="28">
        <v>444</v>
      </c>
      <c r="B452" s="43" t="str">
        <f>IF(SETTINGS!$B$22&lt;&gt;"YES","",IFERROR(IF(OR($J$3="Everyone",INDEX(DESK!$AV$2:$AV$601,MATCH(444,DESK!$AR$2:$AR$601,0))="SEND"),"91"&amp;INDEX(DESK!$F$2:$F$601,MATCH(444,DESK!$AR$2:$AR$601,0)),""),""))</f>
        <v/>
      </c>
      <c r="C452" s="28" t="str">
        <f>IF(B452="","",IF(INDEX(DESK!$AC$2:$AC$601,MATCH(444,DESK!$AR$2:$AR$601,0))="YES","A","B"))</f>
        <v/>
      </c>
      <c r="D452" s="28" t="str">
        <f>IF(B452="","",INDEX(DESK!$AQ$2:$AQ$601,MATCH(444,DESK!$AR$2:$AR$601,0)))</f>
        <v/>
      </c>
      <c r="E452" s="28" t="str">
        <f>IF(B452="","",INDEX(DESK!$B$2:$B$601,MATCH(444,DESK!$AR$2:$AR$601,0))&amp;IF(COUNTIFS(DESK!$F$2:$F$601,INDEX(DESK!$F$2:$F$601,MATCH(444,DESK!$AR$2:$AR$601,0)),DESK!$L$2:$L$601,1)&gt;1," and "&amp;(COUNTIFS(DESK!$F$2:$F$601,INDEX(DESK!$F$2:$F$601,MATCH(444,DESK!$AR$2:$AR$601,0)),DESK!$L$2:$L$601,1)-1)&amp;" more",""))</f>
        <v/>
      </c>
      <c r="F452" s="28" t="str">
        <f>IF(B452="","",IF(C452="B",INDEX(DESK!$AD$2:$AD$601,MATCH(444,DESK!$AR$2:$AR$601,0)),""))</f>
        <v/>
      </c>
      <c r="G452" s="28" t="str">
        <f>IF(B452="","",INDEX(DESK!$AV$2:$AV$601,MATCH(444,DESK!$AR$2:$AR$601,0)))</f>
        <v/>
      </c>
      <c r="I452" s="21"/>
      <c r="J452" s="20"/>
      <c r="K452" s="20"/>
      <c r="L452" s="20"/>
      <c r="M452" s="23" t="str">
        <f t="shared" si="6"/>
        <v/>
      </c>
    </row>
    <row r="453" spans="1:13" x14ac:dyDescent="0.35">
      <c r="A453" s="28">
        <v>445</v>
      </c>
      <c r="B453" s="43" t="str">
        <f>IF(SETTINGS!$B$22&lt;&gt;"YES","",IFERROR(IF(OR($J$3="Everyone",INDEX(DESK!$AV$2:$AV$601,MATCH(445,DESK!$AR$2:$AR$601,0))="SEND"),"91"&amp;INDEX(DESK!$F$2:$F$601,MATCH(445,DESK!$AR$2:$AR$601,0)),""),""))</f>
        <v/>
      </c>
      <c r="C453" s="28" t="str">
        <f>IF(B453="","",IF(INDEX(DESK!$AC$2:$AC$601,MATCH(445,DESK!$AR$2:$AR$601,0))="YES","A","B"))</f>
        <v/>
      </c>
      <c r="D453" s="28" t="str">
        <f>IF(B453="","",INDEX(DESK!$AQ$2:$AQ$601,MATCH(445,DESK!$AR$2:$AR$601,0)))</f>
        <v/>
      </c>
      <c r="E453" s="28" t="str">
        <f>IF(B453="","",INDEX(DESK!$B$2:$B$601,MATCH(445,DESK!$AR$2:$AR$601,0))&amp;IF(COUNTIFS(DESK!$F$2:$F$601,INDEX(DESK!$F$2:$F$601,MATCH(445,DESK!$AR$2:$AR$601,0)),DESK!$L$2:$L$601,1)&gt;1," and "&amp;(COUNTIFS(DESK!$F$2:$F$601,INDEX(DESK!$F$2:$F$601,MATCH(445,DESK!$AR$2:$AR$601,0)),DESK!$L$2:$L$601,1)-1)&amp;" more",""))</f>
        <v/>
      </c>
      <c r="F453" s="28" t="str">
        <f>IF(B453="","",IF(C453="B",INDEX(DESK!$AD$2:$AD$601,MATCH(445,DESK!$AR$2:$AR$601,0)),""))</f>
        <v/>
      </c>
      <c r="G453" s="28" t="str">
        <f>IF(B453="","",INDEX(DESK!$AV$2:$AV$601,MATCH(445,DESK!$AR$2:$AR$601,0)))</f>
        <v/>
      </c>
      <c r="I453" s="21"/>
      <c r="J453" s="20"/>
      <c r="K453" s="20"/>
      <c r="L453" s="20"/>
      <c r="M453" s="23" t="str">
        <f t="shared" si="6"/>
        <v/>
      </c>
    </row>
    <row r="454" spans="1:13" x14ac:dyDescent="0.35">
      <c r="A454" s="28">
        <v>446</v>
      </c>
      <c r="B454" s="43" t="str">
        <f>IF(SETTINGS!$B$22&lt;&gt;"YES","",IFERROR(IF(OR($J$3="Everyone",INDEX(DESK!$AV$2:$AV$601,MATCH(446,DESK!$AR$2:$AR$601,0))="SEND"),"91"&amp;INDEX(DESK!$F$2:$F$601,MATCH(446,DESK!$AR$2:$AR$601,0)),""),""))</f>
        <v/>
      </c>
      <c r="C454" s="28" t="str">
        <f>IF(B454="","",IF(INDEX(DESK!$AC$2:$AC$601,MATCH(446,DESK!$AR$2:$AR$601,0))="YES","A","B"))</f>
        <v/>
      </c>
      <c r="D454" s="28" t="str">
        <f>IF(B454="","",INDEX(DESK!$AQ$2:$AQ$601,MATCH(446,DESK!$AR$2:$AR$601,0)))</f>
        <v/>
      </c>
      <c r="E454" s="28" t="str">
        <f>IF(B454="","",INDEX(DESK!$B$2:$B$601,MATCH(446,DESK!$AR$2:$AR$601,0))&amp;IF(COUNTIFS(DESK!$F$2:$F$601,INDEX(DESK!$F$2:$F$601,MATCH(446,DESK!$AR$2:$AR$601,0)),DESK!$L$2:$L$601,1)&gt;1," and "&amp;(COUNTIFS(DESK!$F$2:$F$601,INDEX(DESK!$F$2:$F$601,MATCH(446,DESK!$AR$2:$AR$601,0)),DESK!$L$2:$L$601,1)-1)&amp;" more",""))</f>
        <v/>
      </c>
      <c r="F454" s="28" t="str">
        <f>IF(B454="","",IF(C454="B",INDEX(DESK!$AD$2:$AD$601,MATCH(446,DESK!$AR$2:$AR$601,0)),""))</f>
        <v/>
      </c>
      <c r="G454" s="28" t="str">
        <f>IF(B454="","",INDEX(DESK!$AV$2:$AV$601,MATCH(446,DESK!$AR$2:$AR$601,0)))</f>
        <v/>
      </c>
      <c r="I454" s="21"/>
      <c r="J454" s="20"/>
      <c r="K454" s="20"/>
      <c r="L454" s="20"/>
      <c r="M454" s="23" t="str">
        <f t="shared" si="6"/>
        <v/>
      </c>
    </row>
    <row r="455" spans="1:13" x14ac:dyDescent="0.35">
      <c r="A455" s="28">
        <v>447</v>
      </c>
      <c r="B455" s="43" t="str">
        <f>IF(SETTINGS!$B$22&lt;&gt;"YES","",IFERROR(IF(OR($J$3="Everyone",INDEX(DESK!$AV$2:$AV$601,MATCH(447,DESK!$AR$2:$AR$601,0))="SEND"),"91"&amp;INDEX(DESK!$F$2:$F$601,MATCH(447,DESK!$AR$2:$AR$601,0)),""),""))</f>
        <v/>
      </c>
      <c r="C455" s="28" t="str">
        <f>IF(B455="","",IF(INDEX(DESK!$AC$2:$AC$601,MATCH(447,DESK!$AR$2:$AR$601,0))="YES","A","B"))</f>
        <v/>
      </c>
      <c r="D455" s="28" t="str">
        <f>IF(B455="","",INDEX(DESK!$AQ$2:$AQ$601,MATCH(447,DESK!$AR$2:$AR$601,0)))</f>
        <v/>
      </c>
      <c r="E455" s="28" t="str">
        <f>IF(B455="","",INDEX(DESK!$B$2:$B$601,MATCH(447,DESK!$AR$2:$AR$601,0))&amp;IF(COUNTIFS(DESK!$F$2:$F$601,INDEX(DESK!$F$2:$F$601,MATCH(447,DESK!$AR$2:$AR$601,0)),DESK!$L$2:$L$601,1)&gt;1," and "&amp;(COUNTIFS(DESK!$F$2:$F$601,INDEX(DESK!$F$2:$F$601,MATCH(447,DESK!$AR$2:$AR$601,0)),DESK!$L$2:$L$601,1)-1)&amp;" more",""))</f>
        <v/>
      </c>
      <c r="F455" s="28" t="str">
        <f>IF(B455="","",IF(C455="B",INDEX(DESK!$AD$2:$AD$601,MATCH(447,DESK!$AR$2:$AR$601,0)),""))</f>
        <v/>
      </c>
      <c r="G455" s="28" t="str">
        <f>IF(B455="","",INDEX(DESK!$AV$2:$AV$601,MATCH(447,DESK!$AR$2:$AR$601,0)))</f>
        <v/>
      </c>
      <c r="I455" s="21"/>
      <c r="J455" s="20"/>
      <c r="K455" s="20"/>
      <c r="L455" s="20"/>
      <c r="M455" s="23" t="str">
        <f t="shared" si="6"/>
        <v/>
      </c>
    </row>
    <row r="456" spans="1:13" x14ac:dyDescent="0.35">
      <c r="A456" s="28">
        <v>448</v>
      </c>
      <c r="B456" s="43" t="str">
        <f>IF(SETTINGS!$B$22&lt;&gt;"YES","",IFERROR(IF(OR($J$3="Everyone",INDEX(DESK!$AV$2:$AV$601,MATCH(448,DESK!$AR$2:$AR$601,0))="SEND"),"91"&amp;INDEX(DESK!$F$2:$F$601,MATCH(448,DESK!$AR$2:$AR$601,0)),""),""))</f>
        <v/>
      </c>
      <c r="C456" s="28" t="str">
        <f>IF(B456="","",IF(INDEX(DESK!$AC$2:$AC$601,MATCH(448,DESK!$AR$2:$AR$601,0))="YES","A","B"))</f>
        <v/>
      </c>
      <c r="D456" s="28" t="str">
        <f>IF(B456="","",INDEX(DESK!$AQ$2:$AQ$601,MATCH(448,DESK!$AR$2:$AR$601,0)))</f>
        <v/>
      </c>
      <c r="E456" s="28" t="str">
        <f>IF(B456="","",INDEX(DESK!$B$2:$B$601,MATCH(448,DESK!$AR$2:$AR$601,0))&amp;IF(COUNTIFS(DESK!$F$2:$F$601,INDEX(DESK!$F$2:$F$601,MATCH(448,DESK!$AR$2:$AR$601,0)),DESK!$L$2:$L$601,1)&gt;1," and "&amp;(COUNTIFS(DESK!$F$2:$F$601,INDEX(DESK!$F$2:$F$601,MATCH(448,DESK!$AR$2:$AR$601,0)),DESK!$L$2:$L$601,1)-1)&amp;" more",""))</f>
        <v/>
      </c>
      <c r="F456" s="28" t="str">
        <f>IF(B456="","",IF(C456="B",INDEX(DESK!$AD$2:$AD$601,MATCH(448,DESK!$AR$2:$AR$601,0)),""))</f>
        <v/>
      </c>
      <c r="G456" s="28" t="str">
        <f>IF(B456="","",INDEX(DESK!$AV$2:$AV$601,MATCH(448,DESK!$AR$2:$AR$601,0)))</f>
        <v/>
      </c>
      <c r="I456" s="21"/>
      <c r="J456" s="20"/>
      <c r="K456" s="20"/>
      <c r="L456" s="20"/>
      <c r="M456" s="23" t="str">
        <f t="shared" si="6"/>
        <v/>
      </c>
    </row>
    <row r="457" spans="1:13" x14ac:dyDescent="0.35">
      <c r="A457" s="28">
        <v>449</v>
      </c>
      <c r="B457" s="43" t="str">
        <f>IF(SETTINGS!$B$22&lt;&gt;"YES","",IFERROR(IF(OR($J$3="Everyone",INDEX(DESK!$AV$2:$AV$601,MATCH(449,DESK!$AR$2:$AR$601,0))="SEND"),"91"&amp;INDEX(DESK!$F$2:$F$601,MATCH(449,DESK!$AR$2:$AR$601,0)),""),""))</f>
        <v/>
      </c>
      <c r="C457" s="28" t="str">
        <f>IF(B457="","",IF(INDEX(DESK!$AC$2:$AC$601,MATCH(449,DESK!$AR$2:$AR$601,0))="YES","A","B"))</f>
        <v/>
      </c>
      <c r="D457" s="28" t="str">
        <f>IF(B457="","",INDEX(DESK!$AQ$2:$AQ$601,MATCH(449,DESK!$AR$2:$AR$601,0)))</f>
        <v/>
      </c>
      <c r="E457" s="28" t="str">
        <f>IF(B457="","",INDEX(DESK!$B$2:$B$601,MATCH(449,DESK!$AR$2:$AR$601,0))&amp;IF(COUNTIFS(DESK!$F$2:$F$601,INDEX(DESK!$F$2:$F$601,MATCH(449,DESK!$AR$2:$AR$601,0)),DESK!$L$2:$L$601,1)&gt;1," and "&amp;(COUNTIFS(DESK!$F$2:$F$601,INDEX(DESK!$F$2:$F$601,MATCH(449,DESK!$AR$2:$AR$601,0)),DESK!$L$2:$L$601,1)-1)&amp;" more",""))</f>
        <v/>
      </c>
      <c r="F457" s="28" t="str">
        <f>IF(B457="","",IF(C457="B",INDEX(DESK!$AD$2:$AD$601,MATCH(449,DESK!$AR$2:$AR$601,0)),""))</f>
        <v/>
      </c>
      <c r="G457" s="28" t="str">
        <f>IF(B457="","",INDEX(DESK!$AV$2:$AV$601,MATCH(449,DESK!$AR$2:$AR$601,0)))</f>
        <v/>
      </c>
      <c r="I457" s="21"/>
      <c r="J457" s="20"/>
      <c r="K457" s="20"/>
      <c r="L457" s="20"/>
      <c r="M457" s="23" t="str">
        <f t="shared" ref="M457:M520" si="7">IF(I457="","",RIGHT(SUBSTITUTE(SUBSTITUTE(I457&amp;""," ",""),"+",""),10))</f>
        <v/>
      </c>
    </row>
    <row r="458" spans="1:13" x14ac:dyDescent="0.35">
      <c r="A458" s="28">
        <v>450</v>
      </c>
      <c r="B458" s="43" t="str">
        <f>IF(SETTINGS!$B$22&lt;&gt;"YES","",IFERROR(IF(OR($J$3="Everyone",INDEX(DESK!$AV$2:$AV$601,MATCH(450,DESK!$AR$2:$AR$601,0))="SEND"),"91"&amp;INDEX(DESK!$F$2:$F$601,MATCH(450,DESK!$AR$2:$AR$601,0)),""),""))</f>
        <v/>
      </c>
      <c r="C458" s="28" t="str">
        <f>IF(B458="","",IF(INDEX(DESK!$AC$2:$AC$601,MATCH(450,DESK!$AR$2:$AR$601,0))="YES","A","B"))</f>
        <v/>
      </c>
      <c r="D458" s="28" t="str">
        <f>IF(B458="","",INDEX(DESK!$AQ$2:$AQ$601,MATCH(450,DESK!$AR$2:$AR$601,0)))</f>
        <v/>
      </c>
      <c r="E458" s="28" t="str">
        <f>IF(B458="","",INDEX(DESK!$B$2:$B$601,MATCH(450,DESK!$AR$2:$AR$601,0))&amp;IF(COUNTIFS(DESK!$F$2:$F$601,INDEX(DESK!$F$2:$F$601,MATCH(450,DESK!$AR$2:$AR$601,0)),DESK!$L$2:$L$601,1)&gt;1," and "&amp;(COUNTIFS(DESK!$F$2:$F$601,INDEX(DESK!$F$2:$F$601,MATCH(450,DESK!$AR$2:$AR$601,0)),DESK!$L$2:$L$601,1)-1)&amp;" more",""))</f>
        <v/>
      </c>
      <c r="F458" s="28" t="str">
        <f>IF(B458="","",IF(C458="B",INDEX(DESK!$AD$2:$AD$601,MATCH(450,DESK!$AR$2:$AR$601,0)),""))</f>
        <v/>
      </c>
      <c r="G458" s="28" t="str">
        <f>IF(B458="","",INDEX(DESK!$AV$2:$AV$601,MATCH(450,DESK!$AR$2:$AR$601,0)))</f>
        <v/>
      </c>
      <c r="I458" s="21"/>
      <c r="J458" s="20"/>
      <c r="K458" s="20"/>
      <c r="L458" s="20"/>
      <c r="M458" s="23" t="str">
        <f t="shared" si="7"/>
        <v/>
      </c>
    </row>
    <row r="459" spans="1:13" x14ac:dyDescent="0.35">
      <c r="A459" s="28">
        <v>451</v>
      </c>
      <c r="B459" s="43" t="str">
        <f>IF(SETTINGS!$B$22&lt;&gt;"YES","",IFERROR(IF(OR($J$3="Everyone",INDEX(DESK!$AV$2:$AV$601,MATCH(451,DESK!$AR$2:$AR$601,0))="SEND"),"91"&amp;INDEX(DESK!$F$2:$F$601,MATCH(451,DESK!$AR$2:$AR$601,0)),""),""))</f>
        <v/>
      </c>
      <c r="C459" s="28" t="str">
        <f>IF(B459="","",IF(INDEX(DESK!$AC$2:$AC$601,MATCH(451,DESK!$AR$2:$AR$601,0))="YES","A","B"))</f>
        <v/>
      </c>
      <c r="D459" s="28" t="str">
        <f>IF(B459="","",INDEX(DESK!$AQ$2:$AQ$601,MATCH(451,DESK!$AR$2:$AR$601,0)))</f>
        <v/>
      </c>
      <c r="E459" s="28" t="str">
        <f>IF(B459="","",INDEX(DESK!$B$2:$B$601,MATCH(451,DESK!$AR$2:$AR$601,0))&amp;IF(COUNTIFS(DESK!$F$2:$F$601,INDEX(DESK!$F$2:$F$601,MATCH(451,DESK!$AR$2:$AR$601,0)),DESK!$L$2:$L$601,1)&gt;1," and "&amp;(COUNTIFS(DESK!$F$2:$F$601,INDEX(DESK!$F$2:$F$601,MATCH(451,DESK!$AR$2:$AR$601,0)),DESK!$L$2:$L$601,1)-1)&amp;" more",""))</f>
        <v/>
      </c>
      <c r="F459" s="28" t="str">
        <f>IF(B459="","",IF(C459="B",INDEX(DESK!$AD$2:$AD$601,MATCH(451,DESK!$AR$2:$AR$601,0)),""))</f>
        <v/>
      </c>
      <c r="G459" s="28" t="str">
        <f>IF(B459="","",INDEX(DESK!$AV$2:$AV$601,MATCH(451,DESK!$AR$2:$AR$601,0)))</f>
        <v/>
      </c>
      <c r="I459" s="21"/>
      <c r="J459" s="20"/>
      <c r="K459" s="20"/>
      <c r="L459" s="20"/>
      <c r="M459" s="23" t="str">
        <f t="shared" si="7"/>
        <v/>
      </c>
    </row>
    <row r="460" spans="1:13" x14ac:dyDescent="0.35">
      <c r="A460" s="28">
        <v>452</v>
      </c>
      <c r="B460" s="43" t="str">
        <f>IF(SETTINGS!$B$22&lt;&gt;"YES","",IFERROR(IF(OR($J$3="Everyone",INDEX(DESK!$AV$2:$AV$601,MATCH(452,DESK!$AR$2:$AR$601,0))="SEND"),"91"&amp;INDEX(DESK!$F$2:$F$601,MATCH(452,DESK!$AR$2:$AR$601,0)),""),""))</f>
        <v/>
      </c>
      <c r="C460" s="28" t="str">
        <f>IF(B460="","",IF(INDEX(DESK!$AC$2:$AC$601,MATCH(452,DESK!$AR$2:$AR$601,0))="YES","A","B"))</f>
        <v/>
      </c>
      <c r="D460" s="28" t="str">
        <f>IF(B460="","",INDEX(DESK!$AQ$2:$AQ$601,MATCH(452,DESK!$AR$2:$AR$601,0)))</f>
        <v/>
      </c>
      <c r="E460" s="28" t="str">
        <f>IF(B460="","",INDEX(DESK!$B$2:$B$601,MATCH(452,DESK!$AR$2:$AR$601,0))&amp;IF(COUNTIFS(DESK!$F$2:$F$601,INDEX(DESK!$F$2:$F$601,MATCH(452,DESK!$AR$2:$AR$601,0)),DESK!$L$2:$L$601,1)&gt;1," and "&amp;(COUNTIFS(DESK!$F$2:$F$601,INDEX(DESK!$F$2:$F$601,MATCH(452,DESK!$AR$2:$AR$601,0)),DESK!$L$2:$L$601,1)-1)&amp;" more",""))</f>
        <v/>
      </c>
      <c r="F460" s="28" t="str">
        <f>IF(B460="","",IF(C460="B",INDEX(DESK!$AD$2:$AD$601,MATCH(452,DESK!$AR$2:$AR$601,0)),""))</f>
        <v/>
      </c>
      <c r="G460" s="28" t="str">
        <f>IF(B460="","",INDEX(DESK!$AV$2:$AV$601,MATCH(452,DESK!$AR$2:$AR$601,0)))</f>
        <v/>
      </c>
      <c r="I460" s="21"/>
      <c r="J460" s="20"/>
      <c r="K460" s="20"/>
      <c r="L460" s="20"/>
      <c r="M460" s="23" t="str">
        <f t="shared" si="7"/>
        <v/>
      </c>
    </row>
    <row r="461" spans="1:13" x14ac:dyDescent="0.35">
      <c r="A461" s="28">
        <v>453</v>
      </c>
      <c r="B461" s="43" t="str">
        <f>IF(SETTINGS!$B$22&lt;&gt;"YES","",IFERROR(IF(OR($J$3="Everyone",INDEX(DESK!$AV$2:$AV$601,MATCH(453,DESK!$AR$2:$AR$601,0))="SEND"),"91"&amp;INDEX(DESK!$F$2:$F$601,MATCH(453,DESK!$AR$2:$AR$601,0)),""),""))</f>
        <v/>
      </c>
      <c r="C461" s="28" t="str">
        <f>IF(B461="","",IF(INDEX(DESK!$AC$2:$AC$601,MATCH(453,DESK!$AR$2:$AR$601,0))="YES","A","B"))</f>
        <v/>
      </c>
      <c r="D461" s="28" t="str">
        <f>IF(B461="","",INDEX(DESK!$AQ$2:$AQ$601,MATCH(453,DESK!$AR$2:$AR$601,0)))</f>
        <v/>
      </c>
      <c r="E461" s="28" t="str">
        <f>IF(B461="","",INDEX(DESK!$B$2:$B$601,MATCH(453,DESK!$AR$2:$AR$601,0))&amp;IF(COUNTIFS(DESK!$F$2:$F$601,INDEX(DESK!$F$2:$F$601,MATCH(453,DESK!$AR$2:$AR$601,0)),DESK!$L$2:$L$601,1)&gt;1," and "&amp;(COUNTIFS(DESK!$F$2:$F$601,INDEX(DESK!$F$2:$F$601,MATCH(453,DESK!$AR$2:$AR$601,0)),DESK!$L$2:$L$601,1)-1)&amp;" more",""))</f>
        <v/>
      </c>
      <c r="F461" s="28" t="str">
        <f>IF(B461="","",IF(C461="B",INDEX(DESK!$AD$2:$AD$601,MATCH(453,DESK!$AR$2:$AR$601,0)),""))</f>
        <v/>
      </c>
      <c r="G461" s="28" t="str">
        <f>IF(B461="","",INDEX(DESK!$AV$2:$AV$601,MATCH(453,DESK!$AR$2:$AR$601,0)))</f>
        <v/>
      </c>
      <c r="I461" s="21"/>
      <c r="J461" s="20"/>
      <c r="K461" s="20"/>
      <c r="L461" s="20"/>
      <c r="M461" s="23" t="str">
        <f t="shared" si="7"/>
        <v/>
      </c>
    </row>
    <row r="462" spans="1:13" x14ac:dyDescent="0.35">
      <c r="A462" s="28">
        <v>454</v>
      </c>
      <c r="B462" s="43" t="str">
        <f>IF(SETTINGS!$B$22&lt;&gt;"YES","",IFERROR(IF(OR($J$3="Everyone",INDEX(DESK!$AV$2:$AV$601,MATCH(454,DESK!$AR$2:$AR$601,0))="SEND"),"91"&amp;INDEX(DESK!$F$2:$F$601,MATCH(454,DESK!$AR$2:$AR$601,0)),""),""))</f>
        <v/>
      </c>
      <c r="C462" s="28" t="str">
        <f>IF(B462="","",IF(INDEX(DESK!$AC$2:$AC$601,MATCH(454,DESK!$AR$2:$AR$601,0))="YES","A","B"))</f>
        <v/>
      </c>
      <c r="D462" s="28" t="str">
        <f>IF(B462="","",INDEX(DESK!$AQ$2:$AQ$601,MATCH(454,DESK!$AR$2:$AR$601,0)))</f>
        <v/>
      </c>
      <c r="E462" s="28" t="str">
        <f>IF(B462="","",INDEX(DESK!$B$2:$B$601,MATCH(454,DESK!$AR$2:$AR$601,0))&amp;IF(COUNTIFS(DESK!$F$2:$F$601,INDEX(DESK!$F$2:$F$601,MATCH(454,DESK!$AR$2:$AR$601,0)),DESK!$L$2:$L$601,1)&gt;1," and "&amp;(COUNTIFS(DESK!$F$2:$F$601,INDEX(DESK!$F$2:$F$601,MATCH(454,DESK!$AR$2:$AR$601,0)),DESK!$L$2:$L$601,1)-1)&amp;" more",""))</f>
        <v/>
      </c>
      <c r="F462" s="28" t="str">
        <f>IF(B462="","",IF(C462="B",INDEX(DESK!$AD$2:$AD$601,MATCH(454,DESK!$AR$2:$AR$601,0)),""))</f>
        <v/>
      </c>
      <c r="G462" s="28" t="str">
        <f>IF(B462="","",INDEX(DESK!$AV$2:$AV$601,MATCH(454,DESK!$AR$2:$AR$601,0)))</f>
        <v/>
      </c>
      <c r="I462" s="21"/>
      <c r="J462" s="20"/>
      <c r="K462" s="20"/>
      <c r="L462" s="20"/>
      <c r="M462" s="23" t="str">
        <f t="shared" si="7"/>
        <v/>
      </c>
    </row>
    <row r="463" spans="1:13" x14ac:dyDescent="0.35">
      <c r="A463" s="28">
        <v>455</v>
      </c>
      <c r="B463" s="43" t="str">
        <f>IF(SETTINGS!$B$22&lt;&gt;"YES","",IFERROR(IF(OR($J$3="Everyone",INDEX(DESK!$AV$2:$AV$601,MATCH(455,DESK!$AR$2:$AR$601,0))="SEND"),"91"&amp;INDEX(DESK!$F$2:$F$601,MATCH(455,DESK!$AR$2:$AR$601,0)),""),""))</f>
        <v/>
      </c>
      <c r="C463" s="28" t="str">
        <f>IF(B463="","",IF(INDEX(DESK!$AC$2:$AC$601,MATCH(455,DESK!$AR$2:$AR$601,0))="YES","A","B"))</f>
        <v/>
      </c>
      <c r="D463" s="28" t="str">
        <f>IF(B463="","",INDEX(DESK!$AQ$2:$AQ$601,MATCH(455,DESK!$AR$2:$AR$601,0)))</f>
        <v/>
      </c>
      <c r="E463" s="28" t="str">
        <f>IF(B463="","",INDEX(DESK!$B$2:$B$601,MATCH(455,DESK!$AR$2:$AR$601,0))&amp;IF(COUNTIFS(DESK!$F$2:$F$601,INDEX(DESK!$F$2:$F$601,MATCH(455,DESK!$AR$2:$AR$601,0)),DESK!$L$2:$L$601,1)&gt;1," and "&amp;(COUNTIFS(DESK!$F$2:$F$601,INDEX(DESK!$F$2:$F$601,MATCH(455,DESK!$AR$2:$AR$601,0)),DESK!$L$2:$L$601,1)-1)&amp;" more",""))</f>
        <v/>
      </c>
      <c r="F463" s="28" t="str">
        <f>IF(B463="","",IF(C463="B",INDEX(DESK!$AD$2:$AD$601,MATCH(455,DESK!$AR$2:$AR$601,0)),""))</f>
        <v/>
      </c>
      <c r="G463" s="28" t="str">
        <f>IF(B463="","",INDEX(DESK!$AV$2:$AV$601,MATCH(455,DESK!$AR$2:$AR$601,0)))</f>
        <v/>
      </c>
      <c r="I463" s="21"/>
      <c r="J463" s="20"/>
      <c r="K463" s="20"/>
      <c r="L463" s="20"/>
      <c r="M463" s="23" t="str">
        <f t="shared" si="7"/>
        <v/>
      </c>
    </row>
    <row r="464" spans="1:13" x14ac:dyDescent="0.35">
      <c r="A464" s="28">
        <v>456</v>
      </c>
      <c r="B464" s="43" t="str">
        <f>IF(SETTINGS!$B$22&lt;&gt;"YES","",IFERROR(IF(OR($J$3="Everyone",INDEX(DESK!$AV$2:$AV$601,MATCH(456,DESK!$AR$2:$AR$601,0))="SEND"),"91"&amp;INDEX(DESK!$F$2:$F$601,MATCH(456,DESK!$AR$2:$AR$601,0)),""),""))</f>
        <v/>
      </c>
      <c r="C464" s="28" t="str">
        <f>IF(B464="","",IF(INDEX(DESK!$AC$2:$AC$601,MATCH(456,DESK!$AR$2:$AR$601,0))="YES","A","B"))</f>
        <v/>
      </c>
      <c r="D464" s="28" t="str">
        <f>IF(B464="","",INDEX(DESK!$AQ$2:$AQ$601,MATCH(456,DESK!$AR$2:$AR$601,0)))</f>
        <v/>
      </c>
      <c r="E464" s="28" t="str">
        <f>IF(B464="","",INDEX(DESK!$B$2:$B$601,MATCH(456,DESK!$AR$2:$AR$601,0))&amp;IF(COUNTIFS(DESK!$F$2:$F$601,INDEX(DESK!$F$2:$F$601,MATCH(456,DESK!$AR$2:$AR$601,0)),DESK!$L$2:$L$601,1)&gt;1," and "&amp;(COUNTIFS(DESK!$F$2:$F$601,INDEX(DESK!$F$2:$F$601,MATCH(456,DESK!$AR$2:$AR$601,0)),DESK!$L$2:$L$601,1)-1)&amp;" more",""))</f>
        <v/>
      </c>
      <c r="F464" s="28" t="str">
        <f>IF(B464="","",IF(C464="B",INDEX(DESK!$AD$2:$AD$601,MATCH(456,DESK!$AR$2:$AR$601,0)),""))</f>
        <v/>
      </c>
      <c r="G464" s="28" t="str">
        <f>IF(B464="","",INDEX(DESK!$AV$2:$AV$601,MATCH(456,DESK!$AR$2:$AR$601,0)))</f>
        <v/>
      </c>
      <c r="I464" s="21"/>
      <c r="J464" s="20"/>
      <c r="K464" s="20"/>
      <c r="L464" s="20"/>
      <c r="M464" s="23" t="str">
        <f t="shared" si="7"/>
        <v/>
      </c>
    </row>
    <row r="465" spans="1:13" x14ac:dyDescent="0.35">
      <c r="A465" s="28">
        <v>457</v>
      </c>
      <c r="B465" s="43" t="str">
        <f>IF(SETTINGS!$B$22&lt;&gt;"YES","",IFERROR(IF(OR($J$3="Everyone",INDEX(DESK!$AV$2:$AV$601,MATCH(457,DESK!$AR$2:$AR$601,0))="SEND"),"91"&amp;INDEX(DESK!$F$2:$F$601,MATCH(457,DESK!$AR$2:$AR$601,0)),""),""))</f>
        <v/>
      </c>
      <c r="C465" s="28" t="str">
        <f>IF(B465="","",IF(INDEX(DESK!$AC$2:$AC$601,MATCH(457,DESK!$AR$2:$AR$601,0))="YES","A","B"))</f>
        <v/>
      </c>
      <c r="D465" s="28" t="str">
        <f>IF(B465="","",INDEX(DESK!$AQ$2:$AQ$601,MATCH(457,DESK!$AR$2:$AR$601,0)))</f>
        <v/>
      </c>
      <c r="E465" s="28" t="str">
        <f>IF(B465="","",INDEX(DESK!$B$2:$B$601,MATCH(457,DESK!$AR$2:$AR$601,0))&amp;IF(COUNTIFS(DESK!$F$2:$F$601,INDEX(DESK!$F$2:$F$601,MATCH(457,DESK!$AR$2:$AR$601,0)),DESK!$L$2:$L$601,1)&gt;1," and "&amp;(COUNTIFS(DESK!$F$2:$F$601,INDEX(DESK!$F$2:$F$601,MATCH(457,DESK!$AR$2:$AR$601,0)),DESK!$L$2:$L$601,1)-1)&amp;" more",""))</f>
        <v/>
      </c>
      <c r="F465" s="28" t="str">
        <f>IF(B465="","",IF(C465="B",INDEX(DESK!$AD$2:$AD$601,MATCH(457,DESK!$AR$2:$AR$601,0)),""))</f>
        <v/>
      </c>
      <c r="G465" s="28" t="str">
        <f>IF(B465="","",INDEX(DESK!$AV$2:$AV$601,MATCH(457,DESK!$AR$2:$AR$601,0)))</f>
        <v/>
      </c>
      <c r="I465" s="21"/>
      <c r="J465" s="20"/>
      <c r="K465" s="20"/>
      <c r="L465" s="20"/>
      <c r="M465" s="23" t="str">
        <f t="shared" si="7"/>
        <v/>
      </c>
    </row>
    <row r="466" spans="1:13" x14ac:dyDescent="0.35">
      <c r="A466" s="28">
        <v>458</v>
      </c>
      <c r="B466" s="43" t="str">
        <f>IF(SETTINGS!$B$22&lt;&gt;"YES","",IFERROR(IF(OR($J$3="Everyone",INDEX(DESK!$AV$2:$AV$601,MATCH(458,DESK!$AR$2:$AR$601,0))="SEND"),"91"&amp;INDEX(DESK!$F$2:$F$601,MATCH(458,DESK!$AR$2:$AR$601,0)),""),""))</f>
        <v/>
      </c>
      <c r="C466" s="28" t="str">
        <f>IF(B466="","",IF(INDEX(DESK!$AC$2:$AC$601,MATCH(458,DESK!$AR$2:$AR$601,0))="YES","A","B"))</f>
        <v/>
      </c>
      <c r="D466" s="28" t="str">
        <f>IF(B466="","",INDEX(DESK!$AQ$2:$AQ$601,MATCH(458,DESK!$AR$2:$AR$601,0)))</f>
        <v/>
      </c>
      <c r="E466" s="28" t="str">
        <f>IF(B466="","",INDEX(DESK!$B$2:$B$601,MATCH(458,DESK!$AR$2:$AR$601,0))&amp;IF(COUNTIFS(DESK!$F$2:$F$601,INDEX(DESK!$F$2:$F$601,MATCH(458,DESK!$AR$2:$AR$601,0)),DESK!$L$2:$L$601,1)&gt;1," and "&amp;(COUNTIFS(DESK!$F$2:$F$601,INDEX(DESK!$F$2:$F$601,MATCH(458,DESK!$AR$2:$AR$601,0)),DESK!$L$2:$L$601,1)-1)&amp;" more",""))</f>
        <v/>
      </c>
      <c r="F466" s="28" t="str">
        <f>IF(B466="","",IF(C466="B",INDEX(DESK!$AD$2:$AD$601,MATCH(458,DESK!$AR$2:$AR$601,0)),""))</f>
        <v/>
      </c>
      <c r="G466" s="28" t="str">
        <f>IF(B466="","",INDEX(DESK!$AV$2:$AV$601,MATCH(458,DESK!$AR$2:$AR$601,0)))</f>
        <v/>
      </c>
      <c r="I466" s="21"/>
      <c r="J466" s="20"/>
      <c r="K466" s="20"/>
      <c r="L466" s="20"/>
      <c r="M466" s="23" t="str">
        <f t="shared" si="7"/>
        <v/>
      </c>
    </row>
    <row r="467" spans="1:13" x14ac:dyDescent="0.35">
      <c r="A467" s="28">
        <v>459</v>
      </c>
      <c r="B467" s="43" t="str">
        <f>IF(SETTINGS!$B$22&lt;&gt;"YES","",IFERROR(IF(OR($J$3="Everyone",INDEX(DESK!$AV$2:$AV$601,MATCH(459,DESK!$AR$2:$AR$601,0))="SEND"),"91"&amp;INDEX(DESK!$F$2:$F$601,MATCH(459,DESK!$AR$2:$AR$601,0)),""),""))</f>
        <v/>
      </c>
      <c r="C467" s="28" t="str">
        <f>IF(B467="","",IF(INDEX(DESK!$AC$2:$AC$601,MATCH(459,DESK!$AR$2:$AR$601,0))="YES","A","B"))</f>
        <v/>
      </c>
      <c r="D467" s="28" t="str">
        <f>IF(B467="","",INDEX(DESK!$AQ$2:$AQ$601,MATCH(459,DESK!$AR$2:$AR$601,0)))</f>
        <v/>
      </c>
      <c r="E467" s="28" t="str">
        <f>IF(B467="","",INDEX(DESK!$B$2:$B$601,MATCH(459,DESK!$AR$2:$AR$601,0))&amp;IF(COUNTIFS(DESK!$F$2:$F$601,INDEX(DESK!$F$2:$F$601,MATCH(459,DESK!$AR$2:$AR$601,0)),DESK!$L$2:$L$601,1)&gt;1," and "&amp;(COUNTIFS(DESK!$F$2:$F$601,INDEX(DESK!$F$2:$F$601,MATCH(459,DESK!$AR$2:$AR$601,0)),DESK!$L$2:$L$601,1)-1)&amp;" more",""))</f>
        <v/>
      </c>
      <c r="F467" s="28" t="str">
        <f>IF(B467="","",IF(C467="B",INDEX(DESK!$AD$2:$AD$601,MATCH(459,DESK!$AR$2:$AR$601,0)),""))</f>
        <v/>
      </c>
      <c r="G467" s="28" t="str">
        <f>IF(B467="","",INDEX(DESK!$AV$2:$AV$601,MATCH(459,DESK!$AR$2:$AR$601,0)))</f>
        <v/>
      </c>
      <c r="I467" s="21"/>
      <c r="J467" s="20"/>
      <c r="K467" s="20"/>
      <c r="L467" s="20"/>
      <c r="M467" s="23" t="str">
        <f t="shared" si="7"/>
        <v/>
      </c>
    </row>
    <row r="468" spans="1:13" x14ac:dyDescent="0.35">
      <c r="A468" s="28">
        <v>460</v>
      </c>
      <c r="B468" s="43" t="str">
        <f>IF(SETTINGS!$B$22&lt;&gt;"YES","",IFERROR(IF(OR($J$3="Everyone",INDEX(DESK!$AV$2:$AV$601,MATCH(460,DESK!$AR$2:$AR$601,0))="SEND"),"91"&amp;INDEX(DESK!$F$2:$F$601,MATCH(460,DESK!$AR$2:$AR$601,0)),""),""))</f>
        <v/>
      </c>
      <c r="C468" s="28" t="str">
        <f>IF(B468="","",IF(INDEX(DESK!$AC$2:$AC$601,MATCH(460,DESK!$AR$2:$AR$601,0))="YES","A","B"))</f>
        <v/>
      </c>
      <c r="D468" s="28" t="str">
        <f>IF(B468="","",INDEX(DESK!$AQ$2:$AQ$601,MATCH(460,DESK!$AR$2:$AR$601,0)))</f>
        <v/>
      </c>
      <c r="E468" s="28" t="str">
        <f>IF(B468="","",INDEX(DESK!$B$2:$B$601,MATCH(460,DESK!$AR$2:$AR$601,0))&amp;IF(COUNTIFS(DESK!$F$2:$F$601,INDEX(DESK!$F$2:$F$601,MATCH(460,DESK!$AR$2:$AR$601,0)),DESK!$L$2:$L$601,1)&gt;1," and "&amp;(COUNTIFS(DESK!$F$2:$F$601,INDEX(DESK!$F$2:$F$601,MATCH(460,DESK!$AR$2:$AR$601,0)),DESK!$L$2:$L$601,1)-1)&amp;" more",""))</f>
        <v/>
      </c>
      <c r="F468" s="28" t="str">
        <f>IF(B468="","",IF(C468="B",INDEX(DESK!$AD$2:$AD$601,MATCH(460,DESK!$AR$2:$AR$601,0)),""))</f>
        <v/>
      </c>
      <c r="G468" s="28" t="str">
        <f>IF(B468="","",INDEX(DESK!$AV$2:$AV$601,MATCH(460,DESK!$AR$2:$AR$601,0)))</f>
        <v/>
      </c>
      <c r="I468" s="21"/>
      <c r="J468" s="20"/>
      <c r="K468" s="20"/>
      <c r="L468" s="20"/>
      <c r="M468" s="23" t="str">
        <f t="shared" si="7"/>
        <v/>
      </c>
    </row>
    <row r="469" spans="1:13" x14ac:dyDescent="0.35">
      <c r="A469" s="28">
        <v>461</v>
      </c>
      <c r="B469" s="43" t="str">
        <f>IF(SETTINGS!$B$22&lt;&gt;"YES","",IFERROR(IF(OR($J$3="Everyone",INDEX(DESK!$AV$2:$AV$601,MATCH(461,DESK!$AR$2:$AR$601,0))="SEND"),"91"&amp;INDEX(DESK!$F$2:$F$601,MATCH(461,DESK!$AR$2:$AR$601,0)),""),""))</f>
        <v/>
      </c>
      <c r="C469" s="28" t="str">
        <f>IF(B469="","",IF(INDEX(DESK!$AC$2:$AC$601,MATCH(461,DESK!$AR$2:$AR$601,0))="YES","A","B"))</f>
        <v/>
      </c>
      <c r="D469" s="28" t="str">
        <f>IF(B469="","",INDEX(DESK!$AQ$2:$AQ$601,MATCH(461,DESK!$AR$2:$AR$601,0)))</f>
        <v/>
      </c>
      <c r="E469" s="28" t="str">
        <f>IF(B469="","",INDEX(DESK!$B$2:$B$601,MATCH(461,DESK!$AR$2:$AR$601,0))&amp;IF(COUNTIFS(DESK!$F$2:$F$601,INDEX(DESK!$F$2:$F$601,MATCH(461,DESK!$AR$2:$AR$601,0)),DESK!$L$2:$L$601,1)&gt;1," and "&amp;(COUNTIFS(DESK!$F$2:$F$601,INDEX(DESK!$F$2:$F$601,MATCH(461,DESK!$AR$2:$AR$601,0)),DESK!$L$2:$L$601,1)-1)&amp;" more",""))</f>
        <v/>
      </c>
      <c r="F469" s="28" t="str">
        <f>IF(B469="","",IF(C469="B",INDEX(DESK!$AD$2:$AD$601,MATCH(461,DESK!$AR$2:$AR$601,0)),""))</f>
        <v/>
      </c>
      <c r="G469" s="28" t="str">
        <f>IF(B469="","",INDEX(DESK!$AV$2:$AV$601,MATCH(461,DESK!$AR$2:$AR$601,0)))</f>
        <v/>
      </c>
      <c r="I469" s="21"/>
      <c r="J469" s="20"/>
      <c r="K469" s="20"/>
      <c r="L469" s="20"/>
      <c r="M469" s="23" t="str">
        <f t="shared" si="7"/>
        <v/>
      </c>
    </row>
    <row r="470" spans="1:13" x14ac:dyDescent="0.35">
      <c r="A470" s="28">
        <v>462</v>
      </c>
      <c r="B470" s="43" t="str">
        <f>IF(SETTINGS!$B$22&lt;&gt;"YES","",IFERROR(IF(OR($J$3="Everyone",INDEX(DESK!$AV$2:$AV$601,MATCH(462,DESK!$AR$2:$AR$601,0))="SEND"),"91"&amp;INDEX(DESK!$F$2:$F$601,MATCH(462,DESK!$AR$2:$AR$601,0)),""),""))</f>
        <v/>
      </c>
      <c r="C470" s="28" t="str">
        <f>IF(B470="","",IF(INDEX(DESK!$AC$2:$AC$601,MATCH(462,DESK!$AR$2:$AR$601,0))="YES","A","B"))</f>
        <v/>
      </c>
      <c r="D470" s="28" t="str">
        <f>IF(B470="","",INDEX(DESK!$AQ$2:$AQ$601,MATCH(462,DESK!$AR$2:$AR$601,0)))</f>
        <v/>
      </c>
      <c r="E470" s="28" t="str">
        <f>IF(B470="","",INDEX(DESK!$B$2:$B$601,MATCH(462,DESK!$AR$2:$AR$601,0))&amp;IF(COUNTIFS(DESK!$F$2:$F$601,INDEX(DESK!$F$2:$F$601,MATCH(462,DESK!$AR$2:$AR$601,0)),DESK!$L$2:$L$601,1)&gt;1," and "&amp;(COUNTIFS(DESK!$F$2:$F$601,INDEX(DESK!$F$2:$F$601,MATCH(462,DESK!$AR$2:$AR$601,0)),DESK!$L$2:$L$601,1)-1)&amp;" more",""))</f>
        <v/>
      </c>
      <c r="F470" s="28" t="str">
        <f>IF(B470="","",IF(C470="B",INDEX(DESK!$AD$2:$AD$601,MATCH(462,DESK!$AR$2:$AR$601,0)),""))</f>
        <v/>
      </c>
      <c r="G470" s="28" t="str">
        <f>IF(B470="","",INDEX(DESK!$AV$2:$AV$601,MATCH(462,DESK!$AR$2:$AR$601,0)))</f>
        <v/>
      </c>
      <c r="I470" s="21"/>
      <c r="J470" s="20"/>
      <c r="K470" s="20"/>
      <c r="L470" s="20"/>
      <c r="M470" s="23" t="str">
        <f t="shared" si="7"/>
        <v/>
      </c>
    </row>
    <row r="471" spans="1:13" x14ac:dyDescent="0.35">
      <c r="A471" s="28">
        <v>463</v>
      </c>
      <c r="B471" s="43" t="str">
        <f>IF(SETTINGS!$B$22&lt;&gt;"YES","",IFERROR(IF(OR($J$3="Everyone",INDEX(DESK!$AV$2:$AV$601,MATCH(463,DESK!$AR$2:$AR$601,0))="SEND"),"91"&amp;INDEX(DESK!$F$2:$F$601,MATCH(463,DESK!$AR$2:$AR$601,0)),""),""))</f>
        <v/>
      </c>
      <c r="C471" s="28" t="str">
        <f>IF(B471="","",IF(INDEX(DESK!$AC$2:$AC$601,MATCH(463,DESK!$AR$2:$AR$601,0))="YES","A","B"))</f>
        <v/>
      </c>
      <c r="D471" s="28" t="str">
        <f>IF(B471="","",INDEX(DESK!$AQ$2:$AQ$601,MATCH(463,DESK!$AR$2:$AR$601,0)))</f>
        <v/>
      </c>
      <c r="E471" s="28" t="str">
        <f>IF(B471="","",INDEX(DESK!$B$2:$B$601,MATCH(463,DESK!$AR$2:$AR$601,0))&amp;IF(COUNTIFS(DESK!$F$2:$F$601,INDEX(DESK!$F$2:$F$601,MATCH(463,DESK!$AR$2:$AR$601,0)),DESK!$L$2:$L$601,1)&gt;1," and "&amp;(COUNTIFS(DESK!$F$2:$F$601,INDEX(DESK!$F$2:$F$601,MATCH(463,DESK!$AR$2:$AR$601,0)),DESK!$L$2:$L$601,1)-1)&amp;" more",""))</f>
        <v/>
      </c>
      <c r="F471" s="28" t="str">
        <f>IF(B471="","",IF(C471="B",INDEX(DESK!$AD$2:$AD$601,MATCH(463,DESK!$AR$2:$AR$601,0)),""))</f>
        <v/>
      </c>
      <c r="G471" s="28" t="str">
        <f>IF(B471="","",INDEX(DESK!$AV$2:$AV$601,MATCH(463,DESK!$AR$2:$AR$601,0)))</f>
        <v/>
      </c>
      <c r="I471" s="21"/>
      <c r="J471" s="20"/>
      <c r="K471" s="20"/>
      <c r="L471" s="20"/>
      <c r="M471" s="23" t="str">
        <f t="shared" si="7"/>
        <v/>
      </c>
    </row>
    <row r="472" spans="1:13" x14ac:dyDescent="0.35">
      <c r="A472" s="28">
        <v>464</v>
      </c>
      <c r="B472" s="43" t="str">
        <f>IF(SETTINGS!$B$22&lt;&gt;"YES","",IFERROR(IF(OR($J$3="Everyone",INDEX(DESK!$AV$2:$AV$601,MATCH(464,DESK!$AR$2:$AR$601,0))="SEND"),"91"&amp;INDEX(DESK!$F$2:$F$601,MATCH(464,DESK!$AR$2:$AR$601,0)),""),""))</f>
        <v/>
      </c>
      <c r="C472" s="28" t="str">
        <f>IF(B472="","",IF(INDEX(DESK!$AC$2:$AC$601,MATCH(464,DESK!$AR$2:$AR$601,0))="YES","A","B"))</f>
        <v/>
      </c>
      <c r="D472" s="28" t="str">
        <f>IF(B472="","",INDEX(DESK!$AQ$2:$AQ$601,MATCH(464,DESK!$AR$2:$AR$601,0)))</f>
        <v/>
      </c>
      <c r="E472" s="28" t="str">
        <f>IF(B472="","",INDEX(DESK!$B$2:$B$601,MATCH(464,DESK!$AR$2:$AR$601,0))&amp;IF(COUNTIFS(DESK!$F$2:$F$601,INDEX(DESK!$F$2:$F$601,MATCH(464,DESK!$AR$2:$AR$601,0)),DESK!$L$2:$L$601,1)&gt;1," and "&amp;(COUNTIFS(DESK!$F$2:$F$601,INDEX(DESK!$F$2:$F$601,MATCH(464,DESK!$AR$2:$AR$601,0)),DESK!$L$2:$L$601,1)-1)&amp;" more",""))</f>
        <v/>
      </c>
      <c r="F472" s="28" t="str">
        <f>IF(B472="","",IF(C472="B",INDEX(DESK!$AD$2:$AD$601,MATCH(464,DESK!$AR$2:$AR$601,0)),""))</f>
        <v/>
      </c>
      <c r="G472" s="28" t="str">
        <f>IF(B472="","",INDEX(DESK!$AV$2:$AV$601,MATCH(464,DESK!$AR$2:$AR$601,0)))</f>
        <v/>
      </c>
      <c r="I472" s="21"/>
      <c r="J472" s="20"/>
      <c r="K472" s="20"/>
      <c r="L472" s="20"/>
      <c r="M472" s="23" t="str">
        <f t="shared" si="7"/>
        <v/>
      </c>
    </row>
    <row r="473" spans="1:13" x14ac:dyDescent="0.35">
      <c r="A473" s="28">
        <v>465</v>
      </c>
      <c r="B473" s="43" t="str">
        <f>IF(SETTINGS!$B$22&lt;&gt;"YES","",IFERROR(IF(OR($J$3="Everyone",INDEX(DESK!$AV$2:$AV$601,MATCH(465,DESK!$AR$2:$AR$601,0))="SEND"),"91"&amp;INDEX(DESK!$F$2:$F$601,MATCH(465,DESK!$AR$2:$AR$601,0)),""),""))</f>
        <v/>
      </c>
      <c r="C473" s="28" t="str">
        <f>IF(B473="","",IF(INDEX(DESK!$AC$2:$AC$601,MATCH(465,DESK!$AR$2:$AR$601,0))="YES","A","B"))</f>
        <v/>
      </c>
      <c r="D473" s="28" t="str">
        <f>IF(B473="","",INDEX(DESK!$AQ$2:$AQ$601,MATCH(465,DESK!$AR$2:$AR$601,0)))</f>
        <v/>
      </c>
      <c r="E473" s="28" t="str">
        <f>IF(B473="","",INDEX(DESK!$B$2:$B$601,MATCH(465,DESK!$AR$2:$AR$601,0))&amp;IF(COUNTIFS(DESK!$F$2:$F$601,INDEX(DESK!$F$2:$F$601,MATCH(465,DESK!$AR$2:$AR$601,0)),DESK!$L$2:$L$601,1)&gt;1," and "&amp;(COUNTIFS(DESK!$F$2:$F$601,INDEX(DESK!$F$2:$F$601,MATCH(465,DESK!$AR$2:$AR$601,0)),DESK!$L$2:$L$601,1)-1)&amp;" more",""))</f>
        <v/>
      </c>
      <c r="F473" s="28" t="str">
        <f>IF(B473="","",IF(C473="B",INDEX(DESK!$AD$2:$AD$601,MATCH(465,DESK!$AR$2:$AR$601,0)),""))</f>
        <v/>
      </c>
      <c r="G473" s="28" t="str">
        <f>IF(B473="","",INDEX(DESK!$AV$2:$AV$601,MATCH(465,DESK!$AR$2:$AR$601,0)))</f>
        <v/>
      </c>
      <c r="I473" s="21"/>
      <c r="J473" s="20"/>
      <c r="K473" s="20"/>
      <c r="L473" s="20"/>
      <c r="M473" s="23" t="str">
        <f t="shared" si="7"/>
        <v/>
      </c>
    </row>
    <row r="474" spans="1:13" x14ac:dyDescent="0.35">
      <c r="A474" s="28">
        <v>466</v>
      </c>
      <c r="B474" s="43" t="str">
        <f>IF(SETTINGS!$B$22&lt;&gt;"YES","",IFERROR(IF(OR($J$3="Everyone",INDEX(DESK!$AV$2:$AV$601,MATCH(466,DESK!$AR$2:$AR$601,0))="SEND"),"91"&amp;INDEX(DESK!$F$2:$F$601,MATCH(466,DESK!$AR$2:$AR$601,0)),""),""))</f>
        <v/>
      </c>
      <c r="C474" s="28" t="str">
        <f>IF(B474="","",IF(INDEX(DESK!$AC$2:$AC$601,MATCH(466,DESK!$AR$2:$AR$601,0))="YES","A","B"))</f>
        <v/>
      </c>
      <c r="D474" s="28" t="str">
        <f>IF(B474="","",INDEX(DESK!$AQ$2:$AQ$601,MATCH(466,DESK!$AR$2:$AR$601,0)))</f>
        <v/>
      </c>
      <c r="E474" s="28" t="str">
        <f>IF(B474="","",INDEX(DESK!$B$2:$B$601,MATCH(466,DESK!$AR$2:$AR$601,0))&amp;IF(COUNTIFS(DESK!$F$2:$F$601,INDEX(DESK!$F$2:$F$601,MATCH(466,DESK!$AR$2:$AR$601,0)),DESK!$L$2:$L$601,1)&gt;1," and "&amp;(COUNTIFS(DESK!$F$2:$F$601,INDEX(DESK!$F$2:$F$601,MATCH(466,DESK!$AR$2:$AR$601,0)),DESK!$L$2:$L$601,1)-1)&amp;" more",""))</f>
        <v/>
      </c>
      <c r="F474" s="28" t="str">
        <f>IF(B474="","",IF(C474="B",INDEX(DESK!$AD$2:$AD$601,MATCH(466,DESK!$AR$2:$AR$601,0)),""))</f>
        <v/>
      </c>
      <c r="G474" s="28" t="str">
        <f>IF(B474="","",INDEX(DESK!$AV$2:$AV$601,MATCH(466,DESK!$AR$2:$AR$601,0)))</f>
        <v/>
      </c>
      <c r="I474" s="21"/>
      <c r="J474" s="20"/>
      <c r="K474" s="20"/>
      <c r="L474" s="20"/>
      <c r="M474" s="23" t="str">
        <f t="shared" si="7"/>
        <v/>
      </c>
    </row>
    <row r="475" spans="1:13" x14ac:dyDescent="0.35">
      <c r="A475" s="28">
        <v>467</v>
      </c>
      <c r="B475" s="43" t="str">
        <f>IF(SETTINGS!$B$22&lt;&gt;"YES","",IFERROR(IF(OR($J$3="Everyone",INDEX(DESK!$AV$2:$AV$601,MATCH(467,DESK!$AR$2:$AR$601,0))="SEND"),"91"&amp;INDEX(DESK!$F$2:$F$601,MATCH(467,DESK!$AR$2:$AR$601,0)),""),""))</f>
        <v/>
      </c>
      <c r="C475" s="28" t="str">
        <f>IF(B475="","",IF(INDEX(DESK!$AC$2:$AC$601,MATCH(467,DESK!$AR$2:$AR$601,0))="YES","A","B"))</f>
        <v/>
      </c>
      <c r="D475" s="28" t="str">
        <f>IF(B475="","",INDEX(DESK!$AQ$2:$AQ$601,MATCH(467,DESK!$AR$2:$AR$601,0)))</f>
        <v/>
      </c>
      <c r="E475" s="28" t="str">
        <f>IF(B475="","",INDEX(DESK!$B$2:$B$601,MATCH(467,DESK!$AR$2:$AR$601,0))&amp;IF(COUNTIFS(DESK!$F$2:$F$601,INDEX(DESK!$F$2:$F$601,MATCH(467,DESK!$AR$2:$AR$601,0)),DESK!$L$2:$L$601,1)&gt;1," and "&amp;(COUNTIFS(DESK!$F$2:$F$601,INDEX(DESK!$F$2:$F$601,MATCH(467,DESK!$AR$2:$AR$601,0)),DESK!$L$2:$L$601,1)-1)&amp;" more",""))</f>
        <v/>
      </c>
      <c r="F475" s="28" t="str">
        <f>IF(B475="","",IF(C475="B",INDEX(DESK!$AD$2:$AD$601,MATCH(467,DESK!$AR$2:$AR$601,0)),""))</f>
        <v/>
      </c>
      <c r="G475" s="28" t="str">
        <f>IF(B475="","",INDEX(DESK!$AV$2:$AV$601,MATCH(467,DESK!$AR$2:$AR$601,0)))</f>
        <v/>
      </c>
      <c r="I475" s="21"/>
      <c r="J475" s="20"/>
      <c r="K475" s="20"/>
      <c r="L475" s="20"/>
      <c r="M475" s="23" t="str">
        <f t="shared" si="7"/>
        <v/>
      </c>
    </row>
    <row r="476" spans="1:13" x14ac:dyDescent="0.35">
      <c r="A476" s="28">
        <v>468</v>
      </c>
      <c r="B476" s="43" t="str">
        <f>IF(SETTINGS!$B$22&lt;&gt;"YES","",IFERROR(IF(OR($J$3="Everyone",INDEX(DESK!$AV$2:$AV$601,MATCH(468,DESK!$AR$2:$AR$601,0))="SEND"),"91"&amp;INDEX(DESK!$F$2:$F$601,MATCH(468,DESK!$AR$2:$AR$601,0)),""),""))</f>
        <v/>
      </c>
      <c r="C476" s="28" t="str">
        <f>IF(B476="","",IF(INDEX(DESK!$AC$2:$AC$601,MATCH(468,DESK!$AR$2:$AR$601,0))="YES","A","B"))</f>
        <v/>
      </c>
      <c r="D476" s="28" t="str">
        <f>IF(B476="","",INDEX(DESK!$AQ$2:$AQ$601,MATCH(468,DESK!$AR$2:$AR$601,0)))</f>
        <v/>
      </c>
      <c r="E476" s="28" t="str">
        <f>IF(B476="","",INDEX(DESK!$B$2:$B$601,MATCH(468,DESK!$AR$2:$AR$601,0))&amp;IF(COUNTIFS(DESK!$F$2:$F$601,INDEX(DESK!$F$2:$F$601,MATCH(468,DESK!$AR$2:$AR$601,0)),DESK!$L$2:$L$601,1)&gt;1," and "&amp;(COUNTIFS(DESK!$F$2:$F$601,INDEX(DESK!$F$2:$F$601,MATCH(468,DESK!$AR$2:$AR$601,0)),DESK!$L$2:$L$601,1)-1)&amp;" more",""))</f>
        <v/>
      </c>
      <c r="F476" s="28" t="str">
        <f>IF(B476="","",IF(C476="B",INDEX(DESK!$AD$2:$AD$601,MATCH(468,DESK!$AR$2:$AR$601,0)),""))</f>
        <v/>
      </c>
      <c r="G476" s="28" t="str">
        <f>IF(B476="","",INDEX(DESK!$AV$2:$AV$601,MATCH(468,DESK!$AR$2:$AR$601,0)))</f>
        <v/>
      </c>
      <c r="I476" s="21"/>
      <c r="J476" s="20"/>
      <c r="K476" s="20"/>
      <c r="L476" s="20"/>
      <c r="M476" s="23" t="str">
        <f t="shared" si="7"/>
        <v/>
      </c>
    </row>
    <row r="477" spans="1:13" x14ac:dyDescent="0.35">
      <c r="A477" s="28">
        <v>469</v>
      </c>
      <c r="B477" s="43" t="str">
        <f>IF(SETTINGS!$B$22&lt;&gt;"YES","",IFERROR(IF(OR($J$3="Everyone",INDEX(DESK!$AV$2:$AV$601,MATCH(469,DESK!$AR$2:$AR$601,0))="SEND"),"91"&amp;INDEX(DESK!$F$2:$F$601,MATCH(469,DESK!$AR$2:$AR$601,0)),""),""))</f>
        <v/>
      </c>
      <c r="C477" s="28" t="str">
        <f>IF(B477="","",IF(INDEX(DESK!$AC$2:$AC$601,MATCH(469,DESK!$AR$2:$AR$601,0))="YES","A","B"))</f>
        <v/>
      </c>
      <c r="D477" s="28" t="str">
        <f>IF(B477="","",INDEX(DESK!$AQ$2:$AQ$601,MATCH(469,DESK!$AR$2:$AR$601,0)))</f>
        <v/>
      </c>
      <c r="E477" s="28" t="str">
        <f>IF(B477="","",INDEX(DESK!$B$2:$B$601,MATCH(469,DESK!$AR$2:$AR$601,0))&amp;IF(COUNTIFS(DESK!$F$2:$F$601,INDEX(DESK!$F$2:$F$601,MATCH(469,DESK!$AR$2:$AR$601,0)),DESK!$L$2:$L$601,1)&gt;1," and "&amp;(COUNTIFS(DESK!$F$2:$F$601,INDEX(DESK!$F$2:$F$601,MATCH(469,DESK!$AR$2:$AR$601,0)),DESK!$L$2:$L$601,1)-1)&amp;" more",""))</f>
        <v/>
      </c>
      <c r="F477" s="28" t="str">
        <f>IF(B477="","",IF(C477="B",INDEX(DESK!$AD$2:$AD$601,MATCH(469,DESK!$AR$2:$AR$601,0)),""))</f>
        <v/>
      </c>
      <c r="G477" s="28" t="str">
        <f>IF(B477="","",INDEX(DESK!$AV$2:$AV$601,MATCH(469,DESK!$AR$2:$AR$601,0)))</f>
        <v/>
      </c>
      <c r="I477" s="21"/>
      <c r="J477" s="20"/>
      <c r="K477" s="20"/>
      <c r="L477" s="20"/>
      <c r="M477" s="23" t="str">
        <f t="shared" si="7"/>
        <v/>
      </c>
    </row>
    <row r="478" spans="1:13" x14ac:dyDescent="0.35">
      <c r="A478" s="28">
        <v>470</v>
      </c>
      <c r="B478" s="43" t="str">
        <f>IF(SETTINGS!$B$22&lt;&gt;"YES","",IFERROR(IF(OR($J$3="Everyone",INDEX(DESK!$AV$2:$AV$601,MATCH(470,DESK!$AR$2:$AR$601,0))="SEND"),"91"&amp;INDEX(DESK!$F$2:$F$601,MATCH(470,DESK!$AR$2:$AR$601,0)),""),""))</f>
        <v/>
      </c>
      <c r="C478" s="28" t="str">
        <f>IF(B478="","",IF(INDEX(DESK!$AC$2:$AC$601,MATCH(470,DESK!$AR$2:$AR$601,0))="YES","A","B"))</f>
        <v/>
      </c>
      <c r="D478" s="28" t="str">
        <f>IF(B478="","",INDEX(DESK!$AQ$2:$AQ$601,MATCH(470,DESK!$AR$2:$AR$601,0)))</f>
        <v/>
      </c>
      <c r="E478" s="28" t="str">
        <f>IF(B478="","",INDEX(DESK!$B$2:$B$601,MATCH(470,DESK!$AR$2:$AR$601,0))&amp;IF(COUNTIFS(DESK!$F$2:$F$601,INDEX(DESK!$F$2:$F$601,MATCH(470,DESK!$AR$2:$AR$601,0)),DESK!$L$2:$L$601,1)&gt;1," and "&amp;(COUNTIFS(DESK!$F$2:$F$601,INDEX(DESK!$F$2:$F$601,MATCH(470,DESK!$AR$2:$AR$601,0)),DESK!$L$2:$L$601,1)-1)&amp;" more",""))</f>
        <v/>
      </c>
      <c r="F478" s="28" t="str">
        <f>IF(B478="","",IF(C478="B",INDEX(DESK!$AD$2:$AD$601,MATCH(470,DESK!$AR$2:$AR$601,0)),""))</f>
        <v/>
      </c>
      <c r="G478" s="28" t="str">
        <f>IF(B478="","",INDEX(DESK!$AV$2:$AV$601,MATCH(470,DESK!$AR$2:$AR$601,0)))</f>
        <v/>
      </c>
      <c r="I478" s="21"/>
      <c r="J478" s="20"/>
      <c r="K478" s="20"/>
      <c r="L478" s="20"/>
      <c r="M478" s="23" t="str">
        <f t="shared" si="7"/>
        <v/>
      </c>
    </row>
    <row r="479" spans="1:13" x14ac:dyDescent="0.35">
      <c r="A479" s="28">
        <v>471</v>
      </c>
      <c r="B479" s="43" t="str">
        <f>IF(SETTINGS!$B$22&lt;&gt;"YES","",IFERROR(IF(OR($J$3="Everyone",INDEX(DESK!$AV$2:$AV$601,MATCH(471,DESK!$AR$2:$AR$601,0))="SEND"),"91"&amp;INDEX(DESK!$F$2:$F$601,MATCH(471,DESK!$AR$2:$AR$601,0)),""),""))</f>
        <v/>
      </c>
      <c r="C479" s="28" t="str">
        <f>IF(B479="","",IF(INDEX(DESK!$AC$2:$AC$601,MATCH(471,DESK!$AR$2:$AR$601,0))="YES","A","B"))</f>
        <v/>
      </c>
      <c r="D479" s="28" t="str">
        <f>IF(B479="","",INDEX(DESK!$AQ$2:$AQ$601,MATCH(471,DESK!$AR$2:$AR$601,0)))</f>
        <v/>
      </c>
      <c r="E479" s="28" t="str">
        <f>IF(B479="","",INDEX(DESK!$B$2:$B$601,MATCH(471,DESK!$AR$2:$AR$601,0))&amp;IF(COUNTIFS(DESK!$F$2:$F$601,INDEX(DESK!$F$2:$F$601,MATCH(471,DESK!$AR$2:$AR$601,0)),DESK!$L$2:$L$601,1)&gt;1," and "&amp;(COUNTIFS(DESK!$F$2:$F$601,INDEX(DESK!$F$2:$F$601,MATCH(471,DESK!$AR$2:$AR$601,0)),DESK!$L$2:$L$601,1)-1)&amp;" more",""))</f>
        <v/>
      </c>
      <c r="F479" s="28" t="str">
        <f>IF(B479="","",IF(C479="B",INDEX(DESK!$AD$2:$AD$601,MATCH(471,DESK!$AR$2:$AR$601,0)),""))</f>
        <v/>
      </c>
      <c r="G479" s="28" t="str">
        <f>IF(B479="","",INDEX(DESK!$AV$2:$AV$601,MATCH(471,DESK!$AR$2:$AR$601,0)))</f>
        <v/>
      </c>
      <c r="I479" s="21"/>
      <c r="J479" s="20"/>
      <c r="K479" s="20"/>
      <c r="L479" s="20"/>
      <c r="M479" s="23" t="str">
        <f t="shared" si="7"/>
        <v/>
      </c>
    </row>
    <row r="480" spans="1:13" x14ac:dyDescent="0.35">
      <c r="A480" s="28">
        <v>472</v>
      </c>
      <c r="B480" s="43" t="str">
        <f>IF(SETTINGS!$B$22&lt;&gt;"YES","",IFERROR(IF(OR($J$3="Everyone",INDEX(DESK!$AV$2:$AV$601,MATCH(472,DESK!$AR$2:$AR$601,0))="SEND"),"91"&amp;INDEX(DESK!$F$2:$F$601,MATCH(472,DESK!$AR$2:$AR$601,0)),""),""))</f>
        <v/>
      </c>
      <c r="C480" s="28" t="str">
        <f>IF(B480="","",IF(INDEX(DESK!$AC$2:$AC$601,MATCH(472,DESK!$AR$2:$AR$601,0))="YES","A","B"))</f>
        <v/>
      </c>
      <c r="D480" s="28" t="str">
        <f>IF(B480="","",INDEX(DESK!$AQ$2:$AQ$601,MATCH(472,DESK!$AR$2:$AR$601,0)))</f>
        <v/>
      </c>
      <c r="E480" s="28" t="str">
        <f>IF(B480="","",INDEX(DESK!$B$2:$B$601,MATCH(472,DESK!$AR$2:$AR$601,0))&amp;IF(COUNTIFS(DESK!$F$2:$F$601,INDEX(DESK!$F$2:$F$601,MATCH(472,DESK!$AR$2:$AR$601,0)),DESK!$L$2:$L$601,1)&gt;1," and "&amp;(COUNTIFS(DESK!$F$2:$F$601,INDEX(DESK!$F$2:$F$601,MATCH(472,DESK!$AR$2:$AR$601,0)),DESK!$L$2:$L$601,1)-1)&amp;" more",""))</f>
        <v/>
      </c>
      <c r="F480" s="28" t="str">
        <f>IF(B480="","",IF(C480="B",INDEX(DESK!$AD$2:$AD$601,MATCH(472,DESK!$AR$2:$AR$601,0)),""))</f>
        <v/>
      </c>
      <c r="G480" s="28" t="str">
        <f>IF(B480="","",INDEX(DESK!$AV$2:$AV$601,MATCH(472,DESK!$AR$2:$AR$601,0)))</f>
        <v/>
      </c>
      <c r="I480" s="21"/>
      <c r="J480" s="20"/>
      <c r="K480" s="20"/>
      <c r="L480" s="20"/>
      <c r="M480" s="23" t="str">
        <f t="shared" si="7"/>
        <v/>
      </c>
    </row>
    <row r="481" spans="1:13" x14ac:dyDescent="0.35">
      <c r="A481" s="28">
        <v>473</v>
      </c>
      <c r="B481" s="43" t="str">
        <f>IF(SETTINGS!$B$22&lt;&gt;"YES","",IFERROR(IF(OR($J$3="Everyone",INDEX(DESK!$AV$2:$AV$601,MATCH(473,DESK!$AR$2:$AR$601,0))="SEND"),"91"&amp;INDEX(DESK!$F$2:$F$601,MATCH(473,DESK!$AR$2:$AR$601,0)),""),""))</f>
        <v/>
      </c>
      <c r="C481" s="28" t="str">
        <f>IF(B481="","",IF(INDEX(DESK!$AC$2:$AC$601,MATCH(473,DESK!$AR$2:$AR$601,0))="YES","A","B"))</f>
        <v/>
      </c>
      <c r="D481" s="28" t="str">
        <f>IF(B481="","",INDEX(DESK!$AQ$2:$AQ$601,MATCH(473,DESK!$AR$2:$AR$601,0)))</f>
        <v/>
      </c>
      <c r="E481" s="28" t="str">
        <f>IF(B481="","",INDEX(DESK!$B$2:$B$601,MATCH(473,DESK!$AR$2:$AR$601,0))&amp;IF(COUNTIFS(DESK!$F$2:$F$601,INDEX(DESK!$F$2:$F$601,MATCH(473,DESK!$AR$2:$AR$601,0)),DESK!$L$2:$L$601,1)&gt;1," and "&amp;(COUNTIFS(DESK!$F$2:$F$601,INDEX(DESK!$F$2:$F$601,MATCH(473,DESK!$AR$2:$AR$601,0)),DESK!$L$2:$L$601,1)-1)&amp;" more",""))</f>
        <v/>
      </c>
      <c r="F481" s="28" t="str">
        <f>IF(B481="","",IF(C481="B",INDEX(DESK!$AD$2:$AD$601,MATCH(473,DESK!$AR$2:$AR$601,0)),""))</f>
        <v/>
      </c>
      <c r="G481" s="28" t="str">
        <f>IF(B481="","",INDEX(DESK!$AV$2:$AV$601,MATCH(473,DESK!$AR$2:$AR$601,0)))</f>
        <v/>
      </c>
      <c r="I481" s="21"/>
      <c r="J481" s="20"/>
      <c r="K481" s="20"/>
      <c r="L481" s="20"/>
      <c r="M481" s="23" t="str">
        <f t="shared" si="7"/>
        <v/>
      </c>
    </row>
    <row r="482" spans="1:13" x14ac:dyDescent="0.35">
      <c r="A482" s="28">
        <v>474</v>
      </c>
      <c r="B482" s="43" t="str">
        <f>IF(SETTINGS!$B$22&lt;&gt;"YES","",IFERROR(IF(OR($J$3="Everyone",INDEX(DESK!$AV$2:$AV$601,MATCH(474,DESK!$AR$2:$AR$601,0))="SEND"),"91"&amp;INDEX(DESK!$F$2:$F$601,MATCH(474,DESK!$AR$2:$AR$601,0)),""),""))</f>
        <v/>
      </c>
      <c r="C482" s="28" t="str">
        <f>IF(B482="","",IF(INDEX(DESK!$AC$2:$AC$601,MATCH(474,DESK!$AR$2:$AR$601,0))="YES","A","B"))</f>
        <v/>
      </c>
      <c r="D482" s="28" t="str">
        <f>IF(B482="","",INDEX(DESK!$AQ$2:$AQ$601,MATCH(474,DESK!$AR$2:$AR$601,0)))</f>
        <v/>
      </c>
      <c r="E482" s="28" t="str">
        <f>IF(B482="","",INDEX(DESK!$B$2:$B$601,MATCH(474,DESK!$AR$2:$AR$601,0))&amp;IF(COUNTIFS(DESK!$F$2:$F$601,INDEX(DESK!$F$2:$F$601,MATCH(474,DESK!$AR$2:$AR$601,0)),DESK!$L$2:$L$601,1)&gt;1," and "&amp;(COUNTIFS(DESK!$F$2:$F$601,INDEX(DESK!$F$2:$F$601,MATCH(474,DESK!$AR$2:$AR$601,0)),DESK!$L$2:$L$601,1)-1)&amp;" more",""))</f>
        <v/>
      </c>
      <c r="F482" s="28" t="str">
        <f>IF(B482="","",IF(C482="B",INDEX(DESK!$AD$2:$AD$601,MATCH(474,DESK!$AR$2:$AR$601,0)),""))</f>
        <v/>
      </c>
      <c r="G482" s="28" t="str">
        <f>IF(B482="","",INDEX(DESK!$AV$2:$AV$601,MATCH(474,DESK!$AR$2:$AR$601,0)))</f>
        <v/>
      </c>
      <c r="I482" s="21"/>
      <c r="J482" s="20"/>
      <c r="K482" s="20"/>
      <c r="L482" s="20"/>
      <c r="M482" s="23" t="str">
        <f t="shared" si="7"/>
        <v/>
      </c>
    </row>
    <row r="483" spans="1:13" x14ac:dyDescent="0.35">
      <c r="A483" s="28">
        <v>475</v>
      </c>
      <c r="B483" s="43" t="str">
        <f>IF(SETTINGS!$B$22&lt;&gt;"YES","",IFERROR(IF(OR($J$3="Everyone",INDEX(DESK!$AV$2:$AV$601,MATCH(475,DESK!$AR$2:$AR$601,0))="SEND"),"91"&amp;INDEX(DESK!$F$2:$F$601,MATCH(475,DESK!$AR$2:$AR$601,0)),""),""))</f>
        <v/>
      </c>
      <c r="C483" s="28" t="str">
        <f>IF(B483="","",IF(INDEX(DESK!$AC$2:$AC$601,MATCH(475,DESK!$AR$2:$AR$601,0))="YES","A","B"))</f>
        <v/>
      </c>
      <c r="D483" s="28" t="str">
        <f>IF(B483="","",INDEX(DESK!$AQ$2:$AQ$601,MATCH(475,DESK!$AR$2:$AR$601,0)))</f>
        <v/>
      </c>
      <c r="E483" s="28" t="str">
        <f>IF(B483="","",INDEX(DESK!$B$2:$B$601,MATCH(475,DESK!$AR$2:$AR$601,0))&amp;IF(COUNTIFS(DESK!$F$2:$F$601,INDEX(DESK!$F$2:$F$601,MATCH(475,DESK!$AR$2:$AR$601,0)),DESK!$L$2:$L$601,1)&gt;1," and "&amp;(COUNTIFS(DESK!$F$2:$F$601,INDEX(DESK!$F$2:$F$601,MATCH(475,DESK!$AR$2:$AR$601,0)),DESK!$L$2:$L$601,1)-1)&amp;" more",""))</f>
        <v/>
      </c>
      <c r="F483" s="28" t="str">
        <f>IF(B483="","",IF(C483="B",INDEX(DESK!$AD$2:$AD$601,MATCH(475,DESK!$AR$2:$AR$601,0)),""))</f>
        <v/>
      </c>
      <c r="G483" s="28" t="str">
        <f>IF(B483="","",INDEX(DESK!$AV$2:$AV$601,MATCH(475,DESK!$AR$2:$AR$601,0)))</f>
        <v/>
      </c>
      <c r="I483" s="21"/>
      <c r="J483" s="20"/>
      <c r="K483" s="20"/>
      <c r="L483" s="20"/>
      <c r="M483" s="23" t="str">
        <f t="shared" si="7"/>
        <v/>
      </c>
    </row>
    <row r="484" spans="1:13" x14ac:dyDescent="0.35">
      <c r="A484" s="28">
        <v>476</v>
      </c>
      <c r="B484" s="43" t="str">
        <f>IF(SETTINGS!$B$22&lt;&gt;"YES","",IFERROR(IF(OR($J$3="Everyone",INDEX(DESK!$AV$2:$AV$601,MATCH(476,DESK!$AR$2:$AR$601,0))="SEND"),"91"&amp;INDEX(DESK!$F$2:$F$601,MATCH(476,DESK!$AR$2:$AR$601,0)),""),""))</f>
        <v/>
      </c>
      <c r="C484" s="28" t="str">
        <f>IF(B484="","",IF(INDEX(DESK!$AC$2:$AC$601,MATCH(476,DESK!$AR$2:$AR$601,0))="YES","A","B"))</f>
        <v/>
      </c>
      <c r="D484" s="28" t="str">
        <f>IF(B484="","",INDEX(DESK!$AQ$2:$AQ$601,MATCH(476,DESK!$AR$2:$AR$601,0)))</f>
        <v/>
      </c>
      <c r="E484" s="28" t="str">
        <f>IF(B484="","",INDEX(DESK!$B$2:$B$601,MATCH(476,DESK!$AR$2:$AR$601,0))&amp;IF(COUNTIFS(DESK!$F$2:$F$601,INDEX(DESK!$F$2:$F$601,MATCH(476,DESK!$AR$2:$AR$601,0)),DESK!$L$2:$L$601,1)&gt;1," and "&amp;(COUNTIFS(DESK!$F$2:$F$601,INDEX(DESK!$F$2:$F$601,MATCH(476,DESK!$AR$2:$AR$601,0)),DESK!$L$2:$L$601,1)-1)&amp;" more",""))</f>
        <v/>
      </c>
      <c r="F484" s="28" t="str">
        <f>IF(B484="","",IF(C484="B",INDEX(DESK!$AD$2:$AD$601,MATCH(476,DESK!$AR$2:$AR$601,0)),""))</f>
        <v/>
      </c>
      <c r="G484" s="28" t="str">
        <f>IF(B484="","",INDEX(DESK!$AV$2:$AV$601,MATCH(476,DESK!$AR$2:$AR$601,0)))</f>
        <v/>
      </c>
      <c r="I484" s="21"/>
      <c r="J484" s="20"/>
      <c r="K484" s="20"/>
      <c r="L484" s="20"/>
      <c r="M484" s="23" t="str">
        <f t="shared" si="7"/>
        <v/>
      </c>
    </row>
    <row r="485" spans="1:13" x14ac:dyDescent="0.35">
      <c r="A485" s="28">
        <v>477</v>
      </c>
      <c r="B485" s="43" t="str">
        <f>IF(SETTINGS!$B$22&lt;&gt;"YES","",IFERROR(IF(OR($J$3="Everyone",INDEX(DESK!$AV$2:$AV$601,MATCH(477,DESK!$AR$2:$AR$601,0))="SEND"),"91"&amp;INDEX(DESK!$F$2:$F$601,MATCH(477,DESK!$AR$2:$AR$601,0)),""),""))</f>
        <v/>
      </c>
      <c r="C485" s="28" t="str">
        <f>IF(B485="","",IF(INDEX(DESK!$AC$2:$AC$601,MATCH(477,DESK!$AR$2:$AR$601,0))="YES","A","B"))</f>
        <v/>
      </c>
      <c r="D485" s="28" t="str">
        <f>IF(B485="","",INDEX(DESK!$AQ$2:$AQ$601,MATCH(477,DESK!$AR$2:$AR$601,0)))</f>
        <v/>
      </c>
      <c r="E485" s="28" t="str">
        <f>IF(B485="","",INDEX(DESK!$B$2:$B$601,MATCH(477,DESK!$AR$2:$AR$601,0))&amp;IF(COUNTIFS(DESK!$F$2:$F$601,INDEX(DESK!$F$2:$F$601,MATCH(477,DESK!$AR$2:$AR$601,0)),DESK!$L$2:$L$601,1)&gt;1," and "&amp;(COUNTIFS(DESK!$F$2:$F$601,INDEX(DESK!$F$2:$F$601,MATCH(477,DESK!$AR$2:$AR$601,0)),DESK!$L$2:$L$601,1)-1)&amp;" more",""))</f>
        <v/>
      </c>
      <c r="F485" s="28" t="str">
        <f>IF(B485="","",IF(C485="B",INDEX(DESK!$AD$2:$AD$601,MATCH(477,DESK!$AR$2:$AR$601,0)),""))</f>
        <v/>
      </c>
      <c r="G485" s="28" t="str">
        <f>IF(B485="","",INDEX(DESK!$AV$2:$AV$601,MATCH(477,DESK!$AR$2:$AR$601,0)))</f>
        <v/>
      </c>
      <c r="I485" s="21"/>
      <c r="J485" s="20"/>
      <c r="K485" s="20"/>
      <c r="L485" s="20"/>
      <c r="M485" s="23" t="str">
        <f t="shared" si="7"/>
        <v/>
      </c>
    </row>
    <row r="486" spans="1:13" x14ac:dyDescent="0.35">
      <c r="A486" s="28">
        <v>478</v>
      </c>
      <c r="B486" s="43" t="str">
        <f>IF(SETTINGS!$B$22&lt;&gt;"YES","",IFERROR(IF(OR($J$3="Everyone",INDEX(DESK!$AV$2:$AV$601,MATCH(478,DESK!$AR$2:$AR$601,0))="SEND"),"91"&amp;INDEX(DESK!$F$2:$F$601,MATCH(478,DESK!$AR$2:$AR$601,0)),""),""))</f>
        <v/>
      </c>
      <c r="C486" s="28" t="str">
        <f>IF(B486="","",IF(INDEX(DESK!$AC$2:$AC$601,MATCH(478,DESK!$AR$2:$AR$601,0))="YES","A","B"))</f>
        <v/>
      </c>
      <c r="D486" s="28" t="str">
        <f>IF(B486="","",INDEX(DESK!$AQ$2:$AQ$601,MATCH(478,DESK!$AR$2:$AR$601,0)))</f>
        <v/>
      </c>
      <c r="E486" s="28" t="str">
        <f>IF(B486="","",INDEX(DESK!$B$2:$B$601,MATCH(478,DESK!$AR$2:$AR$601,0))&amp;IF(COUNTIFS(DESK!$F$2:$F$601,INDEX(DESK!$F$2:$F$601,MATCH(478,DESK!$AR$2:$AR$601,0)),DESK!$L$2:$L$601,1)&gt;1," and "&amp;(COUNTIFS(DESK!$F$2:$F$601,INDEX(DESK!$F$2:$F$601,MATCH(478,DESK!$AR$2:$AR$601,0)),DESK!$L$2:$L$601,1)-1)&amp;" more",""))</f>
        <v/>
      </c>
      <c r="F486" s="28" t="str">
        <f>IF(B486="","",IF(C486="B",INDEX(DESK!$AD$2:$AD$601,MATCH(478,DESK!$AR$2:$AR$601,0)),""))</f>
        <v/>
      </c>
      <c r="G486" s="28" t="str">
        <f>IF(B486="","",INDEX(DESK!$AV$2:$AV$601,MATCH(478,DESK!$AR$2:$AR$601,0)))</f>
        <v/>
      </c>
      <c r="I486" s="21"/>
      <c r="J486" s="20"/>
      <c r="K486" s="20"/>
      <c r="L486" s="20"/>
      <c r="M486" s="23" t="str">
        <f t="shared" si="7"/>
        <v/>
      </c>
    </row>
    <row r="487" spans="1:13" x14ac:dyDescent="0.35">
      <c r="A487" s="28">
        <v>479</v>
      </c>
      <c r="B487" s="43" t="str">
        <f>IF(SETTINGS!$B$22&lt;&gt;"YES","",IFERROR(IF(OR($J$3="Everyone",INDEX(DESK!$AV$2:$AV$601,MATCH(479,DESK!$AR$2:$AR$601,0))="SEND"),"91"&amp;INDEX(DESK!$F$2:$F$601,MATCH(479,DESK!$AR$2:$AR$601,0)),""),""))</f>
        <v/>
      </c>
      <c r="C487" s="28" t="str">
        <f>IF(B487="","",IF(INDEX(DESK!$AC$2:$AC$601,MATCH(479,DESK!$AR$2:$AR$601,0))="YES","A","B"))</f>
        <v/>
      </c>
      <c r="D487" s="28" t="str">
        <f>IF(B487="","",INDEX(DESK!$AQ$2:$AQ$601,MATCH(479,DESK!$AR$2:$AR$601,0)))</f>
        <v/>
      </c>
      <c r="E487" s="28" t="str">
        <f>IF(B487="","",INDEX(DESK!$B$2:$B$601,MATCH(479,DESK!$AR$2:$AR$601,0))&amp;IF(COUNTIFS(DESK!$F$2:$F$601,INDEX(DESK!$F$2:$F$601,MATCH(479,DESK!$AR$2:$AR$601,0)),DESK!$L$2:$L$601,1)&gt;1," and "&amp;(COUNTIFS(DESK!$F$2:$F$601,INDEX(DESK!$F$2:$F$601,MATCH(479,DESK!$AR$2:$AR$601,0)),DESK!$L$2:$L$601,1)-1)&amp;" more",""))</f>
        <v/>
      </c>
      <c r="F487" s="28" t="str">
        <f>IF(B487="","",IF(C487="B",INDEX(DESK!$AD$2:$AD$601,MATCH(479,DESK!$AR$2:$AR$601,0)),""))</f>
        <v/>
      </c>
      <c r="G487" s="28" t="str">
        <f>IF(B487="","",INDEX(DESK!$AV$2:$AV$601,MATCH(479,DESK!$AR$2:$AR$601,0)))</f>
        <v/>
      </c>
      <c r="I487" s="21"/>
      <c r="J487" s="20"/>
      <c r="K487" s="20"/>
      <c r="L487" s="20"/>
      <c r="M487" s="23" t="str">
        <f t="shared" si="7"/>
        <v/>
      </c>
    </row>
    <row r="488" spans="1:13" x14ac:dyDescent="0.35">
      <c r="A488" s="28">
        <v>480</v>
      </c>
      <c r="B488" s="43" t="str">
        <f>IF(SETTINGS!$B$22&lt;&gt;"YES","",IFERROR(IF(OR($J$3="Everyone",INDEX(DESK!$AV$2:$AV$601,MATCH(480,DESK!$AR$2:$AR$601,0))="SEND"),"91"&amp;INDEX(DESK!$F$2:$F$601,MATCH(480,DESK!$AR$2:$AR$601,0)),""),""))</f>
        <v/>
      </c>
      <c r="C488" s="28" t="str">
        <f>IF(B488="","",IF(INDEX(DESK!$AC$2:$AC$601,MATCH(480,DESK!$AR$2:$AR$601,0))="YES","A","B"))</f>
        <v/>
      </c>
      <c r="D488" s="28" t="str">
        <f>IF(B488="","",INDEX(DESK!$AQ$2:$AQ$601,MATCH(480,DESK!$AR$2:$AR$601,0)))</f>
        <v/>
      </c>
      <c r="E488" s="28" t="str">
        <f>IF(B488="","",INDEX(DESK!$B$2:$B$601,MATCH(480,DESK!$AR$2:$AR$601,0))&amp;IF(COUNTIFS(DESK!$F$2:$F$601,INDEX(DESK!$F$2:$F$601,MATCH(480,DESK!$AR$2:$AR$601,0)),DESK!$L$2:$L$601,1)&gt;1," and "&amp;(COUNTIFS(DESK!$F$2:$F$601,INDEX(DESK!$F$2:$F$601,MATCH(480,DESK!$AR$2:$AR$601,0)),DESK!$L$2:$L$601,1)-1)&amp;" more",""))</f>
        <v/>
      </c>
      <c r="F488" s="28" t="str">
        <f>IF(B488="","",IF(C488="B",INDEX(DESK!$AD$2:$AD$601,MATCH(480,DESK!$AR$2:$AR$601,0)),""))</f>
        <v/>
      </c>
      <c r="G488" s="28" t="str">
        <f>IF(B488="","",INDEX(DESK!$AV$2:$AV$601,MATCH(480,DESK!$AR$2:$AR$601,0)))</f>
        <v/>
      </c>
      <c r="I488" s="21"/>
      <c r="J488" s="20"/>
      <c r="K488" s="20"/>
      <c r="L488" s="20"/>
      <c r="M488" s="23" t="str">
        <f t="shared" si="7"/>
        <v/>
      </c>
    </row>
    <row r="489" spans="1:13" x14ac:dyDescent="0.35">
      <c r="A489" s="28">
        <v>481</v>
      </c>
      <c r="B489" s="43" t="str">
        <f>IF(SETTINGS!$B$22&lt;&gt;"YES","",IFERROR(IF(OR($J$3="Everyone",INDEX(DESK!$AV$2:$AV$601,MATCH(481,DESK!$AR$2:$AR$601,0))="SEND"),"91"&amp;INDEX(DESK!$F$2:$F$601,MATCH(481,DESK!$AR$2:$AR$601,0)),""),""))</f>
        <v/>
      </c>
      <c r="C489" s="28" t="str">
        <f>IF(B489="","",IF(INDEX(DESK!$AC$2:$AC$601,MATCH(481,DESK!$AR$2:$AR$601,0))="YES","A","B"))</f>
        <v/>
      </c>
      <c r="D489" s="28" t="str">
        <f>IF(B489="","",INDEX(DESK!$AQ$2:$AQ$601,MATCH(481,DESK!$AR$2:$AR$601,0)))</f>
        <v/>
      </c>
      <c r="E489" s="28" t="str">
        <f>IF(B489="","",INDEX(DESK!$B$2:$B$601,MATCH(481,DESK!$AR$2:$AR$601,0))&amp;IF(COUNTIFS(DESK!$F$2:$F$601,INDEX(DESK!$F$2:$F$601,MATCH(481,DESK!$AR$2:$AR$601,0)),DESK!$L$2:$L$601,1)&gt;1," and "&amp;(COUNTIFS(DESK!$F$2:$F$601,INDEX(DESK!$F$2:$F$601,MATCH(481,DESK!$AR$2:$AR$601,0)),DESK!$L$2:$L$601,1)-1)&amp;" more",""))</f>
        <v/>
      </c>
      <c r="F489" s="28" t="str">
        <f>IF(B489="","",IF(C489="B",INDEX(DESK!$AD$2:$AD$601,MATCH(481,DESK!$AR$2:$AR$601,0)),""))</f>
        <v/>
      </c>
      <c r="G489" s="28" t="str">
        <f>IF(B489="","",INDEX(DESK!$AV$2:$AV$601,MATCH(481,DESK!$AR$2:$AR$601,0)))</f>
        <v/>
      </c>
      <c r="I489" s="21"/>
      <c r="J489" s="20"/>
      <c r="K489" s="20"/>
      <c r="L489" s="20"/>
      <c r="M489" s="23" t="str">
        <f t="shared" si="7"/>
        <v/>
      </c>
    </row>
    <row r="490" spans="1:13" x14ac:dyDescent="0.35">
      <c r="A490" s="28">
        <v>482</v>
      </c>
      <c r="B490" s="43" t="str">
        <f>IF(SETTINGS!$B$22&lt;&gt;"YES","",IFERROR(IF(OR($J$3="Everyone",INDEX(DESK!$AV$2:$AV$601,MATCH(482,DESK!$AR$2:$AR$601,0))="SEND"),"91"&amp;INDEX(DESK!$F$2:$F$601,MATCH(482,DESK!$AR$2:$AR$601,0)),""),""))</f>
        <v/>
      </c>
      <c r="C490" s="28" t="str">
        <f>IF(B490="","",IF(INDEX(DESK!$AC$2:$AC$601,MATCH(482,DESK!$AR$2:$AR$601,0))="YES","A","B"))</f>
        <v/>
      </c>
      <c r="D490" s="28" t="str">
        <f>IF(B490="","",INDEX(DESK!$AQ$2:$AQ$601,MATCH(482,DESK!$AR$2:$AR$601,0)))</f>
        <v/>
      </c>
      <c r="E490" s="28" t="str">
        <f>IF(B490="","",INDEX(DESK!$B$2:$B$601,MATCH(482,DESK!$AR$2:$AR$601,0))&amp;IF(COUNTIFS(DESK!$F$2:$F$601,INDEX(DESK!$F$2:$F$601,MATCH(482,DESK!$AR$2:$AR$601,0)),DESK!$L$2:$L$601,1)&gt;1," and "&amp;(COUNTIFS(DESK!$F$2:$F$601,INDEX(DESK!$F$2:$F$601,MATCH(482,DESK!$AR$2:$AR$601,0)),DESK!$L$2:$L$601,1)-1)&amp;" more",""))</f>
        <v/>
      </c>
      <c r="F490" s="28" t="str">
        <f>IF(B490="","",IF(C490="B",INDEX(DESK!$AD$2:$AD$601,MATCH(482,DESK!$AR$2:$AR$601,0)),""))</f>
        <v/>
      </c>
      <c r="G490" s="28" t="str">
        <f>IF(B490="","",INDEX(DESK!$AV$2:$AV$601,MATCH(482,DESK!$AR$2:$AR$601,0)))</f>
        <v/>
      </c>
      <c r="I490" s="21"/>
      <c r="J490" s="20"/>
      <c r="K490" s="20"/>
      <c r="L490" s="20"/>
      <c r="M490" s="23" t="str">
        <f t="shared" si="7"/>
        <v/>
      </c>
    </row>
    <row r="491" spans="1:13" x14ac:dyDescent="0.35">
      <c r="A491" s="28">
        <v>483</v>
      </c>
      <c r="B491" s="43" t="str">
        <f>IF(SETTINGS!$B$22&lt;&gt;"YES","",IFERROR(IF(OR($J$3="Everyone",INDEX(DESK!$AV$2:$AV$601,MATCH(483,DESK!$AR$2:$AR$601,0))="SEND"),"91"&amp;INDEX(DESK!$F$2:$F$601,MATCH(483,DESK!$AR$2:$AR$601,0)),""),""))</f>
        <v/>
      </c>
      <c r="C491" s="28" t="str">
        <f>IF(B491="","",IF(INDEX(DESK!$AC$2:$AC$601,MATCH(483,DESK!$AR$2:$AR$601,0))="YES","A","B"))</f>
        <v/>
      </c>
      <c r="D491" s="28" t="str">
        <f>IF(B491="","",INDEX(DESK!$AQ$2:$AQ$601,MATCH(483,DESK!$AR$2:$AR$601,0)))</f>
        <v/>
      </c>
      <c r="E491" s="28" t="str">
        <f>IF(B491="","",INDEX(DESK!$B$2:$B$601,MATCH(483,DESK!$AR$2:$AR$601,0))&amp;IF(COUNTIFS(DESK!$F$2:$F$601,INDEX(DESK!$F$2:$F$601,MATCH(483,DESK!$AR$2:$AR$601,0)),DESK!$L$2:$L$601,1)&gt;1," and "&amp;(COUNTIFS(DESK!$F$2:$F$601,INDEX(DESK!$F$2:$F$601,MATCH(483,DESK!$AR$2:$AR$601,0)),DESK!$L$2:$L$601,1)-1)&amp;" more",""))</f>
        <v/>
      </c>
      <c r="F491" s="28" t="str">
        <f>IF(B491="","",IF(C491="B",INDEX(DESK!$AD$2:$AD$601,MATCH(483,DESK!$AR$2:$AR$601,0)),""))</f>
        <v/>
      </c>
      <c r="G491" s="28" t="str">
        <f>IF(B491="","",INDEX(DESK!$AV$2:$AV$601,MATCH(483,DESK!$AR$2:$AR$601,0)))</f>
        <v/>
      </c>
      <c r="I491" s="21"/>
      <c r="J491" s="20"/>
      <c r="K491" s="20"/>
      <c r="L491" s="20"/>
      <c r="M491" s="23" t="str">
        <f t="shared" si="7"/>
        <v/>
      </c>
    </row>
    <row r="492" spans="1:13" x14ac:dyDescent="0.35">
      <c r="A492" s="28">
        <v>484</v>
      </c>
      <c r="B492" s="43" t="str">
        <f>IF(SETTINGS!$B$22&lt;&gt;"YES","",IFERROR(IF(OR($J$3="Everyone",INDEX(DESK!$AV$2:$AV$601,MATCH(484,DESK!$AR$2:$AR$601,0))="SEND"),"91"&amp;INDEX(DESK!$F$2:$F$601,MATCH(484,DESK!$AR$2:$AR$601,0)),""),""))</f>
        <v/>
      </c>
      <c r="C492" s="28" t="str">
        <f>IF(B492="","",IF(INDEX(DESK!$AC$2:$AC$601,MATCH(484,DESK!$AR$2:$AR$601,0))="YES","A","B"))</f>
        <v/>
      </c>
      <c r="D492" s="28" t="str">
        <f>IF(B492="","",INDEX(DESK!$AQ$2:$AQ$601,MATCH(484,DESK!$AR$2:$AR$601,0)))</f>
        <v/>
      </c>
      <c r="E492" s="28" t="str">
        <f>IF(B492="","",INDEX(DESK!$B$2:$B$601,MATCH(484,DESK!$AR$2:$AR$601,0))&amp;IF(COUNTIFS(DESK!$F$2:$F$601,INDEX(DESK!$F$2:$F$601,MATCH(484,DESK!$AR$2:$AR$601,0)),DESK!$L$2:$L$601,1)&gt;1," and "&amp;(COUNTIFS(DESK!$F$2:$F$601,INDEX(DESK!$F$2:$F$601,MATCH(484,DESK!$AR$2:$AR$601,0)),DESK!$L$2:$L$601,1)-1)&amp;" more",""))</f>
        <v/>
      </c>
      <c r="F492" s="28" t="str">
        <f>IF(B492="","",IF(C492="B",INDEX(DESK!$AD$2:$AD$601,MATCH(484,DESK!$AR$2:$AR$601,0)),""))</f>
        <v/>
      </c>
      <c r="G492" s="28" t="str">
        <f>IF(B492="","",INDEX(DESK!$AV$2:$AV$601,MATCH(484,DESK!$AR$2:$AR$601,0)))</f>
        <v/>
      </c>
      <c r="I492" s="21"/>
      <c r="J492" s="20"/>
      <c r="K492" s="20"/>
      <c r="L492" s="20"/>
      <c r="M492" s="23" t="str">
        <f t="shared" si="7"/>
        <v/>
      </c>
    </row>
    <row r="493" spans="1:13" x14ac:dyDescent="0.35">
      <c r="A493" s="28">
        <v>485</v>
      </c>
      <c r="B493" s="43" t="str">
        <f>IF(SETTINGS!$B$22&lt;&gt;"YES","",IFERROR(IF(OR($J$3="Everyone",INDEX(DESK!$AV$2:$AV$601,MATCH(485,DESK!$AR$2:$AR$601,0))="SEND"),"91"&amp;INDEX(DESK!$F$2:$F$601,MATCH(485,DESK!$AR$2:$AR$601,0)),""),""))</f>
        <v/>
      </c>
      <c r="C493" s="28" t="str">
        <f>IF(B493="","",IF(INDEX(DESK!$AC$2:$AC$601,MATCH(485,DESK!$AR$2:$AR$601,0))="YES","A","B"))</f>
        <v/>
      </c>
      <c r="D493" s="28" t="str">
        <f>IF(B493="","",INDEX(DESK!$AQ$2:$AQ$601,MATCH(485,DESK!$AR$2:$AR$601,0)))</f>
        <v/>
      </c>
      <c r="E493" s="28" t="str">
        <f>IF(B493="","",INDEX(DESK!$B$2:$B$601,MATCH(485,DESK!$AR$2:$AR$601,0))&amp;IF(COUNTIFS(DESK!$F$2:$F$601,INDEX(DESK!$F$2:$F$601,MATCH(485,DESK!$AR$2:$AR$601,0)),DESK!$L$2:$L$601,1)&gt;1," and "&amp;(COUNTIFS(DESK!$F$2:$F$601,INDEX(DESK!$F$2:$F$601,MATCH(485,DESK!$AR$2:$AR$601,0)),DESK!$L$2:$L$601,1)-1)&amp;" more",""))</f>
        <v/>
      </c>
      <c r="F493" s="28" t="str">
        <f>IF(B493="","",IF(C493="B",INDEX(DESK!$AD$2:$AD$601,MATCH(485,DESK!$AR$2:$AR$601,0)),""))</f>
        <v/>
      </c>
      <c r="G493" s="28" t="str">
        <f>IF(B493="","",INDEX(DESK!$AV$2:$AV$601,MATCH(485,DESK!$AR$2:$AR$601,0)))</f>
        <v/>
      </c>
      <c r="I493" s="21"/>
      <c r="J493" s="20"/>
      <c r="K493" s="20"/>
      <c r="L493" s="20"/>
      <c r="M493" s="23" t="str">
        <f t="shared" si="7"/>
        <v/>
      </c>
    </row>
    <row r="494" spans="1:13" x14ac:dyDescent="0.35">
      <c r="A494" s="28">
        <v>486</v>
      </c>
      <c r="B494" s="43" t="str">
        <f>IF(SETTINGS!$B$22&lt;&gt;"YES","",IFERROR(IF(OR($J$3="Everyone",INDEX(DESK!$AV$2:$AV$601,MATCH(486,DESK!$AR$2:$AR$601,0))="SEND"),"91"&amp;INDEX(DESK!$F$2:$F$601,MATCH(486,DESK!$AR$2:$AR$601,0)),""),""))</f>
        <v/>
      </c>
      <c r="C494" s="28" t="str">
        <f>IF(B494="","",IF(INDEX(DESK!$AC$2:$AC$601,MATCH(486,DESK!$AR$2:$AR$601,0))="YES","A","B"))</f>
        <v/>
      </c>
      <c r="D494" s="28" t="str">
        <f>IF(B494="","",INDEX(DESK!$AQ$2:$AQ$601,MATCH(486,DESK!$AR$2:$AR$601,0)))</f>
        <v/>
      </c>
      <c r="E494" s="28" t="str">
        <f>IF(B494="","",INDEX(DESK!$B$2:$B$601,MATCH(486,DESK!$AR$2:$AR$601,0))&amp;IF(COUNTIFS(DESK!$F$2:$F$601,INDEX(DESK!$F$2:$F$601,MATCH(486,DESK!$AR$2:$AR$601,0)),DESK!$L$2:$L$601,1)&gt;1," and "&amp;(COUNTIFS(DESK!$F$2:$F$601,INDEX(DESK!$F$2:$F$601,MATCH(486,DESK!$AR$2:$AR$601,0)),DESK!$L$2:$L$601,1)-1)&amp;" more",""))</f>
        <v/>
      </c>
      <c r="F494" s="28" t="str">
        <f>IF(B494="","",IF(C494="B",INDEX(DESK!$AD$2:$AD$601,MATCH(486,DESK!$AR$2:$AR$601,0)),""))</f>
        <v/>
      </c>
      <c r="G494" s="28" t="str">
        <f>IF(B494="","",INDEX(DESK!$AV$2:$AV$601,MATCH(486,DESK!$AR$2:$AR$601,0)))</f>
        <v/>
      </c>
      <c r="I494" s="21"/>
      <c r="J494" s="20"/>
      <c r="K494" s="20"/>
      <c r="L494" s="20"/>
      <c r="M494" s="23" t="str">
        <f t="shared" si="7"/>
        <v/>
      </c>
    </row>
    <row r="495" spans="1:13" x14ac:dyDescent="0.35">
      <c r="A495" s="28">
        <v>487</v>
      </c>
      <c r="B495" s="43" t="str">
        <f>IF(SETTINGS!$B$22&lt;&gt;"YES","",IFERROR(IF(OR($J$3="Everyone",INDEX(DESK!$AV$2:$AV$601,MATCH(487,DESK!$AR$2:$AR$601,0))="SEND"),"91"&amp;INDEX(DESK!$F$2:$F$601,MATCH(487,DESK!$AR$2:$AR$601,0)),""),""))</f>
        <v/>
      </c>
      <c r="C495" s="28" t="str">
        <f>IF(B495="","",IF(INDEX(DESK!$AC$2:$AC$601,MATCH(487,DESK!$AR$2:$AR$601,0))="YES","A","B"))</f>
        <v/>
      </c>
      <c r="D495" s="28" t="str">
        <f>IF(B495="","",INDEX(DESK!$AQ$2:$AQ$601,MATCH(487,DESK!$AR$2:$AR$601,0)))</f>
        <v/>
      </c>
      <c r="E495" s="28" t="str">
        <f>IF(B495="","",INDEX(DESK!$B$2:$B$601,MATCH(487,DESK!$AR$2:$AR$601,0))&amp;IF(COUNTIFS(DESK!$F$2:$F$601,INDEX(DESK!$F$2:$F$601,MATCH(487,DESK!$AR$2:$AR$601,0)),DESK!$L$2:$L$601,1)&gt;1," and "&amp;(COUNTIFS(DESK!$F$2:$F$601,INDEX(DESK!$F$2:$F$601,MATCH(487,DESK!$AR$2:$AR$601,0)),DESK!$L$2:$L$601,1)-1)&amp;" more",""))</f>
        <v/>
      </c>
      <c r="F495" s="28" t="str">
        <f>IF(B495="","",IF(C495="B",INDEX(DESK!$AD$2:$AD$601,MATCH(487,DESK!$AR$2:$AR$601,0)),""))</f>
        <v/>
      </c>
      <c r="G495" s="28" t="str">
        <f>IF(B495="","",INDEX(DESK!$AV$2:$AV$601,MATCH(487,DESK!$AR$2:$AR$601,0)))</f>
        <v/>
      </c>
      <c r="I495" s="21"/>
      <c r="J495" s="20"/>
      <c r="K495" s="20"/>
      <c r="L495" s="20"/>
      <c r="M495" s="23" t="str">
        <f t="shared" si="7"/>
        <v/>
      </c>
    </row>
    <row r="496" spans="1:13" x14ac:dyDescent="0.35">
      <c r="A496" s="28">
        <v>488</v>
      </c>
      <c r="B496" s="43" t="str">
        <f>IF(SETTINGS!$B$22&lt;&gt;"YES","",IFERROR(IF(OR($J$3="Everyone",INDEX(DESK!$AV$2:$AV$601,MATCH(488,DESK!$AR$2:$AR$601,0))="SEND"),"91"&amp;INDEX(DESK!$F$2:$F$601,MATCH(488,DESK!$AR$2:$AR$601,0)),""),""))</f>
        <v/>
      </c>
      <c r="C496" s="28" t="str">
        <f>IF(B496="","",IF(INDEX(DESK!$AC$2:$AC$601,MATCH(488,DESK!$AR$2:$AR$601,0))="YES","A","B"))</f>
        <v/>
      </c>
      <c r="D496" s="28" t="str">
        <f>IF(B496="","",INDEX(DESK!$AQ$2:$AQ$601,MATCH(488,DESK!$AR$2:$AR$601,0)))</f>
        <v/>
      </c>
      <c r="E496" s="28" t="str">
        <f>IF(B496="","",INDEX(DESK!$B$2:$B$601,MATCH(488,DESK!$AR$2:$AR$601,0))&amp;IF(COUNTIFS(DESK!$F$2:$F$601,INDEX(DESK!$F$2:$F$601,MATCH(488,DESK!$AR$2:$AR$601,0)),DESK!$L$2:$L$601,1)&gt;1," and "&amp;(COUNTIFS(DESK!$F$2:$F$601,INDEX(DESK!$F$2:$F$601,MATCH(488,DESK!$AR$2:$AR$601,0)),DESK!$L$2:$L$601,1)-1)&amp;" more",""))</f>
        <v/>
      </c>
      <c r="F496" s="28" t="str">
        <f>IF(B496="","",IF(C496="B",INDEX(DESK!$AD$2:$AD$601,MATCH(488,DESK!$AR$2:$AR$601,0)),""))</f>
        <v/>
      </c>
      <c r="G496" s="28" t="str">
        <f>IF(B496="","",INDEX(DESK!$AV$2:$AV$601,MATCH(488,DESK!$AR$2:$AR$601,0)))</f>
        <v/>
      </c>
      <c r="I496" s="21"/>
      <c r="J496" s="20"/>
      <c r="K496" s="20"/>
      <c r="L496" s="20"/>
      <c r="M496" s="23" t="str">
        <f t="shared" si="7"/>
        <v/>
      </c>
    </row>
    <row r="497" spans="1:13" x14ac:dyDescent="0.35">
      <c r="A497" s="28">
        <v>489</v>
      </c>
      <c r="B497" s="43" t="str">
        <f>IF(SETTINGS!$B$22&lt;&gt;"YES","",IFERROR(IF(OR($J$3="Everyone",INDEX(DESK!$AV$2:$AV$601,MATCH(489,DESK!$AR$2:$AR$601,0))="SEND"),"91"&amp;INDEX(DESK!$F$2:$F$601,MATCH(489,DESK!$AR$2:$AR$601,0)),""),""))</f>
        <v/>
      </c>
      <c r="C497" s="28" t="str">
        <f>IF(B497="","",IF(INDEX(DESK!$AC$2:$AC$601,MATCH(489,DESK!$AR$2:$AR$601,0))="YES","A","B"))</f>
        <v/>
      </c>
      <c r="D497" s="28" t="str">
        <f>IF(B497="","",INDEX(DESK!$AQ$2:$AQ$601,MATCH(489,DESK!$AR$2:$AR$601,0)))</f>
        <v/>
      </c>
      <c r="E497" s="28" t="str">
        <f>IF(B497="","",INDEX(DESK!$B$2:$B$601,MATCH(489,DESK!$AR$2:$AR$601,0))&amp;IF(COUNTIFS(DESK!$F$2:$F$601,INDEX(DESK!$F$2:$F$601,MATCH(489,DESK!$AR$2:$AR$601,0)),DESK!$L$2:$L$601,1)&gt;1," and "&amp;(COUNTIFS(DESK!$F$2:$F$601,INDEX(DESK!$F$2:$F$601,MATCH(489,DESK!$AR$2:$AR$601,0)),DESK!$L$2:$L$601,1)-1)&amp;" more",""))</f>
        <v/>
      </c>
      <c r="F497" s="28" t="str">
        <f>IF(B497="","",IF(C497="B",INDEX(DESK!$AD$2:$AD$601,MATCH(489,DESK!$AR$2:$AR$601,0)),""))</f>
        <v/>
      </c>
      <c r="G497" s="28" t="str">
        <f>IF(B497="","",INDEX(DESK!$AV$2:$AV$601,MATCH(489,DESK!$AR$2:$AR$601,0)))</f>
        <v/>
      </c>
      <c r="I497" s="21"/>
      <c r="J497" s="20"/>
      <c r="K497" s="20"/>
      <c r="L497" s="20"/>
      <c r="M497" s="23" t="str">
        <f t="shared" si="7"/>
        <v/>
      </c>
    </row>
    <row r="498" spans="1:13" x14ac:dyDescent="0.35">
      <c r="A498" s="28">
        <v>490</v>
      </c>
      <c r="B498" s="43" t="str">
        <f>IF(SETTINGS!$B$22&lt;&gt;"YES","",IFERROR(IF(OR($J$3="Everyone",INDEX(DESK!$AV$2:$AV$601,MATCH(490,DESK!$AR$2:$AR$601,0))="SEND"),"91"&amp;INDEX(DESK!$F$2:$F$601,MATCH(490,DESK!$AR$2:$AR$601,0)),""),""))</f>
        <v/>
      </c>
      <c r="C498" s="28" t="str">
        <f>IF(B498="","",IF(INDEX(DESK!$AC$2:$AC$601,MATCH(490,DESK!$AR$2:$AR$601,0))="YES","A","B"))</f>
        <v/>
      </c>
      <c r="D498" s="28" t="str">
        <f>IF(B498="","",INDEX(DESK!$AQ$2:$AQ$601,MATCH(490,DESK!$AR$2:$AR$601,0)))</f>
        <v/>
      </c>
      <c r="E498" s="28" t="str">
        <f>IF(B498="","",INDEX(DESK!$B$2:$B$601,MATCH(490,DESK!$AR$2:$AR$601,0))&amp;IF(COUNTIFS(DESK!$F$2:$F$601,INDEX(DESK!$F$2:$F$601,MATCH(490,DESK!$AR$2:$AR$601,0)),DESK!$L$2:$L$601,1)&gt;1," and "&amp;(COUNTIFS(DESK!$F$2:$F$601,INDEX(DESK!$F$2:$F$601,MATCH(490,DESK!$AR$2:$AR$601,0)),DESK!$L$2:$L$601,1)-1)&amp;" more",""))</f>
        <v/>
      </c>
      <c r="F498" s="28" t="str">
        <f>IF(B498="","",IF(C498="B",INDEX(DESK!$AD$2:$AD$601,MATCH(490,DESK!$AR$2:$AR$601,0)),""))</f>
        <v/>
      </c>
      <c r="G498" s="28" t="str">
        <f>IF(B498="","",INDEX(DESK!$AV$2:$AV$601,MATCH(490,DESK!$AR$2:$AR$601,0)))</f>
        <v/>
      </c>
      <c r="I498" s="21"/>
      <c r="J498" s="20"/>
      <c r="K498" s="20"/>
      <c r="L498" s="20"/>
      <c r="M498" s="23" t="str">
        <f t="shared" si="7"/>
        <v/>
      </c>
    </row>
    <row r="499" spans="1:13" x14ac:dyDescent="0.35">
      <c r="A499" s="28">
        <v>491</v>
      </c>
      <c r="B499" s="43" t="str">
        <f>IF(SETTINGS!$B$22&lt;&gt;"YES","",IFERROR(IF(OR($J$3="Everyone",INDEX(DESK!$AV$2:$AV$601,MATCH(491,DESK!$AR$2:$AR$601,0))="SEND"),"91"&amp;INDEX(DESK!$F$2:$F$601,MATCH(491,DESK!$AR$2:$AR$601,0)),""),""))</f>
        <v/>
      </c>
      <c r="C499" s="28" t="str">
        <f>IF(B499="","",IF(INDEX(DESK!$AC$2:$AC$601,MATCH(491,DESK!$AR$2:$AR$601,0))="YES","A","B"))</f>
        <v/>
      </c>
      <c r="D499" s="28" t="str">
        <f>IF(B499="","",INDEX(DESK!$AQ$2:$AQ$601,MATCH(491,DESK!$AR$2:$AR$601,0)))</f>
        <v/>
      </c>
      <c r="E499" s="28" t="str">
        <f>IF(B499="","",INDEX(DESK!$B$2:$B$601,MATCH(491,DESK!$AR$2:$AR$601,0))&amp;IF(COUNTIFS(DESK!$F$2:$F$601,INDEX(DESK!$F$2:$F$601,MATCH(491,DESK!$AR$2:$AR$601,0)),DESK!$L$2:$L$601,1)&gt;1," and "&amp;(COUNTIFS(DESK!$F$2:$F$601,INDEX(DESK!$F$2:$F$601,MATCH(491,DESK!$AR$2:$AR$601,0)),DESK!$L$2:$L$601,1)-1)&amp;" more",""))</f>
        <v/>
      </c>
      <c r="F499" s="28" t="str">
        <f>IF(B499="","",IF(C499="B",INDEX(DESK!$AD$2:$AD$601,MATCH(491,DESK!$AR$2:$AR$601,0)),""))</f>
        <v/>
      </c>
      <c r="G499" s="28" t="str">
        <f>IF(B499="","",INDEX(DESK!$AV$2:$AV$601,MATCH(491,DESK!$AR$2:$AR$601,0)))</f>
        <v/>
      </c>
      <c r="I499" s="21"/>
      <c r="J499" s="20"/>
      <c r="K499" s="20"/>
      <c r="L499" s="20"/>
      <c r="M499" s="23" t="str">
        <f t="shared" si="7"/>
        <v/>
      </c>
    </row>
    <row r="500" spans="1:13" x14ac:dyDescent="0.35">
      <c r="A500" s="28">
        <v>492</v>
      </c>
      <c r="B500" s="43" t="str">
        <f>IF(SETTINGS!$B$22&lt;&gt;"YES","",IFERROR(IF(OR($J$3="Everyone",INDEX(DESK!$AV$2:$AV$601,MATCH(492,DESK!$AR$2:$AR$601,0))="SEND"),"91"&amp;INDEX(DESK!$F$2:$F$601,MATCH(492,DESK!$AR$2:$AR$601,0)),""),""))</f>
        <v/>
      </c>
      <c r="C500" s="28" t="str">
        <f>IF(B500="","",IF(INDEX(DESK!$AC$2:$AC$601,MATCH(492,DESK!$AR$2:$AR$601,0))="YES","A","B"))</f>
        <v/>
      </c>
      <c r="D500" s="28" t="str">
        <f>IF(B500="","",INDEX(DESK!$AQ$2:$AQ$601,MATCH(492,DESK!$AR$2:$AR$601,0)))</f>
        <v/>
      </c>
      <c r="E500" s="28" t="str">
        <f>IF(B500="","",INDEX(DESK!$B$2:$B$601,MATCH(492,DESK!$AR$2:$AR$601,0))&amp;IF(COUNTIFS(DESK!$F$2:$F$601,INDEX(DESK!$F$2:$F$601,MATCH(492,DESK!$AR$2:$AR$601,0)),DESK!$L$2:$L$601,1)&gt;1," and "&amp;(COUNTIFS(DESK!$F$2:$F$601,INDEX(DESK!$F$2:$F$601,MATCH(492,DESK!$AR$2:$AR$601,0)),DESK!$L$2:$L$601,1)-1)&amp;" more",""))</f>
        <v/>
      </c>
      <c r="F500" s="28" t="str">
        <f>IF(B500="","",IF(C500="B",INDEX(DESK!$AD$2:$AD$601,MATCH(492,DESK!$AR$2:$AR$601,0)),""))</f>
        <v/>
      </c>
      <c r="G500" s="28" t="str">
        <f>IF(B500="","",INDEX(DESK!$AV$2:$AV$601,MATCH(492,DESK!$AR$2:$AR$601,0)))</f>
        <v/>
      </c>
      <c r="I500" s="21"/>
      <c r="J500" s="20"/>
      <c r="K500" s="20"/>
      <c r="L500" s="20"/>
      <c r="M500" s="23" t="str">
        <f t="shared" si="7"/>
        <v/>
      </c>
    </row>
    <row r="501" spans="1:13" x14ac:dyDescent="0.35">
      <c r="A501" s="28">
        <v>493</v>
      </c>
      <c r="B501" s="43" t="str">
        <f>IF(SETTINGS!$B$22&lt;&gt;"YES","",IFERROR(IF(OR($J$3="Everyone",INDEX(DESK!$AV$2:$AV$601,MATCH(493,DESK!$AR$2:$AR$601,0))="SEND"),"91"&amp;INDEX(DESK!$F$2:$F$601,MATCH(493,DESK!$AR$2:$AR$601,0)),""),""))</f>
        <v/>
      </c>
      <c r="C501" s="28" t="str">
        <f>IF(B501="","",IF(INDEX(DESK!$AC$2:$AC$601,MATCH(493,DESK!$AR$2:$AR$601,0))="YES","A","B"))</f>
        <v/>
      </c>
      <c r="D501" s="28" t="str">
        <f>IF(B501="","",INDEX(DESK!$AQ$2:$AQ$601,MATCH(493,DESK!$AR$2:$AR$601,0)))</f>
        <v/>
      </c>
      <c r="E501" s="28" t="str">
        <f>IF(B501="","",INDEX(DESK!$B$2:$B$601,MATCH(493,DESK!$AR$2:$AR$601,0))&amp;IF(COUNTIFS(DESK!$F$2:$F$601,INDEX(DESK!$F$2:$F$601,MATCH(493,DESK!$AR$2:$AR$601,0)),DESK!$L$2:$L$601,1)&gt;1," and "&amp;(COUNTIFS(DESK!$F$2:$F$601,INDEX(DESK!$F$2:$F$601,MATCH(493,DESK!$AR$2:$AR$601,0)),DESK!$L$2:$L$601,1)-1)&amp;" more",""))</f>
        <v/>
      </c>
      <c r="F501" s="28" t="str">
        <f>IF(B501="","",IF(C501="B",INDEX(DESK!$AD$2:$AD$601,MATCH(493,DESK!$AR$2:$AR$601,0)),""))</f>
        <v/>
      </c>
      <c r="G501" s="28" t="str">
        <f>IF(B501="","",INDEX(DESK!$AV$2:$AV$601,MATCH(493,DESK!$AR$2:$AR$601,0)))</f>
        <v/>
      </c>
      <c r="I501" s="21"/>
      <c r="J501" s="20"/>
      <c r="K501" s="20"/>
      <c r="L501" s="20"/>
      <c r="M501" s="23" t="str">
        <f t="shared" si="7"/>
        <v/>
      </c>
    </row>
    <row r="502" spans="1:13" x14ac:dyDescent="0.35">
      <c r="A502" s="28">
        <v>494</v>
      </c>
      <c r="B502" s="43" t="str">
        <f>IF(SETTINGS!$B$22&lt;&gt;"YES","",IFERROR(IF(OR($J$3="Everyone",INDEX(DESK!$AV$2:$AV$601,MATCH(494,DESK!$AR$2:$AR$601,0))="SEND"),"91"&amp;INDEX(DESK!$F$2:$F$601,MATCH(494,DESK!$AR$2:$AR$601,0)),""),""))</f>
        <v/>
      </c>
      <c r="C502" s="28" t="str">
        <f>IF(B502="","",IF(INDEX(DESK!$AC$2:$AC$601,MATCH(494,DESK!$AR$2:$AR$601,0))="YES","A","B"))</f>
        <v/>
      </c>
      <c r="D502" s="28" t="str">
        <f>IF(B502="","",INDEX(DESK!$AQ$2:$AQ$601,MATCH(494,DESK!$AR$2:$AR$601,0)))</f>
        <v/>
      </c>
      <c r="E502" s="28" t="str">
        <f>IF(B502="","",INDEX(DESK!$B$2:$B$601,MATCH(494,DESK!$AR$2:$AR$601,0))&amp;IF(COUNTIFS(DESK!$F$2:$F$601,INDEX(DESK!$F$2:$F$601,MATCH(494,DESK!$AR$2:$AR$601,0)),DESK!$L$2:$L$601,1)&gt;1," and "&amp;(COUNTIFS(DESK!$F$2:$F$601,INDEX(DESK!$F$2:$F$601,MATCH(494,DESK!$AR$2:$AR$601,0)),DESK!$L$2:$L$601,1)-1)&amp;" more",""))</f>
        <v/>
      </c>
      <c r="F502" s="28" t="str">
        <f>IF(B502="","",IF(C502="B",INDEX(DESK!$AD$2:$AD$601,MATCH(494,DESK!$AR$2:$AR$601,0)),""))</f>
        <v/>
      </c>
      <c r="G502" s="28" t="str">
        <f>IF(B502="","",INDEX(DESK!$AV$2:$AV$601,MATCH(494,DESK!$AR$2:$AR$601,0)))</f>
        <v/>
      </c>
      <c r="I502" s="21"/>
      <c r="J502" s="20"/>
      <c r="K502" s="20"/>
      <c r="L502" s="20"/>
      <c r="M502" s="23" t="str">
        <f t="shared" si="7"/>
        <v/>
      </c>
    </row>
    <row r="503" spans="1:13" x14ac:dyDescent="0.35">
      <c r="A503" s="28">
        <v>495</v>
      </c>
      <c r="B503" s="43" t="str">
        <f>IF(SETTINGS!$B$22&lt;&gt;"YES","",IFERROR(IF(OR($J$3="Everyone",INDEX(DESK!$AV$2:$AV$601,MATCH(495,DESK!$AR$2:$AR$601,0))="SEND"),"91"&amp;INDEX(DESK!$F$2:$F$601,MATCH(495,DESK!$AR$2:$AR$601,0)),""),""))</f>
        <v/>
      </c>
      <c r="C503" s="28" t="str">
        <f>IF(B503="","",IF(INDEX(DESK!$AC$2:$AC$601,MATCH(495,DESK!$AR$2:$AR$601,0))="YES","A","B"))</f>
        <v/>
      </c>
      <c r="D503" s="28" t="str">
        <f>IF(B503="","",INDEX(DESK!$AQ$2:$AQ$601,MATCH(495,DESK!$AR$2:$AR$601,0)))</f>
        <v/>
      </c>
      <c r="E503" s="28" t="str">
        <f>IF(B503="","",INDEX(DESK!$B$2:$B$601,MATCH(495,DESK!$AR$2:$AR$601,0))&amp;IF(COUNTIFS(DESK!$F$2:$F$601,INDEX(DESK!$F$2:$F$601,MATCH(495,DESK!$AR$2:$AR$601,0)),DESK!$L$2:$L$601,1)&gt;1," and "&amp;(COUNTIFS(DESK!$F$2:$F$601,INDEX(DESK!$F$2:$F$601,MATCH(495,DESK!$AR$2:$AR$601,0)),DESK!$L$2:$L$601,1)-1)&amp;" more",""))</f>
        <v/>
      </c>
      <c r="F503" s="28" t="str">
        <f>IF(B503="","",IF(C503="B",INDEX(DESK!$AD$2:$AD$601,MATCH(495,DESK!$AR$2:$AR$601,0)),""))</f>
        <v/>
      </c>
      <c r="G503" s="28" t="str">
        <f>IF(B503="","",INDEX(DESK!$AV$2:$AV$601,MATCH(495,DESK!$AR$2:$AR$601,0)))</f>
        <v/>
      </c>
      <c r="I503" s="21"/>
      <c r="J503" s="20"/>
      <c r="K503" s="20"/>
      <c r="L503" s="20"/>
      <c r="M503" s="23" t="str">
        <f t="shared" si="7"/>
        <v/>
      </c>
    </row>
    <row r="504" spans="1:13" x14ac:dyDescent="0.35">
      <c r="A504" s="28">
        <v>496</v>
      </c>
      <c r="B504" s="43" t="str">
        <f>IF(SETTINGS!$B$22&lt;&gt;"YES","",IFERROR(IF(OR($J$3="Everyone",INDEX(DESK!$AV$2:$AV$601,MATCH(496,DESK!$AR$2:$AR$601,0))="SEND"),"91"&amp;INDEX(DESK!$F$2:$F$601,MATCH(496,DESK!$AR$2:$AR$601,0)),""),""))</f>
        <v/>
      </c>
      <c r="C504" s="28" t="str">
        <f>IF(B504="","",IF(INDEX(DESK!$AC$2:$AC$601,MATCH(496,DESK!$AR$2:$AR$601,0))="YES","A","B"))</f>
        <v/>
      </c>
      <c r="D504" s="28" t="str">
        <f>IF(B504="","",INDEX(DESK!$AQ$2:$AQ$601,MATCH(496,DESK!$AR$2:$AR$601,0)))</f>
        <v/>
      </c>
      <c r="E504" s="28" t="str">
        <f>IF(B504="","",INDEX(DESK!$B$2:$B$601,MATCH(496,DESK!$AR$2:$AR$601,0))&amp;IF(COUNTIFS(DESK!$F$2:$F$601,INDEX(DESK!$F$2:$F$601,MATCH(496,DESK!$AR$2:$AR$601,0)),DESK!$L$2:$L$601,1)&gt;1," and "&amp;(COUNTIFS(DESK!$F$2:$F$601,INDEX(DESK!$F$2:$F$601,MATCH(496,DESK!$AR$2:$AR$601,0)),DESK!$L$2:$L$601,1)-1)&amp;" more",""))</f>
        <v/>
      </c>
      <c r="F504" s="28" t="str">
        <f>IF(B504="","",IF(C504="B",INDEX(DESK!$AD$2:$AD$601,MATCH(496,DESK!$AR$2:$AR$601,0)),""))</f>
        <v/>
      </c>
      <c r="G504" s="28" t="str">
        <f>IF(B504="","",INDEX(DESK!$AV$2:$AV$601,MATCH(496,DESK!$AR$2:$AR$601,0)))</f>
        <v/>
      </c>
      <c r="I504" s="21"/>
      <c r="J504" s="20"/>
      <c r="K504" s="20"/>
      <c r="L504" s="20"/>
      <c r="M504" s="23" t="str">
        <f t="shared" si="7"/>
        <v/>
      </c>
    </row>
    <row r="505" spans="1:13" x14ac:dyDescent="0.35">
      <c r="A505" s="28">
        <v>497</v>
      </c>
      <c r="B505" s="43" t="str">
        <f>IF(SETTINGS!$B$22&lt;&gt;"YES","",IFERROR(IF(OR($J$3="Everyone",INDEX(DESK!$AV$2:$AV$601,MATCH(497,DESK!$AR$2:$AR$601,0))="SEND"),"91"&amp;INDEX(DESK!$F$2:$F$601,MATCH(497,DESK!$AR$2:$AR$601,0)),""),""))</f>
        <v/>
      </c>
      <c r="C505" s="28" t="str">
        <f>IF(B505="","",IF(INDEX(DESK!$AC$2:$AC$601,MATCH(497,DESK!$AR$2:$AR$601,0))="YES","A","B"))</f>
        <v/>
      </c>
      <c r="D505" s="28" t="str">
        <f>IF(B505="","",INDEX(DESK!$AQ$2:$AQ$601,MATCH(497,DESK!$AR$2:$AR$601,0)))</f>
        <v/>
      </c>
      <c r="E505" s="28" t="str">
        <f>IF(B505="","",INDEX(DESK!$B$2:$B$601,MATCH(497,DESK!$AR$2:$AR$601,0))&amp;IF(COUNTIFS(DESK!$F$2:$F$601,INDEX(DESK!$F$2:$F$601,MATCH(497,DESK!$AR$2:$AR$601,0)),DESK!$L$2:$L$601,1)&gt;1," and "&amp;(COUNTIFS(DESK!$F$2:$F$601,INDEX(DESK!$F$2:$F$601,MATCH(497,DESK!$AR$2:$AR$601,0)),DESK!$L$2:$L$601,1)-1)&amp;" more",""))</f>
        <v/>
      </c>
      <c r="F505" s="28" t="str">
        <f>IF(B505="","",IF(C505="B",INDEX(DESK!$AD$2:$AD$601,MATCH(497,DESK!$AR$2:$AR$601,0)),""))</f>
        <v/>
      </c>
      <c r="G505" s="28" t="str">
        <f>IF(B505="","",INDEX(DESK!$AV$2:$AV$601,MATCH(497,DESK!$AR$2:$AR$601,0)))</f>
        <v/>
      </c>
      <c r="I505" s="21"/>
      <c r="J505" s="20"/>
      <c r="K505" s="20"/>
      <c r="L505" s="20"/>
      <c r="M505" s="23" t="str">
        <f t="shared" si="7"/>
        <v/>
      </c>
    </row>
    <row r="506" spans="1:13" x14ac:dyDescent="0.35">
      <c r="A506" s="28">
        <v>498</v>
      </c>
      <c r="B506" s="43" t="str">
        <f>IF(SETTINGS!$B$22&lt;&gt;"YES","",IFERROR(IF(OR($J$3="Everyone",INDEX(DESK!$AV$2:$AV$601,MATCH(498,DESK!$AR$2:$AR$601,0))="SEND"),"91"&amp;INDEX(DESK!$F$2:$F$601,MATCH(498,DESK!$AR$2:$AR$601,0)),""),""))</f>
        <v/>
      </c>
      <c r="C506" s="28" t="str">
        <f>IF(B506="","",IF(INDEX(DESK!$AC$2:$AC$601,MATCH(498,DESK!$AR$2:$AR$601,0))="YES","A","B"))</f>
        <v/>
      </c>
      <c r="D506" s="28" t="str">
        <f>IF(B506="","",INDEX(DESK!$AQ$2:$AQ$601,MATCH(498,DESK!$AR$2:$AR$601,0)))</f>
        <v/>
      </c>
      <c r="E506" s="28" t="str">
        <f>IF(B506="","",INDEX(DESK!$B$2:$B$601,MATCH(498,DESK!$AR$2:$AR$601,0))&amp;IF(COUNTIFS(DESK!$F$2:$F$601,INDEX(DESK!$F$2:$F$601,MATCH(498,DESK!$AR$2:$AR$601,0)),DESK!$L$2:$L$601,1)&gt;1," and "&amp;(COUNTIFS(DESK!$F$2:$F$601,INDEX(DESK!$F$2:$F$601,MATCH(498,DESK!$AR$2:$AR$601,0)),DESK!$L$2:$L$601,1)-1)&amp;" more",""))</f>
        <v/>
      </c>
      <c r="F506" s="28" t="str">
        <f>IF(B506="","",IF(C506="B",INDEX(DESK!$AD$2:$AD$601,MATCH(498,DESK!$AR$2:$AR$601,0)),""))</f>
        <v/>
      </c>
      <c r="G506" s="28" t="str">
        <f>IF(B506="","",INDEX(DESK!$AV$2:$AV$601,MATCH(498,DESK!$AR$2:$AR$601,0)))</f>
        <v/>
      </c>
      <c r="I506" s="21"/>
      <c r="J506" s="20"/>
      <c r="K506" s="20"/>
      <c r="L506" s="20"/>
      <c r="M506" s="23" t="str">
        <f t="shared" si="7"/>
        <v/>
      </c>
    </row>
    <row r="507" spans="1:13" x14ac:dyDescent="0.35">
      <c r="A507" s="28">
        <v>499</v>
      </c>
      <c r="B507" s="43" t="str">
        <f>IF(SETTINGS!$B$22&lt;&gt;"YES","",IFERROR(IF(OR($J$3="Everyone",INDEX(DESK!$AV$2:$AV$601,MATCH(499,DESK!$AR$2:$AR$601,0))="SEND"),"91"&amp;INDEX(DESK!$F$2:$F$601,MATCH(499,DESK!$AR$2:$AR$601,0)),""),""))</f>
        <v/>
      </c>
      <c r="C507" s="28" t="str">
        <f>IF(B507="","",IF(INDEX(DESK!$AC$2:$AC$601,MATCH(499,DESK!$AR$2:$AR$601,0))="YES","A","B"))</f>
        <v/>
      </c>
      <c r="D507" s="28" t="str">
        <f>IF(B507="","",INDEX(DESK!$AQ$2:$AQ$601,MATCH(499,DESK!$AR$2:$AR$601,0)))</f>
        <v/>
      </c>
      <c r="E507" s="28" t="str">
        <f>IF(B507="","",INDEX(DESK!$B$2:$B$601,MATCH(499,DESK!$AR$2:$AR$601,0))&amp;IF(COUNTIFS(DESK!$F$2:$F$601,INDEX(DESK!$F$2:$F$601,MATCH(499,DESK!$AR$2:$AR$601,0)),DESK!$L$2:$L$601,1)&gt;1," and "&amp;(COUNTIFS(DESK!$F$2:$F$601,INDEX(DESK!$F$2:$F$601,MATCH(499,DESK!$AR$2:$AR$601,0)),DESK!$L$2:$L$601,1)-1)&amp;" more",""))</f>
        <v/>
      </c>
      <c r="F507" s="28" t="str">
        <f>IF(B507="","",IF(C507="B",INDEX(DESK!$AD$2:$AD$601,MATCH(499,DESK!$AR$2:$AR$601,0)),""))</f>
        <v/>
      </c>
      <c r="G507" s="28" t="str">
        <f>IF(B507="","",INDEX(DESK!$AV$2:$AV$601,MATCH(499,DESK!$AR$2:$AR$601,0)))</f>
        <v/>
      </c>
      <c r="I507" s="21"/>
      <c r="J507" s="20"/>
      <c r="K507" s="20"/>
      <c r="L507" s="20"/>
      <c r="M507" s="23" t="str">
        <f t="shared" si="7"/>
        <v/>
      </c>
    </row>
    <row r="508" spans="1:13" x14ac:dyDescent="0.35">
      <c r="A508" s="28">
        <v>500</v>
      </c>
      <c r="B508" s="43" t="str">
        <f>IF(SETTINGS!$B$22&lt;&gt;"YES","",IFERROR(IF(OR($J$3="Everyone",INDEX(DESK!$AV$2:$AV$601,MATCH(500,DESK!$AR$2:$AR$601,0))="SEND"),"91"&amp;INDEX(DESK!$F$2:$F$601,MATCH(500,DESK!$AR$2:$AR$601,0)),""),""))</f>
        <v/>
      </c>
      <c r="C508" s="28" t="str">
        <f>IF(B508="","",IF(INDEX(DESK!$AC$2:$AC$601,MATCH(500,DESK!$AR$2:$AR$601,0))="YES","A","B"))</f>
        <v/>
      </c>
      <c r="D508" s="28" t="str">
        <f>IF(B508="","",INDEX(DESK!$AQ$2:$AQ$601,MATCH(500,DESK!$AR$2:$AR$601,0)))</f>
        <v/>
      </c>
      <c r="E508" s="28" t="str">
        <f>IF(B508="","",INDEX(DESK!$B$2:$B$601,MATCH(500,DESK!$AR$2:$AR$601,0))&amp;IF(COUNTIFS(DESK!$F$2:$F$601,INDEX(DESK!$F$2:$F$601,MATCH(500,DESK!$AR$2:$AR$601,0)),DESK!$L$2:$L$601,1)&gt;1," and "&amp;(COUNTIFS(DESK!$F$2:$F$601,INDEX(DESK!$F$2:$F$601,MATCH(500,DESK!$AR$2:$AR$601,0)),DESK!$L$2:$L$601,1)-1)&amp;" more",""))</f>
        <v/>
      </c>
      <c r="F508" s="28" t="str">
        <f>IF(B508="","",IF(C508="B",INDEX(DESK!$AD$2:$AD$601,MATCH(500,DESK!$AR$2:$AR$601,0)),""))</f>
        <v/>
      </c>
      <c r="G508" s="28" t="str">
        <f>IF(B508="","",INDEX(DESK!$AV$2:$AV$601,MATCH(500,DESK!$AR$2:$AR$601,0)))</f>
        <v/>
      </c>
      <c r="I508" s="21"/>
      <c r="J508" s="20"/>
      <c r="K508" s="20"/>
      <c r="L508" s="20"/>
      <c r="M508" s="23" t="str">
        <f t="shared" si="7"/>
        <v/>
      </c>
    </row>
    <row r="509" spans="1:13" x14ac:dyDescent="0.35">
      <c r="A509" s="28">
        <v>501</v>
      </c>
      <c r="B509" s="43" t="str">
        <f>IF(SETTINGS!$B$22&lt;&gt;"YES","",IFERROR(IF(OR($J$3="Everyone",INDEX(DESK!$AV$2:$AV$601,MATCH(501,DESK!$AR$2:$AR$601,0))="SEND"),"91"&amp;INDEX(DESK!$F$2:$F$601,MATCH(501,DESK!$AR$2:$AR$601,0)),""),""))</f>
        <v/>
      </c>
      <c r="C509" s="28" t="str">
        <f>IF(B509="","",IF(INDEX(DESK!$AC$2:$AC$601,MATCH(501,DESK!$AR$2:$AR$601,0))="YES","A","B"))</f>
        <v/>
      </c>
      <c r="D509" s="28" t="str">
        <f>IF(B509="","",INDEX(DESK!$AQ$2:$AQ$601,MATCH(501,DESK!$AR$2:$AR$601,0)))</f>
        <v/>
      </c>
      <c r="E509" s="28" t="str">
        <f>IF(B509="","",INDEX(DESK!$B$2:$B$601,MATCH(501,DESK!$AR$2:$AR$601,0))&amp;IF(COUNTIFS(DESK!$F$2:$F$601,INDEX(DESK!$F$2:$F$601,MATCH(501,DESK!$AR$2:$AR$601,0)),DESK!$L$2:$L$601,1)&gt;1," and "&amp;(COUNTIFS(DESK!$F$2:$F$601,INDEX(DESK!$F$2:$F$601,MATCH(501,DESK!$AR$2:$AR$601,0)),DESK!$L$2:$L$601,1)-1)&amp;" more",""))</f>
        <v/>
      </c>
      <c r="F509" s="28" t="str">
        <f>IF(B509="","",IF(C509="B",INDEX(DESK!$AD$2:$AD$601,MATCH(501,DESK!$AR$2:$AR$601,0)),""))</f>
        <v/>
      </c>
      <c r="G509" s="28" t="str">
        <f>IF(B509="","",INDEX(DESK!$AV$2:$AV$601,MATCH(501,DESK!$AR$2:$AR$601,0)))</f>
        <v/>
      </c>
      <c r="I509" s="21"/>
      <c r="J509" s="20"/>
      <c r="K509" s="20"/>
      <c r="L509" s="20"/>
      <c r="M509" s="23" t="str">
        <f t="shared" si="7"/>
        <v/>
      </c>
    </row>
    <row r="510" spans="1:13" x14ac:dyDescent="0.35">
      <c r="A510" s="28">
        <v>502</v>
      </c>
      <c r="B510" s="43" t="str">
        <f>IF(SETTINGS!$B$22&lt;&gt;"YES","",IFERROR(IF(OR($J$3="Everyone",INDEX(DESK!$AV$2:$AV$601,MATCH(502,DESK!$AR$2:$AR$601,0))="SEND"),"91"&amp;INDEX(DESK!$F$2:$F$601,MATCH(502,DESK!$AR$2:$AR$601,0)),""),""))</f>
        <v/>
      </c>
      <c r="C510" s="28" t="str">
        <f>IF(B510="","",IF(INDEX(DESK!$AC$2:$AC$601,MATCH(502,DESK!$AR$2:$AR$601,0))="YES","A","B"))</f>
        <v/>
      </c>
      <c r="D510" s="28" t="str">
        <f>IF(B510="","",INDEX(DESK!$AQ$2:$AQ$601,MATCH(502,DESK!$AR$2:$AR$601,0)))</f>
        <v/>
      </c>
      <c r="E510" s="28" t="str">
        <f>IF(B510="","",INDEX(DESK!$B$2:$B$601,MATCH(502,DESK!$AR$2:$AR$601,0))&amp;IF(COUNTIFS(DESK!$F$2:$F$601,INDEX(DESK!$F$2:$F$601,MATCH(502,DESK!$AR$2:$AR$601,0)),DESK!$L$2:$L$601,1)&gt;1," and "&amp;(COUNTIFS(DESK!$F$2:$F$601,INDEX(DESK!$F$2:$F$601,MATCH(502,DESK!$AR$2:$AR$601,0)),DESK!$L$2:$L$601,1)-1)&amp;" more",""))</f>
        <v/>
      </c>
      <c r="F510" s="28" t="str">
        <f>IF(B510="","",IF(C510="B",INDEX(DESK!$AD$2:$AD$601,MATCH(502,DESK!$AR$2:$AR$601,0)),""))</f>
        <v/>
      </c>
      <c r="G510" s="28" t="str">
        <f>IF(B510="","",INDEX(DESK!$AV$2:$AV$601,MATCH(502,DESK!$AR$2:$AR$601,0)))</f>
        <v/>
      </c>
      <c r="I510" s="21"/>
      <c r="J510" s="20"/>
      <c r="K510" s="20"/>
      <c r="L510" s="20"/>
      <c r="M510" s="23" t="str">
        <f t="shared" si="7"/>
        <v/>
      </c>
    </row>
    <row r="511" spans="1:13" x14ac:dyDescent="0.35">
      <c r="A511" s="28">
        <v>503</v>
      </c>
      <c r="B511" s="43" t="str">
        <f>IF(SETTINGS!$B$22&lt;&gt;"YES","",IFERROR(IF(OR($J$3="Everyone",INDEX(DESK!$AV$2:$AV$601,MATCH(503,DESK!$AR$2:$AR$601,0))="SEND"),"91"&amp;INDEX(DESK!$F$2:$F$601,MATCH(503,DESK!$AR$2:$AR$601,0)),""),""))</f>
        <v/>
      </c>
      <c r="C511" s="28" t="str">
        <f>IF(B511="","",IF(INDEX(DESK!$AC$2:$AC$601,MATCH(503,DESK!$AR$2:$AR$601,0))="YES","A","B"))</f>
        <v/>
      </c>
      <c r="D511" s="28" t="str">
        <f>IF(B511="","",INDEX(DESK!$AQ$2:$AQ$601,MATCH(503,DESK!$AR$2:$AR$601,0)))</f>
        <v/>
      </c>
      <c r="E511" s="28" t="str">
        <f>IF(B511="","",INDEX(DESK!$B$2:$B$601,MATCH(503,DESK!$AR$2:$AR$601,0))&amp;IF(COUNTIFS(DESK!$F$2:$F$601,INDEX(DESK!$F$2:$F$601,MATCH(503,DESK!$AR$2:$AR$601,0)),DESK!$L$2:$L$601,1)&gt;1," and "&amp;(COUNTIFS(DESK!$F$2:$F$601,INDEX(DESK!$F$2:$F$601,MATCH(503,DESK!$AR$2:$AR$601,0)),DESK!$L$2:$L$601,1)-1)&amp;" more",""))</f>
        <v/>
      </c>
      <c r="F511" s="28" t="str">
        <f>IF(B511="","",IF(C511="B",INDEX(DESK!$AD$2:$AD$601,MATCH(503,DESK!$AR$2:$AR$601,0)),""))</f>
        <v/>
      </c>
      <c r="G511" s="28" t="str">
        <f>IF(B511="","",INDEX(DESK!$AV$2:$AV$601,MATCH(503,DESK!$AR$2:$AR$601,0)))</f>
        <v/>
      </c>
      <c r="I511" s="21"/>
      <c r="J511" s="20"/>
      <c r="K511" s="20"/>
      <c r="L511" s="20"/>
      <c r="M511" s="23" t="str">
        <f t="shared" si="7"/>
        <v/>
      </c>
    </row>
    <row r="512" spans="1:13" x14ac:dyDescent="0.35">
      <c r="A512" s="28">
        <v>504</v>
      </c>
      <c r="B512" s="43" t="str">
        <f>IF(SETTINGS!$B$22&lt;&gt;"YES","",IFERROR(IF(OR($J$3="Everyone",INDEX(DESK!$AV$2:$AV$601,MATCH(504,DESK!$AR$2:$AR$601,0))="SEND"),"91"&amp;INDEX(DESK!$F$2:$F$601,MATCH(504,DESK!$AR$2:$AR$601,0)),""),""))</f>
        <v/>
      </c>
      <c r="C512" s="28" t="str">
        <f>IF(B512="","",IF(INDEX(DESK!$AC$2:$AC$601,MATCH(504,DESK!$AR$2:$AR$601,0))="YES","A","B"))</f>
        <v/>
      </c>
      <c r="D512" s="28" t="str">
        <f>IF(B512="","",INDEX(DESK!$AQ$2:$AQ$601,MATCH(504,DESK!$AR$2:$AR$601,0)))</f>
        <v/>
      </c>
      <c r="E512" s="28" t="str">
        <f>IF(B512="","",INDEX(DESK!$B$2:$B$601,MATCH(504,DESK!$AR$2:$AR$601,0))&amp;IF(COUNTIFS(DESK!$F$2:$F$601,INDEX(DESK!$F$2:$F$601,MATCH(504,DESK!$AR$2:$AR$601,0)),DESK!$L$2:$L$601,1)&gt;1," and "&amp;(COUNTIFS(DESK!$F$2:$F$601,INDEX(DESK!$F$2:$F$601,MATCH(504,DESK!$AR$2:$AR$601,0)),DESK!$L$2:$L$601,1)-1)&amp;" more",""))</f>
        <v/>
      </c>
      <c r="F512" s="28" t="str">
        <f>IF(B512="","",IF(C512="B",INDEX(DESK!$AD$2:$AD$601,MATCH(504,DESK!$AR$2:$AR$601,0)),""))</f>
        <v/>
      </c>
      <c r="G512" s="28" t="str">
        <f>IF(B512="","",INDEX(DESK!$AV$2:$AV$601,MATCH(504,DESK!$AR$2:$AR$601,0)))</f>
        <v/>
      </c>
      <c r="I512" s="21"/>
      <c r="J512" s="20"/>
      <c r="K512" s="20"/>
      <c r="L512" s="20"/>
      <c r="M512" s="23" t="str">
        <f t="shared" si="7"/>
        <v/>
      </c>
    </row>
    <row r="513" spans="1:13" x14ac:dyDescent="0.35">
      <c r="A513" s="28">
        <v>505</v>
      </c>
      <c r="B513" s="43" t="str">
        <f>IF(SETTINGS!$B$22&lt;&gt;"YES","",IFERROR(IF(OR($J$3="Everyone",INDEX(DESK!$AV$2:$AV$601,MATCH(505,DESK!$AR$2:$AR$601,0))="SEND"),"91"&amp;INDEX(DESK!$F$2:$F$601,MATCH(505,DESK!$AR$2:$AR$601,0)),""),""))</f>
        <v/>
      </c>
      <c r="C513" s="28" t="str">
        <f>IF(B513="","",IF(INDEX(DESK!$AC$2:$AC$601,MATCH(505,DESK!$AR$2:$AR$601,0))="YES","A","B"))</f>
        <v/>
      </c>
      <c r="D513" s="28" t="str">
        <f>IF(B513="","",INDEX(DESK!$AQ$2:$AQ$601,MATCH(505,DESK!$AR$2:$AR$601,0)))</f>
        <v/>
      </c>
      <c r="E513" s="28" t="str">
        <f>IF(B513="","",INDEX(DESK!$B$2:$B$601,MATCH(505,DESK!$AR$2:$AR$601,0))&amp;IF(COUNTIFS(DESK!$F$2:$F$601,INDEX(DESK!$F$2:$F$601,MATCH(505,DESK!$AR$2:$AR$601,0)),DESK!$L$2:$L$601,1)&gt;1," and "&amp;(COUNTIFS(DESK!$F$2:$F$601,INDEX(DESK!$F$2:$F$601,MATCH(505,DESK!$AR$2:$AR$601,0)),DESK!$L$2:$L$601,1)-1)&amp;" more",""))</f>
        <v/>
      </c>
      <c r="F513" s="28" t="str">
        <f>IF(B513="","",IF(C513="B",INDEX(DESK!$AD$2:$AD$601,MATCH(505,DESK!$AR$2:$AR$601,0)),""))</f>
        <v/>
      </c>
      <c r="G513" s="28" t="str">
        <f>IF(B513="","",INDEX(DESK!$AV$2:$AV$601,MATCH(505,DESK!$AR$2:$AR$601,0)))</f>
        <v/>
      </c>
      <c r="I513" s="21"/>
      <c r="J513" s="20"/>
      <c r="K513" s="20"/>
      <c r="L513" s="20"/>
      <c r="M513" s="23" t="str">
        <f t="shared" si="7"/>
        <v/>
      </c>
    </row>
    <row r="514" spans="1:13" x14ac:dyDescent="0.35">
      <c r="A514" s="28">
        <v>506</v>
      </c>
      <c r="B514" s="43" t="str">
        <f>IF(SETTINGS!$B$22&lt;&gt;"YES","",IFERROR(IF(OR($J$3="Everyone",INDEX(DESK!$AV$2:$AV$601,MATCH(506,DESK!$AR$2:$AR$601,0))="SEND"),"91"&amp;INDEX(DESK!$F$2:$F$601,MATCH(506,DESK!$AR$2:$AR$601,0)),""),""))</f>
        <v/>
      </c>
      <c r="C514" s="28" t="str">
        <f>IF(B514="","",IF(INDEX(DESK!$AC$2:$AC$601,MATCH(506,DESK!$AR$2:$AR$601,0))="YES","A","B"))</f>
        <v/>
      </c>
      <c r="D514" s="28" t="str">
        <f>IF(B514="","",INDEX(DESK!$AQ$2:$AQ$601,MATCH(506,DESK!$AR$2:$AR$601,0)))</f>
        <v/>
      </c>
      <c r="E514" s="28" t="str">
        <f>IF(B514="","",INDEX(DESK!$B$2:$B$601,MATCH(506,DESK!$AR$2:$AR$601,0))&amp;IF(COUNTIFS(DESK!$F$2:$F$601,INDEX(DESK!$F$2:$F$601,MATCH(506,DESK!$AR$2:$AR$601,0)),DESK!$L$2:$L$601,1)&gt;1," and "&amp;(COUNTIFS(DESK!$F$2:$F$601,INDEX(DESK!$F$2:$F$601,MATCH(506,DESK!$AR$2:$AR$601,0)),DESK!$L$2:$L$601,1)-1)&amp;" more",""))</f>
        <v/>
      </c>
      <c r="F514" s="28" t="str">
        <f>IF(B514="","",IF(C514="B",INDEX(DESK!$AD$2:$AD$601,MATCH(506,DESK!$AR$2:$AR$601,0)),""))</f>
        <v/>
      </c>
      <c r="G514" s="28" t="str">
        <f>IF(B514="","",INDEX(DESK!$AV$2:$AV$601,MATCH(506,DESK!$AR$2:$AR$601,0)))</f>
        <v/>
      </c>
      <c r="I514" s="21"/>
      <c r="J514" s="20"/>
      <c r="K514" s="20"/>
      <c r="L514" s="20"/>
      <c r="M514" s="23" t="str">
        <f t="shared" si="7"/>
        <v/>
      </c>
    </row>
    <row r="515" spans="1:13" x14ac:dyDescent="0.35">
      <c r="A515" s="28">
        <v>507</v>
      </c>
      <c r="B515" s="43" t="str">
        <f>IF(SETTINGS!$B$22&lt;&gt;"YES","",IFERROR(IF(OR($J$3="Everyone",INDEX(DESK!$AV$2:$AV$601,MATCH(507,DESK!$AR$2:$AR$601,0))="SEND"),"91"&amp;INDEX(DESK!$F$2:$F$601,MATCH(507,DESK!$AR$2:$AR$601,0)),""),""))</f>
        <v/>
      </c>
      <c r="C515" s="28" t="str">
        <f>IF(B515="","",IF(INDEX(DESK!$AC$2:$AC$601,MATCH(507,DESK!$AR$2:$AR$601,0))="YES","A","B"))</f>
        <v/>
      </c>
      <c r="D515" s="28" t="str">
        <f>IF(B515="","",INDEX(DESK!$AQ$2:$AQ$601,MATCH(507,DESK!$AR$2:$AR$601,0)))</f>
        <v/>
      </c>
      <c r="E515" s="28" t="str">
        <f>IF(B515="","",INDEX(DESK!$B$2:$B$601,MATCH(507,DESK!$AR$2:$AR$601,0))&amp;IF(COUNTIFS(DESK!$F$2:$F$601,INDEX(DESK!$F$2:$F$601,MATCH(507,DESK!$AR$2:$AR$601,0)),DESK!$L$2:$L$601,1)&gt;1," and "&amp;(COUNTIFS(DESK!$F$2:$F$601,INDEX(DESK!$F$2:$F$601,MATCH(507,DESK!$AR$2:$AR$601,0)),DESK!$L$2:$L$601,1)-1)&amp;" more",""))</f>
        <v/>
      </c>
      <c r="F515" s="28" t="str">
        <f>IF(B515="","",IF(C515="B",INDEX(DESK!$AD$2:$AD$601,MATCH(507,DESK!$AR$2:$AR$601,0)),""))</f>
        <v/>
      </c>
      <c r="G515" s="28" t="str">
        <f>IF(B515="","",INDEX(DESK!$AV$2:$AV$601,MATCH(507,DESK!$AR$2:$AR$601,0)))</f>
        <v/>
      </c>
      <c r="I515" s="21"/>
      <c r="J515" s="20"/>
      <c r="K515" s="20"/>
      <c r="L515" s="20"/>
      <c r="M515" s="23" t="str">
        <f t="shared" si="7"/>
        <v/>
      </c>
    </row>
    <row r="516" spans="1:13" x14ac:dyDescent="0.35">
      <c r="A516" s="28">
        <v>508</v>
      </c>
      <c r="B516" s="43" t="str">
        <f>IF(SETTINGS!$B$22&lt;&gt;"YES","",IFERROR(IF(OR($J$3="Everyone",INDEX(DESK!$AV$2:$AV$601,MATCH(508,DESK!$AR$2:$AR$601,0))="SEND"),"91"&amp;INDEX(DESK!$F$2:$F$601,MATCH(508,DESK!$AR$2:$AR$601,0)),""),""))</f>
        <v/>
      </c>
      <c r="C516" s="28" t="str">
        <f>IF(B516="","",IF(INDEX(DESK!$AC$2:$AC$601,MATCH(508,DESK!$AR$2:$AR$601,0))="YES","A","B"))</f>
        <v/>
      </c>
      <c r="D516" s="28" t="str">
        <f>IF(B516="","",INDEX(DESK!$AQ$2:$AQ$601,MATCH(508,DESK!$AR$2:$AR$601,0)))</f>
        <v/>
      </c>
      <c r="E516" s="28" t="str">
        <f>IF(B516="","",INDEX(DESK!$B$2:$B$601,MATCH(508,DESK!$AR$2:$AR$601,0))&amp;IF(COUNTIFS(DESK!$F$2:$F$601,INDEX(DESK!$F$2:$F$601,MATCH(508,DESK!$AR$2:$AR$601,0)),DESK!$L$2:$L$601,1)&gt;1," and "&amp;(COUNTIFS(DESK!$F$2:$F$601,INDEX(DESK!$F$2:$F$601,MATCH(508,DESK!$AR$2:$AR$601,0)),DESK!$L$2:$L$601,1)-1)&amp;" more",""))</f>
        <v/>
      </c>
      <c r="F516" s="28" t="str">
        <f>IF(B516="","",IF(C516="B",INDEX(DESK!$AD$2:$AD$601,MATCH(508,DESK!$AR$2:$AR$601,0)),""))</f>
        <v/>
      </c>
      <c r="G516" s="28" t="str">
        <f>IF(B516="","",INDEX(DESK!$AV$2:$AV$601,MATCH(508,DESK!$AR$2:$AR$601,0)))</f>
        <v/>
      </c>
      <c r="I516" s="21"/>
      <c r="J516" s="20"/>
      <c r="K516" s="20"/>
      <c r="L516" s="20"/>
      <c r="M516" s="23" t="str">
        <f t="shared" si="7"/>
        <v/>
      </c>
    </row>
    <row r="517" spans="1:13" x14ac:dyDescent="0.35">
      <c r="A517" s="28">
        <v>509</v>
      </c>
      <c r="B517" s="43" t="str">
        <f>IF(SETTINGS!$B$22&lt;&gt;"YES","",IFERROR(IF(OR($J$3="Everyone",INDEX(DESK!$AV$2:$AV$601,MATCH(509,DESK!$AR$2:$AR$601,0))="SEND"),"91"&amp;INDEX(DESK!$F$2:$F$601,MATCH(509,DESK!$AR$2:$AR$601,0)),""),""))</f>
        <v/>
      </c>
      <c r="C517" s="28" t="str">
        <f>IF(B517="","",IF(INDEX(DESK!$AC$2:$AC$601,MATCH(509,DESK!$AR$2:$AR$601,0))="YES","A","B"))</f>
        <v/>
      </c>
      <c r="D517" s="28" t="str">
        <f>IF(B517="","",INDEX(DESK!$AQ$2:$AQ$601,MATCH(509,DESK!$AR$2:$AR$601,0)))</f>
        <v/>
      </c>
      <c r="E517" s="28" t="str">
        <f>IF(B517="","",INDEX(DESK!$B$2:$B$601,MATCH(509,DESK!$AR$2:$AR$601,0))&amp;IF(COUNTIFS(DESK!$F$2:$F$601,INDEX(DESK!$F$2:$F$601,MATCH(509,DESK!$AR$2:$AR$601,0)),DESK!$L$2:$L$601,1)&gt;1," and "&amp;(COUNTIFS(DESK!$F$2:$F$601,INDEX(DESK!$F$2:$F$601,MATCH(509,DESK!$AR$2:$AR$601,0)),DESK!$L$2:$L$601,1)-1)&amp;" more",""))</f>
        <v/>
      </c>
      <c r="F517" s="28" t="str">
        <f>IF(B517="","",IF(C517="B",INDEX(DESK!$AD$2:$AD$601,MATCH(509,DESK!$AR$2:$AR$601,0)),""))</f>
        <v/>
      </c>
      <c r="G517" s="28" t="str">
        <f>IF(B517="","",INDEX(DESK!$AV$2:$AV$601,MATCH(509,DESK!$AR$2:$AR$601,0)))</f>
        <v/>
      </c>
      <c r="I517" s="21"/>
      <c r="J517" s="20"/>
      <c r="K517" s="20"/>
      <c r="L517" s="20"/>
      <c r="M517" s="23" t="str">
        <f t="shared" si="7"/>
        <v/>
      </c>
    </row>
    <row r="518" spans="1:13" x14ac:dyDescent="0.35">
      <c r="A518" s="28">
        <v>510</v>
      </c>
      <c r="B518" s="43" t="str">
        <f>IF(SETTINGS!$B$22&lt;&gt;"YES","",IFERROR(IF(OR($J$3="Everyone",INDEX(DESK!$AV$2:$AV$601,MATCH(510,DESK!$AR$2:$AR$601,0))="SEND"),"91"&amp;INDEX(DESK!$F$2:$F$601,MATCH(510,DESK!$AR$2:$AR$601,0)),""),""))</f>
        <v/>
      </c>
      <c r="C518" s="28" t="str">
        <f>IF(B518="","",IF(INDEX(DESK!$AC$2:$AC$601,MATCH(510,DESK!$AR$2:$AR$601,0))="YES","A","B"))</f>
        <v/>
      </c>
      <c r="D518" s="28" t="str">
        <f>IF(B518="","",INDEX(DESK!$AQ$2:$AQ$601,MATCH(510,DESK!$AR$2:$AR$601,0)))</f>
        <v/>
      </c>
      <c r="E518" s="28" t="str">
        <f>IF(B518="","",INDEX(DESK!$B$2:$B$601,MATCH(510,DESK!$AR$2:$AR$601,0))&amp;IF(COUNTIFS(DESK!$F$2:$F$601,INDEX(DESK!$F$2:$F$601,MATCH(510,DESK!$AR$2:$AR$601,0)),DESK!$L$2:$L$601,1)&gt;1," and "&amp;(COUNTIFS(DESK!$F$2:$F$601,INDEX(DESK!$F$2:$F$601,MATCH(510,DESK!$AR$2:$AR$601,0)),DESK!$L$2:$L$601,1)-1)&amp;" more",""))</f>
        <v/>
      </c>
      <c r="F518" s="28" t="str">
        <f>IF(B518="","",IF(C518="B",INDEX(DESK!$AD$2:$AD$601,MATCH(510,DESK!$AR$2:$AR$601,0)),""))</f>
        <v/>
      </c>
      <c r="G518" s="28" t="str">
        <f>IF(B518="","",INDEX(DESK!$AV$2:$AV$601,MATCH(510,DESK!$AR$2:$AR$601,0)))</f>
        <v/>
      </c>
      <c r="I518" s="21"/>
      <c r="J518" s="20"/>
      <c r="K518" s="20"/>
      <c r="L518" s="20"/>
      <c r="M518" s="23" t="str">
        <f t="shared" si="7"/>
        <v/>
      </c>
    </row>
    <row r="519" spans="1:13" x14ac:dyDescent="0.35">
      <c r="A519" s="28">
        <v>511</v>
      </c>
      <c r="B519" s="43" t="str">
        <f>IF(SETTINGS!$B$22&lt;&gt;"YES","",IFERROR(IF(OR($J$3="Everyone",INDEX(DESK!$AV$2:$AV$601,MATCH(511,DESK!$AR$2:$AR$601,0))="SEND"),"91"&amp;INDEX(DESK!$F$2:$F$601,MATCH(511,DESK!$AR$2:$AR$601,0)),""),""))</f>
        <v/>
      </c>
      <c r="C519" s="28" t="str">
        <f>IF(B519="","",IF(INDEX(DESK!$AC$2:$AC$601,MATCH(511,DESK!$AR$2:$AR$601,0))="YES","A","B"))</f>
        <v/>
      </c>
      <c r="D519" s="28" t="str">
        <f>IF(B519="","",INDEX(DESK!$AQ$2:$AQ$601,MATCH(511,DESK!$AR$2:$AR$601,0)))</f>
        <v/>
      </c>
      <c r="E519" s="28" t="str">
        <f>IF(B519="","",INDEX(DESK!$B$2:$B$601,MATCH(511,DESK!$AR$2:$AR$601,0))&amp;IF(COUNTIFS(DESK!$F$2:$F$601,INDEX(DESK!$F$2:$F$601,MATCH(511,DESK!$AR$2:$AR$601,0)),DESK!$L$2:$L$601,1)&gt;1," and "&amp;(COUNTIFS(DESK!$F$2:$F$601,INDEX(DESK!$F$2:$F$601,MATCH(511,DESK!$AR$2:$AR$601,0)),DESK!$L$2:$L$601,1)-1)&amp;" more",""))</f>
        <v/>
      </c>
      <c r="F519" s="28" t="str">
        <f>IF(B519="","",IF(C519="B",INDEX(DESK!$AD$2:$AD$601,MATCH(511,DESK!$AR$2:$AR$601,0)),""))</f>
        <v/>
      </c>
      <c r="G519" s="28" t="str">
        <f>IF(B519="","",INDEX(DESK!$AV$2:$AV$601,MATCH(511,DESK!$AR$2:$AR$601,0)))</f>
        <v/>
      </c>
      <c r="I519" s="21"/>
      <c r="J519" s="20"/>
      <c r="K519" s="20"/>
      <c r="L519" s="20"/>
      <c r="M519" s="23" t="str">
        <f t="shared" si="7"/>
        <v/>
      </c>
    </row>
    <row r="520" spans="1:13" x14ac:dyDescent="0.35">
      <c r="A520" s="28">
        <v>512</v>
      </c>
      <c r="B520" s="43" t="str">
        <f>IF(SETTINGS!$B$22&lt;&gt;"YES","",IFERROR(IF(OR($J$3="Everyone",INDEX(DESK!$AV$2:$AV$601,MATCH(512,DESK!$AR$2:$AR$601,0))="SEND"),"91"&amp;INDEX(DESK!$F$2:$F$601,MATCH(512,DESK!$AR$2:$AR$601,0)),""),""))</f>
        <v/>
      </c>
      <c r="C520" s="28" t="str">
        <f>IF(B520="","",IF(INDEX(DESK!$AC$2:$AC$601,MATCH(512,DESK!$AR$2:$AR$601,0))="YES","A","B"))</f>
        <v/>
      </c>
      <c r="D520" s="28" t="str">
        <f>IF(B520="","",INDEX(DESK!$AQ$2:$AQ$601,MATCH(512,DESK!$AR$2:$AR$601,0)))</f>
        <v/>
      </c>
      <c r="E520" s="28" t="str">
        <f>IF(B520="","",INDEX(DESK!$B$2:$B$601,MATCH(512,DESK!$AR$2:$AR$601,0))&amp;IF(COUNTIFS(DESK!$F$2:$F$601,INDEX(DESK!$F$2:$F$601,MATCH(512,DESK!$AR$2:$AR$601,0)),DESK!$L$2:$L$601,1)&gt;1," and "&amp;(COUNTIFS(DESK!$F$2:$F$601,INDEX(DESK!$F$2:$F$601,MATCH(512,DESK!$AR$2:$AR$601,0)),DESK!$L$2:$L$601,1)-1)&amp;" more",""))</f>
        <v/>
      </c>
      <c r="F520" s="28" t="str">
        <f>IF(B520="","",IF(C520="B",INDEX(DESK!$AD$2:$AD$601,MATCH(512,DESK!$AR$2:$AR$601,0)),""))</f>
        <v/>
      </c>
      <c r="G520" s="28" t="str">
        <f>IF(B520="","",INDEX(DESK!$AV$2:$AV$601,MATCH(512,DESK!$AR$2:$AR$601,0)))</f>
        <v/>
      </c>
      <c r="I520" s="21"/>
      <c r="J520" s="20"/>
      <c r="K520" s="20"/>
      <c r="L520" s="20"/>
      <c r="M520" s="23" t="str">
        <f t="shared" si="7"/>
        <v/>
      </c>
    </row>
    <row r="521" spans="1:13" x14ac:dyDescent="0.35">
      <c r="A521" s="28">
        <v>513</v>
      </c>
      <c r="B521" s="43" t="str">
        <f>IF(SETTINGS!$B$22&lt;&gt;"YES","",IFERROR(IF(OR($J$3="Everyone",INDEX(DESK!$AV$2:$AV$601,MATCH(513,DESK!$AR$2:$AR$601,0))="SEND"),"91"&amp;INDEX(DESK!$F$2:$F$601,MATCH(513,DESK!$AR$2:$AR$601,0)),""),""))</f>
        <v/>
      </c>
      <c r="C521" s="28" t="str">
        <f>IF(B521="","",IF(INDEX(DESK!$AC$2:$AC$601,MATCH(513,DESK!$AR$2:$AR$601,0))="YES","A","B"))</f>
        <v/>
      </c>
      <c r="D521" s="28" t="str">
        <f>IF(B521="","",INDEX(DESK!$AQ$2:$AQ$601,MATCH(513,DESK!$AR$2:$AR$601,0)))</f>
        <v/>
      </c>
      <c r="E521" s="28" t="str">
        <f>IF(B521="","",INDEX(DESK!$B$2:$B$601,MATCH(513,DESK!$AR$2:$AR$601,0))&amp;IF(COUNTIFS(DESK!$F$2:$F$601,INDEX(DESK!$F$2:$F$601,MATCH(513,DESK!$AR$2:$AR$601,0)),DESK!$L$2:$L$601,1)&gt;1," and "&amp;(COUNTIFS(DESK!$F$2:$F$601,INDEX(DESK!$F$2:$F$601,MATCH(513,DESK!$AR$2:$AR$601,0)),DESK!$L$2:$L$601,1)-1)&amp;" more",""))</f>
        <v/>
      </c>
      <c r="F521" s="28" t="str">
        <f>IF(B521="","",IF(C521="B",INDEX(DESK!$AD$2:$AD$601,MATCH(513,DESK!$AR$2:$AR$601,0)),""))</f>
        <v/>
      </c>
      <c r="G521" s="28" t="str">
        <f>IF(B521="","",INDEX(DESK!$AV$2:$AV$601,MATCH(513,DESK!$AR$2:$AR$601,0)))</f>
        <v/>
      </c>
      <c r="I521" s="21"/>
      <c r="J521" s="20"/>
      <c r="K521" s="20"/>
      <c r="L521" s="20"/>
      <c r="M521" s="23" t="str">
        <f t="shared" ref="M521:M584" si="8">IF(I521="","",RIGHT(SUBSTITUTE(SUBSTITUTE(I521&amp;""," ",""),"+",""),10))</f>
        <v/>
      </c>
    </row>
    <row r="522" spans="1:13" x14ac:dyDescent="0.35">
      <c r="A522" s="28">
        <v>514</v>
      </c>
      <c r="B522" s="43" t="str">
        <f>IF(SETTINGS!$B$22&lt;&gt;"YES","",IFERROR(IF(OR($J$3="Everyone",INDEX(DESK!$AV$2:$AV$601,MATCH(514,DESK!$AR$2:$AR$601,0))="SEND"),"91"&amp;INDEX(DESK!$F$2:$F$601,MATCH(514,DESK!$AR$2:$AR$601,0)),""),""))</f>
        <v/>
      </c>
      <c r="C522" s="28" t="str">
        <f>IF(B522="","",IF(INDEX(DESK!$AC$2:$AC$601,MATCH(514,DESK!$AR$2:$AR$601,0))="YES","A","B"))</f>
        <v/>
      </c>
      <c r="D522" s="28" t="str">
        <f>IF(B522="","",INDEX(DESK!$AQ$2:$AQ$601,MATCH(514,DESK!$AR$2:$AR$601,0)))</f>
        <v/>
      </c>
      <c r="E522" s="28" t="str">
        <f>IF(B522="","",INDEX(DESK!$B$2:$B$601,MATCH(514,DESK!$AR$2:$AR$601,0))&amp;IF(COUNTIFS(DESK!$F$2:$F$601,INDEX(DESK!$F$2:$F$601,MATCH(514,DESK!$AR$2:$AR$601,0)),DESK!$L$2:$L$601,1)&gt;1," and "&amp;(COUNTIFS(DESK!$F$2:$F$601,INDEX(DESK!$F$2:$F$601,MATCH(514,DESK!$AR$2:$AR$601,0)),DESK!$L$2:$L$601,1)-1)&amp;" more",""))</f>
        <v/>
      </c>
      <c r="F522" s="28" t="str">
        <f>IF(B522="","",IF(C522="B",INDEX(DESK!$AD$2:$AD$601,MATCH(514,DESK!$AR$2:$AR$601,0)),""))</f>
        <v/>
      </c>
      <c r="G522" s="28" t="str">
        <f>IF(B522="","",INDEX(DESK!$AV$2:$AV$601,MATCH(514,DESK!$AR$2:$AR$601,0)))</f>
        <v/>
      </c>
      <c r="I522" s="21"/>
      <c r="J522" s="20"/>
      <c r="K522" s="20"/>
      <c r="L522" s="20"/>
      <c r="M522" s="23" t="str">
        <f t="shared" si="8"/>
        <v/>
      </c>
    </row>
    <row r="523" spans="1:13" x14ac:dyDescent="0.35">
      <c r="A523" s="28">
        <v>515</v>
      </c>
      <c r="B523" s="43" t="str">
        <f>IF(SETTINGS!$B$22&lt;&gt;"YES","",IFERROR(IF(OR($J$3="Everyone",INDEX(DESK!$AV$2:$AV$601,MATCH(515,DESK!$AR$2:$AR$601,0))="SEND"),"91"&amp;INDEX(DESK!$F$2:$F$601,MATCH(515,DESK!$AR$2:$AR$601,0)),""),""))</f>
        <v/>
      </c>
      <c r="C523" s="28" t="str">
        <f>IF(B523="","",IF(INDEX(DESK!$AC$2:$AC$601,MATCH(515,DESK!$AR$2:$AR$601,0))="YES","A","B"))</f>
        <v/>
      </c>
      <c r="D523" s="28" t="str">
        <f>IF(B523="","",INDEX(DESK!$AQ$2:$AQ$601,MATCH(515,DESK!$AR$2:$AR$601,0)))</f>
        <v/>
      </c>
      <c r="E523" s="28" t="str">
        <f>IF(B523="","",INDEX(DESK!$B$2:$B$601,MATCH(515,DESK!$AR$2:$AR$601,0))&amp;IF(COUNTIFS(DESK!$F$2:$F$601,INDEX(DESK!$F$2:$F$601,MATCH(515,DESK!$AR$2:$AR$601,0)),DESK!$L$2:$L$601,1)&gt;1," and "&amp;(COUNTIFS(DESK!$F$2:$F$601,INDEX(DESK!$F$2:$F$601,MATCH(515,DESK!$AR$2:$AR$601,0)),DESK!$L$2:$L$601,1)-1)&amp;" more",""))</f>
        <v/>
      </c>
      <c r="F523" s="28" t="str">
        <f>IF(B523="","",IF(C523="B",INDEX(DESK!$AD$2:$AD$601,MATCH(515,DESK!$AR$2:$AR$601,0)),""))</f>
        <v/>
      </c>
      <c r="G523" s="28" t="str">
        <f>IF(B523="","",INDEX(DESK!$AV$2:$AV$601,MATCH(515,DESK!$AR$2:$AR$601,0)))</f>
        <v/>
      </c>
      <c r="I523" s="21"/>
      <c r="J523" s="20"/>
      <c r="K523" s="20"/>
      <c r="L523" s="20"/>
      <c r="M523" s="23" t="str">
        <f t="shared" si="8"/>
        <v/>
      </c>
    </row>
    <row r="524" spans="1:13" x14ac:dyDescent="0.35">
      <c r="A524" s="28">
        <v>516</v>
      </c>
      <c r="B524" s="43" t="str">
        <f>IF(SETTINGS!$B$22&lt;&gt;"YES","",IFERROR(IF(OR($J$3="Everyone",INDEX(DESK!$AV$2:$AV$601,MATCH(516,DESK!$AR$2:$AR$601,0))="SEND"),"91"&amp;INDEX(DESK!$F$2:$F$601,MATCH(516,DESK!$AR$2:$AR$601,0)),""),""))</f>
        <v/>
      </c>
      <c r="C524" s="28" t="str">
        <f>IF(B524="","",IF(INDEX(DESK!$AC$2:$AC$601,MATCH(516,DESK!$AR$2:$AR$601,0))="YES","A","B"))</f>
        <v/>
      </c>
      <c r="D524" s="28" t="str">
        <f>IF(B524="","",INDEX(DESK!$AQ$2:$AQ$601,MATCH(516,DESK!$AR$2:$AR$601,0)))</f>
        <v/>
      </c>
      <c r="E524" s="28" t="str">
        <f>IF(B524="","",INDEX(DESK!$B$2:$B$601,MATCH(516,DESK!$AR$2:$AR$601,0))&amp;IF(COUNTIFS(DESK!$F$2:$F$601,INDEX(DESK!$F$2:$F$601,MATCH(516,DESK!$AR$2:$AR$601,0)),DESK!$L$2:$L$601,1)&gt;1," and "&amp;(COUNTIFS(DESK!$F$2:$F$601,INDEX(DESK!$F$2:$F$601,MATCH(516,DESK!$AR$2:$AR$601,0)),DESK!$L$2:$L$601,1)-1)&amp;" more",""))</f>
        <v/>
      </c>
      <c r="F524" s="28" t="str">
        <f>IF(B524="","",IF(C524="B",INDEX(DESK!$AD$2:$AD$601,MATCH(516,DESK!$AR$2:$AR$601,0)),""))</f>
        <v/>
      </c>
      <c r="G524" s="28" t="str">
        <f>IF(B524="","",INDEX(DESK!$AV$2:$AV$601,MATCH(516,DESK!$AR$2:$AR$601,0)))</f>
        <v/>
      </c>
      <c r="I524" s="21"/>
      <c r="J524" s="20"/>
      <c r="K524" s="20"/>
      <c r="L524" s="20"/>
      <c r="M524" s="23" t="str">
        <f t="shared" si="8"/>
        <v/>
      </c>
    </row>
    <row r="525" spans="1:13" x14ac:dyDescent="0.35">
      <c r="A525" s="28">
        <v>517</v>
      </c>
      <c r="B525" s="43" t="str">
        <f>IF(SETTINGS!$B$22&lt;&gt;"YES","",IFERROR(IF(OR($J$3="Everyone",INDEX(DESK!$AV$2:$AV$601,MATCH(517,DESK!$AR$2:$AR$601,0))="SEND"),"91"&amp;INDEX(DESK!$F$2:$F$601,MATCH(517,DESK!$AR$2:$AR$601,0)),""),""))</f>
        <v/>
      </c>
      <c r="C525" s="28" t="str">
        <f>IF(B525="","",IF(INDEX(DESK!$AC$2:$AC$601,MATCH(517,DESK!$AR$2:$AR$601,0))="YES","A","B"))</f>
        <v/>
      </c>
      <c r="D525" s="28" t="str">
        <f>IF(B525="","",INDEX(DESK!$AQ$2:$AQ$601,MATCH(517,DESK!$AR$2:$AR$601,0)))</f>
        <v/>
      </c>
      <c r="E525" s="28" t="str">
        <f>IF(B525="","",INDEX(DESK!$B$2:$B$601,MATCH(517,DESK!$AR$2:$AR$601,0))&amp;IF(COUNTIFS(DESK!$F$2:$F$601,INDEX(DESK!$F$2:$F$601,MATCH(517,DESK!$AR$2:$AR$601,0)),DESK!$L$2:$L$601,1)&gt;1," and "&amp;(COUNTIFS(DESK!$F$2:$F$601,INDEX(DESK!$F$2:$F$601,MATCH(517,DESK!$AR$2:$AR$601,0)),DESK!$L$2:$L$601,1)-1)&amp;" more",""))</f>
        <v/>
      </c>
      <c r="F525" s="28" t="str">
        <f>IF(B525="","",IF(C525="B",INDEX(DESK!$AD$2:$AD$601,MATCH(517,DESK!$AR$2:$AR$601,0)),""))</f>
        <v/>
      </c>
      <c r="G525" s="28" t="str">
        <f>IF(B525="","",INDEX(DESK!$AV$2:$AV$601,MATCH(517,DESK!$AR$2:$AR$601,0)))</f>
        <v/>
      </c>
      <c r="I525" s="21"/>
      <c r="J525" s="20"/>
      <c r="K525" s="20"/>
      <c r="L525" s="20"/>
      <c r="M525" s="23" t="str">
        <f t="shared" si="8"/>
        <v/>
      </c>
    </row>
    <row r="526" spans="1:13" x14ac:dyDescent="0.35">
      <c r="A526" s="28">
        <v>518</v>
      </c>
      <c r="B526" s="43" t="str">
        <f>IF(SETTINGS!$B$22&lt;&gt;"YES","",IFERROR(IF(OR($J$3="Everyone",INDEX(DESK!$AV$2:$AV$601,MATCH(518,DESK!$AR$2:$AR$601,0))="SEND"),"91"&amp;INDEX(DESK!$F$2:$F$601,MATCH(518,DESK!$AR$2:$AR$601,0)),""),""))</f>
        <v/>
      </c>
      <c r="C526" s="28" t="str">
        <f>IF(B526="","",IF(INDEX(DESK!$AC$2:$AC$601,MATCH(518,DESK!$AR$2:$AR$601,0))="YES","A","B"))</f>
        <v/>
      </c>
      <c r="D526" s="28" t="str">
        <f>IF(B526="","",INDEX(DESK!$AQ$2:$AQ$601,MATCH(518,DESK!$AR$2:$AR$601,0)))</f>
        <v/>
      </c>
      <c r="E526" s="28" t="str">
        <f>IF(B526="","",INDEX(DESK!$B$2:$B$601,MATCH(518,DESK!$AR$2:$AR$601,0))&amp;IF(COUNTIFS(DESK!$F$2:$F$601,INDEX(DESK!$F$2:$F$601,MATCH(518,DESK!$AR$2:$AR$601,0)),DESK!$L$2:$L$601,1)&gt;1," and "&amp;(COUNTIFS(DESK!$F$2:$F$601,INDEX(DESK!$F$2:$F$601,MATCH(518,DESK!$AR$2:$AR$601,0)),DESK!$L$2:$L$601,1)-1)&amp;" more",""))</f>
        <v/>
      </c>
      <c r="F526" s="28" t="str">
        <f>IF(B526="","",IF(C526="B",INDEX(DESK!$AD$2:$AD$601,MATCH(518,DESK!$AR$2:$AR$601,0)),""))</f>
        <v/>
      </c>
      <c r="G526" s="28" t="str">
        <f>IF(B526="","",INDEX(DESK!$AV$2:$AV$601,MATCH(518,DESK!$AR$2:$AR$601,0)))</f>
        <v/>
      </c>
      <c r="I526" s="21"/>
      <c r="J526" s="20"/>
      <c r="K526" s="20"/>
      <c r="L526" s="20"/>
      <c r="M526" s="23" t="str">
        <f t="shared" si="8"/>
        <v/>
      </c>
    </row>
    <row r="527" spans="1:13" x14ac:dyDescent="0.35">
      <c r="A527" s="28">
        <v>519</v>
      </c>
      <c r="B527" s="43" t="str">
        <f>IF(SETTINGS!$B$22&lt;&gt;"YES","",IFERROR(IF(OR($J$3="Everyone",INDEX(DESK!$AV$2:$AV$601,MATCH(519,DESK!$AR$2:$AR$601,0))="SEND"),"91"&amp;INDEX(DESK!$F$2:$F$601,MATCH(519,DESK!$AR$2:$AR$601,0)),""),""))</f>
        <v/>
      </c>
      <c r="C527" s="28" t="str">
        <f>IF(B527="","",IF(INDEX(DESK!$AC$2:$AC$601,MATCH(519,DESK!$AR$2:$AR$601,0))="YES","A","B"))</f>
        <v/>
      </c>
      <c r="D527" s="28" t="str">
        <f>IF(B527="","",INDEX(DESK!$AQ$2:$AQ$601,MATCH(519,DESK!$AR$2:$AR$601,0)))</f>
        <v/>
      </c>
      <c r="E527" s="28" t="str">
        <f>IF(B527="","",INDEX(DESK!$B$2:$B$601,MATCH(519,DESK!$AR$2:$AR$601,0))&amp;IF(COUNTIFS(DESK!$F$2:$F$601,INDEX(DESK!$F$2:$F$601,MATCH(519,DESK!$AR$2:$AR$601,0)),DESK!$L$2:$L$601,1)&gt;1," and "&amp;(COUNTIFS(DESK!$F$2:$F$601,INDEX(DESK!$F$2:$F$601,MATCH(519,DESK!$AR$2:$AR$601,0)),DESK!$L$2:$L$601,1)-1)&amp;" more",""))</f>
        <v/>
      </c>
      <c r="F527" s="28" t="str">
        <f>IF(B527="","",IF(C527="B",INDEX(DESK!$AD$2:$AD$601,MATCH(519,DESK!$AR$2:$AR$601,0)),""))</f>
        <v/>
      </c>
      <c r="G527" s="28" t="str">
        <f>IF(B527="","",INDEX(DESK!$AV$2:$AV$601,MATCH(519,DESK!$AR$2:$AR$601,0)))</f>
        <v/>
      </c>
      <c r="I527" s="21"/>
      <c r="J527" s="20"/>
      <c r="K527" s="20"/>
      <c r="L527" s="20"/>
      <c r="M527" s="23" t="str">
        <f t="shared" si="8"/>
        <v/>
      </c>
    </row>
    <row r="528" spans="1:13" x14ac:dyDescent="0.35">
      <c r="A528" s="28">
        <v>520</v>
      </c>
      <c r="B528" s="43" t="str">
        <f>IF(SETTINGS!$B$22&lt;&gt;"YES","",IFERROR(IF(OR($J$3="Everyone",INDEX(DESK!$AV$2:$AV$601,MATCH(520,DESK!$AR$2:$AR$601,0))="SEND"),"91"&amp;INDEX(DESK!$F$2:$F$601,MATCH(520,DESK!$AR$2:$AR$601,0)),""),""))</f>
        <v/>
      </c>
      <c r="C528" s="28" t="str">
        <f>IF(B528="","",IF(INDEX(DESK!$AC$2:$AC$601,MATCH(520,DESK!$AR$2:$AR$601,0))="YES","A","B"))</f>
        <v/>
      </c>
      <c r="D528" s="28" t="str">
        <f>IF(B528="","",INDEX(DESK!$AQ$2:$AQ$601,MATCH(520,DESK!$AR$2:$AR$601,0)))</f>
        <v/>
      </c>
      <c r="E528" s="28" t="str">
        <f>IF(B528="","",INDEX(DESK!$B$2:$B$601,MATCH(520,DESK!$AR$2:$AR$601,0))&amp;IF(COUNTIFS(DESK!$F$2:$F$601,INDEX(DESK!$F$2:$F$601,MATCH(520,DESK!$AR$2:$AR$601,0)),DESK!$L$2:$L$601,1)&gt;1," and "&amp;(COUNTIFS(DESK!$F$2:$F$601,INDEX(DESK!$F$2:$F$601,MATCH(520,DESK!$AR$2:$AR$601,0)),DESK!$L$2:$L$601,1)-1)&amp;" more",""))</f>
        <v/>
      </c>
      <c r="F528" s="28" t="str">
        <f>IF(B528="","",IF(C528="B",INDEX(DESK!$AD$2:$AD$601,MATCH(520,DESK!$AR$2:$AR$601,0)),""))</f>
        <v/>
      </c>
      <c r="G528" s="28" t="str">
        <f>IF(B528="","",INDEX(DESK!$AV$2:$AV$601,MATCH(520,DESK!$AR$2:$AR$601,0)))</f>
        <v/>
      </c>
      <c r="I528" s="21"/>
      <c r="J528" s="20"/>
      <c r="K528" s="20"/>
      <c r="L528" s="20"/>
      <c r="M528" s="23" t="str">
        <f t="shared" si="8"/>
        <v/>
      </c>
    </row>
    <row r="529" spans="1:13" x14ac:dyDescent="0.35">
      <c r="A529" s="28">
        <v>521</v>
      </c>
      <c r="B529" s="43" t="str">
        <f>IF(SETTINGS!$B$22&lt;&gt;"YES","",IFERROR(IF(OR($J$3="Everyone",INDEX(DESK!$AV$2:$AV$601,MATCH(521,DESK!$AR$2:$AR$601,0))="SEND"),"91"&amp;INDEX(DESK!$F$2:$F$601,MATCH(521,DESK!$AR$2:$AR$601,0)),""),""))</f>
        <v/>
      </c>
      <c r="C529" s="28" t="str">
        <f>IF(B529="","",IF(INDEX(DESK!$AC$2:$AC$601,MATCH(521,DESK!$AR$2:$AR$601,0))="YES","A","B"))</f>
        <v/>
      </c>
      <c r="D529" s="28" t="str">
        <f>IF(B529="","",INDEX(DESK!$AQ$2:$AQ$601,MATCH(521,DESK!$AR$2:$AR$601,0)))</f>
        <v/>
      </c>
      <c r="E529" s="28" t="str">
        <f>IF(B529="","",INDEX(DESK!$B$2:$B$601,MATCH(521,DESK!$AR$2:$AR$601,0))&amp;IF(COUNTIFS(DESK!$F$2:$F$601,INDEX(DESK!$F$2:$F$601,MATCH(521,DESK!$AR$2:$AR$601,0)),DESK!$L$2:$L$601,1)&gt;1," and "&amp;(COUNTIFS(DESK!$F$2:$F$601,INDEX(DESK!$F$2:$F$601,MATCH(521,DESK!$AR$2:$AR$601,0)),DESK!$L$2:$L$601,1)-1)&amp;" more",""))</f>
        <v/>
      </c>
      <c r="F529" s="28" t="str">
        <f>IF(B529="","",IF(C529="B",INDEX(DESK!$AD$2:$AD$601,MATCH(521,DESK!$AR$2:$AR$601,0)),""))</f>
        <v/>
      </c>
      <c r="G529" s="28" t="str">
        <f>IF(B529="","",INDEX(DESK!$AV$2:$AV$601,MATCH(521,DESK!$AR$2:$AR$601,0)))</f>
        <v/>
      </c>
      <c r="I529" s="21"/>
      <c r="J529" s="20"/>
      <c r="K529" s="20"/>
      <c r="L529" s="20"/>
      <c r="M529" s="23" t="str">
        <f t="shared" si="8"/>
        <v/>
      </c>
    </row>
    <row r="530" spans="1:13" x14ac:dyDescent="0.35">
      <c r="A530" s="28">
        <v>522</v>
      </c>
      <c r="B530" s="43" t="str">
        <f>IF(SETTINGS!$B$22&lt;&gt;"YES","",IFERROR(IF(OR($J$3="Everyone",INDEX(DESK!$AV$2:$AV$601,MATCH(522,DESK!$AR$2:$AR$601,0))="SEND"),"91"&amp;INDEX(DESK!$F$2:$F$601,MATCH(522,DESK!$AR$2:$AR$601,0)),""),""))</f>
        <v/>
      </c>
      <c r="C530" s="28" t="str">
        <f>IF(B530="","",IF(INDEX(DESK!$AC$2:$AC$601,MATCH(522,DESK!$AR$2:$AR$601,0))="YES","A","B"))</f>
        <v/>
      </c>
      <c r="D530" s="28" t="str">
        <f>IF(B530="","",INDEX(DESK!$AQ$2:$AQ$601,MATCH(522,DESK!$AR$2:$AR$601,0)))</f>
        <v/>
      </c>
      <c r="E530" s="28" t="str">
        <f>IF(B530="","",INDEX(DESK!$B$2:$B$601,MATCH(522,DESK!$AR$2:$AR$601,0))&amp;IF(COUNTIFS(DESK!$F$2:$F$601,INDEX(DESK!$F$2:$F$601,MATCH(522,DESK!$AR$2:$AR$601,0)),DESK!$L$2:$L$601,1)&gt;1," and "&amp;(COUNTIFS(DESK!$F$2:$F$601,INDEX(DESK!$F$2:$F$601,MATCH(522,DESK!$AR$2:$AR$601,0)),DESK!$L$2:$L$601,1)-1)&amp;" more",""))</f>
        <v/>
      </c>
      <c r="F530" s="28" t="str">
        <f>IF(B530="","",IF(C530="B",INDEX(DESK!$AD$2:$AD$601,MATCH(522,DESK!$AR$2:$AR$601,0)),""))</f>
        <v/>
      </c>
      <c r="G530" s="28" t="str">
        <f>IF(B530="","",INDEX(DESK!$AV$2:$AV$601,MATCH(522,DESK!$AR$2:$AR$601,0)))</f>
        <v/>
      </c>
      <c r="I530" s="21"/>
      <c r="J530" s="20"/>
      <c r="K530" s="20"/>
      <c r="L530" s="20"/>
      <c r="M530" s="23" t="str">
        <f t="shared" si="8"/>
        <v/>
      </c>
    </row>
    <row r="531" spans="1:13" x14ac:dyDescent="0.35">
      <c r="A531" s="28">
        <v>523</v>
      </c>
      <c r="B531" s="43" t="str">
        <f>IF(SETTINGS!$B$22&lt;&gt;"YES","",IFERROR(IF(OR($J$3="Everyone",INDEX(DESK!$AV$2:$AV$601,MATCH(523,DESK!$AR$2:$AR$601,0))="SEND"),"91"&amp;INDEX(DESK!$F$2:$F$601,MATCH(523,DESK!$AR$2:$AR$601,0)),""),""))</f>
        <v/>
      </c>
      <c r="C531" s="28" t="str">
        <f>IF(B531="","",IF(INDEX(DESK!$AC$2:$AC$601,MATCH(523,DESK!$AR$2:$AR$601,0))="YES","A","B"))</f>
        <v/>
      </c>
      <c r="D531" s="28" t="str">
        <f>IF(B531="","",INDEX(DESK!$AQ$2:$AQ$601,MATCH(523,DESK!$AR$2:$AR$601,0)))</f>
        <v/>
      </c>
      <c r="E531" s="28" t="str">
        <f>IF(B531="","",INDEX(DESK!$B$2:$B$601,MATCH(523,DESK!$AR$2:$AR$601,0))&amp;IF(COUNTIFS(DESK!$F$2:$F$601,INDEX(DESK!$F$2:$F$601,MATCH(523,DESK!$AR$2:$AR$601,0)),DESK!$L$2:$L$601,1)&gt;1," and "&amp;(COUNTIFS(DESK!$F$2:$F$601,INDEX(DESK!$F$2:$F$601,MATCH(523,DESK!$AR$2:$AR$601,0)),DESK!$L$2:$L$601,1)-1)&amp;" more",""))</f>
        <v/>
      </c>
      <c r="F531" s="28" t="str">
        <f>IF(B531="","",IF(C531="B",INDEX(DESK!$AD$2:$AD$601,MATCH(523,DESK!$AR$2:$AR$601,0)),""))</f>
        <v/>
      </c>
      <c r="G531" s="28" t="str">
        <f>IF(B531="","",INDEX(DESK!$AV$2:$AV$601,MATCH(523,DESK!$AR$2:$AR$601,0)))</f>
        <v/>
      </c>
      <c r="I531" s="21"/>
      <c r="J531" s="20"/>
      <c r="K531" s="20"/>
      <c r="L531" s="20"/>
      <c r="M531" s="23" t="str">
        <f t="shared" si="8"/>
        <v/>
      </c>
    </row>
    <row r="532" spans="1:13" x14ac:dyDescent="0.35">
      <c r="A532" s="28">
        <v>524</v>
      </c>
      <c r="B532" s="43" t="str">
        <f>IF(SETTINGS!$B$22&lt;&gt;"YES","",IFERROR(IF(OR($J$3="Everyone",INDEX(DESK!$AV$2:$AV$601,MATCH(524,DESK!$AR$2:$AR$601,0))="SEND"),"91"&amp;INDEX(DESK!$F$2:$F$601,MATCH(524,DESK!$AR$2:$AR$601,0)),""),""))</f>
        <v/>
      </c>
      <c r="C532" s="28" t="str">
        <f>IF(B532="","",IF(INDEX(DESK!$AC$2:$AC$601,MATCH(524,DESK!$AR$2:$AR$601,0))="YES","A","B"))</f>
        <v/>
      </c>
      <c r="D532" s="28" t="str">
        <f>IF(B532="","",INDEX(DESK!$AQ$2:$AQ$601,MATCH(524,DESK!$AR$2:$AR$601,0)))</f>
        <v/>
      </c>
      <c r="E532" s="28" t="str">
        <f>IF(B532="","",INDEX(DESK!$B$2:$B$601,MATCH(524,DESK!$AR$2:$AR$601,0))&amp;IF(COUNTIFS(DESK!$F$2:$F$601,INDEX(DESK!$F$2:$F$601,MATCH(524,DESK!$AR$2:$AR$601,0)),DESK!$L$2:$L$601,1)&gt;1," and "&amp;(COUNTIFS(DESK!$F$2:$F$601,INDEX(DESK!$F$2:$F$601,MATCH(524,DESK!$AR$2:$AR$601,0)),DESK!$L$2:$L$601,1)-1)&amp;" more",""))</f>
        <v/>
      </c>
      <c r="F532" s="28" t="str">
        <f>IF(B532="","",IF(C532="B",INDEX(DESK!$AD$2:$AD$601,MATCH(524,DESK!$AR$2:$AR$601,0)),""))</f>
        <v/>
      </c>
      <c r="G532" s="28" t="str">
        <f>IF(B532="","",INDEX(DESK!$AV$2:$AV$601,MATCH(524,DESK!$AR$2:$AR$601,0)))</f>
        <v/>
      </c>
      <c r="I532" s="21"/>
      <c r="J532" s="20"/>
      <c r="K532" s="20"/>
      <c r="L532" s="20"/>
      <c r="M532" s="23" t="str">
        <f t="shared" si="8"/>
        <v/>
      </c>
    </row>
    <row r="533" spans="1:13" x14ac:dyDescent="0.35">
      <c r="A533" s="28">
        <v>525</v>
      </c>
      <c r="B533" s="43" t="str">
        <f>IF(SETTINGS!$B$22&lt;&gt;"YES","",IFERROR(IF(OR($J$3="Everyone",INDEX(DESK!$AV$2:$AV$601,MATCH(525,DESK!$AR$2:$AR$601,0))="SEND"),"91"&amp;INDEX(DESK!$F$2:$F$601,MATCH(525,DESK!$AR$2:$AR$601,0)),""),""))</f>
        <v/>
      </c>
      <c r="C533" s="28" t="str">
        <f>IF(B533="","",IF(INDEX(DESK!$AC$2:$AC$601,MATCH(525,DESK!$AR$2:$AR$601,0))="YES","A","B"))</f>
        <v/>
      </c>
      <c r="D533" s="28" t="str">
        <f>IF(B533="","",INDEX(DESK!$AQ$2:$AQ$601,MATCH(525,DESK!$AR$2:$AR$601,0)))</f>
        <v/>
      </c>
      <c r="E533" s="28" t="str">
        <f>IF(B533="","",INDEX(DESK!$B$2:$B$601,MATCH(525,DESK!$AR$2:$AR$601,0))&amp;IF(COUNTIFS(DESK!$F$2:$F$601,INDEX(DESK!$F$2:$F$601,MATCH(525,DESK!$AR$2:$AR$601,0)),DESK!$L$2:$L$601,1)&gt;1," and "&amp;(COUNTIFS(DESK!$F$2:$F$601,INDEX(DESK!$F$2:$F$601,MATCH(525,DESK!$AR$2:$AR$601,0)),DESK!$L$2:$L$601,1)-1)&amp;" more",""))</f>
        <v/>
      </c>
      <c r="F533" s="28" t="str">
        <f>IF(B533="","",IF(C533="B",INDEX(DESK!$AD$2:$AD$601,MATCH(525,DESK!$AR$2:$AR$601,0)),""))</f>
        <v/>
      </c>
      <c r="G533" s="28" t="str">
        <f>IF(B533="","",INDEX(DESK!$AV$2:$AV$601,MATCH(525,DESK!$AR$2:$AR$601,0)))</f>
        <v/>
      </c>
      <c r="I533" s="21"/>
      <c r="J533" s="20"/>
      <c r="K533" s="20"/>
      <c r="L533" s="20"/>
      <c r="M533" s="23" t="str">
        <f t="shared" si="8"/>
        <v/>
      </c>
    </row>
    <row r="534" spans="1:13" x14ac:dyDescent="0.35">
      <c r="A534" s="28">
        <v>526</v>
      </c>
      <c r="B534" s="43" t="str">
        <f>IF(SETTINGS!$B$22&lt;&gt;"YES","",IFERROR(IF(OR($J$3="Everyone",INDEX(DESK!$AV$2:$AV$601,MATCH(526,DESK!$AR$2:$AR$601,0))="SEND"),"91"&amp;INDEX(DESK!$F$2:$F$601,MATCH(526,DESK!$AR$2:$AR$601,0)),""),""))</f>
        <v/>
      </c>
      <c r="C534" s="28" t="str">
        <f>IF(B534="","",IF(INDEX(DESK!$AC$2:$AC$601,MATCH(526,DESK!$AR$2:$AR$601,0))="YES","A","B"))</f>
        <v/>
      </c>
      <c r="D534" s="28" t="str">
        <f>IF(B534="","",INDEX(DESK!$AQ$2:$AQ$601,MATCH(526,DESK!$AR$2:$AR$601,0)))</f>
        <v/>
      </c>
      <c r="E534" s="28" t="str">
        <f>IF(B534="","",INDEX(DESK!$B$2:$B$601,MATCH(526,DESK!$AR$2:$AR$601,0))&amp;IF(COUNTIFS(DESK!$F$2:$F$601,INDEX(DESK!$F$2:$F$601,MATCH(526,DESK!$AR$2:$AR$601,0)),DESK!$L$2:$L$601,1)&gt;1," and "&amp;(COUNTIFS(DESK!$F$2:$F$601,INDEX(DESK!$F$2:$F$601,MATCH(526,DESK!$AR$2:$AR$601,0)),DESK!$L$2:$L$601,1)-1)&amp;" more",""))</f>
        <v/>
      </c>
      <c r="F534" s="28" t="str">
        <f>IF(B534="","",IF(C534="B",INDEX(DESK!$AD$2:$AD$601,MATCH(526,DESK!$AR$2:$AR$601,0)),""))</f>
        <v/>
      </c>
      <c r="G534" s="28" t="str">
        <f>IF(B534="","",INDEX(DESK!$AV$2:$AV$601,MATCH(526,DESK!$AR$2:$AR$601,0)))</f>
        <v/>
      </c>
      <c r="I534" s="21"/>
      <c r="J534" s="20"/>
      <c r="K534" s="20"/>
      <c r="L534" s="20"/>
      <c r="M534" s="23" t="str">
        <f t="shared" si="8"/>
        <v/>
      </c>
    </row>
    <row r="535" spans="1:13" x14ac:dyDescent="0.35">
      <c r="A535" s="28">
        <v>527</v>
      </c>
      <c r="B535" s="43" t="str">
        <f>IF(SETTINGS!$B$22&lt;&gt;"YES","",IFERROR(IF(OR($J$3="Everyone",INDEX(DESK!$AV$2:$AV$601,MATCH(527,DESK!$AR$2:$AR$601,0))="SEND"),"91"&amp;INDEX(DESK!$F$2:$F$601,MATCH(527,DESK!$AR$2:$AR$601,0)),""),""))</f>
        <v/>
      </c>
      <c r="C535" s="28" t="str">
        <f>IF(B535="","",IF(INDEX(DESK!$AC$2:$AC$601,MATCH(527,DESK!$AR$2:$AR$601,0))="YES","A","B"))</f>
        <v/>
      </c>
      <c r="D535" s="28" t="str">
        <f>IF(B535="","",INDEX(DESK!$AQ$2:$AQ$601,MATCH(527,DESK!$AR$2:$AR$601,0)))</f>
        <v/>
      </c>
      <c r="E535" s="28" t="str">
        <f>IF(B535="","",INDEX(DESK!$B$2:$B$601,MATCH(527,DESK!$AR$2:$AR$601,0))&amp;IF(COUNTIFS(DESK!$F$2:$F$601,INDEX(DESK!$F$2:$F$601,MATCH(527,DESK!$AR$2:$AR$601,0)),DESK!$L$2:$L$601,1)&gt;1," and "&amp;(COUNTIFS(DESK!$F$2:$F$601,INDEX(DESK!$F$2:$F$601,MATCH(527,DESK!$AR$2:$AR$601,0)),DESK!$L$2:$L$601,1)-1)&amp;" more",""))</f>
        <v/>
      </c>
      <c r="F535" s="28" t="str">
        <f>IF(B535="","",IF(C535="B",INDEX(DESK!$AD$2:$AD$601,MATCH(527,DESK!$AR$2:$AR$601,0)),""))</f>
        <v/>
      </c>
      <c r="G535" s="28" t="str">
        <f>IF(B535="","",INDEX(DESK!$AV$2:$AV$601,MATCH(527,DESK!$AR$2:$AR$601,0)))</f>
        <v/>
      </c>
      <c r="I535" s="21"/>
      <c r="J535" s="20"/>
      <c r="K535" s="20"/>
      <c r="L535" s="20"/>
      <c r="M535" s="23" t="str">
        <f t="shared" si="8"/>
        <v/>
      </c>
    </row>
    <row r="536" spans="1:13" x14ac:dyDescent="0.35">
      <c r="A536" s="28">
        <v>528</v>
      </c>
      <c r="B536" s="43" t="str">
        <f>IF(SETTINGS!$B$22&lt;&gt;"YES","",IFERROR(IF(OR($J$3="Everyone",INDEX(DESK!$AV$2:$AV$601,MATCH(528,DESK!$AR$2:$AR$601,0))="SEND"),"91"&amp;INDEX(DESK!$F$2:$F$601,MATCH(528,DESK!$AR$2:$AR$601,0)),""),""))</f>
        <v/>
      </c>
      <c r="C536" s="28" t="str">
        <f>IF(B536="","",IF(INDEX(DESK!$AC$2:$AC$601,MATCH(528,DESK!$AR$2:$AR$601,0))="YES","A","B"))</f>
        <v/>
      </c>
      <c r="D536" s="28" t="str">
        <f>IF(B536="","",INDEX(DESK!$AQ$2:$AQ$601,MATCH(528,DESK!$AR$2:$AR$601,0)))</f>
        <v/>
      </c>
      <c r="E536" s="28" t="str">
        <f>IF(B536="","",INDEX(DESK!$B$2:$B$601,MATCH(528,DESK!$AR$2:$AR$601,0))&amp;IF(COUNTIFS(DESK!$F$2:$F$601,INDEX(DESK!$F$2:$F$601,MATCH(528,DESK!$AR$2:$AR$601,0)),DESK!$L$2:$L$601,1)&gt;1," and "&amp;(COUNTIFS(DESK!$F$2:$F$601,INDEX(DESK!$F$2:$F$601,MATCH(528,DESK!$AR$2:$AR$601,0)),DESK!$L$2:$L$601,1)-1)&amp;" more",""))</f>
        <v/>
      </c>
      <c r="F536" s="28" t="str">
        <f>IF(B536="","",IF(C536="B",INDEX(DESK!$AD$2:$AD$601,MATCH(528,DESK!$AR$2:$AR$601,0)),""))</f>
        <v/>
      </c>
      <c r="G536" s="28" t="str">
        <f>IF(B536="","",INDEX(DESK!$AV$2:$AV$601,MATCH(528,DESK!$AR$2:$AR$601,0)))</f>
        <v/>
      </c>
      <c r="I536" s="21"/>
      <c r="J536" s="20"/>
      <c r="K536" s="20"/>
      <c r="L536" s="20"/>
      <c r="M536" s="23" t="str">
        <f t="shared" si="8"/>
        <v/>
      </c>
    </row>
    <row r="537" spans="1:13" x14ac:dyDescent="0.35">
      <c r="A537" s="28">
        <v>529</v>
      </c>
      <c r="B537" s="43" t="str">
        <f>IF(SETTINGS!$B$22&lt;&gt;"YES","",IFERROR(IF(OR($J$3="Everyone",INDEX(DESK!$AV$2:$AV$601,MATCH(529,DESK!$AR$2:$AR$601,0))="SEND"),"91"&amp;INDEX(DESK!$F$2:$F$601,MATCH(529,DESK!$AR$2:$AR$601,0)),""),""))</f>
        <v/>
      </c>
      <c r="C537" s="28" t="str">
        <f>IF(B537="","",IF(INDEX(DESK!$AC$2:$AC$601,MATCH(529,DESK!$AR$2:$AR$601,0))="YES","A","B"))</f>
        <v/>
      </c>
      <c r="D537" s="28" t="str">
        <f>IF(B537="","",INDEX(DESK!$AQ$2:$AQ$601,MATCH(529,DESK!$AR$2:$AR$601,0)))</f>
        <v/>
      </c>
      <c r="E537" s="28" t="str">
        <f>IF(B537="","",INDEX(DESK!$B$2:$B$601,MATCH(529,DESK!$AR$2:$AR$601,0))&amp;IF(COUNTIFS(DESK!$F$2:$F$601,INDEX(DESK!$F$2:$F$601,MATCH(529,DESK!$AR$2:$AR$601,0)),DESK!$L$2:$L$601,1)&gt;1," and "&amp;(COUNTIFS(DESK!$F$2:$F$601,INDEX(DESK!$F$2:$F$601,MATCH(529,DESK!$AR$2:$AR$601,0)),DESK!$L$2:$L$601,1)-1)&amp;" more",""))</f>
        <v/>
      </c>
      <c r="F537" s="28" t="str">
        <f>IF(B537="","",IF(C537="B",INDEX(DESK!$AD$2:$AD$601,MATCH(529,DESK!$AR$2:$AR$601,0)),""))</f>
        <v/>
      </c>
      <c r="G537" s="28" t="str">
        <f>IF(B537="","",INDEX(DESK!$AV$2:$AV$601,MATCH(529,DESK!$AR$2:$AR$601,0)))</f>
        <v/>
      </c>
      <c r="I537" s="21"/>
      <c r="J537" s="20"/>
      <c r="K537" s="20"/>
      <c r="L537" s="20"/>
      <c r="M537" s="23" t="str">
        <f t="shared" si="8"/>
        <v/>
      </c>
    </row>
    <row r="538" spans="1:13" x14ac:dyDescent="0.35">
      <c r="A538" s="28">
        <v>530</v>
      </c>
      <c r="B538" s="43" t="str">
        <f>IF(SETTINGS!$B$22&lt;&gt;"YES","",IFERROR(IF(OR($J$3="Everyone",INDEX(DESK!$AV$2:$AV$601,MATCH(530,DESK!$AR$2:$AR$601,0))="SEND"),"91"&amp;INDEX(DESK!$F$2:$F$601,MATCH(530,DESK!$AR$2:$AR$601,0)),""),""))</f>
        <v/>
      </c>
      <c r="C538" s="28" t="str">
        <f>IF(B538="","",IF(INDEX(DESK!$AC$2:$AC$601,MATCH(530,DESK!$AR$2:$AR$601,0))="YES","A","B"))</f>
        <v/>
      </c>
      <c r="D538" s="28" t="str">
        <f>IF(B538="","",INDEX(DESK!$AQ$2:$AQ$601,MATCH(530,DESK!$AR$2:$AR$601,0)))</f>
        <v/>
      </c>
      <c r="E538" s="28" t="str">
        <f>IF(B538="","",INDEX(DESK!$B$2:$B$601,MATCH(530,DESK!$AR$2:$AR$601,0))&amp;IF(COUNTIFS(DESK!$F$2:$F$601,INDEX(DESK!$F$2:$F$601,MATCH(530,DESK!$AR$2:$AR$601,0)),DESK!$L$2:$L$601,1)&gt;1," and "&amp;(COUNTIFS(DESK!$F$2:$F$601,INDEX(DESK!$F$2:$F$601,MATCH(530,DESK!$AR$2:$AR$601,0)),DESK!$L$2:$L$601,1)-1)&amp;" more",""))</f>
        <v/>
      </c>
      <c r="F538" s="28" t="str">
        <f>IF(B538="","",IF(C538="B",INDEX(DESK!$AD$2:$AD$601,MATCH(530,DESK!$AR$2:$AR$601,0)),""))</f>
        <v/>
      </c>
      <c r="G538" s="28" t="str">
        <f>IF(B538="","",INDEX(DESK!$AV$2:$AV$601,MATCH(530,DESK!$AR$2:$AR$601,0)))</f>
        <v/>
      </c>
      <c r="I538" s="21"/>
      <c r="J538" s="20"/>
      <c r="K538" s="20"/>
      <c r="L538" s="20"/>
      <c r="M538" s="23" t="str">
        <f t="shared" si="8"/>
        <v/>
      </c>
    </row>
    <row r="539" spans="1:13" x14ac:dyDescent="0.35">
      <c r="A539" s="28">
        <v>531</v>
      </c>
      <c r="B539" s="43" t="str">
        <f>IF(SETTINGS!$B$22&lt;&gt;"YES","",IFERROR(IF(OR($J$3="Everyone",INDEX(DESK!$AV$2:$AV$601,MATCH(531,DESK!$AR$2:$AR$601,0))="SEND"),"91"&amp;INDEX(DESK!$F$2:$F$601,MATCH(531,DESK!$AR$2:$AR$601,0)),""),""))</f>
        <v/>
      </c>
      <c r="C539" s="28" t="str">
        <f>IF(B539="","",IF(INDEX(DESK!$AC$2:$AC$601,MATCH(531,DESK!$AR$2:$AR$601,0))="YES","A","B"))</f>
        <v/>
      </c>
      <c r="D539" s="28" t="str">
        <f>IF(B539="","",INDEX(DESK!$AQ$2:$AQ$601,MATCH(531,DESK!$AR$2:$AR$601,0)))</f>
        <v/>
      </c>
      <c r="E539" s="28" t="str">
        <f>IF(B539="","",INDEX(DESK!$B$2:$B$601,MATCH(531,DESK!$AR$2:$AR$601,0))&amp;IF(COUNTIFS(DESK!$F$2:$F$601,INDEX(DESK!$F$2:$F$601,MATCH(531,DESK!$AR$2:$AR$601,0)),DESK!$L$2:$L$601,1)&gt;1," and "&amp;(COUNTIFS(DESK!$F$2:$F$601,INDEX(DESK!$F$2:$F$601,MATCH(531,DESK!$AR$2:$AR$601,0)),DESK!$L$2:$L$601,1)-1)&amp;" more",""))</f>
        <v/>
      </c>
      <c r="F539" s="28" t="str">
        <f>IF(B539="","",IF(C539="B",INDEX(DESK!$AD$2:$AD$601,MATCH(531,DESK!$AR$2:$AR$601,0)),""))</f>
        <v/>
      </c>
      <c r="G539" s="28" t="str">
        <f>IF(B539="","",INDEX(DESK!$AV$2:$AV$601,MATCH(531,DESK!$AR$2:$AR$601,0)))</f>
        <v/>
      </c>
      <c r="I539" s="21"/>
      <c r="J539" s="20"/>
      <c r="K539" s="20"/>
      <c r="L539" s="20"/>
      <c r="M539" s="23" t="str">
        <f t="shared" si="8"/>
        <v/>
      </c>
    </row>
    <row r="540" spans="1:13" x14ac:dyDescent="0.35">
      <c r="A540" s="28">
        <v>532</v>
      </c>
      <c r="B540" s="43" t="str">
        <f>IF(SETTINGS!$B$22&lt;&gt;"YES","",IFERROR(IF(OR($J$3="Everyone",INDEX(DESK!$AV$2:$AV$601,MATCH(532,DESK!$AR$2:$AR$601,0))="SEND"),"91"&amp;INDEX(DESK!$F$2:$F$601,MATCH(532,DESK!$AR$2:$AR$601,0)),""),""))</f>
        <v/>
      </c>
      <c r="C540" s="28" t="str">
        <f>IF(B540="","",IF(INDEX(DESK!$AC$2:$AC$601,MATCH(532,DESK!$AR$2:$AR$601,0))="YES","A","B"))</f>
        <v/>
      </c>
      <c r="D540" s="28" t="str">
        <f>IF(B540="","",INDEX(DESK!$AQ$2:$AQ$601,MATCH(532,DESK!$AR$2:$AR$601,0)))</f>
        <v/>
      </c>
      <c r="E540" s="28" t="str">
        <f>IF(B540="","",INDEX(DESK!$B$2:$B$601,MATCH(532,DESK!$AR$2:$AR$601,0))&amp;IF(COUNTIFS(DESK!$F$2:$F$601,INDEX(DESK!$F$2:$F$601,MATCH(532,DESK!$AR$2:$AR$601,0)),DESK!$L$2:$L$601,1)&gt;1," and "&amp;(COUNTIFS(DESK!$F$2:$F$601,INDEX(DESK!$F$2:$F$601,MATCH(532,DESK!$AR$2:$AR$601,0)),DESK!$L$2:$L$601,1)-1)&amp;" more",""))</f>
        <v/>
      </c>
      <c r="F540" s="28" t="str">
        <f>IF(B540="","",IF(C540="B",INDEX(DESK!$AD$2:$AD$601,MATCH(532,DESK!$AR$2:$AR$601,0)),""))</f>
        <v/>
      </c>
      <c r="G540" s="28" t="str">
        <f>IF(B540="","",INDEX(DESK!$AV$2:$AV$601,MATCH(532,DESK!$AR$2:$AR$601,0)))</f>
        <v/>
      </c>
      <c r="I540" s="21"/>
      <c r="J540" s="20"/>
      <c r="K540" s="20"/>
      <c r="L540" s="20"/>
      <c r="M540" s="23" t="str">
        <f t="shared" si="8"/>
        <v/>
      </c>
    </row>
    <row r="541" spans="1:13" x14ac:dyDescent="0.35">
      <c r="A541" s="28">
        <v>533</v>
      </c>
      <c r="B541" s="43" t="str">
        <f>IF(SETTINGS!$B$22&lt;&gt;"YES","",IFERROR(IF(OR($J$3="Everyone",INDEX(DESK!$AV$2:$AV$601,MATCH(533,DESK!$AR$2:$AR$601,0))="SEND"),"91"&amp;INDEX(DESK!$F$2:$F$601,MATCH(533,DESK!$AR$2:$AR$601,0)),""),""))</f>
        <v/>
      </c>
      <c r="C541" s="28" t="str">
        <f>IF(B541="","",IF(INDEX(DESK!$AC$2:$AC$601,MATCH(533,DESK!$AR$2:$AR$601,0))="YES","A","B"))</f>
        <v/>
      </c>
      <c r="D541" s="28" t="str">
        <f>IF(B541="","",INDEX(DESK!$AQ$2:$AQ$601,MATCH(533,DESK!$AR$2:$AR$601,0)))</f>
        <v/>
      </c>
      <c r="E541" s="28" t="str">
        <f>IF(B541="","",INDEX(DESK!$B$2:$B$601,MATCH(533,DESK!$AR$2:$AR$601,0))&amp;IF(COUNTIFS(DESK!$F$2:$F$601,INDEX(DESK!$F$2:$F$601,MATCH(533,DESK!$AR$2:$AR$601,0)),DESK!$L$2:$L$601,1)&gt;1," and "&amp;(COUNTIFS(DESK!$F$2:$F$601,INDEX(DESK!$F$2:$F$601,MATCH(533,DESK!$AR$2:$AR$601,0)),DESK!$L$2:$L$601,1)-1)&amp;" more",""))</f>
        <v/>
      </c>
      <c r="F541" s="28" t="str">
        <f>IF(B541="","",IF(C541="B",INDEX(DESK!$AD$2:$AD$601,MATCH(533,DESK!$AR$2:$AR$601,0)),""))</f>
        <v/>
      </c>
      <c r="G541" s="28" t="str">
        <f>IF(B541="","",INDEX(DESK!$AV$2:$AV$601,MATCH(533,DESK!$AR$2:$AR$601,0)))</f>
        <v/>
      </c>
      <c r="I541" s="21"/>
      <c r="J541" s="20"/>
      <c r="K541" s="20"/>
      <c r="L541" s="20"/>
      <c r="M541" s="23" t="str">
        <f t="shared" si="8"/>
        <v/>
      </c>
    </row>
    <row r="542" spans="1:13" x14ac:dyDescent="0.35">
      <c r="A542" s="28">
        <v>534</v>
      </c>
      <c r="B542" s="43" t="str">
        <f>IF(SETTINGS!$B$22&lt;&gt;"YES","",IFERROR(IF(OR($J$3="Everyone",INDEX(DESK!$AV$2:$AV$601,MATCH(534,DESK!$AR$2:$AR$601,0))="SEND"),"91"&amp;INDEX(DESK!$F$2:$F$601,MATCH(534,DESK!$AR$2:$AR$601,0)),""),""))</f>
        <v/>
      </c>
      <c r="C542" s="28" t="str">
        <f>IF(B542="","",IF(INDEX(DESK!$AC$2:$AC$601,MATCH(534,DESK!$AR$2:$AR$601,0))="YES","A","B"))</f>
        <v/>
      </c>
      <c r="D542" s="28" t="str">
        <f>IF(B542="","",INDEX(DESK!$AQ$2:$AQ$601,MATCH(534,DESK!$AR$2:$AR$601,0)))</f>
        <v/>
      </c>
      <c r="E542" s="28" t="str">
        <f>IF(B542="","",INDEX(DESK!$B$2:$B$601,MATCH(534,DESK!$AR$2:$AR$601,0))&amp;IF(COUNTIFS(DESK!$F$2:$F$601,INDEX(DESK!$F$2:$F$601,MATCH(534,DESK!$AR$2:$AR$601,0)),DESK!$L$2:$L$601,1)&gt;1," and "&amp;(COUNTIFS(DESK!$F$2:$F$601,INDEX(DESK!$F$2:$F$601,MATCH(534,DESK!$AR$2:$AR$601,0)),DESK!$L$2:$L$601,1)-1)&amp;" more",""))</f>
        <v/>
      </c>
      <c r="F542" s="28" t="str">
        <f>IF(B542="","",IF(C542="B",INDEX(DESK!$AD$2:$AD$601,MATCH(534,DESK!$AR$2:$AR$601,0)),""))</f>
        <v/>
      </c>
      <c r="G542" s="28" t="str">
        <f>IF(B542="","",INDEX(DESK!$AV$2:$AV$601,MATCH(534,DESK!$AR$2:$AR$601,0)))</f>
        <v/>
      </c>
      <c r="I542" s="21"/>
      <c r="J542" s="20"/>
      <c r="K542" s="20"/>
      <c r="L542" s="20"/>
      <c r="M542" s="23" t="str">
        <f t="shared" si="8"/>
        <v/>
      </c>
    </row>
    <row r="543" spans="1:13" x14ac:dyDescent="0.35">
      <c r="A543" s="28">
        <v>535</v>
      </c>
      <c r="B543" s="43" t="str">
        <f>IF(SETTINGS!$B$22&lt;&gt;"YES","",IFERROR(IF(OR($J$3="Everyone",INDEX(DESK!$AV$2:$AV$601,MATCH(535,DESK!$AR$2:$AR$601,0))="SEND"),"91"&amp;INDEX(DESK!$F$2:$F$601,MATCH(535,DESK!$AR$2:$AR$601,0)),""),""))</f>
        <v/>
      </c>
      <c r="C543" s="28" t="str">
        <f>IF(B543="","",IF(INDEX(DESK!$AC$2:$AC$601,MATCH(535,DESK!$AR$2:$AR$601,0))="YES","A","B"))</f>
        <v/>
      </c>
      <c r="D543" s="28" t="str">
        <f>IF(B543="","",INDEX(DESK!$AQ$2:$AQ$601,MATCH(535,DESK!$AR$2:$AR$601,0)))</f>
        <v/>
      </c>
      <c r="E543" s="28" t="str">
        <f>IF(B543="","",INDEX(DESK!$B$2:$B$601,MATCH(535,DESK!$AR$2:$AR$601,0))&amp;IF(COUNTIFS(DESK!$F$2:$F$601,INDEX(DESK!$F$2:$F$601,MATCH(535,DESK!$AR$2:$AR$601,0)),DESK!$L$2:$L$601,1)&gt;1," and "&amp;(COUNTIFS(DESK!$F$2:$F$601,INDEX(DESK!$F$2:$F$601,MATCH(535,DESK!$AR$2:$AR$601,0)),DESK!$L$2:$L$601,1)-1)&amp;" more",""))</f>
        <v/>
      </c>
      <c r="F543" s="28" t="str">
        <f>IF(B543="","",IF(C543="B",INDEX(DESK!$AD$2:$AD$601,MATCH(535,DESK!$AR$2:$AR$601,0)),""))</f>
        <v/>
      </c>
      <c r="G543" s="28" t="str">
        <f>IF(B543="","",INDEX(DESK!$AV$2:$AV$601,MATCH(535,DESK!$AR$2:$AR$601,0)))</f>
        <v/>
      </c>
      <c r="I543" s="21"/>
      <c r="J543" s="20"/>
      <c r="K543" s="20"/>
      <c r="L543" s="20"/>
      <c r="M543" s="23" t="str">
        <f t="shared" si="8"/>
        <v/>
      </c>
    </row>
    <row r="544" spans="1:13" x14ac:dyDescent="0.35">
      <c r="A544" s="28">
        <v>536</v>
      </c>
      <c r="B544" s="43" t="str">
        <f>IF(SETTINGS!$B$22&lt;&gt;"YES","",IFERROR(IF(OR($J$3="Everyone",INDEX(DESK!$AV$2:$AV$601,MATCH(536,DESK!$AR$2:$AR$601,0))="SEND"),"91"&amp;INDEX(DESK!$F$2:$F$601,MATCH(536,DESK!$AR$2:$AR$601,0)),""),""))</f>
        <v/>
      </c>
      <c r="C544" s="28" t="str">
        <f>IF(B544="","",IF(INDEX(DESK!$AC$2:$AC$601,MATCH(536,DESK!$AR$2:$AR$601,0))="YES","A","B"))</f>
        <v/>
      </c>
      <c r="D544" s="28" t="str">
        <f>IF(B544="","",INDEX(DESK!$AQ$2:$AQ$601,MATCH(536,DESK!$AR$2:$AR$601,0)))</f>
        <v/>
      </c>
      <c r="E544" s="28" t="str">
        <f>IF(B544="","",INDEX(DESK!$B$2:$B$601,MATCH(536,DESK!$AR$2:$AR$601,0))&amp;IF(COUNTIFS(DESK!$F$2:$F$601,INDEX(DESK!$F$2:$F$601,MATCH(536,DESK!$AR$2:$AR$601,0)),DESK!$L$2:$L$601,1)&gt;1," and "&amp;(COUNTIFS(DESK!$F$2:$F$601,INDEX(DESK!$F$2:$F$601,MATCH(536,DESK!$AR$2:$AR$601,0)),DESK!$L$2:$L$601,1)-1)&amp;" more",""))</f>
        <v/>
      </c>
      <c r="F544" s="28" t="str">
        <f>IF(B544="","",IF(C544="B",INDEX(DESK!$AD$2:$AD$601,MATCH(536,DESK!$AR$2:$AR$601,0)),""))</f>
        <v/>
      </c>
      <c r="G544" s="28" t="str">
        <f>IF(B544="","",INDEX(DESK!$AV$2:$AV$601,MATCH(536,DESK!$AR$2:$AR$601,0)))</f>
        <v/>
      </c>
      <c r="I544" s="21"/>
      <c r="J544" s="20"/>
      <c r="K544" s="20"/>
      <c r="L544" s="20"/>
      <c r="M544" s="23" t="str">
        <f t="shared" si="8"/>
        <v/>
      </c>
    </row>
    <row r="545" spans="1:13" x14ac:dyDescent="0.35">
      <c r="A545" s="28">
        <v>537</v>
      </c>
      <c r="B545" s="43" t="str">
        <f>IF(SETTINGS!$B$22&lt;&gt;"YES","",IFERROR(IF(OR($J$3="Everyone",INDEX(DESK!$AV$2:$AV$601,MATCH(537,DESK!$AR$2:$AR$601,0))="SEND"),"91"&amp;INDEX(DESK!$F$2:$F$601,MATCH(537,DESK!$AR$2:$AR$601,0)),""),""))</f>
        <v/>
      </c>
      <c r="C545" s="28" t="str">
        <f>IF(B545="","",IF(INDEX(DESK!$AC$2:$AC$601,MATCH(537,DESK!$AR$2:$AR$601,0))="YES","A","B"))</f>
        <v/>
      </c>
      <c r="D545" s="28" t="str">
        <f>IF(B545="","",INDEX(DESK!$AQ$2:$AQ$601,MATCH(537,DESK!$AR$2:$AR$601,0)))</f>
        <v/>
      </c>
      <c r="E545" s="28" t="str">
        <f>IF(B545="","",INDEX(DESK!$B$2:$B$601,MATCH(537,DESK!$AR$2:$AR$601,0))&amp;IF(COUNTIFS(DESK!$F$2:$F$601,INDEX(DESK!$F$2:$F$601,MATCH(537,DESK!$AR$2:$AR$601,0)),DESK!$L$2:$L$601,1)&gt;1," and "&amp;(COUNTIFS(DESK!$F$2:$F$601,INDEX(DESK!$F$2:$F$601,MATCH(537,DESK!$AR$2:$AR$601,0)),DESK!$L$2:$L$601,1)-1)&amp;" more",""))</f>
        <v/>
      </c>
      <c r="F545" s="28" t="str">
        <f>IF(B545="","",IF(C545="B",INDEX(DESK!$AD$2:$AD$601,MATCH(537,DESK!$AR$2:$AR$601,0)),""))</f>
        <v/>
      </c>
      <c r="G545" s="28" t="str">
        <f>IF(B545="","",INDEX(DESK!$AV$2:$AV$601,MATCH(537,DESK!$AR$2:$AR$601,0)))</f>
        <v/>
      </c>
      <c r="I545" s="21"/>
      <c r="J545" s="20"/>
      <c r="K545" s="20"/>
      <c r="L545" s="20"/>
      <c r="M545" s="23" t="str">
        <f t="shared" si="8"/>
        <v/>
      </c>
    </row>
    <row r="546" spans="1:13" x14ac:dyDescent="0.35">
      <c r="A546" s="28">
        <v>538</v>
      </c>
      <c r="B546" s="43" t="str">
        <f>IF(SETTINGS!$B$22&lt;&gt;"YES","",IFERROR(IF(OR($J$3="Everyone",INDEX(DESK!$AV$2:$AV$601,MATCH(538,DESK!$AR$2:$AR$601,0))="SEND"),"91"&amp;INDEX(DESK!$F$2:$F$601,MATCH(538,DESK!$AR$2:$AR$601,0)),""),""))</f>
        <v/>
      </c>
      <c r="C546" s="28" t="str">
        <f>IF(B546="","",IF(INDEX(DESK!$AC$2:$AC$601,MATCH(538,DESK!$AR$2:$AR$601,0))="YES","A","B"))</f>
        <v/>
      </c>
      <c r="D546" s="28" t="str">
        <f>IF(B546="","",INDEX(DESK!$AQ$2:$AQ$601,MATCH(538,DESK!$AR$2:$AR$601,0)))</f>
        <v/>
      </c>
      <c r="E546" s="28" t="str">
        <f>IF(B546="","",INDEX(DESK!$B$2:$B$601,MATCH(538,DESK!$AR$2:$AR$601,0))&amp;IF(COUNTIFS(DESK!$F$2:$F$601,INDEX(DESK!$F$2:$F$601,MATCH(538,DESK!$AR$2:$AR$601,0)),DESK!$L$2:$L$601,1)&gt;1," and "&amp;(COUNTIFS(DESK!$F$2:$F$601,INDEX(DESK!$F$2:$F$601,MATCH(538,DESK!$AR$2:$AR$601,0)),DESK!$L$2:$L$601,1)-1)&amp;" more",""))</f>
        <v/>
      </c>
      <c r="F546" s="28" t="str">
        <f>IF(B546="","",IF(C546="B",INDEX(DESK!$AD$2:$AD$601,MATCH(538,DESK!$AR$2:$AR$601,0)),""))</f>
        <v/>
      </c>
      <c r="G546" s="28" t="str">
        <f>IF(B546="","",INDEX(DESK!$AV$2:$AV$601,MATCH(538,DESK!$AR$2:$AR$601,0)))</f>
        <v/>
      </c>
      <c r="I546" s="21"/>
      <c r="J546" s="20"/>
      <c r="K546" s="20"/>
      <c r="L546" s="20"/>
      <c r="M546" s="23" t="str">
        <f t="shared" si="8"/>
        <v/>
      </c>
    </row>
    <row r="547" spans="1:13" x14ac:dyDescent="0.35">
      <c r="A547" s="28">
        <v>539</v>
      </c>
      <c r="B547" s="43" t="str">
        <f>IF(SETTINGS!$B$22&lt;&gt;"YES","",IFERROR(IF(OR($J$3="Everyone",INDEX(DESK!$AV$2:$AV$601,MATCH(539,DESK!$AR$2:$AR$601,0))="SEND"),"91"&amp;INDEX(DESK!$F$2:$F$601,MATCH(539,DESK!$AR$2:$AR$601,0)),""),""))</f>
        <v/>
      </c>
      <c r="C547" s="28" t="str">
        <f>IF(B547="","",IF(INDEX(DESK!$AC$2:$AC$601,MATCH(539,DESK!$AR$2:$AR$601,0))="YES","A","B"))</f>
        <v/>
      </c>
      <c r="D547" s="28" t="str">
        <f>IF(B547="","",INDEX(DESK!$AQ$2:$AQ$601,MATCH(539,DESK!$AR$2:$AR$601,0)))</f>
        <v/>
      </c>
      <c r="E547" s="28" t="str">
        <f>IF(B547="","",INDEX(DESK!$B$2:$B$601,MATCH(539,DESK!$AR$2:$AR$601,0))&amp;IF(COUNTIFS(DESK!$F$2:$F$601,INDEX(DESK!$F$2:$F$601,MATCH(539,DESK!$AR$2:$AR$601,0)),DESK!$L$2:$L$601,1)&gt;1," and "&amp;(COUNTIFS(DESK!$F$2:$F$601,INDEX(DESK!$F$2:$F$601,MATCH(539,DESK!$AR$2:$AR$601,0)),DESK!$L$2:$L$601,1)-1)&amp;" more",""))</f>
        <v/>
      </c>
      <c r="F547" s="28" t="str">
        <f>IF(B547="","",IF(C547="B",INDEX(DESK!$AD$2:$AD$601,MATCH(539,DESK!$AR$2:$AR$601,0)),""))</f>
        <v/>
      </c>
      <c r="G547" s="28" t="str">
        <f>IF(B547="","",INDEX(DESK!$AV$2:$AV$601,MATCH(539,DESK!$AR$2:$AR$601,0)))</f>
        <v/>
      </c>
      <c r="I547" s="21"/>
      <c r="J547" s="20"/>
      <c r="K547" s="20"/>
      <c r="L547" s="20"/>
      <c r="M547" s="23" t="str">
        <f t="shared" si="8"/>
        <v/>
      </c>
    </row>
    <row r="548" spans="1:13" x14ac:dyDescent="0.35">
      <c r="A548" s="28">
        <v>540</v>
      </c>
      <c r="B548" s="43" t="str">
        <f>IF(SETTINGS!$B$22&lt;&gt;"YES","",IFERROR(IF(OR($J$3="Everyone",INDEX(DESK!$AV$2:$AV$601,MATCH(540,DESK!$AR$2:$AR$601,0))="SEND"),"91"&amp;INDEX(DESK!$F$2:$F$601,MATCH(540,DESK!$AR$2:$AR$601,0)),""),""))</f>
        <v/>
      </c>
      <c r="C548" s="28" t="str">
        <f>IF(B548="","",IF(INDEX(DESK!$AC$2:$AC$601,MATCH(540,DESK!$AR$2:$AR$601,0))="YES","A","B"))</f>
        <v/>
      </c>
      <c r="D548" s="28" t="str">
        <f>IF(B548="","",INDEX(DESK!$AQ$2:$AQ$601,MATCH(540,DESK!$AR$2:$AR$601,0)))</f>
        <v/>
      </c>
      <c r="E548" s="28" t="str">
        <f>IF(B548="","",INDEX(DESK!$B$2:$B$601,MATCH(540,DESK!$AR$2:$AR$601,0))&amp;IF(COUNTIFS(DESK!$F$2:$F$601,INDEX(DESK!$F$2:$F$601,MATCH(540,DESK!$AR$2:$AR$601,0)),DESK!$L$2:$L$601,1)&gt;1," and "&amp;(COUNTIFS(DESK!$F$2:$F$601,INDEX(DESK!$F$2:$F$601,MATCH(540,DESK!$AR$2:$AR$601,0)),DESK!$L$2:$L$601,1)-1)&amp;" more",""))</f>
        <v/>
      </c>
      <c r="F548" s="28" t="str">
        <f>IF(B548="","",IF(C548="B",INDEX(DESK!$AD$2:$AD$601,MATCH(540,DESK!$AR$2:$AR$601,0)),""))</f>
        <v/>
      </c>
      <c r="G548" s="28" t="str">
        <f>IF(B548="","",INDEX(DESK!$AV$2:$AV$601,MATCH(540,DESK!$AR$2:$AR$601,0)))</f>
        <v/>
      </c>
      <c r="I548" s="21"/>
      <c r="J548" s="20"/>
      <c r="K548" s="20"/>
      <c r="L548" s="20"/>
      <c r="M548" s="23" t="str">
        <f t="shared" si="8"/>
        <v/>
      </c>
    </row>
    <row r="549" spans="1:13" x14ac:dyDescent="0.35">
      <c r="A549" s="28">
        <v>541</v>
      </c>
      <c r="B549" s="43" t="str">
        <f>IF(SETTINGS!$B$22&lt;&gt;"YES","",IFERROR(IF(OR($J$3="Everyone",INDEX(DESK!$AV$2:$AV$601,MATCH(541,DESK!$AR$2:$AR$601,0))="SEND"),"91"&amp;INDEX(DESK!$F$2:$F$601,MATCH(541,DESK!$AR$2:$AR$601,0)),""),""))</f>
        <v/>
      </c>
      <c r="C549" s="28" t="str">
        <f>IF(B549="","",IF(INDEX(DESK!$AC$2:$AC$601,MATCH(541,DESK!$AR$2:$AR$601,0))="YES","A","B"))</f>
        <v/>
      </c>
      <c r="D549" s="28" t="str">
        <f>IF(B549="","",INDEX(DESK!$AQ$2:$AQ$601,MATCH(541,DESK!$AR$2:$AR$601,0)))</f>
        <v/>
      </c>
      <c r="E549" s="28" t="str">
        <f>IF(B549="","",INDEX(DESK!$B$2:$B$601,MATCH(541,DESK!$AR$2:$AR$601,0))&amp;IF(COUNTIFS(DESK!$F$2:$F$601,INDEX(DESK!$F$2:$F$601,MATCH(541,DESK!$AR$2:$AR$601,0)),DESK!$L$2:$L$601,1)&gt;1," and "&amp;(COUNTIFS(DESK!$F$2:$F$601,INDEX(DESK!$F$2:$F$601,MATCH(541,DESK!$AR$2:$AR$601,0)),DESK!$L$2:$L$601,1)-1)&amp;" more",""))</f>
        <v/>
      </c>
      <c r="F549" s="28" t="str">
        <f>IF(B549="","",IF(C549="B",INDEX(DESK!$AD$2:$AD$601,MATCH(541,DESK!$AR$2:$AR$601,0)),""))</f>
        <v/>
      </c>
      <c r="G549" s="28" t="str">
        <f>IF(B549="","",INDEX(DESK!$AV$2:$AV$601,MATCH(541,DESK!$AR$2:$AR$601,0)))</f>
        <v/>
      </c>
      <c r="I549" s="21"/>
      <c r="J549" s="20"/>
      <c r="K549" s="20"/>
      <c r="L549" s="20"/>
      <c r="M549" s="23" t="str">
        <f t="shared" si="8"/>
        <v/>
      </c>
    </row>
    <row r="550" spans="1:13" x14ac:dyDescent="0.35">
      <c r="A550" s="28">
        <v>542</v>
      </c>
      <c r="B550" s="43" t="str">
        <f>IF(SETTINGS!$B$22&lt;&gt;"YES","",IFERROR(IF(OR($J$3="Everyone",INDEX(DESK!$AV$2:$AV$601,MATCH(542,DESK!$AR$2:$AR$601,0))="SEND"),"91"&amp;INDEX(DESK!$F$2:$F$601,MATCH(542,DESK!$AR$2:$AR$601,0)),""),""))</f>
        <v/>
      </c>
      <c r="C550" s="28" t="str">
        <f>IF(B550="","",IF(INDEX(DESK!$AC$2:$AC$601,MATCH(542,DESK!$AR$2:$AR$601,0))="YES","A","B"))</f>
        <v/>
      </c>
      <c r="D550" s="28" t="str">
        <f>IF(B550="","",INDEX(DESK!$AQ$2:$AQ$601,MATCH(542,DESK!$AR$2:$AR$601,0)))</f>
        <v/>
      </c>
      <c r="E550" s="28" t="str">
        <f>IF(B550="","",INDEX(DESK!$B$2:$B$601,MATCH(542,DESK!$AR$2:$AR$601,0))&amp;IF(COUNTIFS(DESK!$F$2:$F$601,INDEX(DESK!$F$2:$F$601,MATCH(542,DESK!$AR$2:$AR$601,0)),DESK!$L$2:$L$601,1)&gt;1," and "&amp;(COUNTIFS(DESK!$F$2:$F$601,INDEX(DESK!$F$2:$F$601,MATCH(542,DESK!$AR$2:$AR$601,0)),DESK!$L$2:$L$601,1)-1)&amp;" more",""))</f>
        <v/>
      </c>
      <c r="F550" s="28" t="str">
        <f>IF(B550="","",IF(C550="B",INDEX(DESK!$AD$2:$AD$601,MATCH(542,DESK!$AR$2:$AR$601,0)),""))</f>
        <v/>
      </c>
      <c r="G550" s="28" t="str">
        <f>IF(B550="","",INDEX(DESK!$AV$2:$AV$601,MATCH(542,DESK!$AR$2:$AR$601,0)))</f>
        <v/>
      </c>
      <c r="I550" s="21"/>
      <c r="J550" s="20"/>
      <c r="K550" s="20"/>
      <c r="L550" s="20"/>
      <c r="M550" s="23" t="str">
        <f t="shared" si="8"/>
        <v/>
      </c>
    </row>
    <row r="551" spans="1:13" x14ac:dyDescent="0.35">
      <c r="A551" s="28">
        <v>543</v>
      </c>
      <c r="B551" s="43" t="str">
        <f>IF(SETTINGS!$B$22&lt;&gt;"YES","",IFERROR(IF(OR($J$3="Everyone",INDEX(DESK!$AV$2:$AV$601,MATCH(543,DESK!$AR$2:$AR$601,0))="SEND"),"91"&amp;INDEX(DESK!$F$2:$F$601,MATCH(543,DESK!$AR$2:$AR$601,0)),""),""))</f>
        <v/>
      </c>
      <c r="C551" s="28" t="str">
        <f>IF(B551="","",IF(INDEX(DESK!$AC$2:$AC$601,MATCH(543,DESK!$AR$2:$AR$601,0))="YES","A","B"))</f>
        <v/>
      </c>
      <c r="D551" s="28" t="str">
        <f>IF(B551="","",INDEX(DESK!$AQ$2:$AQ$601,MATCH(543,DESK!$AR$2:$AR$601,0)))</f>
        <v/>
      </c>
      <c r="E551" s="28" t="str">
        <f>IF(B551="","",INDEX(DESK!$B$2:$B$601,MATCH(543,DESK!$AR$2:$AR$601,0))&amp;IF(COUNTIFS(DESK!$F$2:$F$601,INDEX(DESK!$F$2:$F$601,MATCH(543,DESK!$AR$2:$AR$601,0)),DESK!$L$2:$L$601,1)&gt;1," and "&amp;(COUNTIFS(DESK!$F$2:$F$601,INDEX(DESK!$F$2:$F$601,MATCH(543,DESK!$AR$2:$AR$601,0)),DESK!$L$2:$L$601,1)-1)&amp;" more",""))</f>
        <v/>
      </c>
      <c r="F551" s="28" t="str">
        <f>IF(B551="","",IF(C551="B",INDEX(DESK!$AD$2:$AD$601,MATCH(543,DESK!$AR$2:$AR$601,0)),""))</f>
        <v/>
      </c>
      <c r="G551" s="28" t="str">
        <f>IF(B551="","",INDEX(DESK!$AV$2:$AV$601,MATCH(543,DESK!$AR$2:$AR$601,0)))</f>
        <v/>
      </c>
      <c r="I551" s="21"/>
      <c r="J551" s="20"/>
      <c r="K551" s="20"/>
      <c r="L551" s="20"/>
      <c r="M551" s="23" t="str">
        <f t="shared" si="8"/>
        <v/>
      </c>
    </row>
    <row r="552" spans="1:13" x14ac:dyDescent="0.35">
      <c r="A552" s="28">
        <v>544</v>
      </c>
      <c r="B552" s="43" t="str">
        <f>IF(SETTINGS!$B$22&lt;&gt;"YES","",IFERROR(IF(OR($J$3="Everyone",INDEX(DESK!$AV$2:$AV$601,MATCH(544,DESK!$AR$2:$AR$601,0))="SEND"),"91"&amp;INDEX(DESK!$F$2:$F$601,MATCH(544,DESK!$AR$2:$AR$601,0)),""),""))</f>
        <v/>
      </c>
      <c r="C552" s="28" t="str">
        <f>IF(B552="","",IF(INDEX(DESK!$AC$2:$AC$601,MATCH(544,DESK!$AR$2:$AR$601,0))="YES","A","B"))</f>
        <v/>
      </c>
      <c r="D552" s="28" t="str">
        <f>IF(B552="","",INDEX(DESK!$AQ$2:$AQ$601,MATCH(544,DESK!$AR$2:$AR$601,0)))</f>
        <v/>
      </c>
      <c r="E552" s="28" t="str">
        <f>IF(B552="","",INDEX(DESK!$B$2:$B$601,MATCH(544,DESK!$AR$2:$AR$601,0))&amp;IF(COUNTIFS(DESK!$F$2:$F$601,INDEX(DESK!$F$2:$F$601,MATCH(544,DESK!$AR$2:$AR$601,0)),DESK!$L$2:$L$601,1)&gt;1," and "&amp;(COUNTIFS(DESK!$F$2:$F$601,INDEX(DESK!$F$2:$F$601,MATCH(544,DESK!$AR$2:$AR$601,0)),DESK!$L$2:$L$601,1)-1)&amp;" more",""))</f>
        <v/>
      </c>
      <c r="F552" s="28" t="str">
        <f>IF(B552="","",IF(C552="B",INDEX(DESK!$AD$2:$AD$601,MATCH(544,DESK!$AR$2:$AR$601,0)),""))</f>
        <v/>
      </c>
      <c r="G552" s="28" t="str">
        <f>IF(B552="","",INDEX(DESK!$AV$2:$AV$601,MATCH(544,DESK!$AR$2:$AR$601,0)))</f>
        <v/>
      </c>
      <c r="I552" s="21"/>
      <c r="J552" s="20"/>
      <c r="K552" s="20"/>
      <c r="L552" s="20"/>
      <c r="M552" s="23" t="str">
        <f t="shared" si="8"/>
        <v/>
      </c>
    </row>
    <row r="553" spans="1:13" x14ac:dyDescent="0.35">
      <c r="A553" s="28">
        <v>545</v>
      </c>
      <c r="B553" s="43" t="str">
        <f>IF(SETTINGS!$B$22&lt;&gt;"YES","",IFERROR(IF(OR($J$3="Everyone",INDEX(DESK!$AV$2:$AV$601,MATCH(545,DESK!$AR$2:$AR$601,0))="SEND"),"91"&amp;INDEX(DESK!$F$2:$F$601,MATCH(545,DESK!$AR$2:$AR$601,0)),""),""))</f>
        <v/>
      </c>
      <c r="C553" s="28" t="str">
        <f>IF(B553="","",IF(INDEX(DESK!$AC$2:$AC$601,MATCH(545,DESK!$AR$2:$AR$601,0))="YES","A","B"))</f>
        <v/>
      </c>
      <c r="D553" s="28" t="str">
        <f>IF(B553="","",INDEX(DESK!$AQ$2:$AQ$601,MATCH(545,DESK!$AR$2:$AR$601,0)))</f>
        <v/>
      </c>
      <c r="E553" s="28" t="str">
        <f>IF(B553="","",INDEX(DESK!$B$2:$B$601,MATCH(545,DESK!$AR$2:$AR$601,0))&amp;IF(COUNTIFS(DESK!$F$2:$F$601,INDEX(DESK!$F$2:$F$601,MATCH(545,DESK!$AR$2:$AR$601,0)),DESK!$L$2:$L$601,1)&gt;1," and "&amp;(COUNTIFS(DESK!$F$2:$F$601,INDEX(DESK!$F$2:$F$601,MATCH(545,DESK!$AR$2:$AR$601,0)),DESK!$L$2:$L$601,1)-1)&amp;" more",""))</f>
        <v/>
      </c>
      <c r="F553" s="28" t="str">
        <f>IF(B553="","",IF(C553="B",INDEX(DESK!$AD$2:$AD$601,MATCH(545,DESK!$AR$2:$AR$601,0)),""))</f>
        <v/>
      </c>
      <c r="G553" s="28" t="str">
        <f>IF(B553="","",INDEX(DESK!$AV$2:$AV$601,MATCH(545,DESK!$AR$2:$AR$601,0)))</f>
        <v/>
      </c>
      <c r="I553" s="21"/>
      <c r="J553" s="20"/>
      <c r="K553" s="20"/>
      <c r="L553" s="20"/>
      <c r="M553" s="23" t="str">
        <f t="shared" si="8"/>
        <v/>
      </c>
    </row>
    <row r="554" spans="1:13" x14ac:dyDescent="0.35">
      <c r="A554" s="28">
        <v>546</v>
      </c>
      <c r="B554" s="43" t="str">
        <f>IF(SETTINGS!$B$22&lt;&gt;"YES","",IFERROR(IF(OR($J$3="Everyone",INDEX(DESK!$AV$2:$AV$601,MATCH(546,DESK!$AR$2:$AR$601,0))="SEND"),"91"&amp;INDEX(DESK!$F$2:$F$601,MATCH(546,DESK!$AR$2:$AR$601,0)),""),""))</f>
        <v/>
      </c>
      <c r="C554" s="28" t="str">
        <f>IF(B554="","",IF(INDEX(DESK!$AC$2:$AC$601,MATCH(546,DESK!$AR$2:$AR$601,0))="YES","A","B"))</f>
        <v/>
      </c>
      <c r="D554" s="28" t="str">
        <f>IF(B554="","",INDEX(DESK!$AQ$2:$AQ$601,MATCH(546,DESK!$AR$2:$AR$601,0)))</f>
        <v/>
      </c>
      <c r="E554" s="28" t="str">
        <f>IF(B554="","",INDEX(DESK!$B$2:$B$601,MATCH(546,DESK!$AR$2:$AR$601,0))&amp;IF(COUNTIFS(DESK!$F$2:$F$601,INDEX(DESK!$F$2:$F$601,MATCH(546,DESK!$AR$2:$AR$601,0)),DESK!$L$2:$L$601,1)&gt;1," and "&amp;(COUNTIFS(DESK!$F$2:$F$601,INDEX(DESK!$F$2:$F$601,MATCH(546,DESK!$AR$2:$AR$601,0)),DESK!$L$2:$L$601,1)-1)&amp;" more",""))</f>
        <v/>
      </c>
      <c r="F554" s="28" t="str">
        <f>IF(B554="","",IF(C554="B",INDEX(DESK!$AD$2:$AD$601,MATCH(546,DESK!$AR$2:$AR$601,0)),""))</f>
        <v/>
      </c>
      <c r="G554" s="28" t="str">
        <f>IF(B554="","",INDEX(DESK!$AV$2:$AV$601,MATCH(546,DESK!$AR$2:$AR$601,0)))</f>
        <v/>
      </c>
      <c r="I554" s="21"/>
      <c r="J554" s="20"/>
      <c r="K554" s="20"/>
      <c r="L554" s="20"/>
      <c r="M554" s="23" t="str">
        <f t="shared" si="8"/>
        <v/>
      </c>
    </row>
    <row r="555" spans="1:13" x14ac:dyDescent="0.35">
      <c r="A555" s="28">
        <v>547</v>
      </c>
      <c r="B555" s="43" t="str">
        <f>IF(SETTINGS!$B$22&lt;&gt;"YES","",IFERROR(IF(OR($J$3="Everyone",INDEX(DESK!$AV$2:$AV$601,MATCH(547,DESK!$AR$2:$AR$601,0))="SEND"),"91"&amp;INDEX(DESK!$F$2:$F$601,MATCH(547,DESK!$AR$2:$AR$601,0)),""),""))</f>
        <v/>
      </c>
      <c r="C555" s="28" t="str">
        <f>IF(B555="","",IF(INDEX(DESK!$AC$2:$AC$601,MATCH(547,DESK!$AR$2:$AR$601,0))="YES","A","B"))</f>
        <v/>
      </c>
      <c r="D555" s="28" t="str">
        <f>IF(B555="","",INDEX(DESK!$AQ$2:$AQ$601,MATCH(547,DESK!$AR$2:$AR$601,0)))</f>
        <v/>
      </c>
      <c r="E555" s="28" t="str">
        <f>IF(B555="","",INDEX(DESK!$B$2:$B$601,MATCH(547,DESK!$AR$2:$AR$601,0))&amp;IF(COUNTIFS(DESK!$F$2:$F$601,INDEX(DESK!$F$2:$F$601,MATCH(547,DESK!$AR$2:$AR$601,0)),DESK!$L$2:$L$601,1)&gt;1," and "&amp;(COUNTIFS(DESK!$F$2:$F$601,INDEX(DESK!$F$2:$F$601,MATCH(547,DESK!$AR$2:$AR$601,0)),DESK!$L$2:$L$601,1)-1)&amp;" more",""))</f>
        <v/>
      </c>
      <c r="F555" s="28" t="str">
        <f>IF(B555="","",IF(C555="B",INDEX(DESK!$AD$2:$AD$601,MATCH(547,DESK!$AR$2:$AR$601,0)),""))</f>
        <v/>
      </c>
      <c r="G555" s="28" t="str">
        <f>IF(B555="","",INDEX(DESK!$AV$2:$AV$601,MATCH(547,DESK!$AR$2:$AR$601,0)))</f>
        <v/>
      </c>
      <c r="I555" s="21"/>
      <c r="J555" s="20"/>
      <c r="K555" s="20"/>
      <c r="L555" s="20"/>
      <c r="M555" s="23" t="str">
        <f t="shared" si="8"/>
        <v/>
      </c>
    </row>
    <row r="556" spans="1:13" x14ac:dyDescent="0.35">
      <c r="A556" s="28">
        <v>548</v>
      </c>
      <c r="B556" s="43" t="str">
        <f>IF(SETTINGS!$B$22&lt;&gt;"YES","",IFERROR(IF(OR($J$3="Everyone",INDEX(DESK!$AV$2:$AV$601,MATCH(548,DESK!$AR$2:$AR$601,0))="SEND"),"91"&amp;INDEX(DESK!$F$2:$F$601,MATCH(548,DESK!$AR$2:$AR$601,0)),""),""))</f>
        <v/>
      </c>
      <c r="C556" s="28" t="str">
        <f>IF(B556="","",IF(INDEX(DESK!$AC$2:$AC$601,MATCH(548,DESK!$AR$2:$AR$601,0))="YES","A","B"))</f>
        <v/>
      </c>
      <c r="D556" s="28" t="str">
        <f>IF(B556="","",INDEX(DESK!$AQ$2:$AQ$601,MATCH(548,DESK!$AR$2:$AR$601,0)))</f>
        <v/>
      </c>
      <c r="E556" s="28" t="str">
        <f>IF(B556="","",INDEX(DESK!$B$2:$B$601,MATCH(548,DESK!$AR$2:$AR$601,0))&amp;IF(COUNTIFS(DESK!$F$2:$F$601,INDEX(DESK!$F$2:$F$601,MATCH(548,DESK!$AR$2:$AR$601,0)),DESK!$L$2:$L$601,1)&gt;1," and "&amp;(COUNTIFS(DESK!$F$2:$F$601,INDEX(DESK!$F$2:$F$601,MATCH(548,DESK!$AR$2:$AR$601,0)),DESK!$L$2:$L$601,1)-1)&amp;" more",""))</f>
        <v/>
      </c>
      <c r="F556" s="28" t="str">
        <f>IF(B556="","",IF(C556="B",INDEX(DESK!$AD$2:$AD$601,MATCH(548,DESK!$AR$2:$AR$601,0)),""))</f>
        <v/>
      </c>
      <c r="G556" s="28" t="str">
        <f>IF(B556="","",INDEX(DESK!$AV$2:$AV$601,MATCH(548,DESK!$AR$2:$AR$601,0)))</f>
        <v/>
      </c>
      <c r="I556" s="21"/>
      <c r="J556" s="20"/>
      <c r="K556" s="20"/>
      <c r="L556" s="20"/>
      <c r="M556" s="23" t="str">
        <f t="shared" si="8"/>
        <v/>
      </c>
    </row>
    <row r="557" spans="1:13" x14ac:dyDescent="0.35">
      <c r="A557" s="28">
        <v>549</v>
      </c>
      <c r="B557" s="43" t="str">
        <f>IF(SETTINGS!$B$22&lt;&gt;"YES","",IFERROR(IF(OR($J$3="Everyone",INDEX(DESK!$AV$2:$AV$601,MATCH(549,DESK!$AR$2:$AR$601,0))="SEND"),"91"&amp;INDEX(DESK!$F$2:$F$601,MATCH(549,DESK!$AR$2:$AR$601,0)),""),""))</f>
        <v/>
      </c>
      <c r="C557" s="28" t="str">
        <f>IF(B557="","",IF(INDEX(DESK!$AC$2:$AC$601,MATCH(549,DESK!$AR$2:$AR$601,0))="YES","A","B"))</f>
        <v/>
      </c>
      <c r="D557" s="28" t="str">
        <f>IF(B557="","",INDEX(DESK!$AQ$2:$AQ$601,MATCH(549,DESK!$AR$2:$AR$601,0)))</f>
        <v/>
      </c>
      <c r="E557" s="28" t="str">
        <f>IF(B557="","",INDEX(DESK!$B$2:$B$601,MATCH(549,DESK!$AR$2:$AR$601,0))&amp;IF(COUNTIFS(DESK!$F$2:$F$601,INDEX(DESK!$F$2:$F$601,MATCH(549,DESK!$AR$2:$AR$601,0)),DESK!$L$2:$L$601,1)&gt;1," and "&amp;(COUNTIFS(DESK!$F$2:$F$601,INDEX(DESK!$F$2:$F$601,MATCH(549,DESK!$AR$2:$AR$601,0)),DESK!$L$2:$L$601,1)-1)&amp;" more",""))</f>
        <v/>
      </c>
      <c r="F557" s="28" t="str">
        <f>IF(B557="","",IF(C557="B",INDEX(DESK!$AD$2:$AD$601,MATCH(549,DESK!$AR$2:$AR$601,0)),""))</f>
        <v/>
      </c>
      <c r="G557" s="28" t="str">
        <f>IF(B557="","",INDEX(DESK!$AV$2:$AV$601,MATCH(549,DESK!$AR$2:$AR$601,0)))</f>
        <v/>
      </c>
      <c r="I557" s="21"/>
      <c r="J557" s="20"/>
      <c r="K557" s="20"/>
      <c r="L557" s="20"/>
      <c r="M557" s="23" t="str">
        <f t="shared" si="8"/>
        <v/>
      </c>
    </row>
    <row r="558" spans="1:13" x14ac:dyDescent="0.35">
      <c r="A558" s="28">
        <v>550</v>
      </c>
      <c r="B558" s="43" t="str">
        <f>IF(SETTINGS!$B$22&lt;&gt;"YES","",IFERROR(IF(OR($J$3="Everyone",INDEX(DESK!$AV$2:$AV$601,MATCH(550,DESK!$AR$2:$AR$601,0))="SEND"),"91"&amp;INDEX(DESK!$F$2:$F$601,MATCH(550,DESK!$AR$2:$AR$601,0)),""),""))</f>
        <v/>
      </c>
      <c r="C558" s="28" t="str">
        <f>IF(B558="","",IF(INDEX(DESK!$AC$2:$AC$601,MATCH(550,DESK!$AR$2:$AR$601,0))="YES","A","B"))</f>
        <v/>
      </c>
      <c r="D558" s="28" t="str">
        <f>IF(B558="","",INDEX(DESK!$AQ$2:$AQ$601,MATCH(550,DESK!$AR$2:$AR$601,0)))</f>
        <v/>
      </c>
      <c r="E558" s="28" t="str">
        <f>IF(B558="","",INDEX(DESK!$B$2:$B$601,MATCH(550,DESK!$AR$2:$AR$601,0))&amp;IF(COUNTIFS(DESK!$F$2:$F$601,INDEX(DESK!$F$2:$F$601,MATCH(550,DESK!$AR$2:$AR$601,0)),DESK!$L$2:$L$601,1)&gt;1," and "&amp;(COUNTIFS(DESK!$F$2:$F$601,INDEX(DESK!$F$2:$F$601,MATCH(550,DESK!$AR$2:$AR$601,0)),DESK!$L$2:$L$601,1)-1)&amp;" more",""))</f>
        <v/>
      </c>
      <c r="F558" s="28" t="str">
        <f>IF(B558="","",IF(C558="B",INDEX(DESK!$AD$2:$AD$601,MATCH(550,DESK!$AR$2:$AR$601,0)),""))</f>
        <v/>
      </c>
      <c r="G558" s="28" t="str">
        <f>IF(B558="","",INDEX(DESK!$AV$2:$AV$601,MATCH(550,DESK!$AR$2:$AR$601,0)))</f>
        <v/>
      </c>
      <c r="I558" s="21"/>
      <c r="J558" s="20"/>
      <c r="K558" s="20"/>
      <c r="L558" s="20"/>
      <c r="M558" s="23" t="str">
        <f t="shared" si="8"/>
        <v/>
      </c>
    </row>
    <row r="559" spans="1:13" x14ac:dyDescent="0.35">
      <c r="A559" s="28">
        <v>551</v>
      </c>
      <c r="B559" s="43" t="str">
        <f>IF(SETTINGS!$B$22&lt;&gt;"YES","",IFERROR(IF(OR($J$3="Everyone",INDEX(DESK!$AV$2:$AV$601,MATCH(551,DESK!$AR$2:$AR$601,0))="SEND"),"91"&amp;INDEX(DESK!$F$2:$F$601,MATCH(551,DESK!$AR$2:$AR$601,0)),""),""))</f>
        <v/>
      </c>
      <c r="C559" s="28" t="str">
        <f>IF(B559="","",IF(INDEX(DESK!$AC$2:$AC$601,MATCH(551,DESK!$AR$2:$AR$601,0))="YES","A","B"))</f>
        <v/>
      </c>
      <c r="D559" s="28" t="str">
        <f>IF(B559="","",INDEX(DESK!$AQ$2:$AQ$601,MATCH(551,DESK!$AR$2:$AR$601,0)))</f>
        <v/>
      </c>
      <c r="E559" s="28" t="str">
        <f>IF(B559="","",INDEX(DESK!$B$2:$B$601,MATCH(551,DESK!$AR$2:$AR$601,0))&amp;IF(COUNTIFS(DESK!$F$2:$F$601,INDEX(DESK!$F$2:$F$601,MATCH(551,DESK!$AR$2:$AR$601,0)),DESK!$L$2:$L$601,1)&gt;1," and "&amp;(COUNTIFS(DESK!$F$2:$F$601,INDEX(DESK!$F$2:$F$601,MATCH(551,DESK!$AR$2:$AR$601,0)),DESK!$L$2:$L$601,1)-1)&amp;" more",""))</f>
        <v/>
      </c>
      <c r="F559" s="28" t="str">
        <f>IF(B559="","",IF(C559="B",INDEX(DESK!$AD$2:$AD$601,MATCH(551,DESK!$AR$2:$AR$601,0)),""))</f>
        <v/>
      </c>
      <c r="G559" s="28" t="str">
        <f>IF(B559="","",INDEX(DESK!$AV$2:$AV$601,MATCH(551,DESK!$AR$2:$AR$601,0)))</f>
        <v/>
      </c>
      <c r="I559" s="21"/>
      <c r="J559" s="20"/>
      <c r="K559" s="20"/>
      <c r="L559" s="20"/>
      <c r="M559" s="23" t="str">
        <f t="shared" si="8"/>
        <v/>
      </c>
    </row>
    <row r="560" spans="1:13" x14ac:dyDescent="0.35">
      <c r="A560" s="28">
        <v>552</v>
      </c>
      <c r="B560" s="43" t="str">
        <f>IF(SETTINGS!$B$22&lt;&gt;"YES","",IFERROR(IF(OR($J$3="Everyone",INDEX(DESK!$AV$2:$AV$601,MATCH(552,DESK!$AR$2:$AR$601,0))="SEND"),"91"&amp;INDEX(DESK!$F$2:$F$601,MATCH(552,DESK!$AR$2:$AR$601,0)),""),""))</f>
        <v/>
      </c>
      <c r="C560" s="28" t="str">
        <f>IF(B560="","",IF(INDEX(DESK!$AC$2:$AC$601,MATCH(552,DESK!$AR$2:$AR$601,0))="YES","A","B"))</f>
        <v/>
      </c>
      <c r="D560" s="28" t="str">
        <f>IF(B560="","",INDEX(DESK!$AQ$2:$AQ$601,MATCH(552,DESK!$AR$2:$AR$601,0)))</f>
        <v/>
      </c>
      <c r="E560" s="28" t="str">
        <f>IF(B560="","",INDEX(DESK!$B$2:$B$601,MATCH(552,DESK!$AR$2:$AR$601,0))&amp;IF(COUNTIFS(DESK!$F$2:$F$601,INDEX(DESK!$F$2:$F$601,MATCH(552,DESK!$AR$2:$AR$601,0)),DESK!$L$2:$L$601,1)&gt;1," and "&amp;(COUNTIFS(DESK!$F$2:$F$601,INDEX(DESK!$F$2:$F$601,MATCH(552,DESK!$AR$2:$AR$601,0)),DESK!$L$2:$L$601,1)-1)&amp;" more",""))</f>
        <v/>
      </c>
      <c r="F560" s="28" t="str">
        <f>IF(B560="","",IF(C560="B",INDEX(DESK!$AD$2:$AD$601,MATCH(552,DESK!$AR$2:$AR$601,0)),""))</f>
        <v/>
      </c>
      <c r="G560" s="28" t="str">
        <f>IF(B560="","",INDEX(DESK!$AV$2:$AV$601,MATCH(552,DESK!$AR$2:$AR$601,0)))</f>
        <v/>
      </c>
      <c r="I560" s="21"/>
      <c r="J560" s="20"/>
      <c r="K560" s="20"/>
      <c r="L560" s="20"/>
      <c r="M560" s="23" t="str">
        <f t="shared" si="8"/>
        <v/>
      </c>
    </row>
    <row r="561" spans="1:13" x14ac:dyDescent="0.35">
      <c r="A561" s="28">
        <v>553</v>
      </c>
      <c r="B561" s="43" t="str">
        <f>IF(SETTINGS!$B$22&lt;&gt;"YES","",IFERROR(IF(OR($J$3="Everyone",INDEX(DESK!$AV$2:$AV$601,MATCH(553,DESK!$AR$2:$AR$601,0))="SEND"),"91"&amp;INDEX(DESK!$F$2:$F$601,MATCH(553,DESK!$AR$2:$AR$601,0)),""),""))</f>
        <v/>
      </c>
      <c r="C561" s="28" t="str">
        <f>IF(B561="","",IF(INDEX(DESK!$AC$2:$AC$601,MATCH(553,DESK!$AR$2:$AR$601,0))="YES","A","B"))</f>
        <v/>
      </c>
      <c r="D561" s="28" t="str">
        <f>IF(B561="","",INDEX(DESK!$AQ$2:$AQ$601,MATCH(553,DESK!$AR$2:$AR$601,0)))</f>
        <v/>
      </c>
      <c r="E561" s="28" t="str">
        <f>IF(B561="","",INDEX(DESK!$B$2:$B$601,MATCH(553,DESK!$AR$2:$AR$601,0))&amp;IF(COUNTIFS(DESK!$F$2:$F$601,INDEX(DESK!$F$2:$F$601,MATCH(553,DESK!$AR$2:$AR$601,0)),DESK!$L$2:$L$601,1)&gt;1," and "&amp;(COUNTIFS(DESK!$F$2:$F$601,INDEX(DESK!$F$2:$F$601,MATCH(553,DESK!$AR$2:$AR$601,0)),DESK!$L$2:$L$601,1)-1)&amp;" more",""))</f>
        <v/>
      </c>
      <c r="F561" s="28" t="str">
        <f>IF(B561="","",IF(C561="B",INDEX(DESK!$AD$2:$AD$601,MATCH(553,DESK!$AR$2:$AR$601,0)),""))</f>
        <v/>
      </c>
      <c r="G561" s="28" t="str">
        <f>IF(B561="","",INDEX(DESK!$AV$2:$AV$601,MATCH(553,DESK!$AR$2:$AR$601,0)))</f>
        <v/>
      </c>
      <c r="I561" s="21"/>
      <c r="J561" s="20"/>
      <c r="K561" s="20"/>
      <c r="L561" s="20"/>
      <c r="M561" s="23" t="str">
        <f t="shared" si="8"/>
        <v/>
      </c>
    </row>
    <row r="562" spans="1:13" x14ac:dyDescent="0.35">
      <c r="A562" s="28">
        <v>554</v>
      </c>
      <c r="B562" s="43" t="str">
        <f>IF(SETTINGS!$B$22&lt;&gt;"YES","",IFERROR(IF(OR($J$3="Everyone",INDEX(DESK!$AV$2:$AV$601,MATCH(554,DESK!$AR$2:$AR$601,0))="SEND"),"91"&amp;INDEX(DESK!$F$2:$F$601,MATCH(554,DESK!$AR$2:$AR$601,0)),""),""))</f>
        <v/>
      </c>
      <c r="C562" s="28" t="str">
        <f>IF(B562="","",IF(INDEX(DESK!$AC$2:$AC$601,MATCH(554,DESK!$AR$2:$AR$601,0))="YES","A","B"))</f>
        <v/>
      </c>
      <c r="D562" s="28" t="str">
        <f>IF(B562="","",INDEX(DESK!$AQ$2:$AQ$601,MATCH(554,DESK!$AR$2:$AR$601,0)))</f>
        <v/>
      </c>
      <c r="E562" s="28" t="str">
        <f>IF(B562="","",INDEX(DESK!$B$2:$B$601,MATCH(554,DESK!$AR$2:$AR$601,0))&amp;IF(COUNTIFS(DESK!$F$2:$F$601,INDEX(DESK!$F$2:$F$601,MATCH(554,DESK!$AR$2:$AR$601,0)),DESK!$L$2:$L$601,1)&gt;1," and "&amp;(COUNTIFS(DESK!$F$2:$F$601,INDEX(DESK!$F$2:$F$601,MATCH(554,DESK!$AR$2:$AR$601,0)),DESK!$L$2:$L$601,1)-1)&amp;" more",""))</f>
        <v/>
      </c>
      <c r="F562" s="28" t="str">
        <f>IF(B562="","",IF(C562="B",INDEX(DESK!$AD$2:$AD$601,MATCH(554,DESK!$AR$2:$AR$601,0)),""))</f>
        <v/>
      </c>
      <c r="G562" s="28" t="str">
        <f>IF(B562="","",INDEX(DESK!$AV$2:$AV$601,MATCH(554,DESK!$AR$2:$AR$601,0)))</f>
        <v/>
      </c>
      <c r="I562" s="21"/>
      <c r="J562" s="20"/>
      <c r="K562" s="20"/>
      <c r="L562" s="20"/>
      <c r="M562" s="23" t="str">
        <f t="shared" si="8"/>
        <v/>
      </c>
    </row>
    <row r="563" spans="1:13" x14ac:dyDescent="0.35">
      <c r="A563" s="28">
        <v>555</v>
      </c>
      <c r="B563" s="43" t="str">
        <f>IF(SETTINGS!$B$22&lt;&gt;"YES","",IFERROR(IF(OR($J$3="Everyone",INDEX(DESK!$AV$2:$AV$601,MATCH(555,DESK!$AR$2:$AR$601,0))="SEND"),"91"&amp;INDEX(DESK!$F$2:$F$601,MATCH(555,DESK!$AR$2:$AR$601,0)),""),""))</f>
        <v/>
      </c>
      <c r="C563" s="28" t="str">
        <f>IF(B563="","",IF(INDEX(DESK!$AC$2:$AC$601,MATCH(555,DESK!$AR$2:$AR$601,0))="YES","A","B"))</f>
        <v/>
      </c>
      <c r="D563" s="28" t="str">
        <f>IF(B563="","",INDEX(DESK!$AQ$2:$AQ$601,MATCH(555,DESK!$AR$2:$AR$601,0)))</f>
        <v/>
      </c>
      <c r="E563" s="28" t="str">
        <f>IF(B563="","",INDEX(DESK!$B$2:$B$601,MATCH(555,DESK!$AR$2:$AR$601,0))&amp;IF(COUNTIFS(DESK!$F$2:$F$601,INDEX(DESK!$F$2:$F$601,MATCH(555,DESK!$AR$2:$AR$601,0)),DESK!$L$2:$L$601,1)&gt;1," and "&amp;(COUNTIFS(DESK!$F$2:$F$601,INDEX(DESK!$F$2:$F$601,MATCH(555,DESK!$AR$2:$AR$601,0)),DESK!$L$2:$L$601,1)-1)&amp;" more",""))</f>
        <v/>
      </c>
      <c r="F563" s="28" t="str">
        <f>IF(B563="","",IF(C563="B",INDEX(DESK!$AD$2:$AD$601,MATCH(555,DESK!$AR$2:$AR$601,0)),""))</f>
        <v/>
      </c>
      <c r="G563" s="28" t="str">
        <f>IF(B563="","",INDEX(DESK!$AV$2:$AV$601,MATCH(555,DESK!$AR$2:$AR$601,0)))</f>
        <v/>
      </c>
      <c r="I563" s="21"/>
      <c r="J563" s="20"/>
      <c r="K563" s="20"/>
      <c r="L563" s="20"/>
      <c r="M563" s="23" t="str">
        <f t="shared" si="8"/>
        <v/>
      </c>
    </row>
    <row r="564" spans="1:13" x14ac:dyDescent="0.35">
      <c r="A564" s="28">
        <v>556</v>
      </c>
      <c r="B564" s="43" t="str">
        <f>IF(SETTINGS!$B$22&lt;&gt;"YES","",IFERROR(IF(OR($J$3="Everyone",INDEX(DESK!$AV$2:$AV$601,MATCH(556,DESK!$AR$2:$AR$601,0))="SEND"),"91"&amp;INDEX(DESK!$F$2:$F$601,MATCH(556,DESK!$AR$2:$AR$601,0)),""),""))</f>
        <v/>
      </c>
      <c r="C564" s="28" t="str">
        <f>IF(B564="","",IF(INDEX(DESK!$AC$2:$AC$601,MATCH(556,DESK!$AR$2:$AR$601,0))="YES","A","B"))</f>
        <v/>
      </c>
      <c r="D564" s="28" t="str">
        <f>IF(B564="","",INDEX(DESK!$AQ$2:$AQ$601,MATCH(556,DESK!$AR$2:$AR$601,0)))</f>
        <v/>
      </c>
      <c r="E564" s="28" t="str">
        <f>IF(B564="","",INDEX(DESK!$B$2:$B$601,MATCH(556,DESK!$AR$2:$AR$601,0))&amp;IF(COUNTIFS(DESK!$F$2:$F$601,INDEX(DESK!$F$2:$F$601,MATCH(556,DESK!$AR$2:$AR$601,0)),DESK!$L$2:$L$601,1)&gt;1," and "&amp;(COUNTIFS(DESK!$F$2:$F$601,INDEX(DESK!$F$2:$F$601,MATCH(556,DESK!$AR$2:$AR$601,0)),DESK!$L$2:$L$601,1)-1)&amp;" more",""))</f>
        <v/>
      </c>
      <c r="F564" s="28" t="str">
        <f>IF(B564="","",IF(C564="B",INDEX(DESK!$AD$2:$AD$601,MATCH(556,DESK!$AR$2:$AR$601,0)),""))</f>
        <v/>
      </c>
      <c r="G564" s="28" t="str">
        <f>IF(B564="","",INDEX(DESK!$AV$2:$AV$601,MATCH(556,DESK!$AR$2:$AR$601,0)))</f>
        <v/>
      </c>
      <c r="I564" s="21"/>
      <c r="J564" s="20"/>
      <c r="K564" s="20"/>
      <c r="L564" s="20"/>
      <c r="M564" s="23" t="str">
        <f t="shared" si="8"/>
        <v/>
      </c>
    </row>
    <row r="565" spans="1:13" x14ac:dyDescent="0.35">
      <c r="A565" s="28">
        <v>557</v>
      </c>
      <c r="B565" s="43" t="str">
        <f>IF(SETTINGS!$B$22&lt;&gt;"YES","",IFERROR(IF(OR($J$3="Everyone",INDEX(DESK!$AV$2:$AV$601,MATCH(557,DESK!$AR$2:$AR$601,0))="SEND"),"91"&amp;INDEX(DESK!$F$2:$F$601,MATCH(557,DESK!$AR$2:$AR$601,0)),""),""))</f>
        <v/>
      </c>
      <c r="C565" s="28" t="str">
        <f>IF(B565="","",IF(INDEX(DESK!$AC$2:$AC$601,MATCH(557,DESK!$AR$2:$AR$601,0))="YES","A","B"))</f>
        <v/>
      </c>
      <c r="D565" s="28" t="str">
        <f>IF(B565="","",INDEX(DESK!$AQ$2:$AQ$601,MATCH(557,DESK!$AR$2:$AR$601,0)))</f>
        <v/>
      </c>
      <c r="E565" s="28" t="str">
        <f>IF(B565="","",INDEX(DESK!$B$2:$B$601,MATCH(557,DESK!$AR$2:$AR$601,0))&amp;IF(COUNTIFS(DESK!$F$2:$F$601,INDEX(DESK!$F$2:$F$601,MATCH(557,DESK!$AR$2:$AR$601,0)),DESK!$L$2:$L$601,1)&gt;1," and "&amp;(COUNTIFS(DESK!$F$2:$F$601,INDEX(DESK!$F$2:$F$601,MATCH(557,DESK!$AR$2:$AR$601,0)),DESK!$L$2:$L$601,1)-1)&amp;" more",""))</f>
        <v/>
      </c>
      <c r="F565" s="28" t="str">
        <f>IF(B565="","",IF(C565="B",INDEX(DESK!$AD$2:$AD$601,MATCH(557,DESK!$AR$2:$AR$601,0)),""))</f>
        <v/>
      </c>
      <c r="G565" s="28" t="str">
        <f>IF(B565="","",INDEX(DESK!$AV$2:$AV$601,MATCH(557,DESK!$AR$2:$AR$601,0)))</f>
        <v/>
      </c>
      <c r="I565" s="21"/>
      <c r="J565" s="20"/>
      <c r="K565" s="20"/>
      <c r="L565" s="20"/>
      <c r="M565" s="23" t="str">
        <f t="shared" si="8"/>
        <v/>
      </c>
    </row>
    <row r="566" spans="1:13" x14ac:dyDescent="0.35">
      <c r="A566" s="28">
        <v>558</v>
      </c>
      <c r="B566" s="43" t="str">
        <f>IF(SETTINGS!$B$22&lt;&gt;"YES","",IFERROR(IF(OR($J$3="Everyone",INDEX(DESK!$AV$2:$AV$601,MATCH(558,DESK!$AR$2:$AR$601,0))="SEND"),"91"&amp;INDEX(DESK!$F$2:$F$601,MATCH(558,DESK!$AR$2:$AR$601,0)),""),""))</f>
        <v/>
      </c>
      <c r="C566" s="28" t="str">
        <f>IF(B566="","",IF(INDEX(DESK!$AC$2:$AC$601,MATCH(558,DESK!$AR$2:$AR$601,0))="YES","A","B"))</f>
        <v/>
      </c>
      <c r="D566" s="28" t="str">
        <f>IF(B566="","",INDEX(DESK!$AQ$2:$AQ$601,MATCH(558,DESK!$AR$2:$AR$601,0)))</f>
        <v/>
      </c>
      <c r="E566" s="28" t="str">
        <f>IF(B566="","",INDEX(DESK!$B$2:$B$601,MATCH(558,DESK!$AR$2:$AR$601,0))&amp;IF(COUNTIFS(DESK!$F$2:$F$601,INDEX(DESK!$F$2:$F$601,MATCH(558,DESK!$AR$2:$AR$601,0)),DESK!$L$2:$L$601,1)&gt;1," and "&amp;(COUNTIFS(DESK!$F$2:$F$601,INDEX(DESK!$F$2:$F$601,MATCH(558,DESK!$AR$2:$AR$601,0)),DESK!$L$2:$L$601,1)-1)&amp;" more",""))</f>
        <v/>
      </c>
      <c r="F566" s="28" t="str">
        <f>IF(B566="","",IF(C566="B",INDEX(DESK!$AD$2:$AD$601,MATCH(558,DESK!$AR$2:$AR$601,0)),""))</f>
        <v/>
      </c>
      <c r="G566" s="28" t="str">
        <f>IF(B566="","",INDEX(DESK!$AV$2:$AV$601,MATCH(558,DESK!$AR$2:$AR$601,0)))</f>
        <v/>
      </c>
      <c r="I566" s="21"/>
      <c r="J566" s="20"/>
      <c r="K566" s="20"/>
      <c r="L566" s="20"/>
      <c r="M566" s="23" t="str">
        <f t="shared" si="8"/>
        <v/>
      </c>
    </row>
    <row r="567" spans="1:13" x14ac:dyDescent="0.35">
      <c r="A567" s="28">
        <v>559</v>
      </c>
      <c r="B567" s="43" t="str">
        <f>IF(SETTINGS!$B$22&lt;&gt;"YES","",IFERROR(IF(OR($J$3="Everyone",INDEX(DESK!$AV$2:$AV$601,MATCH(559,DESK!$AR$2:$AR$601,0))="SEND"),"91"&amp;INDEX(DESK!$F$2:$F$601,MATCH(559,DESK!$AR$2:$AR$601,0)),""),""))</f>
        <v/>
      </c>
      <c r="C567" s="28" t="str">
        <f>IF(B567="","",IF(INDEX(DESK!$AC$2:$AC$601,MATCH(559,DESK!$AR$2:$AR$601,0))="YES","A","B"))</f>
        <v/>
      </c>
      <c r="D567" s="28" t="str">
        <f>IF(B567="","",INDEX(DESK!$AQ$2:$AQ$601,MATCH(559,DESK!$AR$2:$AR$601,0)))</f>
        <v/>
      </c>
      <c r="E567" s="28" t="str">
        <f>IF(B567="","",INDEX(DESK!$B$2:$B$601,MATCH(559,DESK!$AR$2:$AR$601,0))&amp;IF(COUNTIFS(DESK!$F$2:$F$601,INDEX(DESK!$F$2:$F$601,MATCH(559,DESK!$AR$2:$AR$601,0)),DESK!$L$2:$L$601,1)&gt;1," and "&amp;(COUNTIFS(DESK!$F$2:$F$601,INDEX(DESK!$F$2:$F$601,MATCH(559,DESK!$AR$2:$AR$601,0)),DESK!$L$2:$L$601,1)-1)&amp;" more",""))</f>
        <v/>
      </c>
      <c r="F567" s="28" t="str">
        <f>IF(B567="","",IF(C567="B",INDEX(DESK!$AD$2:$AD$601,MATCH(559,DESK!$AR$2:$AR$601,0)),""))</f>
        <v/>
      </c>
      <c r="G567" s="28" t="str">
        <f>IF(B567="","",INDEX(DESK!$AV$2:$AV$601,MATCH(559,DESK!$AR$2:$AR$601,0)))</f>
        <v/>
      </c>
      <c r="I567" s="21"/>
      <c r="J567" s="20"/>
      <c r="K567" s="20"/>
      <c r="L567" s="20"/>
      <c r="M567" s="23" t="str">
        <f t="shared" si="8"/>
        <v/>
      </c>
    </row>
    <row r="568" spans="1:13" x14ac:dyDescent="0.35">
      <c r="A568" s="28">
        <v>560</v>
      </c>
      <c r="B568" s="43" t="str">
        <f>IF(SETTINGS!$B$22&lt;&gt;"YES","",IFERROR(IF(OR($J$3="Everyone",INDEX(DESK!$AV$2:$AV$601,MATCH(560,DESK!$AR$2:$AR$601,0))="SEND"),"91"&amp;INDEX(DESK!$F$2:$F$601,MATCH(560,DESK!$AR$2:$AR$601,0)),""),""))</f>
        <v/>
      </c>
      <c r="C568" s="28" t="str">
        <f>IF(B568="","",IF(INDEX(DESK!$AC$2:$AC$601,MATCH(560,DESK!$AR$2:$AR$601,0))="YES","A","B"))</f>
        <v/>
      </c>
      <c r="D568" s="28" t="str">
        <f>IF(B568="","",INDEX(DESK!$AQ$2:$AQ$601,MATCH(560,DESK!$AR$2:$AR$601,0)))</f>
        <v/>
      </c>
      <c r="E568" s="28" t="str">
        <f>IF(B568="","",INDEX(DESK!$B$2:$B$601,MATCH(560,DESK!$AR$2:$AR$601,0))&amp;IF(COUNTIFS(DESK!$F$2:$F$601,INDEX(DESK!$F$2:$F$601,MATCH(560,DESK!$AR$2:$AR$601,0)),DESK!$L$2:$L$601,1)&gt;1," and "&amp;(COUNTIFS(DESK!$F$2:$F$601,INDEX(DESK!$F$2:$F$601,MATCH(560,DESK!$AR$2:$AR$601,0)),DESK!$L$2:$L$601,1)-1)&amp;" more",""))</f>
        <v/>
      </c>
      <c r="F568" s="28" t="str">
        <f>IF(B568="","",IF(C568="B",INDEX(DESK!$AD$2:$AD$601,MATCH(560,DESK!$AR$2:$AR$601,0)),""))</f>
        <v/>
      </c>
      <c r="G568" s="28" t="str">
        <f>IF(B568="","",INDEX(DESK!$AV$2:$AV$601,MATCH(560,DESK!$AR$2:$AR$601,0)))</f>
        <v/>
      </c>
      <c r="I568" s="21"/>
      <c r="J568" s="20"/>
      <c r="K568" s="20"/>
      <c r="L568" s="20"/>
      <c r="M568" s="23" t="str">
        <f t="shared" si="8"/>
        <v/>
      </c>
    </row>
    <row r="569" spans="1:13" x14ac:dyDescent="0.35">
      <c r="A569" s="28">
        <v>561</v>
      </c>
      <c r="B569" s="43" t="str">
        <f>IF(SETTINGS!$B$22&lt;&gt;"YES","",IFERROR(IF(OR($J$3="Everyone",INDEX(DESK!$AV$2:$AV$601,MATCH(561,DESK!$AR$2:$AR$601,0))="SEND"),"91"&amp;INDEX(DESK!$F$2:$F$601,MATCH(561,DESK!$AR$2:$AR$601,0)),""),""))</f>
        <v/>
      </c>
      <c r="C569" s="28" t="str">
        <f>IF(B569="","",IF(INDEX(DESK!$AC$2:$AC$601,MATCH(561,DESK!$AR$2:$AR$601,0))="YES","A","B"))</f>
        <v/>
      </c>
      <c r="D569" s="28" t="str">
        <f>IF(B569="","",INDEX(DESK!$AQ$2:$AQ$601,MATCH(561,DESK!$AR$2:$AR$601,0)))</f>
        <v/>
      </c>
      <c r="E569" s="28" t="str">
        <f>IF(B569="","",INDEX(DESK!$B$2:$B$601,MATCH(561,DESK!$AR$2:$AR$601,0))&amp;IF(COUNTIFS(DESK!$F$2:$F$601,INDEX(DESK!$F$2:$F$601,MATCH(561,DESK!$AR$2:$AR$601,0)),DESK!$L$2:$L$601,1)&gt;1," and "&amp;(COUNTIFS(DESK!$F$2:$F$601,INDEX(DESK!$F$2:$F$601,MATCH(561,DESK!$AR$2:$AR$601,0)),DESK!$L$2:$L$601,1)-1)&amp;" more",""))</f>
        <v/>
      </c>
      <c r="F569" s="28" t="str">
        <f>IF(B569="","",IF(C569="B",INDEX(DESK!$AD$2:$AD$601,MATCH(561,DESK!$AR$2:$AR$601,0)),""))</f>
        <v/>
      </c>
      <c r="G569" s="28" t="str">
        <f>IF(B569="","",INDEX(DESK!$AV$2:$AV$601,MATCH(561,DESK!$AR$2:$AR$601,0)))</f>
        <v/>
      </c>
      <c r="I569" s="21"/>
      <c r="J569" s="20"/>
      <c r="K569" s="20"/>
      <c r="L569" s="20"/>
      <c r="M569" s="23" t="str">
        <f t="shared" si="8"/>
        <v/>
      </c>
    </row>
    <row r="570" spans="1:13" x14ac:dyDescent="0.35">
      <c r="A570" s="28">
        <v>562</v>
      </c>
      <c r="B570" s="43" t="str">
        <f>IF(SETTINGS!$B$22&lt;&gt;"YES","",IFERROR(IF(OR($J$3="Everyone",INDEX(DESK!$AV$2:$AV$601,MATCH(562,DESK!$AR$2:$AR$601,0))="SEND"),"91"&amp;INDEX(DESK!$F$2:$F$601,MATCH(562,DESK!$AR$2:$AR$601,0)),""),""))</f>
        <v/>
      </c>
      <c r="C570" s="28" t="str">
        <f>IF(B570="","",IF(INDEX(DESK!$AC$2:$AC$601,MATCH(562,DESK!$AR$2:$AR$601,0))="YES","A","B"))</f>
        <v/>
      </c>
      <c r="D570" s="28" t="str">
        <f>IF(B570="","",INDEX(DESK!$AQ$2:$AQ$601,MATCH(562,DESK!$AR$2:$AR$601,0)))</f>
        <v/>
      </c>
      <c r="E570" s="28" t="str">
        <f>IF(B570="","",INDEX(DESK!$B$2:$B$601,MATCH(562,DESK!$AR$2:$AR$601,0))&amp;IF(COUNTIFS(DESK!$F$2:$F$601,INDEX(DESK!$F$2:$F$601,MATCH(562,DESK!$AR$2:$AR$601,0)),DESK!$L$2:$L$601,1)&gt;1," and "&amp;(COUNTIFS(DESK!$F$2:$F$601,INDEX(DESK!$F$2:$F$601,MATCH(562,DESK!$AR$2:$AR$601,0)),DESK!$L$2:$L$601,1)-1)&amp;" more",""))</f>
        <v/>
      </c>
      <c r="F570" s="28" t="str">
        <f>IF(B570="","",IF(C570="B",INDEX(DESK!$AD$2:$AD$601,MATCH(562,DESK!$AR$2:$AR$601,0)),""))</f>
        <v/>
      </c>
      <c r="G570" s="28" t="str">
        <f>IF(B570="","",INDEX(DESK!$AV$2:$AV$601,MATCH(562,DESK!$AR$2:$AR$601,0)))</f>
        <v/>
      </c>
      <c r="I570" s="21"/>
      <c r="J570" s="20"/>
      <c r="K570" s="20"/>
      <c r="L570" s="20"/>
      <c r="M570" s="23" t="str">
        <f t="shared" si="8"/>
        <v/>
      </c>
    </row>
    <row r="571" spans="1:13" x14ac:dyDescent="0.35">
      <c r="A571" s="28">
        <v>563</v>
      </c>
      <c r="B571" s="43" t="str">
        <f>IF(SETTINGS!$B$22&lt;&gt;"YES","",IFERROR(IF(OR($J$3="Everyone",INDEX(DESK!$AV$2:$AV$601,MATCH(563,DESK!$AR$2:$AR$601,0))="SEND"),"91"&amp;INDEX(DESK!$F$2:$F$601,MATCH(563,DESK!$AR$2:$AR$601,0)),""),""))</f>
        <v/>
      </c>
      <c r="C571" s="28" t="str">
        <f>IF(B571="","",IF(INDEX(DESK!$AC$2:$AC$601,MATCH(563,DESK!$AR$2:$AR$601,0))="YES","A","B"))</f>
        <v/>
      </c>
      <c r="D571" s="28" t="str">
        <f>IF(B571="","",INDEX(DESK!$AQ$2:$AQ$601,MATCH(563,DESK!$AR$2:$AR$601,0)))</f>
        <v/>
      </c>
      <c r="E571" s="28" t="str">
        <f>IF(B571="","",INDEX(DESK!$B$2:$B$601,MATCH(563,DESK!$AR$2:$AR$601,0))&amp;IF(COUNTIFS(DESK!$F$2:$F$601,INDEX(DESK!$F$2:$F$601,MATCH(563,DESK!$AR$2:$AR$601,0)),DESK!$L$2:$L$601,1)&gt;1," and "&amp;(COUNTIFS(DESK!$F$2:$F$601,INDEX(DESK!$F$2:$F$601,MATCH(563,DESK!$AR$2:$AR$601,0)),DESK!$L$2:$L$601,1)-1)&amp;" more",""))</f>
        <v/>
      </c>
      <c r="F571" s="28" t="str">
        <f>IF(B571="","",IF(C571="B",INDEX(DESK!$AD$2:$AD$601,MATCH(563,DESK!$AR$2:$AR$601,0)),""))</f>
        <v/>
      </c>
      <c r="G571" s="28" t="str">
        <f>IF(B571="","",INDEX(DESK!$AV$2:$AV$601,MATCH(563,DESK!$AR$2:$AR$601,0)))</f>
        <v/>
      </c>
      <c r="I571" s="21"/>
      <c r="J571" s="20"/>
      <c r="K571" s="20"/>
      <c r="L571" s="20"/>
      <c r="M571" s="23" t="str">
        <f t="shared" si="8"/>
        <v/>
      </c>
    </row>
    <row r="572" spans="1:13" x14ac:dyDescent="0.35">
      <c r="A572" s="28">
        <v>564</v>
      </c>
      <c r="B572" s="43" t="str">
        <f>IF(SETTINGS!$B$22&lt;&gt;"YES","",IFERROR(IF(OR($J$3="Everyone",INDEX(DESK!$AV$2:$AV$601,MATCH(564,DESK!$AR$2:$AR$601,0))="SEND"),"91"&amp;INDEX(DESK!$F$2:$F$601,MATCH(564,DESK!$AR$2:$AR$601,0)),""),""))</f>
        <v/>
      </c>
      <c r="C572" s="28" t="str">
        <f>IF(B572="","",IF(INDEX(DESK!$AC$2:$AC$601,MATCH(564,DESK!$AR$2:$AR$601,0))="YES","A","B"))</f>
        <v/>
      </c>
      <c r="D572" s="28" t="str">
        <f>IF(B572="","",INDEX(DESK!$AQ$2:$AQ$601,MATCH(564,DESK!$AR$2:$AR$601,0)))</f>
        <v/>
      </c>
      <c r="E572" s="28" t="str">
        <f>IF(B572="","",INDEX(DESK!$B$2:$B$601,MATCH(564,DESK!$AR$2:$AR$601,0))&amp;IF(COUNTIFS(DESK!$F$2:$F$601,INDEX(DESK!$F$2:$F$601,MATCH(564,DESK!$AR$2:$AR$601,0)),DESK!$L$2:$L$601,1)&gt;1," and "&amp;(COUNTIFS(DESK!$F$2:$F$601,INDEX(DESK!$F$2:$F$601,MATCH(564,DESK!$AR$2:$AR$601,0)),DESK!$L$2:$L$601,1)-1)&amp;" more",""))</f>
        <v/>
      </c>
      <c r="F572" s="28" t="str">
        <f>IF(B572="","",IF(C572="B",INDEX(DESK!$AD$2:$AD$601,MATCH(564,DESK!$AR$2:$AR$601,0)),""))</f>
        <v/>
      </c>
      <c r="G572" s="28" t="str">
        <f>IF(B572="","",INDEX(DESK!$AV$2:$AV$601,MATCH(564,DESK!$AR$2:$AR$601,0)))</f>
        <v/>
      </c>
      <c r="I572" s="21"/>
      <c r="J572" s="20"/>
      <c r="K572" s="20"/>
      <c r="L572" s="20"/>
      <c r="M572" s="23" t="str">
        <f t="shared" si="8"/>
        <v/>
      </c>
    </row>
    <row r="573" spans="1:13" x14ac:dyDescent="0.35">
      <c r="A573" s="28">
        <v>565</v>
      </c>
      <c r="B573" s="43" t="str">
        <f>IF(SETTINGS!$B$22&lt;&gt;"YES","",IFERROR(IF(OR($J$3="Everyone",INDEX(DESK!$AV$2:$AV$601,MATCH(565,DESK!$AR$2:$AR$601,0))="SEND"),"91"&amp;INDEX(DESK!$F$2:$F$601,MATCH(565,DESK!$AR$2:$AR$601,0)),""),""))</f>
        <v/>
      </c>
      <c r="C573" s="28" t="str">
        <f>IF(B573="","",IF(INDEX(DESK!$AC$2:$AC$601,MATCH(565,DESK!$AR$2:$AR$601,0))="YES","A","B"))</f>
        <v/>
      </c>
      <c r="D573" s="28" t="str">
        <f>IF(B573="","",INDEX(DESK!$AQ$2:$AQ$601,MATCH(565,DESK!$AR$2:$AR$601,0)))</f>
        <v/>
      </c>
      <c r="E573" s="28" t="str">
        <f>IF(B573="","",INDEX(DESK!$B$2:$B$601,MATCH(565,DESK!$AR$2:$AR$601,0))&amp;IF(COUNTIFS(DESK!$F$2:$F$601,INDEX(DESK!$F$2:$F$601,MATCH(565,DESK!$AR$2:$AR$601,0)),DESK!$L$2:$L$601,1)&gt;1," and "&amp;(COUNTIFS(DESK!$F$2:$F$601,INDEX(DESK!$F$2:$F$601,MATCH(565,DESK!$AR$2:$AR$601,0)),DESK!$L$2:$L$601,1)-1)&amp;" more",""))</f>
        <v/>
      </c>
      <c r="F573" s="28" t="str">
        <f>IF(B573="","",IF(C573="B",INDEX(DESK!$AD$2:$AD$601,MATCH(565,DESK!$AR$2:$AR$601,0)),""))</f>
        <v/>
      </c>
      <c r="G573" s="28" t="str">
        <f>IF(B573="","",INDEX(DESK!$AV$2:$AV$601,MATCH(565,DESK!$AR$2:$AR$601,0)))</f>
        <v/>
      </c>
      <c r="I573" s="21"/>
      <c r="J573" s="20"/>
      <c r="K573" s="20"/>
      <c r="L573" s="20"/>
      <c r="M573" s="23" t="str">
        <f t="shared" si="8"/>
        <v/>
      </c>
    </row>
    <row r="574" spans="1:13" x14ac:dyDescent="0.35">
      <c r="A574" s="28">
        <v>566</v>
      </c>
      <c r="B574" s="43" t="str">
        <f>IF(SETTINGS!$B$22&lt;&gt;"YES","",IFERROR(IF(OR($J$3="Everyone",INDEX(DESK!$AV$2:$AV$601,MATCH(566,DESK!$AR$2:$AR$601,0))="SEND"),"91"&amp;INDEX(DESK!$F$2:$F$601,MATCH(566,DESK!$AR$2:$AR$601,0)),""),""))</f>
        <v/>
      </c>
      <c r="C574" s="28" t="str">
        <f>IF(B574="","",IF(INDEX(DESK!$AC$2:$AC$601,MATCH(566,DESK!$AR$2:$AR$601,0))="YES","A","B"))</f>
        <v/>
      </c>
      <c r="D574" s="28" t="str">
        <f>IF(B574="","",INDEX(DESK!$AQ$2:$AQ$601,MATCH(566,DESK!$AR$2:$AR$601,0)))</f>
        <v/>
      </c>
      <c r="E574" s="28" t="str">
        <f>IF(B574="","",INDEX(DESK!$B$2:$B$601,MATCH(566,DESK!$AR$2:$AR$601,0))&amp;IF(COUNTIFS(DESK!$F$2:$F$601,INDEX(DESK!$F$2:$F$601,MATCH(566,DESK!$AR$2:$AR$601,0)),DESK!$L$2:$L$601,1)&gt;1," and "&amp;(COUNTIFS(DESK!$F$2:$F$601,INDEX(DESK!$F$2:$F$601,MATCH(566,DESK!$AR$2:$AR$601,0)),DESK!$L$2:$L$601,1)-1)&amp;" more",""))</f>
        <v/>
      </c>
      <c r="F574" s="28" t="str">
        <f>IF(B574="","",IF(C574="B",INDEX(DESK!$AD$2:$AD$601,MATCH(566,DESK!$AR$2:$AR$601,0)),""))</f>
        <v/>
      </c>
      <c r="G574" s="28" t="str">
        <f>IF(B574="","",INDEX(DESK!$AV$2:$AV$601,MATCH(566,DESK!$AR$2:$AR$601,0)))</f>
        <v/>
      </c>
      <c r="I574" s="21"/>
      <c r="J574" s="20"/>
      <c r="K574" s="20"/>
      <c r="L574" s="20"/>
      <c r="M574" s="23" t="str">
        <f t="shared" si="8"/>
        <v/>
      </c>
    </row>
    <row r="575" spans="1:13" x14ac:dyDescent="0.35">
      <c r="A575" s="28">
        <v>567</v>
      </c>
      <c r="B575" s="43" t="str">
        <f>IF(SETTINGS!$B$22&lt;&gt;"YES","",IFERROR(IF(OR($J$3="Everyone",INDEX(DESK!$AV$2:$AV$601,MATCH(567,DESK!$AR$2:$AR$601,0))="SEND"),"91"&amp;INDEX(DESK!$F$2:$F$601,MATCH(567,DESK!$AR$2:$AR$601,0)),""),""))</f>
        <v/>
      </c>
      <c r="C575" s="28" t="str">
        <f>IF(B575="","",IF(INDEX(DESK!$AC$2:$AC$601,MATCH(567,DESK!$AR$2:$AR$601,0))="YES","A","B"))</f>
        <v/>
      </c>
      <c r="D575" s="28" t="str">
        <f>IF(B575="","",INDEX(DESK!$AQ$2:$AQ$601,MATCH(567,DESK!$AR$2:$AR$601,0)))</f>
        <v/>
      </c>
      <c r="E575" s="28" t="str">
        <f>IF(B575="","",INDEX(DESK!$B$2:$B$601,MATCH(567,DESK!$AR$2:$AR$601,0))&amp;IF(COUNTIFS(DESK!$F$2:$F$601,INDEX(DESK!$F$2:$F$601,MATCH(567,DESK!$AR$2:$AR$601,0)),DESK!$L$2:$L$601,1)&gt;1," and "&amp;(COUNTIFS(DESK!$F$2:$F$601,INDEX(DESK!$F$2:$F$601,MATCH(567,DESK!$AR$2:$AR$601,0)),DESK!$L$2:$L$601,1)-1)&amp;" more",""))</f>
        <v/>
      </c>
      <c r="F575" s="28" t="str">
        <f>IF(B575="","",IF(C575="B",INDEX(DESK!$AD$2:$AD$601,MATCH(567,DESK!$AR$2:$AR$601,0)),""))</f>
        <v/>
      </c>
      <c r="G575" s="28" t="str">
        <f>IF(B575="","",INDEX(DESK!$AV$2:$AV$601,MATCH(567,DESK!$AR$2:$AR$601,0)))</f>
        <v/>
      </c>
      <c r="I575" s="21"/>
      <c r="J575" s="20"/>
      <c r="K575" s="20"/>
      <c r="L575" s="20"/>
      <c r="M575" s="23" t="str">
        <f t="shared" si="8"/>
        <v/>
      </c>
    </row>
    <row r="576" spans="1:13" x14ac:dyDescent="0.35">
      <c r="A576" s="28">
        <v>568</v>
      </c>
      <c r="B576" s="43" t="str">
        <f>IF(SETTINGS!$B$22&lt;&gt;"YES","",IFERROR(IF(OR($J$3="Everyone",INDEX(DESK!$AV$2:$AV$601,MATCH(568,DESK!$AR$2:$AR$601,0))="SEND"),"91"&amp;INDEX(DESK!$F$2:$F$601,MATCH(568,DESK!$AR$2:$AR$601,0)),""),""))</f>
        <v/>
      </c>
      <c r="C576" s="28" t="str">
        <f>IF(B576="","",IF(INDEX(DESK!$AC$2:$AC$601,MATCH(568,DESK!$AR$2:$AR$601,0))="YES","A","B"))</f>
        <v/>
      </c>
      <c r="D576" s="28" t="str">
        <f>IF(B576="","",INDEX(DESK!$AQ$2:$AQ$601,MATCH(568,DESK!$AR$2:$AR$601,0)))</f>
        <v/>
      </c>
      <c r="E576" s="28" t="str">
        <f>IF(B576="","",INDEX(DESK!$B$2:$B$601,MATCH(568,DESK!$AR$2:$AR$601,0))&amp;IF(COUNTIFS(DESK!$F$2:$F$601,INDEX(DESK!$F$2:$F$601,MATCH(568,DESK!$AR$2:$AR$601,0)),DESK!$L$2:$L$601,1)&gt;1," and "&amp;(COUNTIFS(DESK!$F$2:$F$601,INDEX(DESK!$F$2:$F$601,MATCH(568,DESK!$AR$2:$AR$601,0)),DESK!$L$2:$L$601,1)-1)&amp;" more",""))</f>
        <v/>
      </c>
      <c r="F576" s="28" t="str">
        <f>IF(B576="","",IF(C576="B",INDEX(DESK!$AD$2:$AD$601,MATCH(568,DESK!$AR$2:$AR$601,0)),""))</f>
        <v/>
      </c>
      <c r="G576" s="28" t="str">
        <f>IF(B576="","",INDEX(DESK!$AV$2:$AV$601,MATCH(568,DESK!$AR$2:$AR$601,0)))</f>
        <v/>
      </c>
      <c r="I576" s="21"/>
      <c r="J576" s="20"/>
      <c r="K576" s="20"/>
      <c r="L576" s="20"/>
      <c r="M576" s="23" t="str">
        <f t="shared" si="8"/>
        <v/>
      </c>
    </row>
    <row r="577" spans="1:13" x14ac:dyDescent="0.35">
      <c r="A577" s="28">
        <v>569</v>
      </c>
      <c r="B577" s="43" t="str">
        <f>IF(SETTINGS!$B$22&lt;&gt;"YES","",IFERROR(IF(OR($J$3="Everyone",INDEX(DESK!$AV$2:$AV$601,MATCH(569,DESK!$AR$2:$AR$601,0))="SEND"),"91"&amp;INDEX(DESK!$F$2:$F$601,MATCH(569,DESK!$AR$2:$AR$601,0)),""),""))</f>
        <v/>
      </c>
      <c r="C577" s="28" t="str">
        <f>IF(B577="","",IF(INDEX(DESK!$AC$2:$AC$601,MATCH(569,DESK!$AR$2:$AR$601,0))="YES","A","B"))</f>
        <v/>
      </c>
      <c r="D577" s="28" t="str">
        <f>IF(B577="","",INDEX(DESK!$AQ$2:$AQ$601,MATCH(569,DESK!$AR$2:$AR$601,0)))</f>
        <v/>
      </c>
      <c r="E577" s="28" t="str">
        <f>IF(B577="","",INDEX(DESK!$B$2:$B$601,MATCH(569,DESK!$AR$2:$AR$601,0))&amp;IF(COUNTIFS(DESK!$F$2:$F$601,INDEX(DESK!$F$2:$F$601,MATCH(569,DESK!$AR$2:$AR$601,0)),DESK!$L$2:$L$601,1)&gt;1," and "&amp;(COUNTIFS(DESK!$F$2:$F$601,INDEX(DESK!$F$2:$F$601,MATCH(569,DESK!$AR$2:$AR$601,0)),DESK!$L$2:$L$601,1)-1)&amp;" more",""))</f>
        <v/>
      </c>
      <c r="F577" s="28" t="str">
        <f>IF(B577="","",IF(C577="B",INDEX(DESK!$AD$2:$AD$601,MATCH(569,DESK!$AR$2:$AR$601,0)),""))</f>
        <v/>
      </c>
      <c r="G577" s="28" t="str">
        <f>IF(B577="","",INDEX(DESK!$AV$2:$AV$601,MATCH(569,DESK!$AR$2:$AR$601,0)))</f>
        <v/>
      </c>
      <c r="I577" s="21"/>
      <c r="J577" s="20"/>
      <c r="K577" s="20"/>
      <c r="L577" s="20"/>
      <c r="M577" s="23" t="str">
        <f t="shared" si="8"/>
        <v/>
      </c>
    </row>
    <row r="578" spans="1:13" x14ac:dyDescent="0.35">
      <c r="A578" s="28">
        <v>570</v>
      </c>
      <c r="B578" s="43" t="str">
        <f>IF(SETTINGS!$B$22&lt;&gt;"YES","",IFERROR(IF(OR($J$3="Everyone",INDEX(DESK!$AV$2:$AV$601,MATCH(570,DESK!$AR$2:$AR$601,0))="SEND"),"91"&amp;INDEX(DESK!$F$2:$F$601,MATCH(570,DESK!$AR$2:$AR$601,0)),""),""))</f>
        <v/>
      </c>
      <c r="C578" s="28" t="str">
        <f>IF(B578="","",IF(INDEX(DESK!$AC$2:$AC$601,MATCH(570,DESK!$AR$2:$AR$601,0))="YES","A","B"))</f>
        <v/>
      </c>
      <c r="D578" s="28" t="str">
        <f>IF(B578="","",INDEX(DESK!$AQ$2:$AQ$601,MATCH(570,DESK!$AR$2:$AR$601,0)))</f>
        <v/>
      </c>
      <c r="E578" s="28" t="str">
        <f>IF(B578="","",INDEX(DESK!$B$2:$B$601,MATCH(570,DESK!$AR$2:$AR$601,0))&amp;IF(COUNTIFS(DESK!$F$2:$F$601,INDEX(DESK!$F$2:$F$601,MATCH(570,DESK!$AR$2:$AR$601,0)),DESK!$L$2:$L$601,1)&gt;1," and "&amp;(COUNTIFS(DESK!$F$2:$F$601,INDEX(DESK!$F$2:$F$601,MATCH(570,DESK!$AR$2:$AR$601,0)),DESK!$L$2:$L$601,1)-1)&amp;" more",""))</f>
        <v/>
      </c>
      <c r="F578" s="28" t="str">
        <f>IF(B578="","",IF(C578="B",INDEX(DESK!$AD$2:$AD$601,MATCH(570,DESK!$AR$2:$AR$601,0)),""))</f>
        <v/>
      </c>
      <c r="G578" s="28" t="str">
        <f>IF(B578="","",INDEX(DESK!$AV$2:$AV$601,MATCH(570,DESK!$AR$2:$AR$601,0)))</f>
        <v/>
      </c>
      <c r="I578" s="21"/>
      <c r="J578" s="20"/>
      <c r="K578" s="20"/>
      <c r="L578" s="20"/>
      <c r="M578" s="23" t="str">
        <f t="shared" si="8"/>
        <v/>
      </c>
    </row>
    <row r="579" spans="1:13" x14ac:dyDescent="0.35">
      <c r="A579" s="28">
        <v>571</v>
      </c>
      <c r="B579" s="43" t="str">
        <f>IF(SETTINGS!$B$22&lt;&gt;"YES","",IFERROR(IF(OR($J$3="Everyone",INDEX(DESK!$AV$2:$AV$601,MATCH(571,DESK!$AR$2:$AR$601,0))="SEND"),"91"&amp;INDEX(DESK!$F$2:$F$601,MATCH(571,DESK!$AR$2:$AR$601,0)),""),""))</f>
        <v/>
      </c>
      <c r="C579" s="28" t="str">
        <f>IF(B579="","",IF(INDEX(DESK!$AC$2:$AC$601,MATCH(571,DESK!$AR$2:$AR$601,0))="YES","A","B"))</f>
        <v/>
      </c>
      <c r="D579" s="28" t="str">
        <f>IF(B579="","",INDEX(DESK!$AQ$2:$AQ$601,MATCH(571,DESK!$AR$2:$AR$601,0)))</f>
        <v/>
      </c>
      <c r="E579" s="28" t="str">
        <f>IF(B579="","",INDEX(DESK!$B$2:$B$601,MATCH(571,DESK!$AR$2:$AR$601,0))&amp;IF(COUNTIFS(DESK!$F$2:$F$601,INDEX(DESK!$F$2:$F$601,MATCH(571,DESK!$AR$2:$AR$601,0)),DESK!$L$2:$L$601,1)&gt;1," and "&amp;(COUNTIFS(DESK!$F$2:$F$601,INDEX(DESK!$F$2:$F$601,MATCH(571,DESK!$AR$2:$AR$601,0)),DESK!$L$2:$L$601,1)-1)&amp;" more",""))</f>
        <v/>
      </c>
      <c r="F579" s="28" t="str">
        <f>IF(B579="","",IF(C579="B",INDEX(DESK!$AD$2:$AD$601,MATCH(571,DESK!$AR$2:$AR$601,0)),""))</f>
        <v/>
      </c>
      <c r="G579" s="28" t="str">
        <f>IF(B579="","",INDEX(DESK!$AV$2:$AV$601,MATCH(571,DESK!$AR$2:$AR$601,0)))</f>
        <v/>
      </c>
      <c r="I579" s="21"/>
      <c r="J579" s="20"/>
      <c r="K579" s="20"/>
      <c r="L579" s="20"/>
      <c r="M579" s="23" t="str">
        <f t="shared" si="8"/>
        <v/>
      </c>
    </row>
    <row r="580" spans="1:13" x14ac:dyDescent="0.35">
      <c r="A580" s="28">
        <v>572</v>
      </c>
      <c r="B580" s="43" t="str">
        <f>IF(SETTINGS!$B$22&lt;&gt;"YES","",IFERROR(IF(OR($J$3="Everyone",INDEX(DESK!$AV$2:$AV$601,MATCH(572,DESK!$AR$2:$AR$601,0))="SEND"),"91"&amp;INDEX(DESK!$F$2:$F$601,MATCH(572,DESK!$AR$2:$AR$601,0)),""),""))</f>
        <v/>
      </c>
      <c r="C580" s="28" t="str">
        <f>IF(B580="","",IF(INDEX(DESK!$AC$2:$AC$601,MATCH(572,DESK!$AR$2:$AR$601,0))="YES","A","B"))</f>
        <v/>
      </c>
      <c r="D580" s="28" t="str">
        <f>IF(B580="","",INDEX(DESK!$AQ$2:$AQ$601,MATCH(572,DESK!$AR$2:$AR$601,0)))</f>
        <v/>
      </c>
      <c r="E580" s="28" t="str">
        <f>IF(B580="","",INDEX(DESK!$B$2:$B$601,MATCH(572,DESK!$AR$2:$AR$601,0))&amp;IF(COUNTIFS(DESK!$F$2:$F$601,INDEX(DESK!$F$2:$F$601,MATCH(572,DESK!$AR$2:$AR$601,0)),DESK!$L$2:$L$601,1)&gt;1," and "&amp;(COUNTIFS(DESK!$F$2:$F$601,INDEX(DESK!$F$2:$F$601,MATCH(572,DESK!$AR$2:$AR$601,0)),DESK!$L$2:$L$601,1)-1)&amp;" more",""))</f>
        <v/>
      </c>
      <c r="F580" s="28" t="str">
        <f>IF(B580="","",IF(C580="B",INDEX(DESK!$AD$2:$AD$601,MATCH(572,DESK!$AR$2:$AR$601,0)),""))</f>
        <v/>
      </c>
      <c r="G580" s="28" t="str">
        <f>IF(B580="","",INDEX(DESK!$AV$2:$AV$601,MATCH(572,DESK!$AR$2:$AR$601,0)))</f>
        <v/>
      </c>
      <c r="I580" s="21"/>
      <c r="J580" s="20"/>
      <c r="K580" s="20"/>
      <c r="L580" s="20"/>
      <c r="M580" s="23" t="str">
        <f t="shared" si="8"/>
        <v/>
      </c>
    </row>
    <row r="581" spans="1:13" x14ac:dyDescent="0.35">
      <c r="A581" s="28">
        <v>573</v>
      </c>
      <c r="B581" s="43" t="str">
        <f>IF(SETTINGS!$B$22&lt;&gt;"YES","",IFERROR(IF(OR($J$3="Everyone",INDEX(DESK!$AV$2:$AV$601,MATCH(573,DESK!$AR$2:$AR$601,0))="SEND"),"91"&amp;INDEX(DESK!$F$2:$F$601,MATCH(573,DESK!$AR$2:$AR$601,0)),""),""))</f>
        <v/>
      </c>
      <c r="C581" s="28" t="str">
        <f>IF(B581="","",IF(INDEX(DESK!$AC$2:$AC$601,MATCH(573,DESK!$AR$2:$AR$601,0))="YES","A","B"))</f>
        <v/>
      </c>
      <c r="D581" s="28" t="str">
        <f>IF(B581="","",INDEX(DESK!$AQ$2:$AQ$601,MATCH(573,DESK!$AR$2:$AR$601,0)))</f>
        <v/>
      </c>
      <c r="E581" s="28" t="str">
        <f>IF(B581="","",INDEX(DESK!$B$2:$B$601,MATCH(573,DESK!$AR$2:$AR$601,0))&amp;IF(COUNTIFS(DESK!$F$2:$F$601,INDEX(DESK!$F$2:$F$601,MATCH(573,DESK!$AR$2:$AR$601,0)),DESK!$L$2:$L$601,1)&gt;1," and "&amp;(COUNTIFS(DESK!$F$2:$F$601,INDEX(DESK!$F$2:$F$601,MATCH(573,DESK!$AR$2:$AR$601,0)),DESK!$L$2:$L$601,1)-1)&amp;" more",""))</f>
        <v/>
      </c>
      <c r="F581" s="28" t="str">
        <f>IF(B581="","",IF(C581="B",INDEX(DESK!$AD$2:$AD$601,MATCH(573,DESK!$AR$2:$AR$601,0)),""))</f>
        <v/>
      </c>
      <c r="G581" s="28" t="str">
        <f>IF(B581="","",INDEX(DESK!$AV$2:$AV$601,MATCH(573,DESK!$AR$2:$AR$601,0)))</f>
        <v/>
      </c>
      <c r="I581" s="21"/>
      <c r="J581" s="20"/>
      <c r="K581" s="20"/>
      <c r="L581" s="20"/>
      <c r="M581" s="23" t="str">
        <f t="shared" si="8"/>
        <v/>
      </c>
    </row>
    <row r="582" spans="1:13" x14ac:dyDescent="0.35">
      <c r="A582" s="28">
        <v>574</v>
      </c>
      <c r="B582" s="43" t="str">
        <f>IF(SETTINGS!$B$22&lt;&gt;"YES","",IFERROR(IF(OR($J$3="Everyone",INDEX(DESK!$AV$2:$AV$601,MATCH(574,DESK!$AR$2:$AR$601,0))="SEND"),"91"&amp;INDEX(DESK!$F$2:$F$601,MATCH(574,DESK!$AR$2:$AR$601,0)),""),""))</f>
        <v/>
      </c>
      <c r="C582" s="28" t="str">
        <f>IF(B582="","",IF(INDEX(DESK!$AC$2:$AC$601,MATCH(574,DESK!$AR$2:$AR$601,0))="YES","A","B"))</f>
        <v/>
      </c>
      <c r="D582" s="28" t="str">
        <f>IF(B582="","",INDEX(DESK!$AQ$2:$AQ$601,MATCH(574,DESK!$AR$2:$AR$601,0)))</f>
        <v/>
      </c>
      <c r="E582" s="28" t="str">
        <f>IF(B582="","",INDEX(DESK!$B$2:$B$601,MATCH(574,DESK!$AR$2:$AR$601,0))&amp;IF(COUNTIFS(DESK!$F$2:$F$601,INDEX(DESK!$F$2:$F$601,MATCH(574,DESK!$AR$2:$AR$601,0)),DESK!$L$2:$L$601,1)&gt;1," and "&amp;(COUNTIFS(DESK!$F$2:$F$601,INDEX(DESK!$F$2:$F$601,MATCH(574,DESK!$AR$2:$AR$601,0)),DESK!$L$2:$L$601,1)-1)&amp;" more",""))</f>
        <v/>
      </c>
      <c r="F582" s="28" t="str">
        <f>IF(B582="","",IF(C582="B",INDEX(DESK!$AD$2:$AD$601,MATCH(574,DESK!$AR$2:$AR$601,0)),""))</f>
        <v/>
      </c>
      <c r="G582" s="28" t="str">
        <f>IF(B582="","",INDEX(DESK!$AV$2:$AV$601,MATCH(574,DESK!$AR$2:$AR$601,0)))</f>
        <v/>
      </c>
      <c r="I582" s="21"/>
      <c r="J582" s="20"/>
      <c r="K582" s="20"/>
      <c r="L582" s="20"/>
      <c r="M582" s="23" t="str">
        <f t="shared" si="8"/>
        <v/>
      </c>
    </row>
    <row r="583" spans="1:13" x14ac:dyDescent="0.35">
      <c r="A583" s="28">
        <v>575</v>
      </c>
      <c r="B583" s="43" t="str">
        <f>IF(SETTINGS!$B$22&lt;&gt;"YES","",IFERROR(IF(OR($J$3="Everyone",INDEX(DESK!$AV$2:$AV$601,MATCH(575,DESK!$AR$2:$AR$601,0))="SEND"),"91"&amp;INDEX(DESK!$F$2:$F$601,MATCH(575,DESK!$AR$2:$AR$601,0)),""),""))</f>
        <v/>
      </c>
      <c r="C583" s="28" t="str">
        <f>IF(B583="","",IF(INDEX(DESK!$AC$2:$AC$601,MATCH(575,DESK!$AR$2:$AR$601,0))="YES","A","B"))</f>
        <v/>
      </c>
      <c r="D583" s="28" t="str">
        <f>IF(B583="","",INDEX(DESK!$AQ$2:$AQ$601,MATCH(575,DESK!$AR$2:$AR$601,0)))</f>
        <v/>
      </c>
      <c r="E583" s="28" t="str">
        <f>IF(B583="","",INDEX(DESK!$B$2:$B$601,MATCH(575,DESK!$AR$2:$AR$601,0))&amp;IF(COUNTIFS(DESK!$F$2:$F$601,INDEX(DESK!$F$2:$F$601,MATCH(575,DESK!$AR$2:$AR$601,0)),DESK!$L$2:$L$601,1)&gt;1," and "&amp;(COUNTIFS(DESK!$F$2:$F$601,INDEX(DESK!$F$2:$F$601,MATCH(575,DESK!$AR$2:$AR$601,0)),DESK!$L$2:$L$601,1)-1)&amp;" more",""))</f>
        <v/>
      </c>
      <c r="F583" s="28" t="str">
        <f>IF(B583="","",IF(C583="B",INDEX(DESK!$AD$2:$AD$601,MATCH(575,DESK!$AR$2:$AR$601,0)),""))</f>
        <v/>
      </c>
      <c r="G583" s="28" t="str">
        <f>IF(B583="","",INDEX(DESK!$AV$2:$AV$601,MATCH(575,DESK!$AR$2:$AR$601,0)))</f>
        <v/>
      </c>
      <c r="I583" s="21"/>
      <c r="J583" s="20"/>
      <c r="K583" s="20"/>
      <c r="L583" s="20"/>
      <c r="M583" s="23" t="str">
        <f t="shared" si="8"/>
        <v/>
      </c>
    </row>
    <row r="584" spans="1:13" x14ac:dyDescent="0.35">
      <c r="A584" s="28">
        <v>576</v>
      </c>
      <c r="B584" s="43" t="str">
        <f>IF(SETTINGS!$B$22&lt;&gt;"YES","",IFERROR(IF(OR($J$3="Everyone",INDEX(DESK!$AV$2:$AV$601,MATCH(576,DESK!$AR$2:$AR$601,0))="SEND"),"91"&amp;INDEX(DESK!$F$2:$F$601,MATCH(576,DESK!$AR$2:$AR$601,0)),""),""))</f>
        <v/>
      </c>
      <c r="C584" s="28" t="str">
        <f>IF(B584="","",IF(INDEX(DESK!$AC$2:$AC$601,MATCH(576,DESK!$AR$2:$AR$601,0))="YES","A","B"))</f>
        <v/>
      </c>
      <c r="D584" s="28" t="str">
        <f>IF(B584="","",INDEX(DESK!$AQ$2:$AQ$601,MATCH(576,DESK!$AR$2:$AR$601,0)))</f>
        <v/>
      </c>
      <c r="E584" s="28" t="str">
        <f>IF(B584="","",INDEX(DESK!$B$2:$B$601,MATCH(576,DESK!$AR$2:$AR$601,0))&amp;IF(COUNTIFS(DESK!$F$2:$F$601,INDEX(DESK!$F$2:$F$601,MATCH(576,DESK!$AR$2:$AR$601,0)),DESK!$L$2:$L$601,1)&gt;1," and "&amp;(COUNTIFS(DESK!$F$2:$F$601,INDEX(DESK!$F$2:$F$601,MATCH(576,DESK!$AR$2:$AR$601,0)),DESK!$L$2:$L$601,1)-1)&amp;" more",""))</f>
        <v/>
      </c>
      <c r="F584" s="28" t="str">
        <f>IF(B584="","",IF(C584="B",INDEX(DESK!$AD$2:$AD$601,MATCH(576,DESK!$AR$2:$AR$601,0)),""))</f>
        <v/>
      </c>
      <c r="G584" s="28" t="str">
        <f>IF(B584="","",INDEX(DESK!$AV$2:$AV$601,MATCH(576,DESK!$AR$2:$AR$601,0)))</f>
        <v/>
      </c>
      <c r="I584" s="21"/>
      <c r="J584" s="20"/>
      <c r="K584" s="20"/>
      <c r="L584" s="20"/>
      <c r="M584" s="23" t="str">
        <f t="shared" si="8"/>
        <v/>
      </c>
    </row>
    <row r="585" spans="1:13" x14ac:dyDescent="0.35">
      <c r="A585" s="28">
        <v>577</v>
      </c>
      <c r="B585" s="43" t="str">
        <f>IF(SETTINGS!$B$22&lt;&gt;"YES","",IFERROR(IF(OR($J$3="Everyone",INDEX(DESK!$AV$2:$AV$601,MATCH(577,DESK!$AR$2:$AR$601,0))="SEND"),"91"&amp;INDEX(DESK!$F$2:$F$601,MATCH(577,DESK!$AR$2:$AR$601,0)),""),""))</f>
        <v/>
      </c>
      <c r="C585" s="28" t="str">
        <f>IF(B585="","",IF(INDEX(DESK!$AC$2:$AC$601,MATCH(577,DESK!$AR$2:$AR$601,0))="YES","A","B"))</f>
        <v/>
      </c>
      <c r="D585" s="28" t="str">
        <f>IF(B585="","",INDEX(DESK!$AQ$2:$AQ$601,MATCH(577,DESK!$AR$2:$AR$601,0)))</f>
        <v/>
      </c>
      <c r="E585" s="28" t="str">
        <f>IF(B585="","",INDEX(DESK!$B$2:$B$601,MATCH(577,DESK!$AR$2:$AR$601,0))&amp;IF(COUNTIFS(DESK!$F$2:$F$601,INDEX(DESK!$F$2:$F$601,MATCH(577,DESK!$AR$2:$AR$601,0)),DESK!$L$2:$L$601,1)&gt;1," and "&amp;(COUNTIFS(DESK!$F$2:$F$601,INDEX(DESK!$F$2:$F$601,MATCH(577,DESK!$AR$2:$AR$601,0)),DESK!$L$2:$L$601,1)-1)&amp;" more",""))</f>
        <v/>
      </c>
      <c r="F585" s="28" t="str">
        <f>IF(B585="","",IF(C585="B",INDEX(DESK!$AD$2:$AD$601,MATCH(577,DESK!$AR$2:$AR$601,0)),""))</f>
        <v/>
      </c>
      <c r="G585" s="28" t="str">
        <f>IF(B585="","",INDEX(DESK!$AV$2:$AV$601,MATCH(577,DESK!$AR$2:$AR$601,0)))</f>
        <v/>
      </c>
      <c r="I585" s="21"/>
      <c r="J585" s="20"/>
      <c r="K585" s="20"/>
      <c r="L585" s="20"/>
      <c r="M585" s="23" t="str">
        <f t="shared" ref="M585:M648" si="9">IF(I585="","",RIGHT(SUBSTITUTE(SUBSTITUTE(I585&amp;""," ",""),"+",""),10))</f>
        <v/>
      </c>
    </row>
    <row r="586" spans="1:13" x14ac:dyDescent="0.35">
      <c r="A586" s="28">
        <v>578</v>
      </c>
      <c r="B586" s="43" t="str">
        <f>IF(SETTINGS!$B$22&lt;&gt;"YES","",IFERROR(IF(OR($J$3="Everyone",INDEX(DESK!$AV$2:$AV$601,MATCH(578,DESK!$AR$2:$AR$601,0))="SEND"),"91"&amp;INDEX(DESK!$F$2:$F$601,MATCH(578,DESK!$AR$2:$AR$601,0)),""),""))</f>
        <v/>
      </c>
      <c r="C586" s="28" t="str">
        <f>IF(B586="","",IF(INDEX(DESK!$AC$2:$AC$601,MATCH(578,DESK!$AR$2:$AR$601,0))="YES","A","B"))</f>
        <v/>
      </c>
      <c r="D586" s="28" t="str">
        <f>IF(B586="","",INDEX(DESK!$AQ$2:$AQ$601,MATCH(578,DESK!$AR$2:$AR$601,0)))</f>
        <v/>
      </c>
      <c r="E586" s="28" t="str">
        <f>IF(B586="","",INDEX(DESK!$B$2:$B$601,MATCH(578,DESK!$AR$2:$AR$601,0))&amp;IF(COUNTIFS(DESK!$F$2:$F$601,INDEX(DESK!$F$2:$F$601,MATCH(578,DESK!$AR$2:$AR$601,0)),DESK!$L$2:$L$601,1)&gt;1," and "&amp;(COUNTIFS(DESK!$F$2:$F$601,INDEX(DESK!$F$2:$F$601,MATCH(578,DESK!$AR$2:$AR$601,0)),DESK!$L$2:$L$601,1)-1)&amp;" more",""))</f>
        <v/>
      </c>
      <c r="F586" s="28" t="str">
        <f>IF(B586="","",IF(C586="B",INDEX(DESK!$AD$2:$AD$601,MATCH(578,DESK!$AR$2:$AR$601,0)),""))</f>
        <v/>
      </c>
      <c r="G586" s="28" t="str">
        <f>IF(B586="","",INDEX(DESK!$AV$2:$AV$601,MATCH(578,DESK!$AR$2:$AR$601,0)))</f>
        <v/>
      </c>
      <c r="I586" s="21"/>
      <c r="J586" s="20"/>
      <c r="K586" s="20"/>
      <c r="L586" s="20"/>
      <c r="M586" s="23" t="str">
        <f t="shared" si="9"/>
        <v/>
      </c>
    </row>
    <row r="587" spans="1:13" x14ac:dyDescent="0.35">
      <c r="A587" s="28">
        <v>579</v>
      </c>
      <c r="B587" s="43" t="str">
        <f>IF(SETTINGS!$B$22&lt;&gt;"YES","",IFERROR(IF(OR($J$3="Everyone",INDEX(DESK!$AV$2:$AV$601,MATCH(579,DESK!$AR$2:$AR$601,0))="SEND"),"91"&amp;INDEX(DESK!$F$2:$F$601,MATCH(579,DESK!$AR$2:$AR$601,0)),""),""))</f>
        <v/>
      </c>
      <c r="C587" s="28" t="str">
        <f>IF(B587="","",IF(INDEX(DESK!$AC$2:$AC$601,MATCH(579,DESK!$AR$2:$AR$601,0))="YES","A","B"))</f>
        <v/>
      </c>
      <c r="D587" s="28" t="str">
        <f>IF(B587="","",INDEX(DESK!$AQ$2:$AQ$601,MATCH(579,DESK!$AR$2:$AR$601,0)))</f>
        <v/>
      </c>
      <c r="E587" s="28" t="str">
        <f>IF(B587="","",INDEX(DESK!$B$2:$B$601,MATCH(579,DESK!$AR$2:$AR$601,0))&amp;IF(COUNTIFS(DESK!$F$2:$F$601,INDEX(DESK!$F$2:$F$601,MATCH(579,DESK!$AR$2:$AR$601,0)),DESK!$L$2:$L$601,1)&gt;1," and "&amp;(COUNTIFS(DESK!$F$2:$F$601,INDEX(DESK!$F$2:$F$601,MATCH(579,DESK!$AR$2:$AR$601,0)),DESK!$L$2:$L$601,1)-1)&amp;" more",""))</f>
        <v/>
      </c>
      <c r="F587" s="28" t="str">
        <f>IF(B587="","",IF(C587="B",INDEX(DESK!$AD$2:$AD$601,MATCH(579,DESK!$AR$2:$AR$601,0)),""))</f>
        <v/>
      </c>
      <c r="G587" s="28" t="str">
        <f>IF(B587="","",INDEX(DESK!$AV$2:$AV$601,MATCH(579,DESK!$AR$2:$AR$601,0)))</f>
        <v/>
      </c>
      <c r="I587" s="21"/>
      <c r="J587" s="20"/>
      <c r="K587" s="20"/>
      <c r="L587" s="20"/>
      <c r="M587" s="23" t="str">
        <f t="shared" si="9"/>
        <v/>
      </c>
    </row>
    <row r="588" spans="1:13" x14ac:dyDescent="0.35">
      <c r="A588" s="28">
        <v>580</v>
      </c>
      <c r="B588" s="43" t="str">
        <f>IF(SETTINGS!$B$22&lt;&gt;"YES","",IFERROR(IF(OR($J$3="Everyone",INDEX(DESK!$AV$2:$AV$601,MATCH(580,DESK!$AR$2:$AR$601,0))="SEND"),"91"&amp;INDEX(DESK!$F$2:$F$601,MATCH(580,DESK!$AR$2:$AR$601,0)),""),""))</f>
        <v/>
      </c>
      <c r="C588" s="28" t="str">
        <f>IF(B588="","",IF(INDEX(DESK!$AC$2:$AC$601,MATCH(580,DESK!$AR$2:$AR$601,0))="YES","A","B"))</f>
        <v/>
      </c>
      <c r="D588" s="28" t="str">
        <f>IF(B588="","",INDEX(DESK!$AQ$2:$AQ$601,MATCH(580,DESK!$AR$2:$AR$601,0)))</f>
        <v/>
      </c>
      <c r="E588" s="28" t="str">
        <f>IF(B588="","",INDEX(DESK!$B$2:$B$601,MATCH(580,DESK!$AR$2:$AR$601,0))&amp;IF(COUNTIFS(DESK!$F$2:$F$601,INDEX(DESK!$F$2:$F$601,MATCH(580,DESK!$AR$2:$AR$601,0)),DESK!$L$2:$L$601,1)&gt;1," and "&amp;(COUNTIFS(DESK!$F$2:$F$601,INDEX(DESK!$F$2:$F$601,MATCH(580,DESK!$AR$2:$AR$601,0)),DESK!$L$2:$L$601,1)-1)&amp;" more",""))</f>
        <v/>
      </c>
      <c r="F588" s="28" t="str">
        <f>IF(B588="","",IF(C588="B",INDEX(DESK!$AD$2:$AD$601,MATCH(580,DESK!$AR$2:$AR$601,0)),""))</f>
        <v/>
      </c>
      <c r="G588" s="28" t="str">
        <f>IF(B588="","",INDEX(DESK!$AV$2:$AV$601,MATCH(580,DESK!$AR$2:$AR$601,0)))</f>
        <v/>
      </c>
      <c r="I588" s="21"/>
      <c r="J588" s="20"/>
      <c r="K588" s="20"/>
      <c r="L588" s="20"/>
      <c r="M588" s="23" t="str">
        <f t="shared" si="9"/>
        <v/>
      </c>
    </row>
    <row r="589" spans="1:13" x14ac:dyDescent="0.35">
      <c r="A589" s="28">
        <v>581</v>
      </c>
      <c r="B589" s="43" t="str">
        <f>IF(SETTINGS!$B$22&lt;&gt;"YES","",IFERROR(IF(OR($J$3="Everyone",INDEX(DESK!$AV$2:$AV$601,MATCH(581,DESK!$AR$2:$AR$601,0))="SEND"),"91"&amp;INDEX(DESK!$F$2:$F$601,MATCH(581,DESK!$AR$2:$AR$601,0)),""),""))</f>
        <v/>
      </c>
      <c r="C589" s="28" t="str">
        <f>IF(B589="","",IF(INDEX(DESK!$AC$2:$AC$601,MATCH(581,DESK!$AR$2:$AR$601,0))="YES","A","B"))</f>
        <v/>
      </c>
      <c r="D589" s="28" t="str">
        <f>IF(B589="","",INDEX(DESK!$AQ$2:$AQ$601,MATCH(581,DESK!$AR$2:$AR$601,0)))</f>
        <v/>
      </c>
      <c r="E589" s="28" t="str">
        <f>IF(B589="","",INDEX(DESK!$B$2:$B$601,MATCH(581,DESK!$AR$2:$AR$601,0))&amp;IF(COUNTIFS(DESK!$F$2:$F$601,INDEX(DESK!$F$2:$F$601,MATCH(581,DESK!$AR$2:$AR$601,0)),DESK!$L$2:$L$601,1)&gt;1," and "&amp;(COUNTIFS(DESK!$F$2:$F$601,INDEX(DESK!$F$2:$F$601,MATCH(581,DESK!$AR$2:$AR$601,0)),DESK!$L$2:$L$601,1)-1)&amp;" more",""))</f>
        <v/>
      </c>
      <c r="F589" s="28" t="str">
        <f>IF(B589="","",IF(C589="B",INDEX(DESK!$AD$2:$AD$601,MATCH(581,DESK!$AR$2:$AR$601,0)),""))</f>
        <v/>
      </c>
      <c r="G589" s="28" t="str">
        <f>IF(B589="","",INDEX(DESK!$AV$2:$AV$601,MATCH(581,DESK!$AR$2:$AR$601,0)))</f>
        <v/>
      </c>
      <c r="I589" s="21"/>
      <c r="J589" s="20"/>
      <c r="K589" s="20"/>
      <c r="L589" s="20"/>
      <c r="M589" s="23" t="str">
        <f t="shared" si="9"/>
        <v/>
      </c>
    </row>
    <row r="590" spans="1:13" x14ac:dyDescent="0.35">
      <c r="A590" s="28">
        <v>582</v>
      </c>
      <c r="B590" s="43" t="str">
        <f>IF(SETTINGS!$B$22&lt;&gt;"YES","",IFERROR(IF(OR($J$3="Everyone",INDEX(DESK!$AV$2:$AV$601,MATCH(582,DESK!$AR$2:$AR$601,0))="SEND"),"91"&amp;INDEX(DESK!$F$2:$F$601,MATCH(582,DESK!$AR$2:$AR$601,0)),""),""))</f>
        <v/>
      </c>
      <c r="C590" s="28" t="str">
        <f>IF(B590="","",IF(INDEX(DESK!$AC$2:$AC$601,MATCH(582,DESK!$AR$2:$AR$601,0))="YES","A","B"))</f>
        <v/>
      </c>
      <c r="D590" s="28" t="str">
        <f>IF(B590="","",INDEX(DESK!$AQ$2:$AQ$601,MATCH(582,DESK!$AR$2:$AR$601,0)))</f>
        <v/>
      </c>
      <c r="E590" s="28" t="str">
        <f>IF(B590="","",INDEX(DESK!$B$2:$B$601,MATCH(582,DESK!$AR$2:$AR$601,0))&amp;IF(COUNTIFS(DESK!$F$2:$F$601,INDEX(DESK!$F$2:$F$601,MATCH(582,DESK!$AR$2:$AR$601,0)),DESK!$L$2:$L$601,1)&gt;1," and "&amp;(COUNTIFS(DESK!$F$2:$F$601,INDEX(DESK!$F$2:$F$601,MATCH(582,DESK!$AR$2:$AR$601,0)),DESK!$L$2:$L$601,1)-1)&amp;" more",""))</f>
        <v/>
      </c>
      <c r="F590" s="28" t="str">
        <f>IF(B590="","",IF(C590="B",INDEX(DESK!$AD$2:$AD$601,MATCH(582,DESK!$AR$2:$AR$601,0)),""))</f>
        <v/>
      </c>
      <c r="G590" s="28" t="str">
        <f>IF(B590="","",INDEX(DESK!$AV$2:$AV$601,MATCH(582,DESK!$AR$2:$AR$601,0)))</f>
        <v/>
      </c>
      <c r="I590" s="21"/>
      <c r="J590" s="20"/>
      <c r="K590" s="20"/>
      <c r="L590" s="20"/>
      <c r="M590" s="23" t="str">
        <f t="shared" si="9"/>
        <v/>
      </c>
    </row>
    <row r="591" spans="1:13" x14ac:dyDescent="0.35">
      <c r="A591" s="28">
        <v>583</v>
      </c>
      <c r="B591" s="43" t="str">
        <f>IF(SETTINGS!$B$22&lt;&gt;"YES","",IFERROR(IF(OR($J$3="Everyone",INDEX(DESK!$AV$2:$AV$601,MATCH(583,DESK!$AR$2:$AR$601,0))="SEND"),"91"&amp;INDEX(DESK!$F$2:$F$601,MATCH(583,DESK!$AR$2:$AR$601,0)),""),""))</f>
        <v/>
      </c>
      <c r="C591" s="28" t="str">
        <f>IF(B591="","",IF(INDEX(DESK!$AC$2:$AC$601,MATCH(583,DESK!$AR$2:$AR$601,0))="YES","A","B"))</f>
        <v/>
      </c>
      <c r="D591" s="28" t="str">
        <f>IF(B591="","",INDEX(DESK!$AQ$2:$AQ$601,MATCH(583,DESK!$AR$2:$AR$601,0)))</f>
        <v/>
      </c>
      <c r="E591" s="28" t="str">
        <f>IF(B591="","",INDEX(DESK!$B$2:$B$601,MATCH(583,DESK!$AR$2:$AR$601,0))&amp;IF(COUNTIFS(DESK!$F$2:$F$601,INDEX(DESK!$F$2:$F$601,MATCH(583,DESK!$AR$2:$AR$601,0)),DESK!$L$2:$L$601,1)&gt;1," and "&amp;(COUNTIFS(DESK!$F$2:$F$601,INDEX(DESK!$F$2:$F$601,MATCH(583,DESK!$AR$2:$AR$601,0)),DESK!$L$2:$L$601,1)-1)&amp;" more",""))</f>
        <v/>
      </c>
      <c r="F591" s="28" t="str">
        <f>IF(B591="","",IF(C591="B",INDEX(DESK!$AD$2:$AD$601,MATCH(583,DESK!$AR$2:$AR$601,0)),""))</f>
        <v/>
      </c>
      <c r="G591" s="28" t="str">
        <f>IF(B591="","",INDEX(DESK!$AV$2:$AV$601,MATCH(583,DESK!$AR$2:$AR$601,0)))</f>
        <v/>
      </c>
      <c r="I591" s="21"/>
      <c r="J591" s="20"/>
      <c r="K591" s="20"/>
      <c r="L591" s="20"/>
      <c r="M591" s="23" t="str">
        <f t="shared" si="9"/>
        <v/>
      </c>
    </row>
    <row r="592" spans="1:13" x14ac:dyDescent="0.35">
      <c r="A592" s="28">
        <v>584</v>
      </c>
      <c r="B592" s="43" t="str">
        <f>IF(SETTINGS!$B$22&lt;&gt;"YES","",IFERROR(IF(OR($J$3="Everyone",INDEX(DESK!$AV$2:$AV$601,MATCH(584,DESK!$AR$2:$AR$601,0))="SEND"),"91"&amp;INDEX(DESK!$F$2:$F$601,MATCH(584,DESK!$AR$2:$AR$601,0)),""),""))</f>
        <v/>
      </c>
      <c r="C592" s="28" t="str">
        <f>IF(B592="","",IF(INDEX(DESK!$AC$2:$AC$601,MATCH(584,DESK!$AR$2:$AR$601,0))="YES","A","B"))</f>
        <v/>
      </c>
      <c r="D592" s="28" t="str">
        <f>IF(B592="","",INDEX(DESK!$AQ$2:$AQ$601,MATCH(584,DESK!$AR$2:$AR$601,0)))</f>
        <v/>
      </c>
      <c r="E592" s="28" t="str">
        <f>IF(B592="","",INDEX(DESK!$B$2:$B$601,MATCH(584,DESK!$AR$2:$AR$601,0))&amp;IF(COUNTIFS(DESK!$F$2:$F$601,INDEX(DESK!$F$2:$F$601,MATCH(584,DESK!$AR$2:$AR$601,0)),DESK!$L$2:$L$601,1)&gt;1," and "&amp;(COUNTIFS(DESK!$F$2:$F$601,INDEX(DESK!$F$2:$F$601,MATCH(584,DESK!$AR$2:$AR$601,0)),DESK!$L$2:$L$601,1)-1)&amp;" more",""))</f>
        <v/>
      </c>
      <c r="F592" s="28" t="str">
        <f>IF(B592="","",IF(C592="B",INDEX(DESK!$AD$2:$AD$601,MATCH(584,DESK!$AR$2:$AR$601,0)),""))</f>
        <v/>
      </c>
      <c r="G592" s="28" t="str">
        <f>IF(B592="","",INDEX(DESK!$AV$2:$AV$601,MATCH(584,DESK!$AR$2:$AR$601,0)))</f>
        <v/>
      </c>
      <c r="I592" s="21"/>
      <c r="J592" s="20"/>
      <c r="K592" s="20"/>
      <c r="L592" s="20"/>
      <c r="M592" s="23" t="str">
        <f t="shared" si="9"/>
        <v/>
      </c>
    </row>
    <row r="593" spans="1:13" x14ac:dyDescent="0.35">
      <c r="A593" s="28">
        <v>585</v>
      </c>
      <c r="B593" s="43" t="str">
        <f>IF(SETTINGS!$B$22&lt;&gt;"YES","",IFERROR(IF(OR($J$3="Everyone",INDEX(DESK!$AV$2:$AV$601,MATCH(585,DESK!$AR$2:$AR$601,0))="SEND"),"91"&amp;INDEX(DESK!$F$2:$F$601,MATCH(585,DESK!$AR$2:$AR$601,0)),""),""))</f>
        <v/>
      </c>
      <c r="C593" s="28" t="str">
        <f>IF(B593="","",IF(INDEX(DESK!$AC$2:$AC$601,MATCH(585,DESK!$AR$2:$AR$601,0))="YES","A","B"))</f>
        <v/>
      </c>
      <c r="D593" s="28" t="str">
        <f>IF(B593="","",INDEX(DESK!$AQ$2:$AQ$601,MATCH(585,DESK!$AR$2:$AR$601,0)))</f>
        <v/>
      </c>
      <c r="E593" s="28" t="str">
        <f>IF(B593="","",INDEX(DESK!$B$2:$B$601,MATCH(585,DESK!$AR$2:$AR$601,0))&amp;IF(COUNTIFS(DESK!$F$2:$F$601,INDEX(DESK!$F$2:$F$601,MATCH(585,DESK!$AR$2:$AR$601,0)),DESK!$L$2:$L$601,1)&gt;1," and "&amp;(COUNTIFS(DESK!$F$2:$F$601,INDEX(DESK!$F$2:$F$601,MATCH(585,DESK!$AR$2:$AR$601,0)),DESK!$L$2:$L$601,1)-1)&amp;" more",""))</f>
        <v/>
      </c>
      <c r="F593" s="28" t="str">
        <f>IF(B593="","",IF(C593="B",INDEX(DESK!$AD$2:$AD$601,MATCH(585,DESK!$AR$2:$AR$601,0)),""))</f>
        <v/>
      </c>
      <c r="G593" s="28" t="str">
        <f>IF(B593="","",INDEX(DESK!$AV$2:$AV$601,MATCH(585,DESK!$AR$2:$AR$601,0)))</f>
        <v/>
      </c>
      <c r="I593" s="21"/>
      <c r="J593" s="20"/>
      <c r="K593" s="20"/>
      <c r="L593" s="20"/>
      <c r="M593" s="23" t="str">
        <f t="shared" si="9"/>
        <v/>
      </c>
    </row>
    <row r="594" spans="1:13" x14ac:dyDescent="0.35">
      <c r="A594" s="28">
        <v>586</v>
      </c>
      <c r="B594" s="43" t="str">
        <f>IF(SETTINGS!$B$22&lt;&gt;"YES","",IFERROR(IF(OR($J$3="Everyone",INDEX(DESK!$AV$2:$AV$601,MATCH(586,DESK!$AR$2:$AR$601,0))="SEND"),"91"&amp;INDEX(DESK!$F$2:$F$601,MATCH(586,DESK!$AR$2:$AR$601,0)),""),""))</f>
        <v/>
      </c>
      <c r="C594" s="28" t="str">
        <f>IF(B594="","",IF(INDEX(DESK!$AC$2:$AC$601,MATCH(586,DESK!$AR$2:$AR$601,0))="YES","A","B"))</f>
        <v/>
      </c>
      <c r="D594" s="28" t="str">
        <f>IF(B594="","",INDEX(DESK!$AQ$2:$AQ$601,MATCH(586,DESK!$AR$2:$AR$601,0)))</f>
        <v/>
      </c>
      <c r="E594" s="28" t="str">
        <f>IF(B594="","",INDEX(DESK!$B$2:$B$601,MATCH(586,DESK!$AR$2:$AR$601,0))&amp;IF(COUNTIFS(DESK!$F$2:$F$601,INDEX(DESK!$F$2:$F$601,MATCH(586,DESK!$AR$2:$AR$601,0)),DESK!$L$2:$L$601,1)&gt;1," and "&amp;(COUNTIFS(DESK!$F$2:$F$601,INDEX(DESK!$F$2:$F$601,MATCH(586,DESK!$AR$2:$AR$601,0)),DESK!$L$2:$L$601,1)-1)&amp;" more",""))</f>
        <v/>
      </c>
      <c r="F594" s="28" t="str">
        <f>IF(B594="","",IF(C594="B",INDEX(DESK!$AD$2:$AD$601,MATCH(586,DESK!$AR$2:$AR$601,0)),""))</f>
        <v/>
      </c>
      <c r="G594" s="28" t="str">
        <f>IF(B594="","",INDEX(DESK!$AV$2:$AV$601,MATCH(586,DESK!$AR$2:$AR$601,0)))</f>
        <v/>
      </c>
      <c r="I594" s="21"/>
      <c r="J594" s="20"/>
      <c r="K594" s="20"/>
      <c r="L594" s="20"/>
      <c r="M594" s="23" t="str">
        <f t="shared" si="9"/>
        <v/>
      </c>
    </row>
    <row r="595" spans="1:13" x14ac:dyDescent="0.35">
      <c r="A595" s="28">
        <v>587</v>
      </c>
      <c r="B595" s="43" t="str">
        <f>IF(SETTINGS!$B$22&lt;&gt;"YES","",IFERROR(IF(OR($J$3="Everyone",INDEX(DESK!$AV$2:$AV$601,MATCH(587,DESK!$AR$2:$AR$601,0))="SEND"),"91"&amp;INDEX(DESK!$F$2:$F$601,MATCH(587,DESK!$AR$2:$AR$601,0)),""),""))</f>
        <v/>
      </c>
      <c r="C595" s="28" t="str">
        <f>IF(B595="","",IF(INDEX(DESK!$AC$2:$AC$601,MATCH(587,DESK!$AR$2:$AR$601,0))="YES","A","B"))</f>
        <v/>
      </c>
      <c r="D595" s="28" t="str">
        <f>IF(B595="","",INDEX(DESK!$AQ$2:$AQ$601,MATCH(587,DESK!$AR$2:$AR$601,0)))</f>
        <v/>
      </c>
      <c r="E595" s="28" t="str">
        <f>IF(B595="","",INDEX(DESK!$B$2:$B$601,MATCH(587,DESK!$AR$2:$AR$601,0))&amp;IF(COUNTIFS(DESK!$F$2:$F$601,INDEX(DESK!$F$2:$F$601,MATCH(587,DESK!$AR$2:$AR$601,0)),DESK!$L$2:$L$601,1)&gt;1," and "&amp;(COUNTIFS(DESK!$F$2:$F$601,INDEX(DESK!$F$2:$F$601,MATCH(587,DESK!$AR$2:$AR$601,0)),DESK!$L$2:$L$601,1)-1)&amp;" more",""))</f>
        <v/>
      </c>
      <c r="F595" s="28" t="str">
        <f>IF(B595="","",IF(C595="B",INDEX(DESK!$AD$2:$AD$601,MATCH(587,DESK!$AR$2:$AR$601,0)),""))</f>
        <v/>
      </c>
      <c r="G595" s="28" t="str">
        <f>IF(B595="","",INDEX(DESK!$AV$2:$AV$601,MATCH(587,DESK!$AR$2:$AR$601,0)))</f>
        <v/>
      </c>
      <c r="I595" s="21"/>
      <c r="J595" s="20"/>
      <c r="K595" s="20"/>
      <c r="L595" s="20"/>
      <c r="M595" s="23" t="str">
        <f t="shared" si="9"/>
        <v/>
      </c>
    </row>
    <row r="596" spans="1:13" x14ac:dyDescent="0.35">
      <c r="A596" s="28">
        <v>588</v>
      </c>
      <c r="B596" s="43" t="str">
        <f>IF(SETTINGS!$B$22&lt;&gt;"YES","",IFERROR(IF(OR($J$3="Everyone",INDEX(DESK!$AV$2:$AV$601,MATCH(588,DESK!$AR$2:$AR$601,0))="SEND"),"91"&amp;INDEX(DESK!$F$2:$F$601,MATCH(588,DESK!$AR$2:$AR$601,0)),""),""))</f>
        <v/>
      </c>
      <c r="C596" s="28" t="str">
        <f>IF(B596="","",IF(INDEX(DESK!$AC$2:$AC$601,MATCH(588,DESK!$AR$2:$AR$601,0))="YES","A","B"))</f>
        <v/>
      </c>
      <c r="D596" s="28" t="str">
        <f>IF(B596="","",INDEX(DESK!$AQ$2:$AQ$601,MATCH(588,DESK!$AR$2:$AR$601,0)))</f>
        <v/>
      </c>
      <c r="E596" s="28" t="str">
        <f>IF(B596="","",INDEX(DESK!$B$2:$B$601,MATCH(588,DESK!$AR$2:$AR$601,0))&amp;IF(COUNTIFS(DESK!$F$2:$F$601,INDEX(DESK!$F$2:$F$601,MATCH(588,DESK!$AR$2:$AR$601,0)),DESK!$L$2:$L$601,1)&gt;1," and "&amp;(COUNTIFS(DESK!$F$2:$F$601,INDEX(DESK!$F$2:$F$601,MATCH(588,DESK!$AR$2:$AR$601,0)),DESK!$L$2:$L$601,1)-1)&amp;" more",""))</f>
        <v/>
      </c>
      <c r="F596" s="28" t="str">
        <f>IF(B596="","",IF(C596="B",INDEX(DESK!$AD$2:$AD$601,MATCH(588,DESK!$AR$2:$AR$601,0)),""))</f>
        <v/>
      </c>
      <c r="G596" s="28" t="str">
        <f>IF(B596="","",INDEX(DESK!$AV$2:$AV$601,MATCH(588,DESK!$AR$2:$AR$601,0)))</f>
        <v/>
      </c>
      <c r="I596" s="21"/>
      <c r="J596" s="20"/>
      <c r="K596" s="20"/>
      <c r="L596" s="20"/>
      <c r="M596" s="23" t="str">
        <f t="shared" si="9"/>
        <v/>
      </c>
    </row>
    <row r="597" spans="1:13" x14ac:dyDescent="0.35">
      <c r="A597" s="28">
        <v>589</v>
      </c>
      <c r="B597" s="43" t="str">
        <f>IF(SETTINGS!$B$22&lt;&gt;"YES","",IFERROR(IF(OR($J$3="Everyone",INDEX(DESK!$AV$2:$AV$601,MATCH(589,DESK!$AR$2:$AR$601,0))="SEND"),"91"&amp;INDEX(DESK!$F$2:$F$601,MATCH(589,DESK!$AR$2:$AR$601,0)),""),""))</f>
        <v/>
      </c>
      <c r="C597" s="28" t="str">
        <f>IF(B597="","",IF(INDEX(DESK!$AC$2:$AC$601,MATCH(589,DESK!$AR$2:$AR$601,0))="YES","A","B"))</f>
        <v/>
      </c>
      <c r="D597" s="28" t="str">
        <f>IF(B597="","",INDEX(DESK!$AQ$2:$AQ$601,MATCH(589,DESK!$AR$2:$AR$601,0)))</f>
        <v/>
      </c>
      <c r="E597" s="28" t="str">
        <f>IF(B597="","",INDEX(DESK!$B$2:$B$601,MATCH(589,DESK!$AR$2:$AR$601,0))&amp;IF(COUNTIFS(DESK!$F$2:$F$601,INDEX(DESK!$F$2:$F$601,MATCH(589,DESK!$AR$2:$AR$601,0)),DESK!$L$2:$L$601,1)&gt;1," and "&amp;(COUNTIFS(DESK!$F$2:$F$601,INDEX(DESK!$F$2:$F$601,MATCH(589,DESK!$AR$2:$AR$601,0)),DESK!$L$2:$L$601,1)-1)&amp;" more",""))</f>
        <v/>
      </c>
      <c r="F597" s="28" t="str">
        <f>IF(B597="","",IF(C597="B",INDEX(DESK!$AD$2:$AD$601,MATCH(589,DESK!$AR$2:$AR$601,0)),""))</f>
        <v/>
      </c>
      <c r="G597" s="28" t="str">
        <f>IF(B597="","",INDEX(DESK!$AV$2:$AV$601,MATCH(589,DESK!$AR$2:$AR$601,0)))</f>
        <v/>
      </c>
      <c r="I597" s="21"/>
      <c r="J597" s="20"/>
      <c r="K597" s="20"/>
      <c r="L597" s="20"/>
      <c r="M597" s="23" t="str">
        <f t="shared" si="9"/>
        <v/>
      </c>
    </row>
    <row r="598" spans="1:13" x14ac:dyDescent="0.35">
      <c r="A598" s="28">
        <v>590</v>
      </c>
      <c r="B598" s="43" t="str">
        <f>IF(SETTINGS!$B$22&lt;&gt;"YES","",IFERROR(IF(OR($J$3="Everyone",INDEX(DESK!$AV$2:$AV$601,MATCH(590,DESK!$AR$2:$AR$601,0))="SEND"),"91"&amp;INDEX(DESK!$F$2:$F$601,MATCH(590,DESK!$AR$2:$AR$601,0)),""),""))</f>
        <v/>
      </c>
      <c r="C598" s="28" t="str">
        <f>IF(B598="","",IF(INDEX(DESK!$AC$2:$AC$601,MATCH(590,DESK!$AR$2:$AR$601,0))="YES","A","B"))</f>
        <v/>
      </c>
      <c r="D598" s="28" t="str">
        <f>IF(B598="","",INDEX(DESK!$AQ$2:$AQ$601,MATCH(590,DESK!$AR$2:$AR$601,0)))</f>
        <v/>
      </c>
      <c r="E598" s="28" t="str">
        <f>IF(B598="","",INDEX(DESK!$B$2:$B$601,MATCH(590,DESK!$AR$2:$AR$601,0))&amp;IF(COUNTIFS(DESK!$F$2:$F$601,INDEX(DESK!$F$2:$F$601,MATCH(590,DESK!$AR$2:$AR$601,0)),DESK!$L$2:$L$601,1)&gt;1," and "&amp;(COUNTIFS(DESK!$F$2:$F$601,INDEX(DESK!$F$2:$F$601,MATCH(590,DESK!$AR$2:$AR$601,0)),DESK!$L$2:$L$601,1)-1)&amp;" more",""))</f>
        <v/>
      </c>
      <c r="F598" s="28" t="str">
        <f>IF(B598="","",IF(C598="B",INDEX(DESK!$AD$2:$AD$601,MATCH(590,DESK!$AR$2:$AR$601,0)),""))</f>
        <v/>
      </c>
      <c r="G598" s="28" t="str">
        <f>IF(B598="","",INDEX(DESK!$AV$2:$AV$601,MATCH(590,DESK!$AR$2:$AR$601,0)))</f>
        <v/>
      </c>
      <c r="I598" s="21"/>
      <c r="J598" s="20"/>
      <c r="K598" s="20"/>
      <c r="L598" s="20"/>
      <c r="M598" s="23" t="str">
        <f t="shared" si="9"/>
        <v/>
      </c>
    </row>
    <row r="599" spans="1:13" x14ac:dyDescent="0.35">
      <c r="A599" s="28">
        <v>591</v>
      </c>
      <c r="B599" s="43" t="str">
        <f>IF(SETTINGS!$B$22&lt;&gt;"YES","",IFERROR(IF(OR($J$3="Everyone",INDEX(DESK!$AV$2:$AV$601,MATCH(591,DESK!$AR$2:$AR$601,0))="SEND"),"91"&amp;INDEX(DESK!$F$2:$F$601,MATCH(591,DESK!$AR$2:$AR$601,0)),""),""))</f>
        <v/>
      </c>
      <c r="C599" s="28" t="str">
        <f>IF(B599="","",IF(INDEX(DESK!$AC$2:$AC$601,MATCH(591,DESK!$AR$2:$AR$601,0))="YES","A","B"))</f>
        <v/>
      </c>
      <c r="D599" s="28" t="str">
        <f>IF(B599="","",INDEX(DESK!$AQ$2:$AQ$601,MATCH(591,DESK!$AR$2:$AR$601,0)))</f>
        <v/>
      </c>
      <c r="E599" s="28" t="str">
        <f>IF(B599="","",INDEX(DESK!$B$2:$B$601,MATCH(591,DESK!$AR$2:$AR$601,0))&amp;IF(COUNTIFS(DESK!$F$2:$F$601,INDEX(DESK!$F$2:$F$601,MATCH(591,DESK!$AR$2:$AR$601,0)),DESK!$L$2:$L$601,1)&gt;1," and "&amp;(COUNTIFS(DESK!$F$2:$F$601,INDEX(DESK!$F$2:$F$601,MATCH(591,DESK!$AR$2:$AR$601,0)),DESK!$L$2:$L$601,1)-1)&amp;" more",""))</f>
        <v/>
      </c>
      <c r="F599" s="28" t="str">
        <f>IF(B599="","",IF(C599="B",INDEX(DESK!$AD$2:$AD$601,MATCH(591,DESK!$AR$2:$AR$601,0)),""))</f>
        <v/>
      </c>
      <c r="G599" s="28" t="str">
        <f>IF(B599="","",INDEX(DESK!$AV$2:$AV$601,MATCH(591,DESK!$AR$2:$AR$601,0)))</f>
        <v/>
      </c>
      <c r="I599" s="21"/>
      <c r="J599" s="20"/>
      <c r="K599" s="20"/>
      <c r="L599" s="20"/>
      <c r="M599" s="23" t="str">
        <f t="shared" si="9"/>
        <v/>
      </c>
    </row>
    <row r="600" spans="1:13" x14ac:dyDescent="0.35">
      <c r="A600" s="28">
        <v>592</v>
      </c>
      <c r="B600" s="43" t="str">
        <f>IF(SETTINGS!$B$22&lt;&gt;"YES","",IFERROR(IF(OR($J$3="Everyone",INDEX(DESK!$AV$2:$AV$601,MATCH(592,DESK!$AR$2:$AR$601,0))="SEND"),"91"&amp;INDEX(DESK!$F$2:$F$601,MATCH(592,DESK!$AR$2:$AR$601,0)),""),""))</f>
        <v/>
      </c>
      <c r="C600" s="28" t="str">
        <f>IF(B600="","",IF(INDEX(DESK!$AC$2:$AC$601,MATCH(592,DESK!$AR$2:$AR$601,0))="YES","A","B"))</f>
        <v/>
      </c>
      <c r="D600" s="28" t="str">
        <f>IF(B600="","",INDEX(DESK!$AQ$2:$AQ$601,MATCH(592,DESK!$AR$2:$AR$601,0)))</f>
        <v/>
      </c>
      <c r="E600" s="28" t="str">
        <f>IF(B600="","",INDEX(DESK!$B$2:$B$601,MATCH(592,DESK!$AR$2:$AR$601,0))&amp;IF(COUNTIFS(DESK!$F$2:$F$601,INDEX(DESK!$F$2:$F$601,MATCH(592,DESK!$AR$2:$AR$601,0)),DESK!$L$2:$L$601,1)&gt;1," and "&amp;(COUNTIFS(DESK!$F$2:$F$601,INDEX(DESK!$F$2:$F$601,MATCH(592,DESK!$AR$2:$AR$601,0)),DESK!$L$2:$L$601,1)-1)&amp;" more",""))</f>
        <v/>
      </c>
      <c r="F600" s="28" t="str">
        <f>IF(B600="","",IF(C600="B",INDEX(DESK!$AD$2:$AD$601,MATCH(592,DESK!$AR$2:$AR$601,0)),""))</f>
        <v/>
      </c>
      <c r="G600" s="28" t="str">
        <f>IF(B600="","",INDEX(DESK!$AV$2:$AV$601,MATCH(592,DESK!$AR$2:$AR$601,0)))</f>
        <v/>
      </c>
      <c r="I600" s="21"/>
      <c r="J600" s="20"/>
      <c r="K600" s="20"/>
      <c r="L600" s="20"/>
      <c r="M600" s="23" t="str">
        <f t="shared" si="9"/>
        <v/>
      </c>
    </row>
    <row r="601" spans="1:13" x14ac:dyDescent="0.35">
      <c r="A601" s="28">
        <v>593</v>
      </c>
      <c r="B601" s="43" t="str">
        <f>IF(SETTINGS!$B$22&lt;&gt;"YES","",IFERROR(IF(OR($J$3="Everyone",INDEX(DESK!$AV$2:$AV$601,MATCH(593,DESK!$AR$2:$AR$601,0))="SEND"),"91"&amp;INDEX(DESK!$F$2:$F$601,MATCH(593,DESK!$AR$2:$AR$601,0)),""),""))</f>
        <v/>
      </c>
      <c r="C601" s="28" t="str">
        <f>IF(B601="","",IF(INDEX(DESK!$AC$2:$AC$601,MATCH(593,DESK!$AR$2:$AR$601,0))="YES","A","B"))</f>
        <v/>
      </c>
      <c r="D601" s="28" t="str">
        <f>IF(B601="","",INDEX(DESK!$AQ$2:$AQ$601,MATCH(593,DESK!$AR$2:$AR$601,0)))</f>
        <v/>
      </c>
      <c r="E601" s="28" t="str">
        <f>IF(B601="","",INDEX(DESK!$B$2:$B$601,MATCH(593,DESK!$AR$2:$AR$601,0))&amp;IF(COUNTIFS(DESK!$F$2:$F$601,INDEX(DESK!$F$2:$F$601,MATCH(593,DESK!$AR$2:$AR$601,0)),DESK!$L$2:$L$601,1)&gt;1," and "&amp;(COUNTIFS(DESK!$F$2:$F$601,INDEX(DESK!$F$2:$F$601,MATCH(593,DESK!$AR$2:$AR$601,0)),DESK!$L$2:$L$601,1)-1)&amp;" more",""))</f>
        <v/>
      </c>
      <c r="F601" s="28" t="str">
        <f>IF(B601="","",IF(C601="B",INDEX(DESK!$AD$2:$AD$601,MATCH(593,DESK!$AR$2:$AR$601,0)),""))</f>
        <v/>
      </c>
      <c r="G601" s="28" t="str">
        <f>IF(B601="","",INDEX(DESK!$AV$2:$AV$601,MATCH(593,DESK!$AR$2:$AR$601,0)))</f>
        <v/>
      </c>
      <c r="I601" s="21"/>
      <c r="J601" s="20"/>
      <c r="K601" s="20"/>
      <c r="L601" s="20"/>
      <c r="M601" s="23" t="str">
        <f t="shared" si="9"/>
        <v/>
      </c>
    </row>
    <row r="602" spans="1:13" x14ac:dyDescent="0.35">
      <c r="A602" s="28">
        <v>594</v>
      </c>
      <c r="B602" s="43" t="str">
        <f>IF(SETTINGS!$B$22&lt;&gt;"YES","",IFERROR(IF(OR($J$3="Everyone",INDEX(DESK!$AV$2:$AV$601,MATCH(594,DESK!$AR$2:$AR$601,0))="SEND"),"91"&amp;INDEX(DESK!$F$2:$F$601,MATCH(594,DESK!$AR$2:$AR$601,0)),""),""))</f>
        <v/>
      </c>
      <c r="C602" s="28" t="str">
        <f>IF(B602="","",IF(INDEX(DESK!$AC$2:$AC$601,MATCH(594,DESK!$AR$2:$AR$601,0))="YES","A","B"))</f>
        <v/>
      </c>
      <c r="D602" s="28" t="str">
        <f>IF(B602="","",INDEX(DESK!$AQ$2:$AQ$601,MATCH(594,DESK!$AR$2:$AR$601,0)))</f>
        <v/>
      </c>
      <c r="E602" s="28" t="str">
        <f>IF(B602="","",INDEX(DESK!$B$2:$B$601,MATCH(594,DESK!$AR$2:$AR$601,0))&amp;IF(COUNTIFS(DESK!$F$2:$F$601,INDEX(DESK!$F$2:$F$601,MATCH(594,DESK!$AR$2:$AR$601,0)),DESK!$L$2:$L$601,1)&gt;1," and "&amp;(COUNTIFS(DESK!$F$2:$F$601,INDEX(DESK!$F$2:$F$601,MATCH(594,DESK!$AR$2:$AR$601,0)),DESK!$L$2:$L$601,1)-1)&amp;" more",""))</f>
        <v/>
      </c>
      <c r="F602" s="28" t="str">
        <f>IF(B602="","",IF(C602="B",INDEX(DESK!$AD$2:$AD$601,MATCH(594,DESK!$AR$2:$AR$601,0)),""))</f>
        <v/>
      </c>
      <c r="G602" s="28" t="str">
        <f>IF(B602="","",INDEX(DESK!$AV$2:$AV$601,MATCH(594,DESK!$AR$2:$AR$601,0)))</f>
        <v/>
      </c>
      <c r="I602" s="21"/>
      <c r="J602" s="20"/>
      <c r="K602" s="20"/>
      <c r="L602" s="20"/>
      <c r="M602" s="23" t="str">
        <f t="shared" si="9"/>
        <v/>
      </c>
    </row>
    <row r="603" spans="1:13" x14ac:dyDescent="0.35">
      <c r="A603" s="28">
        <v>595</v>
      </c>
      <c r="B603" s="43" t="str">
        <f>IF(SETTINGS!$B$22&lt;&gt;"YES","",IFERROR(IF(OR($J$3="Everyone",INDEX(DESK!$AV$2:$AV$601,MATCH(595,DESK!$AR$2:$AR$601,0))="SEND"),"91"&amp;INDEX(DESK!$F$2:$F$601,MATCH(595,DESK!$AR$2:$AR$601,0)),""),""))</f>
        <v/>
      </c>
      <c r="C603" s="28" t="str">
        <f>IF(B603="","",IF(INDEX(DESK!$AC$2:$AC$601,MATCH(595,DESK!$AR$2:$AR$601,0))="YES","A","B"))</f>
        <v/>
      </c>
      <c r="D603" s="28" t="str">
        <f>IF(B603="","",INDEX(DESK!$AQ$2:$AQ$601,MATCH(595,DESK!$AR$2:$AR$601,0)))</f>
        <v/>
      </c>
      <c r="E603" s="28" t="str">
        <f>IF(B603="","",INDEX(DESK!$B$2:$B$601,MATCH(595,DESK!$AR$2:$AR$601,0))&amp;IF(COUNTIFS(DESK!$F$2:$F$601,INDEX(DESK!$F$2:$F$601,MATCH(595,DESK!$AR$2:$AR$601,0)),DESK!$L$2:$L$601,1)&gt;1," and "&amp;(COUNTIFS(DESK!$F$2:$F$601,INDEX(DESK!$F$2:$F$601,MATCH(595,DESK!$AR$2:$AR$601,0)),DESK!$L$2:$L$601,1)-1)&amp;" more",""))</f>
        <v/>
      </c>
      <c r="F603" s="28" t="str">
        <f>IF(B603="","",IF(C603="B",INDEX(DESK!$AD$2:$AD$601,MATCH(595,DESK!$AR$2:$AR$601,0)),""))</f>
        <v/>
      </c>
      <c r="G603" s="28" t="str">
        <f>IF(B603="","",INDEX(DESK!$AV$2:$AV$601,MATCH(595,DESK!$AR$2:$AR$601,0)))</f>
        <v/>
      </c>
      <c r="I603" s="21"/>
      <c r="J603" s="20"/>
      <c r="K603" s="20"/>
      <c r="L603" s="20"/>
      <c r="M603" s="23" t="str">
        <f t="shared" si="9"/>
        <v/>
      </c>
    </row>
    <row r="604" spans="1:13" x14ac:dyDescent="0.35">
      <c r="A604" s="28">
        <v>596</v>
      </c>
      <c r="B604" s="43" t="str">
        <f>IF(SETTINGS!$B$22&lt;&gt;"YES","",IFERROR(IF(OR($J$3="Everyone",INDEX(DESK!$AV$2:$AV$601,MATCH(596,DESK!$AR$2:$AR$601,0))="SEND"),"91"&amp;INDEX(DESK!$F$2:$F$601,MATCH(596,DESK!$AR$2:$AR$601,0)),""),""))</f>
        <v/>
      </c>
      <c r="C604" s="28" t="str">
        <f>IF(B604="","",IF(INDEX(DESK!$AC$2:$AC$601,MATCH(596,DESK!$AR$2:$AR$601,0))="YES","A","B"))</f>
        <v/>
      </c>
      <c r="D604" s="28" t="str">
        <f>IF(B604="","",INDEX(DESK!$AQ$2:$AQ$601,MATCH(596,DESK!$AR$2:$AR$601,0)))</f>
        <v/>
      </c>
      <c r="E604" s="28" t="str">
        <f>IF(B604="","",INDEX(DESK!$B$2:$B$601,MATCH(596,DESK!$AR$2:$AR$601,0))&amp;IF(COUNTIFS(DESK!$F$2:$F$601,INDEX(DESK!$F$2:$F$601,MATCH(596,DESK!$AR$2:$AR$601,0)),DESK!$L$2:$L$601,1)&gt;1," and "&amp;(COUNTIFS(DESK!$F$2:$F$601,INDEX(DESK!$F$2:$F$601,MATCH(596,DESK!$AR$2:$AR$601,0)),DESK!$L$2:$L$601,1)-1)&amp;" more",""))</f>
        <v/>
      </c>
      <c r="F604" s="28" t="str">
        <f>IF(B604="","",IF(C604="B",INDEX(DESK!$AD$2:$AD$601,MATCH(596,DESK!$AR$2:$AR$601,0)),""))</f>
        <v/>
      </c>
      <c r="G604" s="28" t="str">
        <f>IF(B604="","",INDEX(DESK!$AV$2:$AV$601,MATCH(596,DESK!$AR$2:$AR$601,0)))</f>
        <v/>
      </c>
      <c r="I604" s="21"/>
      <c r="J604" s="20"/>
      <c r="K604" s="20"/>
      <c r="L604" s="20"/>
      <c r="M604" s="23" t="str">
        <f t="shared" si="9"/>
        <v/>
      </c>
    </row>
    <row r="605" spans="1:13" x14ac:dyDescent="0.35">
      <c r="A605" s="28">
        <v>597</v>
      </c>
      <c r="B605" s="43" t="str">
        <f>IF(SETTINGS!$B$22&lt;&gt;"YES","",IFERROR(IF(OR($J$3="Everyone",INDEX(DESK!$AV$2:$AV$601,MATCH(597,DESK!$AR$2:$AR$601,0))="SEND"),"91"&amp;INDEX(DESK!$F$2:$F$601,MATCH(597,DESK!$AR$2:$AR$601,0)),""),""))</f>
        <v/>
      </c>
      <c r="C605" s="28" t="str">
        <f>IF(B605="","",IF(INDEX(DESK!$AC$2:$AC$601,MATCH(597,DESK!$AR$2:$AR$601,0))="YES","A","B"))</f>
        <v/>
      </c>
      <c r="D605" s="28" t="str">
        <f>IF(B605="","",INDEX(DESK!$AQ$2:$AQ$601,MATCH(597,DESK!$AR$2:$AR$601,0)))</f>
        <v/>
      </c>
      <c r="E605" s="28" t="str">
        <f>IF(B605="","",INDEX(DESK!$B$2:$B$601,MATCH(597,DESK!$AR$2:$AR$601,0))&amp;IF(COUNTIFS(DESK!$F$2:$F$601,INDEX(DESK!$F$2:$F$601,MATCH(597,DESK!$AR$2:$AR$601,0)),DESK!$L$2:$L$601,1)&gt;1," and "&amp;(COUNTIFS(DESK!$F$2:$F$601,INDEX(DESK!$F$2:$F$601,MATCH(597,DESK!$AR$2:$AR$601,0)),DESK!$L$2:$L$601,1)-1)&amp;" more",""))</f>
        <v/>
      </c>
      <c r="F605" s="28" t="str">
        <f>IF(B605="","",IF(C605="B",INDEX(DESK!$AD$2:$AD$601,MATCH(597,DESK!$AR$2:$AR$601,0)),""))</f>
        <v/>
      </c>
      <c r="G605" s="28" t="str">
        <f>IF(B605="","",INDEX(DESK!$AV$2:$AV$601,MATCH(597,DESK!$AR$2:$AR$601,0)))</f>
        <v/>
      </c>
      <c r="I605" s="21"/>
      <c r="J605" s="20"/>
      <c r="K605" s="20"/>
      <c r="L605" s="20"/>
      <c r="M605" s="23" t="str">
        <f t="shared" si="9"/>
        <v/>
      </c>
    </row>
    <row r="606" spans="1:13" x14ac:dyDescent="0.35">
      <c r="A606" s="28">
        <v>598</v>
      </c>
      <c r="B606" s="43" t="str">
        <f>IF(SETTINGS!$B$22&lt;&gt;"YES","",IFERROR(IF(OR($J$3="Everyone",INDEX(DESK!$AV$2:$AV$601,MATCH(598,DESK!$AR$2:$AR$601,0))="SEND"),"91"&amp;INDEX(DESK!$F$2:$F$601,MATCH(598,DESK!$AR$2:$AR$601,0)),""),""))</f>
        <v/>
      </c>
      <c r="C606" s="28" t="str">
        <f>IF(B606="","",IF(INDEX(DESK!$AC$2:$AC$601,MATCH(598,DESK!$AR$2:$AR$601,0))="YES","A","B"))</f>
        <v/>
      </c>
      <c r="D606" s="28" t="str">
        <f>IF(B606="","",INDEX(DESK!$AQ$2:$AQ$601,MATCH(598,DESK!$AR$2:$AR$601,0)))</f>
        <v/>
      </c>
      <c r="E606" s="28" t="str">
        <f>IF(B606="","",INDEX(DESK!$B$2:$B$601,MATCH(598,DESK!$AR$2:$AR$601,0))&amp;IF(COUNTIFS(DESK!$F$2:$F$601,INDEX(DESK!$F$2:$F$601,MATCH(598,DESK!$AR$2:$AR$601,0)),DESK!$L$2:$L$601,1)&gt;1," and "&amp;(COUNTIFS(DESK!$F$2:$F$601,INDEX(DESK!$F$2:$F$601,MATCH(598,DESK!$AR$2:$AR$601,0)),DESK!$L$2:$L$601,1)-1)&amp;" more",""))</f>
        <v/>
      </c>
      <c r="F606" s="28" t="str">
        <f>IF(B606="","",IF(C606="B",INDEX(DESK!$AD$2:$AD$601,MATCH(598,DESK!$AR$2:$AR$601,0)),""))</f>
        <v/>
      </c>
      <c r="G606" s="28" t="str">
        <f>IF(B606="","",INDEX(DESK!$AV$2:$AV$601,MATCH(598,DESK!$AR$2:$AR$601,0)))</f>
        <v/>
      </c>
      <c r="I606" s="21"/>
      <c r="J606" s="20"/>
      <c r="K606" s="20"/>
      <c r="L606" s="20"/>
      <c r="M606" s="23" t="str">
        <f t="shared" si="9"/>
        <v/>
      </c>
    </row>
    <row r="607" spans="1:13" x14ac:dyDescent="0.35">
      <c r="A607" s="28">
        <v>599</v>
      </c>
      <c r="B607" s="43" t="str">
        <f>IF(SETTINGS!$B$22&lt;&gt;"YES","",IFERROR(IF(OR($J$3="Everyone",INDEX(DESK!$AV$2:$AV$601,MATCH(599,DESK!$AR$2:$AR$601,0))="SEND"),"91"&amp;INDEX(DESK!$F$2:$F$601,MATCH(599,DESK!$AR$2:$AR$601,0)),""),""))</f>
        <v/>
      </c>
      <c r="C607" s="28" t="str">
        <f>IF(B607="","",IF(INDEX(DESK!$AC$2:$AC$601,MATCH(599,DESK!$AR$2:$AR$601,0))="YES","A","B"))</f>
        <v/>
      </c>
      <c r="D607" s="28" t="str">
        <f>IF(B607="","",INDEX(DESK!$AQ$2:$AQ$601,MATCH(599,DESK!$AR$2:$AR$601,0)))</f>
        <v/>
      </c>
      <c r="E607" s="28" t="str">
        <f>IF(B607="","",INDEX(DESK!$B$2:$B$601,MATCH(599,DESK!$AR$2:$AR$601,0))&amp;IF(COUNTIFS(DESK!$F$2:$F$601,INDEX(DESK!$F$2:$F$601,MATCH(599,DESK!$AR$2:$AR$601,0)),DESK!$L$2:$L$601,1)&gt;1," and "&amp;(COUNTIFS(DESK!$F$2:$F$601,INDEX(DESK!$F$2:$F$601,MATCH(599,DESK!$AR$2:$AR$601,0)),DESK!$L$2:$L$601,1)-1)&amp;" more",""))</f>
        <v/>
      </c>
      <c r="F607" s="28" t="str">
        <f>IF(B607="","",IF(C607="B",INDEX(DESK!$AD$2:$AD$601,MATCH(599,DESK!$AR$2:$AR$601,0)),""))</f>
        <v/>
      </c>
      <c r="G607" s="28" t="str">
        <f>IF(B607="","",INDEX(DESK!$AV$2:$AV$601,MATCH(599,DESK!$AR$2:$AR$601,0)))</f>
        <v/>
      </c>
      <c r="I607" s="21"/>
      <c r="J607" s="20"/>
      <c r="K607" s="20"/>
      <c r="L607" s="20"/>
      <c r="M607" s="23" t="str">
        <f t="shared" si="9"/>
        <v/>
      </c>
    </row>
    <row r="608" spans="1:13" x14ac:dyDescent="0.35">
      <c r="A608" s="28">
        <v>600</v>
      </c>
      <c r="B608" s="43" t="str">
        <f>IF(SETTINGS!$B$22&lt;&gt;"YES","",IFERROR(IF(OR($J$3="Everyone",INDEX(DESK!$AV$2:$AV$601,MATCH(600,DESK!$AR$2:$AR$601,0))="SEND"),"91"&amp;INDEX(DESK!$F$2:$F$601,MATCH(600,DESK!$AR$2:$AR$601,0)),""),""))</f>
        <v/>
      </c>
      <c r="C608" s="28" t="str">
        <f>IF(B608="","",IF(INDEX(DESK!$AC$2:$AC$601,MATCH(600,DESK!$AR$2:$AR$601,0))="YES","A","B"))</f>
        <v/>
      </c>
      <c r="D608" s="28" t="str">
        <f>IF(B608="","",INDEX(DESK!$AQ$2:$AQ$601,MATCH(600,DESK!$AR$2:$AR$601,0)))</f>
        <v/>
      </c>
      <c r="E608" s="28" t="str">
        <f>IF(B608="","",INDEX(DESK!$B$2:$B$601,MATCH(600,DESK!$AR$2:$AR$601,0))&amp;IF(COUNTIFS(DESK!$F$2:$F$601,INDEX(DESK!$F$2:$F$601,MATCH(600,DESK!$AR$2:$AR$601,0)),DESK!$L$2:$L$601,1)&gt;1," and "&amp;(COUNTIFS(DESK!$F$2:$F$601,INDEX(DESK!$F$2:$F$601,MATCH(600,DESK!$AR$2:$AR$601,0)),DESK!$L$2:$L$601,1)-1)&amp;" more",""))</f>
        <v/>
      </c>
      <c r="F608" s="28" t="str">
        <f>IF(B608="","",IF(C608="B",INDEX(DESK!$AD$2:$AD$601,MATCH(600,DESK!$AR$2:$AR$601,0)),""))</f>
        <v/>
      </c>
      <c r="G608" s="28" t="str">
        <f>IF(B608="","",INDEX(DESK!$AV$2:$AV$601,MATCH(600,DESK!$AR$2:$AR$601,0)))</f>
        <v/>
      </c>
      <c r="I608" s="21"/>
      <c r="J608" s="20"/>
      <c r="K608" s="20"/>
      <c r="L608" s="20"/>
      <c r="M608" s="23" t="str">
        <f t="shared" si="9"/>
        <v/>
      </c>
    </row>
    <row r="609" spans="9:13" x14ac:dyDescent="0.35">
      <c r="I609" s="21"/>
      <c r="J609" s="20"/>
      <c r="K609" s="20"/>
      <c r="L609" s="20"/>
      <c r="M609" s="23" t="str">
        <f t="shared" si="9"/>
        <v/>
      </c>
    </row>
    <row r="610" spans="9:13" x14ac:dyDescent="0.35">
      <c r="I610" s="21"/>
      <c r="J610" s="20"/>
      <c r="K610" s="20"/>
      <c r="L610" s="20"/>
      <c r="M610" s="23" t="str">
        <f t="shared" si="9"/>
        <v/>
      </c>
    </row>
    <row r="611" spans="9:13" x14ac:dyDescent="0.35">
      <c r="I611" s="21"/>
      <c r="J611" s="20"/>
      <c r="K611" s="20"/>
      <c r="L611" s="20"/>
      <c r="M611" s="23" t="str">
        <f t="shared" si="9"/>
        <v/>
      </c>
    </row>
    <row r="612" spans="9:13" x14ac:dyDescent="0.35">
      <c r="I612" s="21"/>
      <c r="J612" s="20"/>
      <c r="K612" s="20"/>
      <c r="L612" s="20"/>
      <c r="M612" s="23" t="str">
        <f t="shared" si="9"/>
        <v/>
      </c>
    </row>
    <row r="613" spans="9:13" x14ac:dyDescent="0.35">
      <c r="I613" s="21"/>
      <c r="J613" s="20"/>
      <c r="K613" s="20"/>
      <c r="L613" s="20"/>
      <c r="M613" s="23" t="str">
        <f t="shared" si="9"/>
        <v/>
      </c>
    </row>
    <row r="614" spans="9:13" x14ac:dyDescent="0.35">
      <c r="I614" s="21"/>
      <c r="J614" s="20"/>
      <c r="K614" s="20"/>
      <c r="L614" s="20"/>
      <c r="M614" s="23" t="str">
        <f t="shared" si="9"/>
        <v/>
      </c>
    </row>
    <row r="615" spans="9:13" x14ac:dyDescent="0.35">
      <c r="I615" s="21"/>
      <c r="J615" s="20"/>
      <c r="K615" s="20"/>
      <c r="L615" s="20"/>
      <c r="M615" s="23" t="str">
        <f t="shared" si="9"/>
        <v/>
      </c>
    </row>
    <row r="616" spans="9:13" x14ac:dyDescent="0.35">
      <c r="I616" s="21"/>
      <c r="J616" s="20"/>
      <c r="K616" s="20"/>
      <c r="L616" s="20"/>
      <c r="M616" s="23" t="str">
        <f t="shared" si="9"/>
        <v/>
      </c>
    </row>
    <row r="617" spans="9:13" x14ac:dyDescent="0.35">
      <c r="I617" s="21"/>
      <c r="J617" s="20"/>
      <c r="K617" s="20"/>
      <c r="L617" s="20"/>
      <c r="M617" s="23" t="str">
        <f t="shared" si="9"/>
        <v/>
      </c>
    </row>
    <row r="618" spans="9:13" x14ac:dyDescent="0.35">
      <c r="I618" s="21"/>
      <c r="J618" s="20"/>
      <c r="K618" s="20"/>
      <c r="L618" s="20"/>
      <c r="M618" s="23" t="str">
        <f t="shared" si="9"/>
        <v/>
      </c>
    </row>
    <row r="619" spans="9:13" x14ac:dyDescent="0.35">
      <c r="I619" s="21"/>
      <c r="J619" s="20"/>
      <c r="K619" s="20"/>
      <c r="L619" s="20"/>
      <c r="M619" s="23" t="str">
        <f t="shared" si="9"/>
        <v/>
      </c>
    </row>
    <row r="620" spans="9:13" x14ac:dyDescent="0.35">
      <c r="I620" s="21"/>
      <c r="J620" s="20"/>
      <c r="K620" s="20"/>
      <c r="L620" s="20"/>
      <c r="M620" s="23" t="str">
        <f t="shared" si="9"/>
        <v/>
      </c>
    </row>
    <row r="621" spans="9:13" x14ac:dyDescent="0.35">
      <c r="I621" s="21"/>
      <c r="J621" s="20"/>
      <c r="K621" s="20"/>
      <c r="L621" s="20"/>
      <c r="M621" s="23" t="str">
        <f t="shared" si="9"/>
        <v/>
      </c>
    </row>
    <row r="622" spans="9:13" x14ac:dyDescent="0.35">
      <c r="I622" s="21"/>
      <c r="J622" s="20"/>
      <c r="K622" s="20"/>
      <c r="L622" s="20"/>
      <c r="M622" s="23" t="str">
        <f t="shared" si="9"/>
        <v/>
      </c>
    </row>
    <row r="623" spans="9:13" x14ac:dyDescent="0.35">
      <c r="I623" s="21"/>
      <c r="J623" s="20"/>
      <c r="K623" s="20"/>
      <c r="L623" s="20"/>
      <c r="M623" s="23" t="str">
        <f t="shared" si="9"/>
        <v/>
      </c>
    </row>
    <row r="624" spans="9:13" x14ac:dyDescent="0.35">
      <c r="I624" s="21"/>
      <c r="J624" s="20"/>
      <c r="K624" s="20"/>
      <c r="L624" s="20"/>
      <c r="M624" s="23" t="str">
        <f t="shared" si="9"/>
        <v/>
      </c>
    </row>
    <row r="625" spans="9:13" x14ac:dyDescent="0.35">
      <c r="I625" s="21"/>
      <c r="J625" s="20"/>
      <c r="K625" s="20"/>
      <c r="L625" s="20"/>
      <c r="M625" s="23" t="str">
        <f t="shared" si="9"/>
        <v/>
      </c>
    </row>
    <row r="626" spans="9:13" x14ac:dyDescent="0.35">
      <c r="I626" s="21"/>
      <c r="J626" s="20"/>
      <c r="K626" s="20"/>
      <c r="L626" s="20"/>
      <c r="M626" s="23" t="str">
        <f t="shared" si="9"/>
        <v/>
      </c>
    </row>
    <row r="627" spans="9:13" x14ac:dyDescent="0.35">
      <c r="I627" s="21"/>
      <c r="J627" s="20"/>
      <c r="K627" s="20"/>
      <c r="L627" s="20"/>
      <c r="M627" s="23" t="str">
        <f t="shared" si="9"/>
        <v/>
      </c>
    </row>
    <row r="628" spans="9:13" x14ac:dyDescent="0.35">
      <c r="I628" s="21"/>
      <c r="J628" s="20"/>
      <c r="K628" s="20"/>
      <c r="L628" s="20"/>
      <c r="M628" s="23" t="str">
        <f t="shared" si="9"/>
        <v/>
      </c>
    </row>
    <row r="629" spans="9:13" x14ac:dyDescent="0.35">
      <c r="I629" s="21"/>
      <c r="J629" s="20"/>
      <c r="K629" s="20"/>
      <c r="L629" s="20"/>
      <c r="M629" s="23" t="str">
        <f t="shared" si="9"/>
        <v/>
      </c>
    </row>
    <row r="630" spans="9:13" x14ac:dyDescent="0.35">
      <c r="I630" s="21"/>
      <c r="J630" s="20"/>
      <c r="K630" s="20"/>
      <c r="L630" s="20"/>
      <c r="M630" s="23" t="str">
        <f t="shared" si="9"/>
        <v/>
      </c>
    </row>
    <row r="631" spans="9:13" x14ac:dyDescent="0.35">
      <c r="I631" s="21"/>
      <c r="J631" s="20"/>
      <c r="K631" s="20"/>
      <c r="L631" s="20"/>
      <c r="M631" s="23" t="str">
        <f t="shared" si="9"/>
        <v/>
      </c>
    </row>
    <row r="632" spans="9:13" x14ac:dyDescent="0.35">
      <c r="I632" s="21"/>
      <c r="J632" s="20"/>
      <c r="K632" s="20"/>
      <c r="L632" s="20"/>
      <c r="M632" s="23" t="str">
        <f t="shared" si="9"/>
        <v/>
      </c>
    </row>
    <row r="633" spans="9:13" x14ac:dyDescent="0.35">
      <c r="I633" s="21"/>
      <c r="J633" s="20"/>
      <c r="K633" s="20"/>
      <c r="L633" s="20"/>
      <c r="M633" s="23" t="str">
        <f t="shared" si="9"/>
        <v/>
      </c>
    </row>
    <row r="634" spans="9:13" x14ac:dyDescent="0.35">
      <c r="I634" s="21"/>
      <c r="J634" s="20"/>
      <c r="K634" s="20"/>
      <c r="L634" s="20"/>
      <c r="M634" s="23" t="str">
        <f t="shared" si="9"/>
        <v/>
      </c>
    </row>
    <row r="635" spans="9:13" x14ac:dyDescent="0.35">
      <c r="I635" s="21"/>
      <c r="J635" s="20"/>
      <c r="K635" s="20"/>
      <c r="L635" s="20"/>
      <c r="M635" s="23" t="str">
        <f t="shared" si="9"/>
        <v/>
      </c>
    </row>
    <row r="636" spans="9:13" x14ac:dyDescent="0.35">
      <c r="I636" s="21"/>
      <c r="J636" s="20"/>
      <c r="K636" s="20"/>
      <c r="L636" s="20"/>
      <c r="M636" s="23" t="str">
        <f t="shared" si="9"/>
        <v/>
      </c>
    </row>
    <row r="637" spans="9:13" x14ac:dyDescent="0.35">
      <c r="I637" s="21"/>
      <c r="J637" s="20"/>
      <c r="K637" s="20"/>
      <c r="L637" s="20"/>
      <c r="M637" s="23" t="str">
        <f t="shared" si="9"/>
        <v/>
      </c>
    </row>
    <row r="638" spans="9:13" x14ac:dyDescent="0.35">
      <c r="I638" s="21"/>
      <c r="J638" s="20"/>
      <c r="K638" s="20"/>
      <c r="L638" s="20"/>
      <c r="M638" s="23" t="str">
        <f t="shared" si="9"/>
        <v/>
      </c>
    </row>
    <row r="639" spans="9:13" x14ac:dyDescent="0.35">
      <c r="I639" s="21"/>
      <c r="J639" s="20"/>
      <c r="K639" s="20"/>
      <c r="L639" s="20"/>
      <c r="M639" s="23" t="str">
        <f t="shared" si="9"/>
        <v/>
      </c>
    </row>
    <row r="640" spans="9:13" x14ac:dyDescent="0.35">
      <c r="I640" s="21"/>
      <c r="J640" s="20"/>
      <c r="K640" s="20"/>
      <c r="L640" s="20"/>
      <c r="M640" s="23" t="str">
        <f t="shared" si="9"/>
        <v/>
      </c>
    </row>
    <row r="641" spans="9:13" x14ac:dyDescent="0.35">
      <c r="I641" s="21"/>
      <c r="J641" s="20"/>
      <c r="K641" s="20"/>
      <c r="L641" s="20"/>
      <c r="M641" s="23" t="str">
        <f t="shared" si="9"/>
        <v/>
      </c>
    </row>
    <row r="642" spans="9:13" x14ac:dyDescent="0.35">
      <c r="I642" s="21"/>
      <c r="J642" s="20"/>
      <c r="K642" s="20"/>
      <c r="L642" s="20"/>
      <c r="M642" s="23" t="str">
        <f t="shared" si="9"/>
        <v/>
      </c>
    </row>
    <row r="643" spans="9:13" x14ac:dyDescent="0.35">
      <c r="I643" s="21"/>
      <c r="J643" s="20"/>
      <c r="K643" s="20"/>
      <c r="L643" s="20"/>
      <c r="M643" s="23" t="str">
        <f t="shared" si="9"/>
        <v/>
      </c>
    </row>
    <row r="644" spans="9:13" x14ac:dyDescent="0.35">
      <c r="I644" s="21"/>
      <c r="J644" s="20"/>
      <c r="K644" s="20"/>
      <c r="L644" s="20"/>
      <c r="M644" s="23" t="str">
        <f t="shared" si="9"/>
        <v/>
      </c>
    </row>
    <row r="645" spans="9:13" x14ac:dyDescent="0.35">
      <c r="I645" s="21"/>
      <c r="J645" s="20"/>
      <c r="K645" s="20"/>
      <c r="L645" s="20"/>
      <c r="M645" s="23" t="str">
        <f t="shared" si="9"/>
        <v/>
      </c>
    </row>
    <row r="646" spans="9:13" x14ac:dyDescent="0.35">
      <c r="I646" s="21"/>
      <c r="J646" s="20"/>
      <c r="K646" s="20"/>
      <c r="L646" s="20"/>
      <c r="M646" s="23" t="str">
        <f t="shared" si="9"/>
        <v/>
      </c>
    </row>
    <row r="647" spans="9:13" x14ac:dyDescent="0.35">
      <c r="I647" s="21"/>
      <c r="J647" s="20"/>
      <c r="K647" s="20"/>
      <c r="L647" s="20"/>
      <c r="M647" s="23" t="str">
        <f t="shared" si="9"/>
        <v/>
      </c>
    </row>
    <row r="648" spans="9:13" x14ac:dyDescent="0.35">
      <c r="I648" s="21"/>
      <c r="J648" s="20"/>
      <c r="K648" s="20"/>
      <c r="L648" s="20"/>
      <c r="M648" s="23" t="str">
        <f t="shared" si="9"/>
        <v/>
      </c>
    </row>
    <row r="649" spans="9:13" x14ac:dyDescent="0.35">
      <c r="I649" s="21"/>
      <c r="J649" s="20"/>
      <c r="K649" s="20"/>
      <c r="L649" s="20"/>
      <c r="M649" s="23" t="str">
        <f t="shared" ref="M649:M712" si="10">IF(I649="","",RIGHT(SUBSTITUTE(SUBSTITUTE(I649&amp;""," ",""),"+",""),10))</f>
        <v/>
      </c>
    </row>
    <row r="650" spans="9:13" x14ac:dyDescent="0.35">
      <c r="I650" s="21"/>
      <c r="J650" s="20"/>
      <c r="K650" s="20"/>
      <c r="L650" s="20"/>
      <c r="M650" s="23" t="str">
        <f t="shared" si="10"/>
        <v/>
      </c>
    </row>
    <row r="651" spans="9:13" x14ac:dyDescent="0.35">
      <c r="I651" s="21"/>
      <c r="J651" s="20"/>
      <c r="K651" s="20"/>
      <c r="L651" s="20"/>
      <c r="M651" s="23" t="str">
        <f t="shared" si="10"/>
        <v/>
      </c>
    </row>
    <row r="652" spans="9:13" x14ac:dyDescent="0.35">
      <c r="I652" s="21"/>
      <c r="J652" s="20"/>
      <c r="K652" s="20"/>
      <c r="L652" s="20"/>
      <c r="M652" s="23" t="str">
        <f t="shared" si="10"/>
        <v/>
      </c>
    </row>
    <row r="653" spans="9:13" x14ac:dyDescent="0.35">
      <c r="I653" s="21"/>
      <c r="J653" s="20"/>
      <c r="K653" s="20"/>
      <c r="L653" s="20"/>
      <c r="M653" s="23" t="str">
        <f t="shared" si="10"/>
        <v/>
      </c>
    </row>
    <row r="654" spans="9:13" x14ac:dyDescent="0.35">
      <c r="I654" s="21"/>
      <c r="J654" s="20"/>
      <c r="K654" s="20"/>
      <c r="L654" s="20"/>
      <c r="M654" s="23" t="str">
        <f t="shared" si="10"/>
        <v/>
      </c>
    </row>
    <row r="655" spans="9:13" x14ac:dyDescent="0.35">
      <c r="I655" s="21"/>
      <c r="J655" s="20"/>
      <c r="K655" s="20"/>
      <c r="L655" s="20"/>
      <c r="M655" s="23" t="str">
        <f t="shared" si="10"/>
        <v/>
      </c>
    </row>
    <row r="656" spans="9:13" x14ac:dyDescent="0.35">
      <c r="I656" s="21"/>
      <c r="J656" s="20"/>
      <c r="K656" s="20"/>
      <c r="L656" s="20"/>
      <c r="M656" s="23" t="str">
        <f t="shared" si="10"/>
        <v/>
      </c>
    </row>
    <row r="657" spans="9:13" x14ac:dyDescent="0.35">
      <c r="I657" s="21"/>
      <c r="J657" s="20"/>
      <c r="K657" s="20"/>
      <c r="L657" s="20"/>
      <c r="M657" s="23" t="str">
        <f t="shared" si="10"/>
        <v/>
      </c>
    </row>
    <row r="658" spans="9:13" x14ac:dyDescent="0.35">
      <c r="I658" s="21"/>
      <c r="J658" s="20"/>
      <c r="K658" s="20"/>
      <c r="L658" s="20"/>
      <c r="M658" s="23" t="str">
        <f t="shared" si="10"/>
        <v/>
      </c>
    </row>
    <row r="659" spans="9:13" x14ac:dyDescent="0.35">
      <c r="I659" s="21"/>
      <c r="J659" s="20"/>
      <c r="K659" s="20"/>
      <c r="L659" s="20"/>
      <c r="M659" s="23" t="str">
        <f t="shared" si="10"/>
        <v/>
      </c>
    </row>
    <row r="660" spans="9:13" x14ac:dyDescent="0.35">
      <c r="I660" s="21"/>
      <c r="J660" s="20"/>
      <c r="K660" s="20"/>
      <c r="L660" s="20"/>
      <c r="M660" s="23" t="str">
        <f t="shared" si="10"/>
        <v/>
      </c>
    </row>
    <row r="661" spans="9:13" x14ac:dyDescent="0.35">
      <c r="I661" s="21"/>
      <c r="J661" s="20"/>
      <c r="K661" s="20"/>
      <c r="L661" s="20"/>
      <c r="M661" s="23" t="str">
        <f t="shared" si="10"/>
        <v/>
      </c>
    </row>
    <row r="662" spans="9:13" x14ac:dyDescent="0.35">
      <c r="I662" s="21"/>
      <c r="J662" s="20"/>
      <c r="K662" s="20"/>
      <c r="L662" s="20"/>
      <c r="M662" s="23" t="str">
        <f t="shared" si="10"/>
        <v/>
      </c>
    </row>
    <row r="663" spans="9:13" x14ac:dyDescent="0.35">
      <c r="I663" s="21"/>
      <c r="J663" s="20"/>
      <c r="K663" s="20"/>
      <c r="L663" s="20"/>
      <c r="M663" s="23" t="str">
        <f t="shared" si="10"/>
        <v/>
      </c>
    </row>
    <row r="664" spans="9:13" x14ac:dyDescent="0.35">
      <c r="I664" s="21"/>
      <c r="J664" s="20"/>
      <c r="K664" s="20"/>
      <c r="L664" s="20"/>
      <c r="M664" s="23" t="str">
        <f t="shared" si="10"/>
        <v/>
      </c>
    </row>
    <row r="665" spans="9:13" x14ac:dyDescent="0.35">
      <c r="I665" s="21"/>
      <c r="J665" s="20"/>
      <c r="K665" s="20"/>
      <c r="L665" s="20"/>
      <c r="M665" s="23" t="str">
        <f t="shared" si="10"/>
        <v/>
      </c>
    </row>
    <row r="666" spans="9:13" x14ac:dyDescent="0.35">
      <c r="I666" s="21"/>
      <c r="J666" s="20"/>
      <c r="K666" s="20"/>
      <c r="L666" s="20"/>
      <c r="M666" s="23" t="str">
        <f t="shared" si="10"/>
        <v/>
      </c>
    </row>
    <row r="667" spans="9:13" x14ac:dyDescent="0.35">
      <c r="I667" s="21"/>
      <c r="J667" s="20"/>
      <c r="K667" s="20"/>
      <c r="L667" s="20"/>
      <c r="M667" s="23" t="str">
        <f t="shared" si="10"/>
        <v/>
      </c>
    </row>
    <row r="668" spans="9:13" x14ac:dyDescent="0.35">
      <c r="I668" s="21"/>
      <c r="J668" s="20"/>
      <c r="K668" s="20"/>
      <c r="L668" s="20"/>
      <c r="M668" s="23" t="str">
        <f t="shared" si="10"/>
        <v/>
      </c>
    </row>
    <row r="669" spans="9:13" x14ac:dyDescent="0.35">
      <c r="I669" s="21"/>
      <c r="J669" s="20"/>
      <c r="K669" s="20"/>
      <c r="L669" s="20"/>
      <c r="M669" s="23" t="str">
        <f t="shared" si="10"/>
        <v/>
      </c>
    </row>
    <row r="670" spans="9:13" x14ac:dyDescent="0.35">
      <c r="I670" s="21"/>
      <c r="J670" s="20"/>
      <c r="K670" s="20"/>
      <c r="L670" s="20"/>
      <c r="M670" s="23" t="str">
        <f t="shared" si="10"/>
        <v/>
      </c>
    </row>
    <row r="671" spans="9:13" x14ac:dyDescent="0.35">
      <c r="I671" s="21"/>
      <c r="J671" s="20"/>
      <c r="K671" s="20"/>
      <c r="L671" s="20"/>
      <c r="M671" s="23" t="str">
        <f t="shared" si="10"/>
        <v/>
      </c>
    </row>
    <row r="672" spans="9:13" x14ac:dyDescent="0.35">
      <c r="I672" s="21"/>
      <c r="J672" s="20"/>
      <c r="K672" s="20"/>
      <c r="L672" s="20"/>
      <c r="M672" s="23" t="str">
        <f t="shared" si="10"/>
        <v/>
      </c>
    </row>
    <row r="673" spans="9:13" x14ac:dyDescent="0.35">
      <c r="I673" s="21"/>
      <c r="J673" s="20"/>
      <c r="K673" s="20"/>
      <c r="L673" s="20"/>
      <c r="M673" s="23" t="str">
        <f t="shared" si="10"/>
        <v/>
      </c>
    </row>
    <row r="674" spans="9:13" x14ac:dyDescent="0.35">
      <c r="I674" s="21"/>
      <c r="J674" s="20"/>
      <c r="K674" s="20"/>
      <c r="L674" s="20"/>
      <c r="M674" s="23" t="str">
        <f t="shared" si="10"/>
        <v/>
      </c>
    </row>
    <row r="675" spans="9:13" x14ac:dyDescent="0.35">
      <c r="I675" s="21"/>
      <c r="J675" s="20"/>
      <c r="K675" s="20"/>
      <c r="L675" s="20"/>
      <c r="M675" s="23" t="str">
        <f t="shared" si="10"/>
        <v/>
      </c>
    </row>
    <row r="676" spans="9:13" x14ac:dyDescent="0.35">
      <c r="I676" s="21"/>
      <c r="J676" s="20"/>
      <c r="K676" s="20"/>
      <c r="L676" s="20"/>
      <c r="M676" s="23" t="str">
        <f t="shared" si="10"/>
        <v/>
      </c>
    </row>
    <row r="677" spans="9:13" x14ac:dyDescent="0.35">
      <c r="I677" s="21"/>
      <c r="J677" s="20"/>
      <c r="K677" s="20"/>
      <c r="L677" s="20"/>
      <c r="M677" s="23" t="str">
        <f t="shared" si="10"/>
        <v/>
      </c>
    </row>
    <row r="678" spans="9:13" x14ac:dyDescent="0.35">
      <c r="I678" s="21"/>
      <c r="J678" s="20"/>
      <c r="K678" s="20"/>
      <c r="L678" s="20"/>
      <c r="M678" s="23" t="str">
        <f t="shared" si="10"/>
        <v/>
      </c>
    </row>
    <row r="679" spans="9:13" x14ac:dyDescent="0.35">
      <c r="I679" s="21"/>
      <c r="J679" s="20"/>
      <c r="K679" s="20"/>
      <c r="L679" s="20"/>
      <c r="M679" s="23" t="str">
        <f t="shared" si="10"/>
        <v/>
      </c>
    </row>
    <row r="680" spans="9:13" x14ac:dyDescent="0.35">
      <c r="I680" s="21"/>
      <c r="J680" s="20"/>
      <c r="K680" s="20"/>
      <c r="L680" s="20"/>
      <c r="M680" s="23" t="str">
        <f t="shared" si="10"/>
        <v/>
      </c>
    </row>
    <row r="681" spans="9:13" x14ac:dyDescent="0.35">
      <c r="I681" s="21"/>
      <c r="J681" s="20"/>
      <c r="K681" s="20"/>
      <c r="L681" s="20"/>
      <c r="M681" s="23" t="str">
        <f t="shared" si="10"/>
        <v/>
      </c>
    </row>
    <row r="682" spans="9:13" x14ac:dyDescent="0.35">
      <c r="I682" s="21"/>
      <c r="J682" s="20"/>
      <c r="K682" s="20"/>
      <c r="L682" s="20"/>
      <c r="M682" s="23" t="str">
        <f t="shared" si="10"/>
        <v/>
      </c>
    </row>
    <row r="683" spans="9:13" x14ac:dyDescent="0.35">
      <c r="I683" s="21"/>
      <c r="J683" s="20"/>
      <c r="K683" s="20"/>
      <c r="L683" s="20"/>
      <c r="M683" s="23" t="str">
        <f t="shared" si="10"/>
        <v/>
      </c>
    </row>
    <row r="684" spans="9:13" x14ac:dyDescent="0.35">
      <c r="I684" s="21"/>
      <c r="J684" s="20"/>
      <c r="K684" s="20"/>
      <c r="L684" s="20"/>
      <c r="M684" s="23" t="str">
        <f t="shared" si="10"/>
        <v/>
      </c>
    </row>
    <row r="685" spans="9:13" x14ac:dyDescent="0.35">
      <c r="I685" s="21"/>
      <c r="J685" s="20"/>
      <c r="K685" s="20"/>
      <c r="L685" s="20"/>
      <c r="M685" s="23" t="str">
        <f t="shared" si="10"/>
        <v/>
      </c>
    </row>
    <row r="686" spans="9:13" x14ac:dyDescent="0.35">
      <c r="I686" s="21"/>
      <c r="J686" s="20"/>
      <c r="K686" s="20"/>
      <c r="L686" s="20"/>
      <c r="M686" s="23" t="str">
        <f t="shared" si="10"/>
        <v/>
      </c>
    </row>
    <row r="687" spans="9:13" x14ac:dyDescent="0.35">
      <c r="I687" s="21"/>
      <c r="J687" s="20"/>
      <c r="K687" s="20"/>
      <c r="L687" s="20"/>
      <c r="M687" s="23" t="str">
        <f t="shared" si="10"/>
        <v/>
      </c>
    </row>
    <row r="688" spans="9:13" x14ac:dyDescent="0.35">
      <c r="I688" s="21"/>
      <c r="J688" s="20"/>
      <c r="K688" s="20"/>
      <c r="L688" s="20"/>
      <c r="M688" s="23" t="str">
        <f t="shared" si="10"/>
        <v/>
      </c>
    </row>
    <row r="689" spans="9:13" x14ac:dyDescent="0.35">
      <c r="I689" s="21"/>
      <c r="J689" s="20"/>
      <c r="K689" s="20"/>
      <c r="L689" s="20"/>
      <c r="M689" s="23" t="str">
        <f t="shared" si="10"/>
        <v/>
      </c>
    </row>
    <row r="690" spans="9:13" x14ac:dyDescent="0.35">
      <c r="I690" s="21"/>
      <c r="J690" s="20"/>
      <c r="K690" s="20"/>
      <c r="L690" s="20"/>
      <c r="M690" s="23" t="str">
        <f t="shared" si="10"/>
        <v/>
      </c>
    </row>
    <row r="691" spans="9:13" x14ac:dyDescent="0.35">
      <c r="I691" s="21"/>
      <c r="J691" s="20"/>
      <c r="K691" s="20"/>
      <c r="L691" s="20"/>
      <c r="M691" s="23" t="str">
        <f t="shared" si="10"/>
        <v/>
      </c>
    </row>
    <row r="692" spans="9:13" x14ac:dyDescent="0.35">
      <c r="I692" s="21"/>
      <c r="J692" s="20"/>
      <c r="K692" s="20"/>
      <c r="L692" s="20"/>
      <c r="M692" s="23" t="str">
        <f t="shared" si="10"/>
        <v/>
      </c>
    </row>
    <row r="693" spans="9:13" x14ac:dyDescent="0.35">
      <c r="I693" s="21"/>
      <c r="J693" s="20"/>
      <c r="K693" s="20"/>
      <c r="L693" s="20"/>
      <c r="M693" s="23" t="str">
        <f t="shared" si="10"/>
        <v/>
      </c>
    </row>
    <row r="694" spans="9:13" x14ac:dyDescent="0.35">
      <c r="I694" s="21"/>
      <c r="J694" s="20"/>
      <c r="K694" s="20"/>
      <c r="L694" s="20"/>
      <c r="M694" s="23" t="str">
        <f t="shared" si="10"/>
        <v/>
      </c>
    </row>
    <row r="695" spans="9:13" x14ac:dyDescent="0.35">
      <c r="I695" s="21"/>
      <c r="J695" s="20"/>
      <c r="K695" s="20"/>
      <c r="L695" s="20"/>
      <c r="M695" s="23" t="str">
        <f t="shared" si="10"/>
        <v/>
      </c>
    </row>
    <row r="696" spans="9:13" x14ac:dyDescent="0.35">
      <c r="I696" s="21"/>
      <c r="J696" s="20"/>
      <c r="K696" s="20"/>
      <c r="L696" s="20"/>
      <c r="M696" s="23" t="str">
        <f t="shared" si="10"/>
        <v/>
      </c>
    </row>
    <row r="697" spans="9:13" x14ac:dyDescent="0.35">
      <c r="I697" s="21"/>
      <c r="J697" s="20"/>
      <c r="K697" s="20"/>
      <c r="L697" s="20"/>
      <c r="M697" s="23" t="str">
        <f t="shared" si="10"/>
        <v/>
      </c>
    </row>
    <row r="698" spans="9:13" x14ac:dyDescent="0.35">
      <c r="I698" s="21"/>
      <c r="J698" s="20"/>
      <c r="K698" s="20"/>
      <c r="L698" s="20"/>
      <c r="M698" s="23" t="str">
        <f t="shared" si="10"/>
        <v/>
      </c>
    </row>
    <row r="699" spans="9:13" x14ac:dyDescent="0.35">
      <c r="I699" s="21"/>
      <c r="J699" s="20"/>
      <c r="K699" s="20"/>
      <c r="L699" s="20"/>
      <c r="M699" s="23" t="str">
        <f t="shared" si="10"/>
        <v/>
      </c>
    </row>
    <row r="700" spans="9:13" x14ac:dyDescent="0.35">
      <c r="I700" s="21"/>
      <c r="J700" s="20"/>
      <c r="K700" s="20"/>
      <c r="L700" s="20"/>
      <c r="M700" s="23" t="str">
        <f t="shared" si="10"/>
        <v/>
      </c>
    </row>
    <row r="701" spans="9:13" x14ac:dyDescent="0.35">
      <c r="I701" s="21"/>
      <c r="J701" s="20"/>
      <c r="K701" s="20"/>
      <c r="L701" s="20"/>
      <c r="M701" s="23" t="str">
        <f t="shared" si="10"/>
        <v/>
      </c>
    </row>
    <row r="702" spans="9:13" x14ac:dyDescent="0.35">
      <c r="I702" s="21"/>
      <c r="J702" s="20"/>
      <c r="K702" s="20"/>
      <c r="L702" s="20"/>
      <c r="M702" s="23" t="str">
        <f t="shared" si="10"/>
        <v/>
      </c>
    </row>
    <row r="703" spans="9:13" x14ac:dyDescent="0.35">
      <c r="I703" s="21"/>
      <c r="J703" s="20"/>
      <c r="K703" s="20"/>
      <c r="L703" s="20"/>
      <c r="M703" s="23" t="str">
        <f t="shared" si="10"/>
        <v/>
      </c>
    </row>
    <row r="704" spans="9:13" x14ac:dyDescent="0.35">
      <c r="I704" s="21"/>
      <c r="J704" s="20"/>
      <c r="K704" s="20"/>
      <c r="L704" s="20"/>
      <c r="M704" s="23" t="str">
        <f t="shared" si="10"/>
        <v/>
      </c>
    </row>
    <row r="705" spans="9:13" x14ac:dyDescent="0.35">
      <c r="I705" s="21"/>
      <c r="J705" s="20"/>
      <c r="K705" s="20"/>
      <c r="L705" s="20"/>
      <c r="M705" s="23" t="str">
        <f t="shared" si="10"/>
        <v/>
      </c>
    </row>
    <row r="706" spans="9:13" x14ac:dyDescent="0.35">
      <c r="I706" s="21"/>
      <c r="J706" s="20"/>
      <c r="K706" s="20"/>
      <c r="L706" s="20"/>
      <c r="M706" s="23" t="str">
        <f t="shared" si="10"/>
        <v/>
      </c>
    </row>
    <row r="707" spans="9:13" x14ac:dyDescent="0.35">
      <c r="I707" s="21"/>
      <c r="J707" s="20"/>
      <c r="K707" s="20"/>
      <c r="L707" s="20"/>
      <c r="M707" s="23" t="str">
        <f t="shared" si="10"/>
        <v/>
      </c>
    </row>
    <row r="708" spans="9:13" x14ac:dyDescent="0.35">
      <c r="I708" s="21"/>
      <c r="J708" s="20"/>
      <c r="K708" s="20"/>
      <c r="L708" s="20"/>
      <c r="M708" s="23" t="str">
        <f t="shared" si="10"/>
        <v/>
      </c>
    </row>
    <row r="709" spans="9:13" x14ac:dyDescent="0.35">
      <c r="I709" s="21"/>
      <c r="J709" s="20"/>
      <c r="K709" s="20"/>
      <c r="L709" s="20"/>
      <c r="M709" s="23" t="str">
        <f t="shared" si="10"/>
        <v/>
      </c>
    </row>
    <row r="710" spans="9:13" x14ac:dyDescent="0.35">
      <c r="I710" s="21"/>
      <c r="J710" s="20"/>
      <c r="K710" s="20"/>
      <c r="L710" s="20"/>
      <c r="M710" s="23" t="str">
        <f t="shared" si="10"/>
        <v/>
      </c>
    </row>
    <row r="711" spans="9:13" x14ac:dyDescent="0.35">
      <c r="I711" s="21"/>
      <c r="J711" s="20"/>
      <c r="K711" s="20"/>
      <c r="L711" s="20"/>
      <c r="M711" s="23" t="str">
        <f t="shared" si="10"/>
        <v/>
      </c>
    </row>
    <row r="712" spans="9:13" x14ac:dyDescent="0.35">
      <c r="I712" s="21"/>
      <c r="J712" s="20"/>
      <c r="K712" s="20"/>
      <c r="L712" s="20"/>
      <c r="M712" s="23" t="str">
        <f t="shared" si="10"/>
        <v/>
      </c>
    </row>
    <row r="713" spans="9:13" x14ac:dyDescent="0.35">
      <c r="I713" s="21"/>
      <c r="J713" s="20"/>
      <c r="K713" s="20"/>
      <c r="L713" s="20"/>
      <c r="M713" s="23" t="str">
        <f t="shared" ref="M713:M776" si="11">IF(I713="","",RIGHT(SUBSTITUTE(SUBSTITUTE(I713&amp;""," ",""),"+",""),10))</f>
        <v/>
      </c>
    </row>
    <row r="714" spans="9:13" x14ac:dyDescent="0.35">
      <c r="I714" s="21"/>
      <c r="J714" s="20"/>
      <c r="K714" s="20"/>
      <c r="L714" s="20"/>
      <c r="M714" s="23" t="str">
        <f t="shared" si="11"/>
        <v/>
      </c>
    </row>
    <row r="715" spans="9:13" x14ac:dyDescent="0.35">
      <c r="I715" s="21"/>
      <c r="J715" s="20"/>
      <c r="K715" s="20"/>
      <c r="L715" s="20"/>
      <c r="M715" s="23" t="str">
        <f t="shared" si="11"/>
        <v/>
      </c>
    </row>
    <row r="716" spans="9:13" x14ac:dyDescent="0.35">
      <c r="I716" s="21"/>
      <c r="J716" s="20"/>
      <c r="K716" s="20"/>
      <c r="L716" s="20"/>
      <c r="M716" s="23" t="str">
        <f t="shared" si="11"/>
        <v/>
      </c>
    </row>
    <row r="717" spans="9:13" x14ac:dyDescent="0.35">
      <c r="I717" s="21"/>
      <c r="J717" s="20"/>
      <c r="K717" s="20"/>
      <c r="L717" s="20"/>
      <c r="M717" s="23" t="str">
        <f t="shared" si="11"/>
        <v/>
      </c>
    </row>
    <row r="718" spans="9:13" x14ac:dyDescent="0.35">
      <c r="I718" s="21"/>
      <c r="J718" s="20"/>
      <c r="K718" s="20"/>
      <c r="L718" s="20"/>
      <c r="M718" s="23" t="str">
        <f t="shared" si="11"/>
        <v/>
      </c>
    </row>
    <row r="719" spans="9:13" x14ac:dyDescent="0.35">
      <c r="I719" s="21"/>
      <c r="J719" s="20"/>
      <c r="K719" s="20"/>
      <c r="L719" s="20"/>
      <c r="M719" s="23" t="str">
        <f t="shared" si="11"/>
        <v/>
      </c>
    </row>
    <row r="720" spans="9:13" x14ac:dyDescent="0.35">
      <c r="I720" s="21"/>
      <c r="J720" s="20"/>
      <c r="K720" s="20"/>
      <c r="L720" s="20"/>
      <c r="M720" s="23" t="str">
        <f t="shared" si="11"/>
        <v/>
      </c>
    </row>
    <row r="721" spans="9:13" x14ac:dyDescent="0.35">
      <c r="I721" s="21"/>
      <c r="J721" s="20"/>
      <c r="K721" s="20"/>
      <c r="L721" s="20"/>
      <c r="M721" s="23" t="str">
        <f t="shared" si="11"/>
        <v/>
      </c>
    </row>
    <row r="722" spans="9:13" x14ac:dyDescent="0.35">
      <c r="I722" s="21"/>
      <c r="J722" s="20"/>
      <c r="K722" s="20"/>
      <c r="L722" s="20"/>
      <c r="M722" s="23" t="str">
        <f t="shared" si="11"/>
        <v/>
      </c>
    </row>
    <row r="723" spans="9:13" x14ac:dyDescent="0.35">
      <c r="I723" s="21"/>
      <c r="J723" s="20"/>
      <c r="K723" s="20"/>
      <c r="L723" s="20"/>
      <c r="M723" s="23" t="str">
        <f t="shared" si="11"/>
        <v/>
      </c>
    </row>
    <row r="724" spans="9:13" x14ac:dyDescent="0.35">
      <c r="I724" s="21"/>
      <c r="J724" s="20"/>
      <c r="K724" s="20"/>
      <c r="L724" s="20"/>
      <c r="M724" s="23" t="str">
        <f t="shared" si="11"/>
        <v/>
      </c>
    </row>
    <row r="725" spans="9:13" x14ac:dyDescent="0.35">
      <c r="I725" s="21"/>
      <c r="J725" s="20"/>
      <c r="K725" s="20"/>
      <c r="L725" s="20"/>
      <c r="M725" s="23" t="str">
        <f t="shared" si="11"/>
        <v/>
      </c>
    </row>
    <row r="726" spans="9:13" x14ac:dyDescent="0.35">
      <c r="I726" s="21"/>
      <c r="J726" s="20"/>
      <c r="K726" s="20"/>
      <c r="L726" s="20"/>
      <c r="M726" s="23" t="str">
        <f t="shared" si="11"/>
        <v/>
      </c>
    </row>
    <row r="727" spans="9:13" x14ac:dyDescent="0.35">
      <c r="I727" s="21"/>
      <c r="J727" s="20"/>
      <c r="K727" s="20"/>
      <c r="L727" s="20"/>
      <c r="M727" s="23" t="str">
        <f t="shared" si="11"/>
        <v/>
      </c>
    </row>
    <row r="728" spans="9:13" x14ac:dyDescent="0.35">
      <c r="I728" s="21"/>
      <c r="J728" s="20"/>
      <c r="K728" s="20"/>
      <c r="L728" s="20"/>
      <c r="M728" s="23" t="str">
        <f t="shared" si="11"/>
        <v/>
      </c>
    </row>
    <row r="729" spans="9:13" x14ac:dyDescent="0.35">
      <c r="I729" s="21"/>
      <c r="J729" s="20"/>
      <c r="K729" s="20"/>
      <c r="L729" s="20"/>
      <c r="M729" s="23" t="str">
        <f t="shared" si="11"/>
        <v/>
      </c>
    </row>
    <row r="730" spans="9:13" x14ac:dyDescent="0.35">
      <c r="I730" s="21"/>
      <c r="J730" s="20"/>
      <c r="K730" s="20"/>
      <c r="L730" s="20"/>
      <c r="M730" s="23" t="str">
        <f t="shared" si="11"/>
        <v/>
      </c>
    </row>
    <row r="731" spans="9:13" x14ac:dyDescent="0.35">
      <c r="I731" s="21"/>
      <c r="J731" s="20"/>
      <c r="K731" s="20"/>
      <c r="L731" s="20"/>
      <c r="M731" s="23" t="str">
        <f t="shared" si="11"/>
        <v/>
      </c>
    </row>
    <row r="732" spans="9:13" x14ac:dyDescent="0.35">
      <c r="I732" s="21"/>
      <c r="J732" s="20"/>
      <c r="K732" s="20"/>
      <c r="L732" s="20"/>
      <c r="M732" s="23" t="str">
        <f t="shared" si="11"/>
        <v/>
      </c>
    </row>
    <row r="733" spans="9:13" x14ac:dyDescent="0.35">
      <c r="I733" s="21"/>
      <c r="J733" s="20"/>
      <c r="K733" s="20"/>
      <c r="L733" s="20"/>
      <c r="M733" s="23" t="str">
        <f t="shared" si="11"/>
        <v/>
      </c>
    </row>
    <row r="734" spans="9:13" x14ac:dyDescent="0.35">
      <c r="I734" s="21"/>
      <c r="J734" s="20"/>
      <c r="K734" s="20"/>
      <c r="L734" s="20"/>
      <c r="M734" s="23" t="str">
        <f t="shared" si="11"/>
        <v/>
      </c>
    </row>
    <row r="735" spans="9:13" x14ac:dyDescent="0.35">
      <c r="I735" s="21"/>
      <c r="J735" s="20"/>
      <c r="K735" s="20"/>
      <c r="L735" s="20"/>
      <c r="M735" s="23" t="str">
        <f t="shared" si="11"/>
        <v/>
      </c>
    </row>
    <row r="736" spans="9:13" x14ac:dyDescent="0.35">
      <c r="I736" s="21"/>
      <c r="J736" s="20"/>
      <c r="K736" s="20"/>
      <c r="L736" s="20"/>
      <c r="M736" s="23" t="str">
        <f t="shared" si="11"/>
        <v/>
      </c>
    </row>
    <row r="737" spans="9:13" x14ac:dyDescent="0.35">
      <c r="I737" s="21"/>
      <c r="J737" s="20"/>
      <c r="K737" s="20"/>
      <c r="L737" s="20"/>
      <c r="M737" s="23" t="str">
        <f t="shared" si="11"/>
        <v/>
      </c>
    </row>
    <row r="738" spans="9:13" x14ac:dyDescent="0.35">
      <c r="I738" s="21"/>
      <c r="J738" s="20"/>
      <c r="K738" s="20"/>
      <c r="L738" s="20"/>
      <c r="M738" s="23" t="str">
        <f t="shared" si="11"/>
        <v/>
      </c>
    </row>
    <row r="739" spans="9:13" x14ac:dyDescent="0.35">
      <c r="I739" s="21"/>
      <c r="J739" s="20"/>
      <c r="K739" s="20"/>
      <c r="L739" s="20"/>
      <c r="M739" s="23" t="str">
        <f t="shared" si="11"/>
        <v/>
      </c>
    </row>
    <row r="740" spans="9:13" x14ac:dyDescent="0.35">
      <c r="I740" s="21"/>
      <c r="J740" s="20"/>
      <c r="K740" s="20"/>
      <c r="L740" s="20"/>
      <c r="M740" s="23" t="str">
        <f t="shared" si="11"/>
        <v/>
      </c>
    </row>
    <row r="741" spans="9:13" x14ac:dyDescent="0.35">
      <c r="I741" s="21"/>
      <c r="J741" s="20"/>
      <c r="K741" s="20"/>
      <c r="L741" s="20"/>
      <c r="M741" s="23" t="str">
        <f t="shared" si="11"/>
        <v/>
      </c>
    </row>
    <row r="742" spans="9:13" x14ac:dyDescent="0.35">
      <c r="I742" s="21"/>
      <c r="J742" s="20"/>
      <c r="K742" s="20"/>
      <c r="L742" s="20"/>
      <c r="M742" s="23" t="str">
        <f t="shared" si="11"/>
        <v/>
      </c>
    </row>
    <row r="743" spans="9:13" x14ac:dyDescent="0.35">
      <c r="I743" s="21"/>
      <c r="J743" s="20"/>
      <c r="K743" s="20"/>
      <c r="L743" s="20"/>
      <c r="M743" s="23" t="str">
        <f t="shared" si="11"/>
        <v/>
      </c>
    </row>
    <row r="744" spans="9:13" x14ac:dyDescent="0.35">
      <c r="I744" s="21"/>
      <c r="J744" s="20"/>
      <c r="K744" s="20"/>
      <c r="L744" s="20"/>
      <c r="M744" s="23" t="str">
        <f t="shared" si="11"/>
        <v/>
      </c>
    </row>
    <row r="745" spans="9:13" x14ac:dyDescent="0.35">
      <c r="I745" s="21"/>
      <c r="J745" s="20"/>
      <c r="K745" s="20"/>
      <c r="L745" s="20"/>
      <c r="M745" s="23" t="str">
        <f t="shared" si="11"/>
        <v/>
      </c>
    </row>
    <row r="746" spans="9:13" x14ac:dyDescent="0.35">
      <c r="I746" s="21"/>
      <c r="J746" s="20"/>
      <c r="K746" s="20"/>
      <c r="L746" s="20"/>
      <c r="M746" s="23" t="str">
        <f t="shared" si="11"/>
        <v/>
      </c>
    </row>
    <row r="747" spans="9:13" x14ac:dyDescent="0.35">
      <c r="I747" s="21"/>
      <c r="J747" s="20"/>
      <c r="K747" s="20"/>
      <c r="L747" s="20"/>
      <c r="M747" s="23" t="str">
        <f t="shared" si="11"/>
        <v/>
      </c>
    </row>
    <row r="748" spans="9:13" x14ac:dyDescent="0.35">
      <c r="I748" s="21"/>
      <c r="J748" s="20"/>
      <c r="K748" s="20"/>
      <c r="L748" s="20"/>
      <c r="M748" s="23" t="str">
        <f t="shared" si="11"/>
        <v/>
      </c>
    </row>
    <row r="749" spans="9:13" x14ac:dyDescent="0.35">
      <c r="I749" s="21"/>
      <c r="J749" s="20"/>
      <c r="K749" s="20"/>
      <c r="L749" s="20"/>
      <c r="M749" s="23" t="str">
        <f t="shared" si="11"/>
        <v/>
      </c>
    </row>
    <row r="750" spans="9:13" x14ac:dyDescent="0.35">
      <c r="I750" s="21"/>
      <c r="J750" s="20"/>
      <c r="K750" s="20"/>
      <c r="L750" s="20"/>
      <c r="M750" s="23" t="str">
        <f t="shared" si="11"/>
        <v/>
      </c>
    </row>
    <row r="751" spans="9:13" x14ac:dyDescent="0.35">
      <c r="I751" s="21"/>
      <c r="J751" s="20"/>
      <c r="K751" s="20"/>
      <c r="L751" s="20"/>
      <c r="M751" s="23" t="str">
        <f t="shared" si="11"/>
        <v/>
      </c>
    </row>
    <row r="752" spans="9:13" x14ac:dyDescent="0.35">
      <c r="I752" s="21"/>
      <c r="J752" s="20"/>
      <c r="K752" s="20"/>
      <c r="L752" s="20"/>
      <c r="M752" s="23" t="str">
        <f t="shared" si="11"/>
        <v/>
      </c>
    </row>
    <row r="753" spans="9:13" x14ac:dyDescent="0.35">
      <c r="I753" s="21"/>
      <c r="J753" s="20"/>
      <c r="K753" s="20"/>
      <c r="L753" s="20"/>
      <c r="M753" s="23" t="str">
        <f t="shared" si="11"/>
        <v/>
      </c>
    </row>
    <row r="754" spans="9:13" x14ac:dyDescent="0.35">
      <c r="I754" s="21"/>
      <c r="J754" s="20"/>
      <c r="K754" s="20"/>
      <c r="L754" s="20"/>
      <c r="M754" s="23" t="str">
        <f t="shared" si="11"/>
        <v/>
      </c>
    </row>
    <row r="755" spans="9:13" x14ac:dyDescent="0.35">
      <c r="I755" s="21"/>
      <c r="J755" s="20"/>
      <c r="K755" s="20"/>
      <c r="L755" s="20"/>
      <c r="M755" s="23" t="str">
        <f t="shared" si="11"/>
        <v/>
      </c>
    </row>
    <row r="756" spans="9:13" x14ac:dyDescent="0.35">
      <c r="I756" s="21"/>
      <c r="J756" s="20"/>
      <c r="K756" s="20"/>
      <c r="L756" s="20"/>
      <c r="M756" s="23" t="str">
        <f t="shared" si="11"/>
        <v/>
      </c>
    </row>
    <row r="757" spans="9:13" x14ac:dyDescent="0.35">
      <c r="I757" s="21"/>
      <c r="J757" s="20"/>
      <c r="K757" s="20"/>
      <c r="L757" s="20"/>
      <c r="M757" s="23" t="str">
        <f t="shared" si="11"/>
        <v/>
      </c>
    </row>
    <row r="758" spans="9:13" x14ac:dyDescent="0.35">
      <c r="I758" s="21"/>
      <c r="J758" s="20"/>
      <c r="K758" s="20"/>
      <c r="L758" s="20"/>
      <c r="M758" s="23" t="str">
        <f t="shared" si="11"/>
        <v/>
      </c>
    </row>
    <row r="759" spans="9:13" x14ac:dyDescent="0.35">
      <c r="I759" s="21"/>
      <c r="J759" s="20"/>
      <c r="K759" s="20"/>
      <c r="L759" s="20"/>
      <c r="M759" s="23" t="str">
        <f t="shared" si="11"/>
        <v/>
      </c>
    </row>
    <row r="760" spans="9:13" x14ac:dyDescent="0.35">
      <c r="I760" s="21"/>
      <c r="J760" s="20"/>
      <c r="K760" s="20"/>
      <c r="L760" s="20"/>
      <c r="M760" s="23" t="str">
        <f t="shared" si="11"/>
        <v/>
      </c>
    </row>
    <row r="761" spans="9:13" x14ac:dyDescent="0.35">
      <c r="I761" s="21"/>
      <c r="J761" s="20"/>
      <c r="K761" s="20"/>
      <c r="L761" s="20"/>
      <c r="M761" s="23" t="str">
        <f t="shared" si="11"/>
        <v/>
      </c>
    </row>
    <row r="762" spans="9:13" x14ac:dyDescent="0.35">
      <c r="I762" s="21"/>
      <c r="J762" s="20"/>
      <c r="K762" s="20"/>
      <c r="L762" s="20"/>
      <c r="M762" s="23" t="str">
        <f t="shared" si="11"/>
        <v/>
      </c>
    </row>
    <row r="763" spans="9:13" x14ac:dyDescent="0.35">
      <c r="I763" s="21"/>
      <c r="J763" s="20"/>
      <c r="K763" s="20"/>
      <c r="L763" s="20"/>
      <c r="M763" s="23" t="str">
        <f t="shared" si="11"/>
        <v/>
      </c>
    </row>
    <row r="764" spans="9:13" x14ac:dyDescent="0.35">
      <c r="I764" s="21"/>
      <c r="J764" s="20"/>
      <c r="K764" s="20"/>
      <c r="L764" s="20"/>
      <c r="M764" s="23" t="str">
        <f t="shared" si="11"/>
        <v/>
      </c>
    </row>
    <row r="765" spans="9:13" x14ac:dyDescent="0.35">
      <c r="I765" s="21"/>
      <c r="J765" s="20"/>
      <c r="K765" s="20"/>
      <c r="L765" s="20"/>
      <c r="M765" s="23" t="str">
        <f t="shared" si="11"/>
        <v/>
      </c>
    </row>
    <row r="766" spans="9:13" x14ac:dyDescent="0.35">
      <c r="I766" s="21"/>
      <c r="J766" s="20"/>
      <c r="K766" s="20"/>
      <c r="L766" s="20"/>
      <c r="M766" s="23" t="str">
        <f t="shared" si="11"/>
        <v/>
      </c>
    </row>
    <row r="767" spans="9:13" x14ac:dyDescent="0.35">
      <c r="I767" s="21"/>
      <c r="J767" s="20"/>
      <c r="K767" s="20"/>
      <c r="L767" s="20"/>
      <c r="M767" s="23" t="str">
        <f t="shared" si="11"/>
        <v/>
      </c>
    </row>
    <row r="768" spans="9:13" x14ac:dyDescent="0.35">
      <c r="I768" s="21"/>
      <c r="J768" s="20"/>
      <c r="K768" s="20"/>
      <c r="L768" s="20"/>
      <c r="M768" s="23" t="str">
        <f t="shared" si="11"/>
        <v/>
      </c>
    </row>
    <row r="769" spans="9:13" x14ac:dyDescent="0.35">
      <c r="I769" s="21"/>
      <c r="J769" s="20"/>
      <c r="K769" s="20"/>
      <c r="L769" s="20"/>
      <c r="M769" s="23" t="str">
        <f t="shared" si="11"/>
        <v/>
      </c>
    </row>
    <row r="770" spans="9:13" x14ac:dyDescent="0.35">
      <c r="I770" s="21"/>
      <c r="J770" s="20"/>
      <c r="K770" s="20"/>
      <c r="L770" s="20"/>
      <c r="M770" s="23" t="str">
        <f t="shared" si="11"/>
        <v/>
      </c>
    </row>
    <row r="771" spans="9:13" x14ac:dyDescent="0.35">
      <c r="I771" s="21"/>
      <c r="J771" s="20"/>
      <c r="K771" s="20"/>
      <c r="L771" s="20"/>
      <c r="M771" s="23" t="str">
        <f t="shared" si="11"/>
        <v/>
      </c>
    </row>
    <row r="772" spans="9:13" x14ac:dyDescent="0.35">
      <c r="I772" s="21"/>
      <c r="J772" s="20"/>
      <c r="K772" s="20"/>
      <c r="L772" s="20"/>
      <c r="M772" s="23" t="str">
        <f t="shared" si="11"/>
        <v/>
      </c>
    </row>
    <row r="773" spans="9:13" x14ac:dyDescent="0.35">
      <c r="I773" s="21"/>
      <c r="J773" s="20"/>
      <c r="K773" s="20"/>
      <c r="L773" s="20"/>
      <c r="M773" s="23" t="str">
        <f t="shared" si="11"/>
        <v/>
      </c>
    </row>
    <row r="774" spans="9:13" x14ac:dyDescent="0.35">
      <c r="I774" s="21"/>
      <c r="J774" s="20"/>
      <c r="K774" s="20"/>
      <c r="L774" s="20"/>
      <c r="M774" s="23" t="str">
        <f t="shared" si="11"/>
        <v/>
      </c>
    </row>
    <row r="775" spans="9:13" x14ac:dyDescent="0.35">
      <c r="I775" s="21"/>
      <c r="J775" s="20"/>
      <c r="K775" s="20"/>
      <c r="L775" s="20"/>
      <c r="M775" s="23" t="str">
        <f t="shared" si="11"/>
        <v/>
      </c>
    </row>
    <row r="776" spans="9:13" x14ac:dyDescent="0.35">
      <c r="I776" s="21"/>
      <c r="J776" s="20"/>
      <c r="K776" s="20"/>
      <c r="L776" s="20"/>
      <c r="M776" s="23" t="str">
        <f t="shared" si="11"/>
        <v/>
      </c>
    </row>
    <row r="777" spans="9:13" x14ac:dyDescent="0.35">
      <c r="I777" s="21"/>
      <c r="J777" s="20"/>
      <c r="K777" s="20"/>
      <c r="L777" s="20"/>
      <c r="M777" s="23" t="str">
        <f t="shared" ref="M777:M840" si="12">IF(I777="","",RIGHT(SUBSTITUTE(SUBSTITUTE(I777&amp;""," ",""),"+",""),10))</f>
        <v/>
      </c>
    </row>
    <row r="778" spans="9:13" x14ac:dyDescent="0.35">
      <c r="I778" s="21"/>
      <c r="J778" s="20"/>
      <c r="K778" s="20"/>
      <c r="L778" s="20"/>
      <c r="M778" s="23" t="str">
        <f t="shared" si="12"/>
        <v/>
      </c>
    </row>
    <row r="779" spans="9:13" x14ac:dyDescent="0.35">
      <c r="I779" s="21"/>
      <c r="J779" s="20"/>
      <c r="K779" s="20"/>
      <c r="L779" s="20"/>
      <c r="M779" s="23" t="str">
        <f t="shared" si="12"/>
        <v/>
      </c>
    </row>
    <row r="780" spans="9:13" x14ac:dyDescent="0.35">
      <c r="I780" s="21"/>
      <c r="J780" s="20"/>
      <c r="K780" s="20"/>
      <c r="L780" s="20"/>
      <c r="M780" s="23" t="str">
        <f t="shared" si="12"/>
        <v/>
      </c>
    </row>
    <row r="781" spans="9:13" x14ac:dyDescent="0.35">
      <c r="I781" s="21"/>
      <c r="J781" s="20"/>
      <c r="K781" s="20"/>
      <c r="L781" s="20"/>
      <c r="M781" s="23" t="str">
        <f t="shared" si="12"/>
        <v/>
      </c>
    </row>
    <row r="782" spans="9:13" x14ac:dyDescent="0.35">
      <c r="I782" s="21"/>
      <c r="J782" s="20"/>
      <c r="K782" s="20"/>
      <c r="L782" s="20"/>
      <c r="M782" s="23" t="str">
        <f t="shared" si="12"/>
        <v/>
      </c>
    </row>
    <row r="783" spans="9:13" x14ac:dyDescent="0.35">
      <c r="I783" s="21"/>
      <c r="J783" s="20"/>
      <c r="K783" s="20"/>
      <c r="L783" s="20"/>
      <c r="M783" s="23" t="str">
        <f t="shared" si="12"/>
        <v/>
      </c>
    </row>
    <row r="784" spans="9:13" x14ac:dyDescent="0.35">
      <c r="I784" s="21"/>
      <c r="J784" s="20"/>
      <c r="K784" s="20"/>
      <c r="L784" s="20"/>
      <c r="M784" s="23" t="str">
        <f t="shared" si="12"/>
        <v/>
      </c>
    </row>
    <row r="785" spans="9:13" x14ac:dyDescent="0.35">
      <c r="I785" s="21"/>
      <c r="J785" s="20"/>
      <c r="K785" s="20"/>
      <c r="L785" s="20"/>
      <c r="M785" s="23" t="str">
        <f t="shared" si="12"/>
        <v/>
      </c>
    </row>
    <row r="786" spans="9:13" x14ac:dyDescent="0.35">
      <c r="I786" s="21"/>
      <c r="J786" s="20"/>
      <c r="K786" s="20"/>
      <c r="L786" s="20"/>
      <c r="M786" s="23" t="str">
        <f t="shared" si="12"/>
        <v/>
      </c>
    </row>
    <row r="787" spans="9:13" x14ac:dyDescent="0.35">
      <c r="I787" s="21"/>
      <c r="J787" s="20"/>
      <c r="K787" s="20"/>
      <c r="L787" s="20"/>
      <c r="M787" s="23" t="str">
        <f t="shared" si="12"/>
        <v/>
      </c>
    </row>
    <row r="788" spans="9:13" x14ac:dyDescent="0.35">
      <c r="I788" s="21"/>
      <c r="J788" s="20"/>
      <c r="K788" s="20"/>
      <c r="L788" s="20"/>
      <c r="M788" s="23" t="str">
        <f t="shared" si="12"/>
        <v/>
      </c>
    </row>
    <row r="789" spans="9:13" x14ac:dyDescent="0.35">
      <c r="I789" s="21"/>
      <c r="J789" s="20"/>
      <c r="K789" s="20"/>
      <c r="L789" s="20"/>
      <c r="M789" s="23" t="str">
        <f t="shared" si="12"/>
        <v/>
      </c>
    </row>
    <row r="790" spans="9:13" x14ac:dyDescent="0.35">
      <c r="I790" s="21"/>
      <c r="J790" s="20"/>
      <c r="K790" s="20"/>
      <c r="L790" s="20"/>
      <c r="M790" s="23" t="str">
        <f t="shared" si="12"/>
        <v/>
      </c>
    </row>
    <row r="791" spans="9:13" x14ac:dyDescent="0.35">
      <c r="I791" s="21"/>
      <c r="J791" s="20"/>
      <c r="K791" s="20"/>
      <c r="L791" s="20"/>
      <c r="M791" s="23" t="str">
        <f t="shared" si="12"/>
        <v/>
      </c>
    </row>
    <row r="792" spans="9:13" x14ac:dyDescent="0.35">
      <c r="I792" s="21"/>
      <c r="J792" s="20"/>
      <c r="K792" s="20"/>
      <c r="L792" s="20"/>
      <c r="M792" s="23" t="str">
        <f t="shared" si="12"/>
        <v/>
      </c>
    </row>
    <row r="793" spans="9:13" x14ac:dyDescent="0.35">
      <c r="I793" s="21"/>
      <c r="J793" s="20"/>
      <c r="K793" s="20"/>
      <c r="L793" s="20"/>
      <c r="M793" s="23" t="str">
        <f t="shared" si="12"/>
        <v/>
      </c>
    </row>
    <row r="794" spans="9:13" x14ac:dyDescent="0.35">
      <c r="I794" s="21"/>
      <c r="J794" s="20"/>
      <c r="K794" s="20"/>
      <c r="L794" s="20"/>
      <c r="M794" s="23" t="str">
        <f t="shared" si="12"/>
        <v/>
      </c>
    </row>
    <row r="795" spans="9:13" x14ac:dyDescent="0.35">
      <c r="I795" s="21"/>
      <c r="J795" s="20"/>
      <c r="K795" s="20"/>
      <c r="L795" s="20"/>
      <c r="M795" s="23" t="str">
        <f t="shared" si="12"/>
        <v/>
      </c>
    </row>
    <row r="796" spans="9:13" x14ac:dyDescent="0.35">
      <c r="I796" s="21"/>
      <c r="J796" s="20"/>
      <c r="K796" s="20"/>
      <c r="L796" s="20"/>
      <c r="M796" s="23" t="str">
        <f t="shared" si="12"/>
        <v/>
      </c>
    </row>
    <row r="797" spans="9:13" x14ac:dyDescent="0.35">
      <c r="I797" s="21"/>
      <c r="J797" s="20"/>
      <c r="K797" s="20"/>
      <c r="L797" s="20"/>
      <c r="M797" s="23" t="str">
        <f t="shared" si="12"/>
        <v/>
      </c>
    </row>
    <row r="798" spans="9:13" x14ac:dyDescent="0.35">
      <c r="I798" s="21"/>
      <c r="J798" s="20"/>
      <c r="K798" s="20"/>
      <c r="L798" s="20"/>
      <c r="M798" s="23" t="str">
        <f t="shared" si="12"/>
        <v/>
      </c>
    </row>
    <row r="799" spans="9:13" x14ac:dyDescent="0.35">
      <c r="I799" s="21"/>
      <c r="J799" s="20"/>
      <c r="K799" s="20"/>
      <c r="L799" s="20"/>
      <c r="M799" s="23" t="str">
        <f t="shared" si="12"/>
        <v/>
      </c>
    </row>
    <row r="800" spans="9:13" x14ac:dyDescent="0.35">
      <c r="I800" s="21"/>
      <c r="J800" s="20"/>
      <c r="K800" s="20"/>
      <c r="L800" s="20"/>
      <c r="M800" s="23" t="str">
        <f t="shared" si="12"/>
        <v/>
      </c>
    </row>
    <row r="801" spans="9:13" x14ac:dyDescent="0.35">
      <c r="I801" s="21"/>
      <c r="J801" s="20"/>
      <c r="K801" s="20"/>
      <c r="L801" s="20"/>
      <c r="M801" s="23" t="str">
        <f t="shared" si="12"/>
        <v/>
      </c>
    </row>
    <row r="802" spans="9:13" x14ac:dyDescent="0.35">
      <c r="I802" s="21"/>
      <c r="J802" s="20"/>
      <c r="K802" s="20"/>
      <c r="L802" s="20"/>
      <c r="M802" s="23" t="str">
        <f t="shared" si="12"/>
        <v/>
      </c>
    </row>
    <row r="803" spans="9:13" x14ac:dyDescent="0.35">
      <c r="I803" s="21"/>
      <c r="J803" s="20"/>
      <c r="K803" s="20"/>
      <c r="L803" s="20"/>
      <c r="M803" s="23" t="str">
        <f t="shared" si="12"/>
        <v/>
      </c>
    </row>
    <row r="804" spans="9:13" x14ac:dyDescent="0.35">
      <c r="I804" s="21"/>
      <c r="J804" s="20"/>
      <c r="K804" s="20"/>
      <c r="L804" s="20"/>
      <c r="M804" s="23" t="str">
        <f t="shared" si="12"/>
        <v/>
      </c>
    </row>
    <row r="805" spans="9:13" x14ac:dyDescent="0.35">
      <c r="I805" s="21"/>
      <c r="J805" s="20"/>
      <c r="K805" s="20"/>
      <c r="L805" s="20"/>
      <c r="M805" s="23" t="str">
        <f t="shared" si="12"/>
        <v/>
      </c>
    </row>
    <row r="806" spans="9:13" x14ac:dyDescent="0.35">
      <c r="I806" s="21"/>
      <c r="J806" s="20"/>
      <c r="K806" s="20"/>
      <c r="L806" s="20"/>
      <c r="M806" s="23" t="str">
        <f t="shared" si="12"/>
        <v/>
      </c>
    </row>
    <row r="807" spans="9:13" x14ac:dyDescent="0.35">
      <c r="I807" s="21"/>
      <c r="J807" s="20"/>
      <c r="K807" s="20"/>
      <c r="L807" s="20"/>
      <c r="M807" s="23" t="str">
        <f t="shared" si="12"/>
        <v/>
      </c>
    </row>
    <row r="808" spans="9:13" x14ac:dyDescent="0.35">
      <c r="I808" s="21"/>
      <c r="J808" s="20"/>
      <c r="K808" s="20"/>
      <c r="L808" s="20"/>
      <c r="M808" s="23" t="str">
        <f t="shared" si="12"/>
        <v/>
      </c>
    </row>
    <row r="809" spans="9:13" x14ac:dyDescent="0.35">
      <c r="I809" s="21"/>
      <c r="J809" s="20"/>
      <c r="K809" s="20"/>
      <c r="L809" s="20"/>
      <c r="M809" s="23" t="str">
        <f t="shared" si="12"/>
        <v/>
      </c>
    </row>
    <row r="810" spans="9:13" x14ac:dyDescent="0.35">
      <c r="I810" s="21"/>
      <c r="J810" s="20"/>
      <c r="K810" s="20"/>
      <c r="L810" s="20"/>
      <c r="M810" s="23" t="str">
        <f t="shared" si="12"/>
        <v/>
      </c>
    </row>
    <row r="811" spans="9:13" x14ac:dyDescent="0.35">
      <c r="I811" s="21"/>
      <c r="J811" s="20"/>
      <c r="K811" s="20"/>
      <c r="L811" s="20"/>
      <c r="M811" s="23" t="str">
        <f t="shared" si="12"/>
        <v/>
      </c>
    </row>
    <row r="812" spans="9:13" x14ac:dyDescent="0.35">
      <c r="I812" s="21"/>
      <c r="J812" s="20"/>
      <c r="K812" s="20"/>
      <c r="L812" s="20"/>
      <c r="M812" s="23" t="str">
        <f t="shared" si="12"/>
        <v/>
      </c>
    </row>
    <row r="813" spans="9:13" x14ac:dyDescent="0.35">
      <c r="I813" s="21"/>
      <c r="J813" s="20"/>
      <c r="K813" s="20"/>
      <c r="L813" s="20"/>
      <c r="M813" s="23" t="str">
        <f t="shared" si="12"/>
        <v/>
      </c>
    </row>
    <row r="814" spans="9:13" x14ac:dyDescent="0.35">
      <c r="I814" s="21"/>
      <c r="J814" s="20"/>
      <c r="K814" s="20"/>
      <c r="L814" s="20"/>
      <c r="M814" s="23" t="str">
        <f t="shared" si="12"/>
        <v/>
      </c>
    </row>
    <row r="815" spans="9:13" x14ac:dyDescent="0.35">
      <c r="I815" s="21"/>
      <c r="J815" s="20"/>
      <c r="K815" s="20"/>
      <c r="L815" s="20"/>
      <c r="M815" s="23" t="str">
        <f t="shared" si="12"/>
        <v/>
      </c>
    </row>
    <row r="816" spans="9:13" x14ac:dyDescent="0.35">
      <c r="I816" s="21"/>
      <c r="J816" s="20"/>
      <c r="K816" s="20"/>
      <c r="L816" s="20"/>
      <c r="M816" s="23" t="str">
        <f t="shared" si="12"/>
        <v/>
      </c>
    </row>
    <row r="817" spans="9:13" x14ac:dyDescent="0.35">
      <c r="I817" s="21"/>
      <c r="J817" s="20"/>
      <c r="K817" s="20"/>
      <c r="L817" s="20"/>
      <c r="M817" s="23" t="str">
        <f t="shared" si="12"/>
        <v/>
      </c>
    </row>
    <row r="818" spans="9:13" x14ac:dyDescent="0.35">
      <c r="I818" s="21"/>
      <c r="J818" s="20"/>
      <c r="K818" s="20"/>
      <c r="L818" s="20"/>
      <c r="M818" s="23" t="str">
        <f t="shared" si="12"/>
        <v/>
      </c>
    </row>
    <row r="819" spans="9:13" x14ac:dyDescent="0.35">
      <c r="I819" s="21"/>
      <c r="J819" s="20"/>
      <c r="K819" s="20"/>
      <c r="L819" s="20"/>
      <c r="M819" s="23" t="str">
        <f t="shared" si="12"/>
        <v/>
      </c>
    </row>
    <row r="820" spans="9:13" x14ac:dyDescent="0.35">
      <c r="I820" s="21"/>
      <c r="J820" s="20"/>
      <c r="K820" s="20"/>
      <c r="L820" s="20"/>
      <c r="M820" s="23" t="str">
        <f t="shared" si="12"/>
        <v/>
      </c>
    </row>
    <row r="821" spans="9:13" x14ac:dyDescent="0.35">
      <c r="I821" s="21"/>
      <c r="J821" s="20"/>
      <c r="K821" s="20"/>
      <c r="L821" s="20"/>
      <c r="M821" s="23" t="str">
        <f t="shared" si="12"/>
        <v/>
      </c>
    </row>
    <row r="822" spans="9:13" x14ac:dyDescent="0.35">
      <c r="I822" s="21"/>
      <c r="J822" s="20"/>
      <c r="K822" s="20"/>
      <c r="L822" s="20"/>
      <c r="M822" s="23" t="str">
        <f t="shared" si="12"/>
        <v/>
      </c>
    </row>
    <row r="823" spans="9:13" x14ac:dyDescent="0.35">
      <c r="I823" s="21"/>
      <c r="J823" s="20"/>
      <c r="K823" s="20"/>
      <c r="L823" s="20"/>
      <c r="M823" s="23" t="str">
        <f t="shared" si="12"/>
        <v/>
      </c>
    </row>
    <row r="824" spans="9:13" x14ac:dyDescent="0.35">
      <c r="I824" s="21"/>
      <c r="J824" s="20"/>
      <c r="K824" s="20"/>
      <c r="L824" s="20"/>
      <c r="M824" s="23" t="str">
        <f t="shared" si="12"/>
        <v/>
      </c>
    </row>
    <row r="825" spans="9:13" x14ac:dyDescent="0.35">
      <c r="I825" s="21"/>
      <c r="J825" s="20"/>
      <c r="K825" s="20"/>
      <c r="L825" s="20"/>
      <c r="M825" s="23" t="str">
        <f t="shared" si="12"/>
        <v/>
      </c>
    </row>
    <row r="826" spans="9:13" x14ac:dyDescent="0.35">
      <c r="I826" s="21"/>
      <c r="J826" s="20"/>
      <c r="K826" s="20"/>
      <c r="L826" s="20"/>
      <c r="M826" s="23" t="str">
        <f t="shared" si="12"/>
        <v/>
      </c>
    </row>
    <row r="827" spans="9:13" x14ac:dyDescent="0.35">
      <c r="I827" s="21"/>
      <c r="J827" s="20"/>
      <c r="K827" s="20"/>
      <c r="L827" s="20"/>
      <c r="M827" s="23" t="str">
        <f t="shared" si="12"/>
        <v/>
      </c>
    </row>
    <row r="828" spans="9:13" x14ac:dyDescent="0.35">
      <c r="I828" s="21"/>
      <c r="J828" s="20"/>
      <c r="K828" s="20"/>
      <c r="L828" s="20"/>
      <c r="M828" s="23" t="str">
        <f t="shared" si="12"/>
        <v/>
      </c>
    </row>
    <row r="829" spans="9:13" x14ac:dyDescent="0.35">
      <c r="I829" s="21"/>
      <c r="J829" s="20"/>
      <c r="K829" s="20"/>
      <c r="L829" s="20"/>
      <c r="M829" s="23" t="str">
        <f t="shared" si="12"/>
        <v/>
      </c>
    </row>
    <row r="830" spans="9:13" x14ac:dyDescent="0.35">
      <c r="I830" s="21"/>
      <c r="J830" s="20"/>
      <c r="K830" s="20"/>
      <c r="L830" s="20"/>
      <c r="M830" s="23" t="str">
        <f t="shared" si="12"/>
        <v/>
      </c>
    </row>
    <row r="831" spans="9:13" x14ac:dyDescent="0.35">
      <c r="I831" s="21"/>
      <c r="J831" s="20"/>
      <c r="K831" s="20"/>
      <c r="L831" s="20"/>
      <c r="M831" s="23" t="str">
        <f t="shared" si="12"/>
        <v/>
      </c>
    </row>
    <row r="832" spans="9:13" x14ac:dyDescent="0.35">
      <c r="I832" s="21"/>
      <c r="J832" s="20"/>
      <c r="K832" s="20"/>
      <c r="L832" s="20"/>
      <c r="M832" s="23" t="str">
        <f t="shared" si="12"/>
        <v/>
      </c>
    </row>
    <row r="833" spans="9:13" x14ac:dyDescent="0.35">
      <c r="I833" s="21"/>
      <c r="J833" s="20"/>
      <c r="K833" s="20"/>
      <c r="L833" s="20"/>
      <c r="M833" s="23" t="str">
        <f t="shared" si="12"/>
        <v/>
      </c>
    </row>
    <row r="834" spans="9:13" x14ac:dyDescent="0.35">
      <c r="I834" s="21"/>
      <c r="J834" s="20"/>
      <c r="K834" s="20"/>
      <c r="L834" s="20"/>
      <c r="M834" s="23" t="str">
        <f t="shared" si="12"/>
        <v/>
      </c>
    </row>
    <row r="835" spans="9:13" x14ac:dyDescent="0.35">
      <c r="I835" s="21"/>
      <c r="J835" s="20"/>
      <c r="K835" s="20"/>
      <c r="L835" s="20"/>
      <c r="M835" s="23" t="str">
        <f t="shared" si="12"/>
        <v/>
      </c>
    </row>
    <row r="836" spans="9:13" x14ac:dyDescent="0.35">
      <c r="I836" s="21"/>
      <c r="J836" s="20"/>
      <c r="K836" s="20"/>
      <c r="L836" s="20"/>
      <c r="M836" s="23" t="str">
        <f t="shared" si="12"/>
        <v/>
      </c>
    </row>
    <row r="837" spans="9:13" x14ac:dyDescent="0.35">
      <c r="I837" s="21"/>
      <c r="J837" s="20"/>
      <c r="K837" s="20"/>
      <c r="L837" s="20"/>
      <c r="M837" s="23" t="str">
        <f t="shared" si="12"/>
        <v/>
      </c>
    </row>
    <row r="838" spans="9:13" x14ac:dyDescent="0.35">
      <c r="I838" s="21"/>
      <c r="J838" s="20"/>
      <c r="K838" s="20"/>
      <c r="L838" s="20"/>
      <c r="M838" s="23" t="str">
        <f t="shared" si="12"/>
        <v/>
      </c>
    </row>
    <row r="839" spans="9:13" x14ac:dyDescent="0.35">
      <c r="I839" s="21"/>
      <c r="J839" s="20"/>
      <c r="K839" s="20"/>
      <c r="L839" s="20"/>
      <c r="M839" s="23" t="str">
        <f t="shared" si="12"/>
        <v/>
      </c>
    </row>
    <row r="840" spans="9:13" x14ac:dyDescent="0.35">
      <c r="I840" s="21"/>
      <c r="J840" s="20"/>
      <c r="K840" s="20"/>
      <c r="L840" s="20"/>
      <c r="M840" s="23" t="str">
        <f t="shared" si="12"/>
        <v/>
      </c>
    </row>
    <row r="841" spans="9:13" x14ac:dyDescent="0.35">
      <c r="I841" s="21"/>
      <c r="J841" s="20"/>
      <c r="K841" s="20"/>
      <c r="L841" s="20"/>
      <c r="M841" s="23" t="str">
        <f t="shared" ref="M841:M904" si="13">IF(I841="","",RIGHT(SUBSTITUTE(SUBSTITUTE(I841&amp;""," ",""),"+",""),10))</f>
        <v/>
      </c>
    </row>
    <row r="842" spans="9:13" x14ac:dyDescent="0.35">
      <c r="I842" s="21"/>
      <c r="J842" s="20"/>
      <c r="K842" s="20"/>
      <c r="L842" s="20"/>
      <c r="M842" s="23" t="str">
        <f t="shared" si="13"/>
        <v/>
      </c>
    </row>
    <row r="843" spans="9:13" x14ac:dyDescent="0.35">
      <c r="I843" s="21"/>
      <c r="J843" s="20"/>
      <c r="K843" s="20"/>
      <c r="L843" s="20"/>
      <c r="M843" s="23" t="str">
        <f t="shared" si="13"/>
        <v/>
      </c>
    </row>
    <row r="844" spans="9:13" x14ac:dyDescent="0.35">
      <c r="I844" s="21"/>
      <c r="J844" s="20"/>
      <c r="K844" s="20"/>
      <c r="L844" s="20"/>
      <c r="M844" s="23" t="str">
        <f t="shared" si="13"/>
        <v/>
      </c>
    </row>
    <row r="845" spans="9:13" x14ac:dyDescent="0.35">
      <c r="I845" s="21"/>
      <c r="J845" s="20"/>
      <c r="K845" s="20"/>
      <c r="L845" s="20"/>
      <c r="M845" s="23" t="str">
        <f t="shared" si="13"/>
        <v/>
      </c>
    </row>
    <row r="846" spans="9:13" x14ac:dyDescent="0.35">
      <c r="I846" s="21"/>
      <c r="J846" s="20"/>
      <c r="K846" s="20"/>
      <c r="L846" s="20"/>
      <c r="M846" s="23" t="str">
        <f t="shared" si="13"/>
        <v/>
      </c>
    </row>
    <row r="847" spans="9:13" x14ac:dyDescent="0.35">
      <c r="I847" s="21"/>
      <c r="J847" s="20"/>
      <c r="K847" s="20"/>
      <c r="L847" s="20"/>
      <c r="M847" s="23" t="str">
        <f t="shared" si="13"/>
        <v/>
      </c>
    </row>
    <row r="848" spans="9:13" x14ac:dyDescent="0.35">
      <c r="I848" s="21"/>
      <c r="J848" s="20"/>
      <c r="K848" s="20"/>
      <c r="L848" s="20"/>
      <c r="M848" s="23" t="str">
        <f t="shared" si="13"/>
        <v/>
      </c>
    </row>
    <row r="849" spans="9:13" x14ac:dyDescent="0.35">
      <c r="I849" s="21"/>
      <c r="J849" s="20"/>
      <c r="K849" s="20"/>
      <c r="L849" s="20"/>
      <c r="M849" s="23" t="str">
        <f t="shared" si="13"/>
        <v/>
      </c>
    </row>
    <row r="850" spans="9:13" x14ac:dyDescent="0.35">
      <c r="I850" s="21"/>
      <c r="J850" s="20"/>
      <c r="K850" s="20"/>
      <c r="L850" s="20"/>
      <c r="M850" s="23" t="str">
        <f t="shared" si="13"/>
        <v/>
      </c>
    </row>
    <row r="851" spans="9:13" x14ac:dyDescent="0.35">
      <c r="I851" s="21"/>
      <c r="J851" s="20"/>
      <c r="K851" s="20"/>
      <c r="L851" s="20"/>
      <c r="M851" s="23" t="str">
        <f t="shared" si="13"/>
        <v/>
      </c>
    </row>
    <row r="852" spans="9:13" x14ac:dyDescent="0.35">
      <c r="I852" s="21"/>
      <c r="J852" s="20"/>
      <c r="K852" s="20"/>
      <c r="L852" s="20"/>
      <c r="M852" s="23" t="str">
        <f t="shared" si="13"/>
        <v/>
      </c>
    </row>
    <row r="853" spans="9:13" x14ac:dyDescent="0.35">
      <c r="I853" s="21"/>
      <c r="J853" s="20"/>
      <c r="K853" s="20"/>
      <c r="L853" s="20"/>
      <c r="M853" s="23" t="str">
        <f t="shared" si="13"/>
        <v/>
      </c>
    </row>
    <row r="854" spans="9:13" x14ac:dyDescent="0.35">
      <c r="I854" s="21"/>
      <c r="J854" s="20"/>
      <c r="K854" s="20"/>
      <c r="L854" s="20"/>
      <c r="M854" s="23" t="str">
        <f t="shared" si="13"/>
        <v/>
      </c>
    </row>
    <row r="855" spans="9:13" x14ac:dyDescent="0.35">
      <c r="I855" s="21"/>
      <c r="J855" s="20"/>
      <c r="K855" s="20"/>
      <c r="L855" s="20"/>
      <c r="M855" s="23" t="str">
        <f t="shared" si="13"/>
        <v/>
      </c>
    </row>
    <row r="856" spans="9:13" x14ac:dyDescent="0.35">
      <c r="I856" s="21"/>
      <c r="J856" s="20"/>
      <c r="K856" s="20"/>
      <c r="L856" s="20"/>
      <c r="M856" s="23" t="str">
        <f t="shared" si="13"/>
        <v/>
      </c>
    </row>
    <row r="857" spans="9:13" x14ac:dyDescent="0.35">
      <c r="I857" s="21"/>
      <c r="J857" s="20"/>
      <c r="K857" s="20"/>
      <c r="L857" s="20"/>
      <c r="M857" s="23" t="str">
        <f t="shared" si="13"/>
        <v/>
      </c>
    </row>
    <row r="858" spans="9:13" x14ac:dyDescent="0.35">
      <c r="I858" s="21"/>
      <c r="J858" s="20"/>
      <c r="K858" s="20"/>
      <c r="L858" s="20"/>
      <c r="M858" s="23" t="str">
        <f t="shared" si="13"/>
        <v/>
      </c>
    </row>
    <row r="859" spans="9:13" x14ac:dyDescent="0.35">
      <c r="I859" s="21"/>
      <c r="J859" s="20"/>
      <c r="K859" s="20"/>
      <c r="L859" s="20"/>
      <c r="M859" s="23" t="str">
        <f t="shared" si="13"/>
        <v/>
      </c>
    </row>
    <row r="860" spans="9:13" x14ac:dyDescent="0.35">
      <c r="I860" s="21"/>
      <c r="J860" s="20"/>
      <c r="K860" s="20"/>
      <c r="L860" s="20"/>
      <c r="M860" s="23" t="str">
        <f t="shared" si="13"/>
        <v/>
      </c>
    </row>
    <row r="861" spans="9:13" x14ac:dyDescent="0.35">
      <c r="I861" s="21"/>
      <c r="J861" s="20"/>
      <c r="K861" s="20"/>
      <c r="L861" s="20"/>
      <c r="M861" s="23" t="str">
        <f t="shared" si="13"/>
        <v/>
      </c>
    </row>
    <row r="862" spans="9:13" x14ac:dyDescent="0.35">
      <c r="I862" s="21"/>
      <c r="J862" s="20"/>
      <c r="K862" s="20"/>
      <c r="L862" s="20"/>
      <c r="M862" s="23" t="str">
        <f t="shared" si="13"/>
        <v/>
      </c>
    </row>
    <row r="863" spans="9:13" x14ac:dyDescent="0.35">
      <c r="I863" s="21"/>
      <c r="J863" s="20"/>
      <c r="K863" s="20"/>
      <c r="L863" s="20"/>
      <c r="M863" s="23" t="str">
        <f t="shared" si="13"/>
        <v/>
      </c>
    </row>
    <row r="864" spans="9:13" x14ac:dyDescent="0.35">
      <c r="I864" s="21"/>
      <c r="J864" s="20"/>
      <c r="K864" s="20"/>
      <c r="L864" s="20"/>
      <c r="M864" s="23" t="str">
        <f t="shared" si="13"/>
        <v/>
      </c>
    </row>
    <row r="865" spans="9:13" x14ac:dyDescent="0.35">
      <c r="I865" s="21"/>
      <c r="J865" s="20"/>
      <c r="K865" s="20"/>
      <c r="L865" s="20"/>
      <c r="M865" s="23" t="str">
        <f t="shared" si="13"/>
        <v/>
      </c>
    </row>
    <row r="866" spans="9:13" x14ac:dyDescent="0.35">
      <c r="I866" s="21"/>
      <c r="J866" s="20"/>
      <c r="K866" s="20"/>
      <c r="L866" s="20"/>
      <c r="M866" s="23" t="str">
        <f t="shared" si="13"/>
        <v/>
      </c>
    </row>
    <row r="867" spans="9:13" x14ac:dyDescent="0.35">
      <c r="I867" s="21"/>
      <c r="J867" s="20"/>
      <c r="K867" s="20"/>
      <c r="L867" s="20"/>
      <c r="M867" s="23" t="str">
        <f t="shared" si="13"/>
        <v/>
      </c>
    </row>
    <row r="868" spans="9:13" x14ac:dyDescent="0.35">
      <c r="I868" s="21"/>
      <c r="J868" s="20"/>
      <c r="K868" s="20"/>
      <c r="L868" s="20"/>
      <c r="M868" s="23" t="str">
        <f t="shared" si="13"/>
        <v/>
      </c>
    </row>
    <row r="869" spans="9:13" x14ac:dyDescent="0.35">
      <c r="I869" s="21"/>
      <c r="J869" s="20"/>
      <c r="K869" s="20"/>
      <c r="L869" s="20"/>
      <c r="M869" s="23" t="str">
        <f t="shared" si="13"/>
        <v/>
      </c>
    </row>
    <row r="870" spans="9:13" x14ac:dyDescent="0.35">
      <c r="I870" s="21"/>
      <c r="J870" s="20"/>
      <c r="K870" s="20"/>
      <c r="L870" s="20"/>
      <c r="M870" s="23" t="str">
        <f t="shared" si="13"/>
        <v/>
      </c>
    </row>
    <row r="871" spans="9:13" x14ac:dyDescent="0.35">
      <c r="I871" s="21"/>
      <c r="J871" s="20"/>
      <c r="K871" s="20"/>
      <c r="L871" s="20"/>
      <c r="M871" s="23" t="str">
        <f t="shared" si="13"/>
        <v/>
      </c>
    </row>
    <row r="872" spans="9:13" x14ac:dyDescent="0.35">
      <c r="I872" s="21"/>
      <c r="J872" s="20"/>
      <c r="K872" s="20"/>
      <c r="L872" s="20"/>
      <c r="M872" s="23" t="str">
        <f t="shared" si="13"/>
        <v/>
      </c>
    </row>
    <row r="873" spans="9:13" x14ac:dyDescent="0.35">
      <c r="I873" s="21"/>
      <c r="J873" s="20"/>
      <c r="K873" s="20"/>
      <c r="L873" s="20"/>
      <c r="M873" s="23" t="str">
        <f t="shared" si="13"/>
        <v/>
      </c>
    </row>
    <row r="874" spans="9:13" x14ac:dyDescent="0.35">
      <c r="I874" s="21"/>
      <c r="J874" s="20"/>
      <c r="K874" s="20"/>
      <c r="L874" s="20"/>
      <c r="M874" s="23" t="str">
        <f t="shared" si="13"/>
        <v/>
      </c>
    </row>
    <row r="875" spans="9:13" x14ac:dyDescent="0.35">
      <c r="I875" s="21"/>
      <c r="J875" s="20"/>
      <c r="K875" s="20"/>
      <c r="L875" s="20"/>
      <c r="M875" s="23" t="str">
        <f t="shared" si="13"/>
        <v/>
      </c>
    </row>
    <row r="876" spans="9:13" x14ac:dyDescent="0.35">
      <c r="I876" s="21"/>
      <c r="J876" s="20"/>
      <c r="K876" s="20"/>
      <c r="L876" s="20"/>
      <c r="M876" s="23" t="str">
        <f t="shared" si="13"/>
        <v/>
      </c>
    </row>
    <row r="877" spans="9:13" x14ac:dyDescent="0.35">
      <c r="I877" s="21"/>
      <c r="J877" s="20"/>
      <c r="K877" s="20"/>
      <c r="L877" s="20"/>
      <c r="M877" s="23" t="str">
        <f t="shared" si="13"/>
        <v/>
      </c>
    </row>
    <row r="878" spans="9:13" x14ac:dyDescent="0.35">
      <c r="I878" s="21"/>
      <c r="J878" s="20"/>
      <c r="K878" s="20"/>
      <c r="L878" s="20"/>
      <c r="M878" s="23" t="str">
        <f t="shared" si="13"/>
        <v/>
      </c>
    </row>
    <row r="879" spans="9:13" x14ac:dyDescent="0.35">
      <c r="I879" s="21"/>
      <c r="J879" s="20"/>
      <c r="K879" s="20"/>
      <c r="L879" s="20"/>
      <c r="M879" s="23" t="str">
        <f t="shared" si="13"/>
        <v/>
      </c>
    </row>
    <row r="880" spans="9:13" x14ac:dyDescent="0.35">
      <c r="I880" s="21"/>
      <c r="J880" s="20"/>
      <c r="K880" s="20"/>
      <c r="L880" s="20"/>
      <c r="M880" s="23" t="str">
        <f t="shared" si="13"/>
        <v/>
      </c>
    </row>
    <row r="881" spans="9:13" x14ac:dyDescent="0.35">
      <c r="I881" s="21"/>
      <c r="J881" s="20"/>
      <c r="K881" s="20"/>
      <c r="L881" s="20"/>
      <c r="M881" s="23" t="str">
        <f t="shared" si="13"/>
        <v/>
      </c>
    </row>
    <row r="882" spans="9:13" x14ac:dyDescent="0.35">
      <c r="I882" s="21"/>
      <c r="J882" s="20"/>
      <c r="K882" s="20"/>
      <c r="L882" s="20"/>
      <c r="M882" s="23" t="str">
        <f t="shared" si="13"/>
        <v/>
      </c>
    </row>
    <row r="883" spans="9:13" x14ac:dyDescent="0.35">
      <c r="I883" s="21"/>
      <c r="J883" s="20"/>
      <c r="K883" s="20"/>
      <c r="L883" s="20"/>
      <c r="M883" s="23" t="str">
        <f t="shared" si="13"/>
        <v/>
      </c>
    </row>
    <row r="884" spans="9:13" x14ac:dyDescent="0.35">
      <c r="I884" s="21"/>
      <c r="J884" s="20"/>
      <c r="K884" s="20"/>
      <c r="L884" s="20"/>
      <c r="M884" s="23" t="str">
        <f t="shared" si="13"/>
        <v/>
      </c>
    </row>
    <row r="885" spans="9:13" x14ac:dyDescent="0.35">
      <c r="I885" s="21"/>
      <c r="J885" s="20"/>
      <c r="K885" s="20"/>
      <c r="L885" s="20"/>
      <c r="M885" s="23" t="str">
        <f t="shared" si="13"/>
        <v/>
      </c>
    </row>
    <row r="886" spans="9:13" x14ac:dyDescent="0.35">
      <c r="I886" s="21"/>
      <c r="J886" s="20"/>
      <c r="K886" s="20"/>
      <c r="L886" s="20"/>
      <c r="M886" s="23" t="str">
        <f t="shared" si="13"/>
        <v/>
      </c>
    </row>
    <row r="887" spans="9:13" x14ac:dyDescent="0.35">
      <c r="I887" s="21"/>
      <c r="J887" s="20"/>
      <c r="K887" s="20"/>
      <c r="L887" s="20"/>
      <c r="M887" s="23" t="str">
        <f t="shared" si="13"/>
        <v/>
      </c>
    </row>
    <row r="888" spans="9:13" x14ac:dyDescent="0.35">
      <c r="I888" s="21"/>
      <c r="J888" s="20"/>
      <c r="K888" s="20"/>
      <c r="L888" s="20"/>
      <c r="M888" s="23" t="str">
        <f t="shared" si="13"/>
        <v/>
      </c>
    </row>
    <row r="889" spans="9:13" x14ac:dyDescent="0.35">
      <c r="I889" s="21"/>
      <c r="J889" s="20"/>
      <c r="K889" s="20"/>
      <c r="L889" s="20"/>
      <c r="M889" s="23" t="str">
        <f t="shared" si="13"/>
        <v/>
      </c>
    </row>
    <row r="890" spans="9:13" x14ac:dyDescent="0.35">
      <c r="I890" s="21"/>
      <c r="J890" s="20"/>
      <c r="K890" s="20"/>
      <c r="L890" s="20"/>
      <c r="M890" s="23" t="str">
        <f t="shared" si="13"/>
        <v/>
      </c>
    </row>
    <row r="891" spans="9:13" x14ac:dyDescent="0.35">
      <c r="I891" s="21"/>
      <c r="J891" s="20"/>
      <c r="K891" s="20"/>
      <c r="L891" s="20"/>
      <c r="M891" s="23" t="str">
        <f t="shared" si="13"/>
        <v/>
      </c>
    </row>
    <row r="892" spans="9:13" x14ac:dyDescent="0.35">
      <c r="I892" s="21"/>
      <c r="J892" s="20"/>
      <c r="K892" s="20"/>
      <c r="L892" s="20"/>
      <c r="M892" s="23" t="str">
        <f t="shared" si="13"/>
        <v/>
      </c>
    </row>
    <row r="893" spans="9:13" x14ac:dyDescent="0.35">
      <c r="I893" s="21"/>
      <c r="J893" s="20"/>
      <c r="K893" s="20"/>
      <c r="L893" s="20"/>
      <c r="M893" s="23" t="str">
        <f t="shared" si="13"/>
        <v/>
      </c>
    </row>
    <row r="894" spans="9:13" x14ac:dyDescent="0.35">
      <c r="I894" s="21"/>
      <c r="J894" s="20"/>
      <c r="K894" s="20"/>
      <c r="L894" s="20"/>
      <c r="M894" s="23" t="str">
        <f t="shared" si="13"/>
        <v/>
      </c>
    </row>
    <row r="895" spans="9:13" x14ac:dyDescent="0.35">
      <c r="I895" s="21"/>
      <c r="J895" s="20"/>
      <c r="K895" s="20"/>
      <c r="L895" s="20"/>
      <c r="M895" s="23" t="str">
        <f t="shared" si="13"/>
        <v/>
      </c>
    </row>
    <row r="896" spans="9:13" x14ac:dyDescent="0.35">
      <c r="I896" s="21"/>
      <c r="J896" s="20"/>
      <c r="K896" s="20"/>
      <c r="L896" s="20"/>
      <c r="M896" s="23" t="str">
        <f t="shared" si="13"/>
        <v/>
      </c>
    </row>
    <row r="897" spans="9:13" x14ac:dyDescent="0.35">
      <c r="I897" s="21"/>
      <c r="J897" s="20"/>
      <c r="K897" s="20"/>
      <c r="L897" s="20"/>
      <c r="M897" s="23" t="str">
        <f t="shared" si="13"/>
        <v/>
      </c>
    </row>
    <row r="898" spans="9:13" x14ac:dyDescent="0.35">
      <c r="I898" s="21"/>
      <c r="J898" s="20"/>
      <c r="K898" s="20"/>
      <c r="L898" s="20"/>
      <c r="M898" s="23" t="str">
        <f t="shared" si="13"/>
        <v/>
      </c>
    </row>
    <row r="899" spans="9:13" x14ac:dyDescent="0.35">
      <c r="I899" s="21"/>
      <c r="J899" s="20"/>
      <c r="K899" s="20"/>
      <c r="L899" s="20"/>
      <c r="M899" s="23" t="str">
        <f t="shared" si="13"/>
        <v/>
      </c>
    </row>
    <row r="900" spans="9:13" x14ac:dyDescent="0.35">
      <c r="I900" s="21"/>
      <c r="J900" s="20"/>
      <c r="K900" s="20"/>
      <c r="L900" s="20"/>
      <c r="M900" s="23" t="str">
        <f t="shared" si="13"/>
        <v/>
      </c>
    </row>
    <row r="901" spans="9:13" x14ac:dyDescent="0.35">
      <c r="I901" s="21"/>
      <c r="J901" s="20"/>
      <c r="K901" s="20"/>
      <c r="L901" s="20"/>
      <c r="M901" s="23" t="str">
        <f t="shared" si="13"/>
        <v/>
      </c>
    </row>
    <row r="902" spans="9:13" x14ac:dyDescent="0.35">
      <c r="I902" s="21"/>
      <c r="J902" s="20"/>
      <c r="K902" s="20"/>
      <c r="L902" s="20"/>
      <c r="M902" s="23" t="str">
        <f t="shared" si="13"/>
        <v/>
      </c>
    </row>
    <row r="903" spans="9:13" x14ac:dyDescent="0.35">
      <c r="I903" s="21"/>
      <c r="J903" s="20"/>
      <c r="K903" s="20"/>
      <c r="L903" s="20"/>
      <c r="M903" s="23" t="str">
        <f t="shared" si="13"/>
        <v/>
      </c>
    </row>
    <row r="904" spans="9:13" x14ac:dyDescent="0.35">
      <c r="I904" s="21"/>
      <c r="J904" s="20"/>
      <c r="K904" s="20"/>
      <c r="L904" s="20"/>
      <c r="M904" s="23" t="str">
        <f t="shared" si="13"/>
        <v/>
      </c>
    </row>
    <row r="905" spans="9:13" x14ac:dyDescent="0.35">
      <c r="I905" s="21"/>
      <c r="J905" s="20"/>
      <c r="K905" s="20"/>
      <c r="L905" s="20"/>
      <c r="M905" s="23" t="str">
        <f t="shared" ref="M905:M968" si="14">IF(I905="","",RIGHT(SUBSTITUTE(SUBSTITUTE(I905&amp;""," ",""),"+",""),10))</f>
        <v/>
      </c>
    </row>
    <row r="906" spans="9:13" x14ac:dyDescent="0.35">
      <c r="I906" s="21"/>
      <c r="J906" s="20"/>
      <c r="K906" s="20"/>
      <c r="L906" s="20"/>
      <c r="M906" s="23" t="str">
        <f t="shared" si="14"/>
        <v/>
      </c>
    </row>
    <row r="907" spans="9:13" x14ac:dyDescent="0.35">
      <c r="I907" s="21"/>
      <c r="J907" s="20"/>
      <c r="K907" s="20"/>
      <c r="L907" s="20"/>
      <c r="M907" s="23" t="str">
        <f t="shared" si="14"/>
        <v/>
      </c>
    </row>
    <row r="908" spans="9:13" x14ac:dyDescent="0.35">
      <c r="I908" s="21"/>
      <c r="J908" s="20"/>
      <c r="K908" s="20"/>
      <c r="L908" s="20"/>
      <c r="M908" s="23" t="str">
        <f t="shared" si="14"/>
        <v/>
      </c>
    </row>
    <row r="909" spans="9:13" x14ac:dyDescent="0.35">
      <c r="I909" s="21"/>
      <c r="J909" s="20"/>
      <c r="K909" s="20"/>
      <c r="L909" s="20"/>
      <c r="M909" s="23" t="str">
        <f t="shared" si="14"/>
        <v/>
      </c>
    </row>
    <row r="910" spans="9:13" x14ac:dyDescent="0.35">
      <c r="I910" s="21"/>
      <c r="J910" s="20"/>
      <c r="K910" s="20"/>
      <c r="L910" s="20"/>
      <c r="M910" s="23" t="str">
        <f t="shared" si="14"/>
        <v/>
      </c>
    </row>
    <row r="911" spans="9:13" x14ac:dyDescent="0.35">
      <c r="I911" s="21"/>
      <c r="J911" s="20"/>
      <c r="K911" s="20"/>
      <c r="L911" s="20"/>
      <c r="M911" s="23" t="str">
        <f t="shared" si="14"/>
        <v/>
      </c>
    </row>
    <row r="912" spans="9:13" x14ac:dyDescent="0.35">
      <c r="I912" s="21"/>
      <c r="J912" s="20"/>
      <c r="K912" s="20"/>
      <c r="L912" s="20"/>
      <c r="M912" s="23" t="str">
        <f t="shared" si="14"/>
        <v/>
      </c>
    </row>
    <row r="913" spans="9:13" x14ac:dyDescent="0.35">
      <c r="I913" s="21"/>
      <c r="J913" s="20"/>
      <c r="K913" s="20"/>
      <c r="L913" s="20"/>
      <c r="M913" s="23" t="str">
        <f t="shared" si="14"/>
        <v/>
      </c>
    </row>
    <row r="914" spans="9:13" x14ac:dyDescent="0.35">
      <c r="I914" s="21"/>
      <c r="J914" s="20"/>
      <c r="K914" s="20"/>
      <c r="L914" s="20"/>
      <c r="M914" s="23" t="str">
        <f t="shared" si="14"/>
        <v/>
      </c>
    </row>
    <row r="915" spans="9:13" x14ac:dyDescent="0.35">
      <c r="I915" s="21"/>
      <c r="J915" s="20"/>
      <c r="K915" s="20"/>
      <c r="L915" s="20"/>
      <c r="M915" s="23" t="str">
        <f t="shared" si="14"/>
        <v/>
      </c>
    </row>
    <row r="916" spans="9:13" x14ac:dyDescent="0.35">
      <c r="I916" s="21"/>
      <c r="J916" s="20"/>
      <c r="K916" s="20"/>
      <c r="L916" s="20"/>
      <c r="M916" s="23" t="str">
        <f t="shared" si="14"/>
        <v/>
      </c>
    </row>
    <row r="917" spans="9:13" x14ac:dyDescent="0.35">
      <c r="I917" s="21"/>
      <c r="J917" s="20"/>
      <c r="K917" s="20"/>
      <c r="L917" s="20"/>
      <c r="M917" s="23" t="str">
        <f t="shared" si="14"/>
        <v/>
      </c>
    </row>
    <row r="918" spans="9:13" x14ac:dyDescent="0.35">
      <c r="I918" s="21"/>
      <c r="J918" s="20"/>
      <c r="K918" s="20"/>
      <c r="L918" s="20"/>
      <c r="M918" s="23" t="str">
        <f t="shared" si="14"/>
        <v/>
      </c>
    </row>
    <row r="919" spans="9:13" x14ac:dyDescent="0.35">
      <c r="I919" s="21"/>
      <c r="J919" s="20"/>
      <c r="K919" s="20"/>
      <c r="L919" s="20"/>
      <c r="M919" s="23" t="str">
        <f t="shared" si="14"/>
        <v/>
      </c>
    </row>
    <row r="920" spans="9:13" x14ac:dyDescent="0.35">
      <c r="I920" s="21"/>
      <c r="J920" s="20"/>
      <c r="K920" s="20"/>
      <c r="L920" s="20"/>
      <c r="M920" s="23" t="str">
        <f t="shared" si="14"/>
        <v/>
      </c>
    </row>
    <row r="921" spans="9:13" x14ac:dyDescent="0.35">
      <c r="I921" s="21"/>
      <c r="J921" s="20"/>
      <c r="K921" s="20"/>
      <c r="L921" s="20"/>
      <c r="M921" s="23" t="str">
        <f t="shared" si="14"/>
        <v/>
      </c>
    </row>
    <row r="922" spans="9:13" x14ac:dyDescent="0.35">
      <c r="I922" s="21"/>
      <c r="J922" s="20"/>
      <c r="K922" s="20"/>
      <c r="L922" s="20"/>
      <c r="M922" s="23" t="str">
        <f t="shared" si="14"/>
        <v/>
      </c>
    </row>
    <row r="923" spans="9:13" x14ac:dyDescent="0.35">
      <c r="I923" s="21"/>
      <c r="J923" s="20"/>
      <c r="K923" s="20"/>
      <c r="L923" s="20"/>
      <c r="M923" s="23" t="str">
        <f t="shared" si="14"/>
        <v/>
      </c>
    </row>
    <row r="924" spans="9:13" x14ac:dyDescent="0.35">
      <c r="I924" s="21"/>
      <c r="J924" s="20"/>
      <c r="K924" s="20"/>
      <c r="L924" s="20"/>
      <c r="M924" s="23" t="str">
        <f t="shared" si="14"/>
        <v/>
      </c>
    </row>
    <row r="925" spans="9:13" x14ac:dyDescent="0.35">
      <c r="I925" s="21"/>
      <c r="J925" s="20"/>
      <c r="K925" s="20"/>
      <c r="L925" s="20"/>
      <c r="M925" s="23" t="str">
        <f t="shared" si="14"/>
        <v/>
      </c>
    </row>
    <row r="926" spans="9:13" x14ac:dyDescent="0.35">
      <c r="I926" s="21"/>
      <c r="J926" s="20"/>
      <c r="K926" s="20"/>
      <c r="L926" s="20"/>
      <c r="M926" s="23" t="str">
        <f t="shared" si="14"/>
        <v/>
      </c>
    </row>
    <row r="927" spans="9:13" x14ac:dyDescent="0.35">
      <c r="I927" s="21"/>
      <c r="J927" s="20"/>
      <c r="K927" s="20"/>
      <c r="L927" s="20"/>
      <c r="M927" s="23" t="str">
        <f t="shared" si="14"/>
        <v/>
      </c>
    </row>
    <row r="928" spans="9:13" x14ac:dyDescent="0.35">
      <c r="I928" s="21"/>
      <c r="J928" s="20"/>
      <c r="K928" s="20"/>
      <c r="L928" s="20"/>
      <c r="M928" s="23" t="str">
        <f t="shared" si="14"/>
        <v/>
      </c>
    </row>
    <row r="929" spans="9:13" x14ac:dyDescent="0.35">
      <c r="I929" s="21"/>
      <c r="J929" s="20"/>
      <c r="K929" s="20"/>
      <c r="L929" s="20"/>
      <c r="M929" s="23" t="str">
        <f t="shared" si="14"/>
        <v/>
      </c>
    </row>
    <row r="930" spans="9:13" x14ac:dyDescent="0.35">
      <c r="I930" s="21"/>
      <c r="J930" s="20"/>
      <c r="K930" s="20"/>
      <c r="L930" s="20"/>
      <c r="M930" s="23" t="str">
        <f t="shared" si="14"/>
        <v/>
      </c>
    </row>
    <row r="931" spans="9:13" x14ac:dyDescent="0.35">
      <c r="I931" s="21"/>
      <c r="J931" s="20"/>
      <c r="K931" s="20"/>
      <c r="L931" s="20"/>
      <c r="M931" s="23" t="str">
        <f t="shared" si="14"/>
        <v/>
      </c>
    </row>
    <row r="932" spans="9:13" x14ac:dyDescent="0.35">
      <c r="I932" s="21"/>
      <c r="J932" s="20"/>
      <c r="K932" s="20"/>
      <c r="L932" s="20"/>
      <c r="M932" s="23" t="str">
        <f t="shared" si="14"/>
        <v/>
      </c>
    </row>
    <row r="933" spans="9:13" x14ac:dyDescent="0.35">
      <c r="I933" s="21"/>
      <c r="J933" s="20"/>
      <c r="K933" s="20"/>
      <c r="L933" s="20"/>
      <c r="M933" s="23" t="str">
        <f t="shared" si="14"/>
        <v/>
      </c>
    </row>
    <row r="934" spans="9:13" x14ac:dyDescent="0.35">
      <c r="I934" s="21"/>
      <c r="J934" s="20"/>
      <c r="K934" s="20"/>
      <c r="L934" s="20"/>
      <c r="M934" s="23" t="str">
        <f t="shared" si="14"/>
        <v/>
      </c>
    </row>
    <row r="935" spans="9:13" x14ac:dyDescent="0.35">
      <c r="I935" s="21"/>
      <c r="J935" s="20"/>
      <c r="K935" s="20"/>
      <c r="L935" s="20"/>
      <c r="M935" s="23" t="str">
        <f t="shared" si="14"/>
        <v/>
      </c>
    </row>
    <row r="936" spans="9:13" x14ac:dyDescent="0.35">
      <c r="I936" s="21"/>
      <c r="J936" s="20"/>
      <c r="K936" s="20"/>
      <c r="L936" s="20"/>
      <c r="M936" s="23" t="str">
        <f t="shared" si="14"/>
        <v/>
      </c>
    </row>
    <row r="937" spans="9:13" x14ac:dyDescent="0.35">
      <c r="I937" s="21"/>
      <c r="J937" s="20"/>
      <c r="K937" s="20"/>
      <c r="L937" s="20"/>
      <c r="M937" s="23" t="str">
        <f t="shared" si="14"/>
        <v/>
      </c>
    </row>
    <row r="938" spans="9:13" x14ac:dyDescent="0.35">
      <c r="I938" s="21"/>
      <c r="J938" s="20"/>
      <c r="K938" s="20"/>
      <c r="L938" s="20"/>
      <c r="M938" s="23" t="str">
        <f t="shared" si="14"/>
        <v/>
      </c>
    </row>
    <row r="939" spans="9:13" x14ac:dyDescent="0.35">
      <c r="I939" s="21"/>
      <c r="J939" s="20"/>
      <c r="K939" s="20"/>
      <c r="L939" s="20"/>
      <c r="M939" s="23" t="str">
        <f t="shared" si="14"/>
        <v/>
      </c>
    </row>
    <row r="940" spans="9:13" x14ac:dyDescent="0.35">
      <c r="I940" s="21"/>
      <c r="J940" s="20"/>
      <c r="K940" s="20"/>
      <c r="L940" s="20"/>
      <c r="M940" s="23" t="str">
        <f t="shared" si="14"/>
        <v/>
      </c>
    </row>
    <row r="941" spans="9:13" x14ac:dyDescent="0.35">
      <c r="I941" s="21"/>
      <c r="J941" s="20"/>
      <c r="K941" s="20"/>
      <c r="L941" s="20"/>
      <c r="M941" s="23" t="str">
        <f t="shared" si="14"/>
        <v/>
      </c>
    </row>
    <row r="942" spans="9:13" x14ac:dyDescent="0.35">
      <c r="I942" s="21"/>
      <c r="J942" s="20"/>
      <c r="K942" s="20"/>
      <c r="L942" s="20"/>
      <c r="M942" s="23" t="str">
        <f t="shared" si="14"/>
        <v/>
      </c>
    </row>
    <row r="943" spans="9:13" x14ac:dyDescent="0.35">
      <c r="I943" s="21"/>
      <c r="J943" s="20"/>
      <c r="K943" s="20"/>
      <c r="L943" s="20"/>
      <c r="M943" s="23" t="str">
        <f t="shared" si="14"/>
        <v/>
      </c>
    </row>
    <row r="944" spans="9:13" x14ac:dyDescent="0.35">
      <c r="I944" s="21"/>
      <c r="J944" s="20"/>
      <c r="K944" s="20"/>
      <c r="L944" s="20"/>
      <c r="M944" s="23" t="str">
        <f t="shared" si="14"/>
        <v/>
      </c>
    </row>
    <row r="945" spans="9:13" x14ac:dyDescent="0.35">
      <c r="I945" s="21"/>
      <c r="J945" s="20"/>
      <c r="K945" s="20"/>
      <c r="L945" s="20"/>
      <c r="M945" s="23" t="str">
        <f t="shared" si="14"/>
        <v/>
      </c>
    </row>
    <row r="946" spans="9:13" x14ac:dyDescent="0.35">
      <c r="I946" s="21"/>
      <c r="J946" s="20"/>
      <c r="K946" s="20"/>
      <c r="L946" s="20"/>
      <c r="M946" s="23" t="str">
        <f t="shared" si="14"/>
        <v/>
      </c>
    </row>
    <row r="947" spans="9:13" x14ac:dyDescent="0.35">
      <c r="I947" s="21"/>
      <c r="J947" s="20"/>
      <c r="K947" s="20"/>
      <c r="L947" s="20"/>
      <c r="M947" s="23" t="str">
        <f t="shared" si="14"/>
        <v/>
      </c>
    </row>
    <row r="948" spans="9:13" x14ac:dyDescent="0.35">
      <c r="I948" s="21"/>
      <c r="J948" s="20"/>
      <c r="K948" s="20"/>
      <c r="L948" s="20"/>
      <c r="M948" s="23" t="str">
        <f t="shared" si="14"/>
        <v/>
      </c>
    </row>
    <row r="949" spans="9:13" x14ac:dyDescent="0.35">
      <c r="I949" s="21"/>
      <c r="J949" s="20"/>
      <c r="K949" s="20"/>
      <c r="L949" s="20"/>
      <c r="M949" s="23" t="str">
        <f t="shared" si="14"/>
        <v/>
      </c>
    </row>
    <row r="950" spans="9:13" x14ac:dyDescent="0.35">
      <c r="I950" s="21"/>
      <c r="J950" s="20"/>
      <c r="K950" s="20"/>
      <c r="L950" s="20"/>
      <c r="M950" s="23" t="str">
        <f t="shared" si="14"/>
        <v/>
      </c>
    </row>
    <row r="951" spans="9:13" x14ac:dyDescent="0.35">
      <c r="I951" s="21"/>
      <c r="J951" s="20"/>
      <c r="K951" s="20"/>
      <c r="L951" s="20"/>
      <c r="M951" s="23" t="str">
        <f t="shared" si="14"/>
        <v/>
      </c>
    </row>
    <row r="952" spans="9:13" x14ac:dyDescent="0.35">
      <c r="I952" s="21"/>
      <c r="J952" s="20"/>
      <c r="K952" s="20"/>
      <c r="L952" s="20"/>
      <c r="M952" s="23" t="str">
        <f t="shared" si="14"/>
        <v/>
      </c>
    </row>
    <row r="953" spans="9:13" x14ac:dyDescent="0.35">
      <c r="I953" s="21"/>
      <c r="J953" s="20"/>
      <c r="K953" s="20"/>
      <c r="L953" s="20"/>
      <c r="M953" s="23" t="str">
        <f t="shared" si="14"/>
        <v/>
      </c>
    </row>
    <row r="954" spans="9:13" x14ac:dyDescent="0.35">
      <c r="I954" s="21"/>
      <c r="J954" s="20"/>
      <c r="K954" s="20"/>
      <c r="L954" s="20"/>
      <c r="M954" s="23" t="str">
        <f t="shared" si="14"/>
        <v/>
      </c>
    </row>
    <row r="955" spans="9:13" x14ac:dyDescent="0.35">
      <c r="I955" s="21"/>
      <c r="J955" s="20"/>
      <c r="K955" s="20"/>
      <c r="L955" s="20"/>
      <c r="M955" s="23" t="str">
        <f t="shared" si="14"/>
        <v/>
      </c>
    </row>
    <row r="956" spans="9:13" x14ac:dyDescent="0.35">
      <c r="I956" s="21"/>
      <c r="J956" s="20"/>
      <c r="K956" s="20"/>
      <c r="L956" s="20"/>
      <c r="M956" s="23" t="str">
        <f t="shared" si="14"/>
        <v/>
      </c>
    </row>
    <row r="957" spans="9:13" x14ac:dyDescent="0.35">
      <c r="I957" s="21"/>
      <c r="J957" s="20"/>
      <c r="K957" s="20"/>
      <c r="L957" s="20"/>
      <c r="M957" s="23" t="str">
        <f t="shared" si="14"/>
        <v/>
      </c>
    </row>
    <row r="958" spans="9:13" x14ac:dyDescent="0.35">
      <c r="I958" s="21"/>
      <c r="J958" s="20"/>
      <c r="K958" s="20"/>
      <c r="L958" s="20"/>
      <c r="M958" s="23" t="str">
        <f t="shared" si="14"/>
        <v/>
      </c>
    </row>
    <row r="959" spans="9:13" x14ac:dyDescent="0.35">
      <c r="I959" s="21"/>
      <c r="J959" s="20"/>
      <c r="K959" s="20"/>
      <c r="L959" s="20"/>
      <c r="M959" s="23" t="str">
        <f t="shared" si="14"/>
        <v/>
      </c>
    </row>
    <row r="960" spans="9:13" x14ac:dyDescent="0.35">
      <c r="I960" s="21"/>
      <c r="J960" s="20"/>
      <c r="K960" s="20"/>
      <c r="L960" s="20"/>
      <c r="M960" s="23" t="str">
        <f t="shared" si="14"/>
        <v/>
      </c>
    </row>
    <row r="961" spans="9:13" x14ac:dyDescent="0.35">
      <c r="I961" s="21"/>
      <c r="J961" s="20"/>
      <c r="K961" s="20"/>
      <c r="L961" s="20"/>
      <c r="M961" s="23" t="str">
        <f t="shared" si="14"/>
        <v/>
      </c>
    </row>
    <row r="962" spans="9:13" x14ac:dyDescent="0.35">
      <c r="I962" s="21"/>
      <c r="J962" s="20"/>
      <c r="K962" s="20"/>
      <c r="L962" s="20"/>
      <c r="M962" s="23" t="str">
        <f t="shared" si="14"/>
        <v/>
      </c>
    </row>
    <row r="963" spans="9:13" x14ac:dyDescent="0.35">
      <c r="I963" s="21"/>
      <c r="J963" s="20"/>
      <c r="K963" s="20"/>
      <c r="L963" s="20"/>
      <c r="M963" s="23" t="str">
        <f t="shared" si="14"/>
        <v/>
      </c>
    </row>
    <row r="964" spans="9:13" x14ac:dyDescent="0.35">
      <c r="I964" s="21"/>
      <c r="J964" s="20"/>
      <c r="K964" s="20"/>
      <c r="L964" s="20"/>
      <c r="M964" s="23" t="str">
        <f t="shared" si="14"/>
        <v/>
      </c>
    </row>
    <row r="965" spans="9:13" x14ac:dyDescent="0.35">
      <c r="I965" s="21"/>
      <c r="J965" s="20"/>
      <c r="K965" s="20"/>
      <c r="L965" s="20"/>
      <c r="M965" s="23" t="str">
        <f t="shared" si="14"/>
        <v/>
      </c>
    </row>
    <row r="966" spans="9:13" x14ac:dyDescent="0.35">
      <c r="I966" s="21"/>
      <c r="J966" s="20"/>
      <c r="K966" s="20"/>
      <c r="L966" s="20"/>
      <c r="M966" s="23" t="str">
        <f t="shared" si="14"/>
        <v/>
      </c>
    </row>
    <row r="967" spans="9:13" x14ac:dyDescent="0.35">
      <c r="I967" s="21"/>
      <c r="J967" s="20"/>
      <c r="K967" s="20"/>
      <c r="L967" s="20"/>
      <c r="M967" s="23" t="str">
        <f t="shared" si="14"/>
        <v/>
      </c>
    </row>
    <row r="968" spans="9:13" x14ac:dyDescent="0.35">
      <c r="I968" s="21"/>
      <c r="J968" s="20"/>
      <c r="K968" s="20"/>
      <c r="L968" s="20"/>
      <c r="M968" s="23" t="str">
        <f t="shared" si="14"/>
        <v/>
      </c>
    </row>
    <row r="969" spans="9:13" x14ac:dyDescent="0.35">
      <c r="I969" s="21"/>
      <c r="J969" s="20"/>
      <c r="K969" s="20"/>
      <c r="L969" s="20"/>
      <c r="M969" s="23" t="str">
        <f t="shared" ref="M969:M1008" si="15">IF(I969="","",RIGHT(SUBSTITUTE(SUBSTITUTE(I969&amp;""," ",""),"+",""),10))</f>
        <v/>
      </c>
    </row>
    <row r="970" spans="9:13" x14ac:dyDescent="0.35">
      <c r="I970" s="21"/>
      <c r="J970" s="20"/>
      <c r="K970" s="20"/>
      <c r="L970" s="20"/>
      <c r="M970" s="23" t="str">
        <f t="shared" si="15"/>
        <v/>
      </c>
    </row>
    <row r="971" spans="9:13" x14ac:dyDescent="0.35">
      <c r="I971" s="21"/>
      <c r="J971" s="20"/>
      <c r="K971" s="20"/>
      <c r="L971" s="20"/>
      <c r="M971" s="23" t="str">
        <f t="shared" si="15"/>
        <v/>
      </c>
    </row>
    <row r="972" spans="9:13" x14ac:dyDescent="0.35">
      <c r="I972" s="21"/>
      <c r="J972" s="20"/>
      <c r="K972" s="20"/>
      <c r="L972" s="20"/>
      <c r="M972" s="23" t="str">
        <f t="shared" si="15"/>
        <v/>
      </c>
    </row>
    <row r="973" spans="9:13" x14ac:dyDescent="0.35">
      <c r="I973" s="21"/>
      <c r="J973" s="20"/>
      <c r="K973" s="20"/>
      <c r="L973" s="20"/>
      <c r="M973" s="23" t="str">
        <f t="shared" si="15"/>
        <v/>
      </c>
    </row>
    <row r="974" spans="9:13" x14ac:dyDescent="0.35">
      <c r="I974" s="21"/>
      <c r="J974" s="20"/>
      <c r="K974" s="20"/>
      <c r="L974" s="20"/>
      <c r="M974" s="23" t="str">
        <f t="shared" si="15"/>
        <v/>
      </c>
    </row>
    <row r="975" spans="9:13" x14ac:dyDescent="0.35">
      <c r="I975" s="21"/>
      <c r="J975" s="20"/>
      <c r="K975" s="20"/>
      <c r="L975" s="20"/>
      <c r="M975" s="23" t="str">
        <f t="shared" si="15"/>
        <v/>
      </c>
    </row>
    <row r="976" spans="9:13" x14ac:dyDescent="0.35">
      <c r="I976" s="21"/>
      <c r="J976" s="20"/>
      <c r="K976" s="20"/>
      <c r="L976" s="20"/>
      <c r="M976" s="23" t="str">
        <f t="shared" si="15"/>
        <v/>
      </c>
    </row>
    <row r="977" spans="9:13" x14ac:dyDescent="0.35">
      <c r="I977" s="21"/>
      <c r="J977" s="20"/>
      <c r="K977" s="20"/>
      <c r="L977" s="20"/>
      <c r="M977" s="23" t="str">
        <f t="shared" si="15"/>
        <v/>
      </c>
    </row>
    <row r="978" spans="9:13" x14ac:dyDescent="0.35">
      <c r="I978" s="21"/>
      <c r="J978" s="20"/>
      <c r="K978" s="20"/>
      <c r="L978" s="20"/>
      <c r="M978" s="23" t="str">
        <f t="shared" si="15"/>
        <v/>
      </c>
    </row>
    <row r="979" spans="9:13" x14ac:dyDescent="0.35">
      <c r="I979" s="21"/>
      <c r="J979" s="20"/>
      <c r="K979" s="20"/>
      <c r="L979" s="20"/>
      <c r="M979" s="23" t="str">
        <f t="shared" si="15"/>
        <v/>
      </c>
    </row>
    <row r="980" spans="9:13" x14ac:dyDescent="0.35">
      <c r="I980" s="21"/>
      <c r="J980" s="20"/>
      <c r="K980" s="20"/>
      <c r="L980" s="20"/>
      <c r="M980" s="23" t="str">
        <f t="shared" si="15"/>
        <v/>
      </c>
    </row>
    <row r="981" spans="9:13" x14ac:dyDescent="0.35">
      <c r="I981" s="21"/>
      <c r="J981" s="20"/>
      <c r="K981" s="20"/>
      <c r="L981" s="20"/>
      <c r="M981" s="23" t="str">
        <f t="shared" si="15"/>
        <v/>
      </c>
    </row>
    <row r="982" spans="9:13" x14ac:dyDescent="0.35">
      <c r="I982" s="21"/>
      <c r="J982" s="20"/>
      <c r="K982" s="20"/>
      <c r="L982" s="20"/>
      <c r="M982" s="23" t="str">
        <f t="shared" si="15"/>
        <v/>
      </c>
    </row>
    <row r="983" spans="9:13" x14ac:dyDescent="0.35">
      <c r="I983" s="21"/>
      <c r="J983" s="20"/>
      <c r="K983" s="20"/>
      <c r="L983" s="20"/>
      <c r="M983" s="23" t="str">
        <f t="shared" si="15"/>
        <v/>
      </c>
    </row>
    <row r="984" spans="9:13" x14ac:dyDescent="0.35">
      <c r="I984" s="21"/>
      <c r="J984" s="20"/>
      <c r="K984" s="20"/>
      <c r="L984" s="20"/>
      <c r="M984" s="23" t="str">
        <f t="shared" si="15"/>
        <v/>
      </c>
    </row>
    <row r="985" spans="9:13" x14ac:dyDescent="0.35">
      <c r="I985" s="21"/>
      <c r="J985" s="20"/>
      <c r="K985" s="20"/>
      <c r="L985" s="20"/>
      <c r="M985" s="23" t="str">
        <f t="shared" si="15"/>
        <v/>
      </c>
    </row>
    <row r="986" spans="9:13" x14ac:dyDescent="0.35">
      <c r="I986" s="21"/>
      <c r="J986" s="20"/>
      <c r="K986" s="20"/>
      <c r="L986" s="20"/>
      <c r="M986" s="23" t="str">
        <f t="shared" si="15"/>
        <v/>
      </c>
    </row>
    <row r="987" spans="9:13" x14ac:dyDescent="0.35">
      <c r="I987" s="21"/>
      <c r="J987" s="20"/>
      <c r="K987" s="20"/>
      <c r="L987" s="20"/>
      <c r="M987" s="23" t="str">
        <f t="shared" si="15"/>
        <v/>
      </c>
    </row>
    <row r="988" spans="9:13" x14ac:dyDescent="0.35">
      <c r="I988" s="21"/>
      <c r="J988" s="20"/>
      <c r="K988" s="20"/>
      <c r="L988" s="20"/>
      <c r="M988" s="23" t="str">
        <f t="shared" si="15"/>
        <v/>
      </c>
    </row>
    <row r="989" spans="9:13" x14ac:dyDescent="0.35">
      <c r="I989" s="21"/>
      <c r="J989" s="20"/>
      <c r="K989" s="20"/>
      <c r="L989" s="20"/>
      <c r="M989" s="23" t="str">
        <f t="shared" si="15"/>
        <v/>
      </c>
    </row>
    <row r="990" spans="9:13" x14ac:dyDescent="0.35">
      <c r="I990" s="21"/>
      <c r="J990" s="20"/>
      <c r="K990" s="20"/>
      <c r="L990" s="20"/>
      <c r="M990" s="23" t="str">
        <f t="shared" si="15"/>
        <v/>
      </c>
    </row>
    <row r="991" spans="9:13" x14ac:dyDescent="0.35">
      <c r="I991" s="21"/>
      <c r="J991" s="20"/>
      <c r="K991" s="20"/>
      <c r="L991" s="20"/>
      <c r="M991" s="23" t="str">
        <f t="shared" si="15"/>
        <v/>
      </c>
    </row>
    <row r="992" spans="9:13" x14ac:dyDescent="0.35">
      <c r="I992" s="21"/>
      <c r="J992" s="20"/>
      <c r="K992" s="20"/>
      <c r="L992" s="20"/>
      <c r="M992" s="23" t="str">
        <f t="shared" si="15"/>
        <v/>
      </c>
    </row>
    <row r="993" spans="9:13" x14ac:dyDescent="0.35">
      <c r="I993" s="21"/>
      <c r="J993" s="20"/>
      <c r="K993" s="20"/>
      <c r="L993" s="20"/>
      <c r="M993" s="23" t="str">
        <f t="shared" si="15"/>
        <v/>
      </c>
    </row>
    <row r="994" spans="9:13" x14ac:dyDescent="0.35">
      <c r="I994" s="21"/>
      <c r="J994" s="20"/>
      <c r="K994" s="20"/>
      <c r="L994" s="20"/>
      <c r="M994" s="23" t="str">
        <f t="shared" si="15"/>
        <v/>
      </c>
    </row>
    <row r="995" spans="9:13" x14ac:dyDescent="0.35">
      <c r="I995" s="21"/>
      <c r="J995" s="20"/>
      <c r="K995" s="20"/>
      <c r="L995" s="20"/>
      <c r="M995" s="23" t="str">
        <f t="shared" si="15"/>
        <v/>
      </c>
    </row>
    <row r="996" spans="9:13" x14ac:dyDescent="0.35">
      <c r="I996" s="21"/>
      <c r="J996" s="20"/>
      <c r="K996" s="20"/>
      <c r="L996" s="20"/>
      <c r="M996" s="23" t="str">
        <f t="shared" si="15"/>
        <v/>
      </c>
    </row>
    <row r="997" spans="9:13" x14ac:dyDescent="0.35">
      <c r="I997" s="21"/>
      <c r="J997" s="20"/>
      <c r="K997" s="20"/>
      <c r="L997" s="20"/>
      <c r="M997" s="23" t="str">
        <f t="shared" si="15"/>
        <v/>
      </c>
    </row>
    <row r="998" spans="9:13" x14ac:dyDescent="0.35">
      <c r="I998" s="21"/>
      <c r="J998" s="20"/>
      <c r="K998" s="20"/>
      <c r="L998" s="20"/>
      <c r="M998" s="23" t="str">
        <f t="shared" si="15"/>
        <v/>
      </c>
    </row>
    <row r="999" spans="9:13" x14ac:dyDescent="0.35">
      <c r="I999" s="21"/>
      <c r="J999" s="20"/>
      <c r="K999" s="20"/>
      <c r="L999" s="20"/>
      <c r="M999" s="23" t="str">
        <f t="shared" si="15"/>
        <v/>
      </c>
    </row>
    <row r="1000" spans="9:13" x14ac:dyDescent="0.35">
      <c r="I1000" s="21"/>
      <c r="J1000" s="20"/>
      <c r="K1000" s="20"/>
      <c r="L1000" s="20"/>
      <c r="M1000" s="23" t="str">
        <f t="shared" si="15"/>
        <v/>
      </c>
    </row>
    <row r="1001" spans="9:13" x14ac:dyDescent="0.35">
      <c r="I1001" s="21"/>
      <c r="J1001" s="20"/>
      <c r="K1001" s="20"/>
      <c r="L1001" s="20"/>
      <c r="M1001" s="23" t="str">
        <f t="shared" si="15"/>
        <v/>
      </c>
    </row>
    <row r="1002" spans="9:13" x14ac:dyDescent="0.35">
      <c r="I1002" s="21"/>
      <c r="J1002" s="20"/>
      <c r="K1002" s="20"/>
      <c r="L1002" s="20"/>
      <c r="M1002" s="23" t="str">
        <f t="shared" si="15"/>
        <v/>
      </c>
    </row>
    <row r="1003" spans="9:13" x14ac:dyDescent="0.35">
      <c r="I1003" s="21"/>
      <c r="J1003" s="20"/>
      <c r="K1003" s="20"/>
      <c r="L1003" s="20"/>
      <c r="M1003" s="23" t="str">
        <f t="shared" si="15"/>
        <v/>
      </c>
    </row>
    <row r="1004" spans="9:13" x14ac:dyDescent="0.35">
      <c r="I1004" s="21"/>
      <c r="J1004" s="20"/>
      <c r="K1004" s="20"/>
      <c r="L1004" s="20"/>
      <c r="M1004" s="23" t="str">
        <f t="shared" si="15"/>
        <v/>
      </c>
    </row>
    <row r="1005" spans="9:13" x14ac:dyDescent="0.35">
      <c r="I1005" s="21"/>
      <c r="J1005" s="20"/>
      <c r="K1005" s="20"/>
      <c r="L1005" s="20"/>
      <c r="M1005" s="23" t="str">
        <f t="shared" si="15"/>
        <v/>
      </c>
    </row>
    <row r="1006" spans="9:13" x14ac:dyDescent="0.35">
      <c r="I1006" s="21"/>
      <c r="J1006" s="20"/>
      <c r="K1006" s="20"/>
      <c r="L1006" s="20"/>
      <c r="M1006" s="23" t="str">
        <f t="shared" si="15"/>
        <v/>
      </c>
    </row>
    <row r="1007" spans="9:13" x14ac:dyDescent="0.35">
      <c r="I1007" s="21"/>
      <c r="J1007" s="20"/>
      <c r="K1007" s="20"/>
      <c r="L1007" s="20"/>
      <c r="M1007" s="23" t="str">
        <f t="shared" si="15"/>
        <v/>
      </c>
    </row>
    <row r="1008" spans="9:13" x14ac:dyDescent="0.35">
      <c r="I1008" s="21"/>
      <c r="J1008" s="20"/>
      <c r="K1008" s="20"/>
      <c r="L1008" s="20"/>
      <c r="M1008" s="23" t="str">
        <f t="shared" si="15"/>
        <v/>
      </c>
    </row>
  </sheetData>
  <mergeCells count="6">
    <mergeCell ref="A4:B4"/>
    <mergeCell ref="C4:G4"/>
    <mergeCell ref="I4:M5"/>
    <mergeCell ref="A2:M2"/>
    <mergeCell ref="A3:B3"/>
    <mergeCell ref="C3:G3"/>
  </mergeCells>
  <dataValidations count="2">
    <dataValidation type="list" sqref="J3" xr:uid="{00000000-0002-0000-0500-000000000000}">
      <formula1>"SEND group only,Everyone"</formula1>
    </dataValidation>
    <dataValidation type="list" allowBlank="1" sqref="J9:J1008" xr:uid="{00000000-0002-0000-0500-000001000000}">
      <formula1>"DELIVERED,READ,FAILED"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5" t="s">
        <v>181</v>
      </c>
      <c r="B1" s="5" t="s">
        <v>182</v>
      </c>
      <c r="C1" s="5" t="s">
        <v>183</v>
      </c>
      <c r="D1" s="5" t="s">
        <v>184</v>
      </c>
      <c r="E1" s="5" t="s">
        <v>185</v>
      </c>
      <c r="F1" s="5" t="s">
        <v>186</v>
      </c>
      <c r="G1" s="5" t="s">
        <v>163</v>
      </c>
      <c r="H1" s="5" t="s">
        <v>187</v>
      </c>
      <c r="I1" s="5" t="s">
        <v>188</v>
      </c>
    </row>
    <row r="2" spans="1:9" x14ac:dyDescent="0.35">
      <c r="A2" s="28" t="s">
        <v>189</v>
      </c>
      <c r="B2" s="20" t="s">
        <v>190</v>
      </c>
      <c r="C2" s="41" t="s">
        <v>191</v>
      </c>
      <c r="D2" s="41" t="s">
        <v>192</v>
      </c>
      <c r="E2" s="20" t="s">
        <v>193</v>
      </c>
      <c r="F2" s="28">
        <f>COUNTIFS(DESK!$B$2:$B$601,A2,DESK!$L$2:$L$601,1)</f>
        <v>98</v>
      </c>
      <c r="G2" s="28">
        <f>COUNTIFS(DESK!$B$2:$B$601,A2,DESK!$AO$2:$AO$601,1)</f>
        <v>38</v>
      </c>
      <c r="H2" s="44">
        <f t="shared" ref="H2:H33" si="0">IF(F2=0,"",G2/F2)</f>
        <v>0.38775510204081631</v>
      </c>
      <c r="I2" s="28">
        <f>COUNTIFS(LOG!$E$2:$E$2001,A2,LOG!$D$2:$D$2001,"NO_SLOTS")</f>
        <v>0</v>
      </c>
    </row>
    <row r="3" spans="1:9" x14ac:dyDescent="0.35">
      <c r="A3" s="28" t="s">
        <v>194</v>
      </c>
      <c r="B3" s="20" t="s">
        <v>195</v>
      </c>
      <c r="C3" s="41" t="s">
        <v>191</v>
      </c>
      <c r="D3" s="41" t="s">
        <v>192</v>
      </c>
      <c r="E3" s="20" t="s">
        <v>196</v>
      </c>
      <c r="F3" s="28">
        <f>COUNTIFS(DESK!$B$2:$B$601,A3,DESK!$L$2:$L$601,1)</f>
        <v>40</v>
      </c>
      <c r="G3" s="28">
        <f>COUNTIFS(DESK!$B$2:$B$601,A3,DESK!$AO$2:$AO$601,1)</f>
        <v>17</v>
      </c>
      <c r="H3" s="44">
        <f t="shared" si="0"/>
        <v>0.42499999999999999</v>
      </c>
      <c r="I3" s="28">
        <f>COUNTIFS(LOG!$E$2:$E$2001,A3,LOG!$D$2:$D$2001,"NO_SLOTS")</f>
        <v>0</v>
      </c>
    </row>
    <row r="4" spans="1:9" x14ac:dyDescent="0.35">
      <c r="A4" s="28" t="s">
        <v>197</v>
      </c>
      <c r="B4" s="20" t="s">
        <v>198</v>
      </c>
      <c r="C4" s="41" t="s">
        <v>199</v>
      </c>
      <c r="D4" s="41" t="s">
        <v>192</v>
      </c>
      <c r="E4" s="20" t="s">
        <v>200</v>
      </c>
      <c r="F4" s="28">
        <f>COUNTIFS(DESK!$B$2:$B$601,A4,DESK!$L$2:$L$601,1)</f>
        <v>37</v>
      </c>
      <c r="G4" s="28">
        <f>COUNTIFS(DESK!$B$2:$B$601,A4,DESK!$AO$2:$AO$601,1)</f>
        <v>15</v>
      </c>
      <c r="H4" s="44">
        <f t="shared" si="0"/>
        <v>0.40540540540540543</v>
      </c>
      <c r="I4" s="28">
        <f>COUNTIFS(LOG!$E$2:$E$2001,A4,LOG!$D$2:$D$2001,"NO_SLOTS")</f>
        <v>0</v>
      </c>
    </row>
    <row r="5" spans="1:9" x14ac:dyDescent="0.35">
      <c r="A5" s="28" t="s">
        <v>201</v>
      </c>
      <c r="B5" s="20" t="s">
        <v>202</v>
      </c>
      <c r="C5" s="41" t="s">
        <v>191</v>
      </c>
      <c r="D5" s="41" t="s">
        <v>192</v>
      </c>
      <c r="E5" s="20" t="s">
        <v>203</v>
      </c>
      <c r="F5" s="28">
        <f>COUNTIFS(DESK!$B$2:$B$601,A5,DESK!$L$2:$L$601,1)</f>
        <v>21</v>
      </c>
      <c r="G5" s="28">
        <f>COUNTIFS(DESK!$B$2:$B$601,A5,DESK!$AO$2:$AO$601,1)</f>
        <v>8</v>
      </c>
      <c r="H5" s="44">
        <f t="shared" si="0"/>
        <v>0.38095238095238093</v>
      </c>
      <c r="I5" s="28">
        <f>COUNTIFS(LOG!$E$2:$E$2001,A5,LOG!$D$2:$D$2001,"NO_SLOTS")</f>
        <v>0</v>
      </c>
    </row>
    <row r="6" spans="1:9" x14ac:dyDescent="0.35">
      <c r="A6" s="28" t="s">
        <v>204</v>
      </c>
      <c r="B6" s="20" t="s">
        <v>205</v>
      </c>
      <c r="C6" s="41" t="s">
        <v>199</v>
      </c>
      <c r="D6" s="41" t="s">
        <v>192</v>
      </c>
      <c r="E6" s="20" t="s">
        <v>206</v>
      </c>
      <c r="F6" s="28">
        <f>COUNTIFS(DESK!$B$2:$B$601,A6,DESK!$L$2:$L$601,1)</f>
        <v>17</v>
      </c>
      <c r="G6" s="28">
        <f>COUNTIFS(DESK!$B$2:$B$601,A6,DESK!$AO$2:$AO$601,1)</f>
        <v>6</v>
      </c>
      <c r="H6" s="44">
        <f t="shared" si="0"/>
        <v>0.35294117647058826</v>
      </c>
      <c r="I6" s="28">
        <f>COUNTIFS(LOG!$E$2:$E$2001,A6,LOG!$D$2:$D$2001,"NO_SLOTS")</f>
        <v>0</v>
      </c>
    </row>
    <row r="7" spans="1:9" x14ac:dyDescent="0.35">
      <c r="A7" s="28" t="s">
        <v>207</v>
      </c>
      <c r="B7" s="20" t="s">
        <v>208</v>
      </c>
      <c r="C7" s="41" t="s">
        <v>199</v>
      </c>
      <c r="D7" s="41" t="s">
        <v>192</v>
      </c>
      <c r="E7" s="20" t="s">
        <v>209</v>
      </c>
      <c r="F7" s="28">
        <f>COUNTIFS(DESK!$B$2:$B$601,A7,DESK!$L$2:$L$601,1)</f>
        <v>19</v>
      </c>
      <c r="G7" s="28">
        <f>COUNTIFS(DESK!$B$2:$B$601,A7,DESK!$AO$2:$AO$601,1)</f>
        <v>8</v>
      </c>
      <c r="H7" s="44">
        <f t="shared" si="0"/>
        <v>0.42105263157894735</v>
      </c>
      <c r="I7" s="28">
        <f>COUNTIFS(LOG!$E$2:$E$2001,A7,LOG!$D$2:$D$2001,"NO_SLOTS")</f>
        <v>0</v>
      </c>
    </row>
    <row r="8" spans="1:9" x14ac:dyDescent="0.35">
      <c r="A8" s="28" t="s">
        <v>210</v>
      </c>
      <c r="B8" s="20" t="s">
        <v>211</v>
      </c>
      <c r="C8" s="41" t="s">
        <v>199</v>
      </c>
      <c r="D8" s="41" t="s">
        <v>192</v>
      </c>
      <c r="E8" s="20" t="s">
        <v>212</v>
      </c>
      <c r="F8" s="28">
        <f>COUNTIFS(DESK!$B$2:$B$601,A8,DESK!$L$2:$L$601,1)</f>
        <v>12</v>
      </c>
      <c r="G8" s="28">
        <f>COUNTIFS(DESK!$B$2:$B$601,A8,DESK!$AO$2:$AO$601,1)</f>
        <v>5</v>
      </c>
      <c r="H8" s="44">
        <f t="shared" si="0"/>
        <v>0.41666666666666669</v>
      </c>
      <c r="I8" s="28">
        <f>COUNTIFS(LOG!$E$2:$E$2001,A8,LOG!$D$2:$D$2001,"NO_SLOTS")</f>
        <v>0</v>
      </c>
    </row>
    <row r="9" spans="1:9" x14ac:dyDescent="0.35">
      <c r="A9" s="28" t="s">
        <v>213</v>
      </c>
      <c r="B9" s="20" t="s">
        <v>214</v>
      </c>
      <c r="C9" s="41" t="s">
        <v>191</v>
      </c>
      <c r="D9" s="41" t="s">
        <v>192</v>
      </c>
      <c r="E9" s="20" t="s">
        <v>215</v>
      </c>
      <c r="F9" s="28">
        <f>COUNTIFS(DESK!$B$2:$B$601,A9,DESK!$L$2:$L$601,1)</f>
        <v>13</v>
      </c>
      <c r="G9" s="28">
        <f>COUNTIFS(DESK!$B$2:$B$601,A9,DESK!$AO$2:$AO$601,1)</f>
        <v>4</v>
      </c>
      <c r="H9" s="44">
        <f t="shared" si="0"/>
        <v>0.30769230769230771</v>
      </c>
      <c r="I9" s="28">
        <f>COUNTIFS(LOG!$E$2:$E$2001,A9,LOG!$D$2:$D$2001,"NO_SLOTS")</f>
        <v>0</v>
      </c>
    </row>
    <row r="10" spans="1:9" x14ac:dyDescent="0.35">
      <c r="A10" s="28" t="s">
        <v>216</v>
      </c>
      <c r="B10" s="20" t="s">
        <v>217</v>
      </c>
      <c r="C10" s="41" t="s">
        <v>199</v>
      </c>
      <c r="D10" s="41" t="s">
        <v>192</v>
      </c>
      <c r="E10" s="20" t="s">
        <v>218</v>
      </c>
      <c r="F10" s="28">
        <f>COUNTIFS(DESK!$B$2:$B$601,A10,DESK!$L$2:$L$601,1)</f>
        <v>21</v>
      </c>
      <c r="G10" s="28">
        <f>COUNTIFS(DESK!$B$2:$B$601,A10,DESK!$AO$2:$AO$601,1)</f>
        <v>9</v>
      </c>
      <c r="H10" s="44">
        <f t="shared" si="0"/>
        <v>0.42857142857142855</v>
      </c>
      <c r="I10" s="28">
        <f>COUNTIFS(LOG!$E$2:$E$2001,A10,LOG!$D$2:$D$2001,"NO_SLOTS")</f>
        <v>0</v>
      </c>
    </row>
    <row r="11" spans="1:9" x14ac:dyDescent="0.35">
      <c r="A11" s="28" t="s">
        <v>219</v>
      </c>
      <c r="B11" s="20" t="s">
        <v>220</v>
      </c>
      <c r="C11" s="41" t="s">
        <v>199</v>
      </c>
      <c r="D11" s="41" t="s">
        <v>192</v>
      </c>
      <c r="E11" s="20" t="s">
        <v>221</v>
      </c>
      <c r="F11" s="28">
        <f>COUNTIFS(DESK!$B$2:$B$601,A11,DESK!$L$2:$L$601,1)</f>
        <v>10</v>
      </c>
      <c r="G11" s="28">
        <f>COUNTIFS(DESK!$B$2:$B$601,A11,DESK!$AO$2:$AO$601,1)</f>
        <v>7</v>
      </c>
      <c r="H11" s="44">
        <f t="shared" si="0"/>
        <v>0.7</v>
      </c>
      <c r="I11" s="28">
        <f>COUNTIFS(LOG!$E$2:$E$2001,A11,LOG!$D$2:$D$2001,"NO_SLOTS")</f>
        <v>0</v>
      </c>
    </row>
    <row r="12" spans="1:9" x14ac:dyDescent="0.35">
      <c r="A12" s="28" t="s">
        <v>222</v>
      </c>
      <c r="B12" s="20" t="s">
        <v>223</v>
      </c>
      <c r="C12" s="41" t="s">
        <v>199</v>
      </c>
      <c r="D12" s="41" t="s">
        <v>192</v>
      </c>
      <c r="E12" s="20" t="s">
        <v>224</v>
      </c>
      <c r="F12" s="28">
        <f>COUNTIFS(DESK!$B$2:$B$601,A12,DESK!$L$2:$L$601,1)</f>
        <v>8</v>
      </c>
      <c r="G12" s="28">
        <f>COUNTIFS(DESK!$B$2:$B$601,A12,DESK!$AO$2:$AO$601,1)</f>
        <v>2</v>
      </c>
      <c r="H12" s="44">
        <f t="shared" si="0"/>
        <v>0.25</v>
      </c>
      <c r="I12" s="28">
        <f>COUNTIFS(LOG!$E$2:$E$2001,A12,LOG!$D$2:$D$2001,"NO_SLOTS")</f>
        <v>0</v>
      </c>
    </row>
    <row r="13" spans="1:9" x14ac:dyDescent="0.35">
      <c r="A13" s="28" t="s">
        <v>225</v>
      </c>
      <c r="B13" s="20" t="s">
        <v>226</v>
      </c>
      <c r="C13" s="41" t="s">
        <v>199</v>
      </c>
      <c r="D13" s="41" t="s">
        <v>192</v>
      </c>
      <c r="E13" s="20" t="s">
        <v>227</v>
      </c>
      <c r="F13" s="28">
        <f>COUNTIFS(DESK!$B$2:$B$601,A13,DESK!$L$2:$L$601,1)</f>
        <v>3</v>
      </c>
      <c r="G13" s="28">
        <f>COUNTIFS(DESK!$B$2:$B$601,A13,DESK!$AO$2:$AO$601,1)</f>
        <v>2</v>
      </c>
      <c r="H13" s="44">
        <f t="shared" si="0"/>
        <v>0.66666666666666663</v>
      </c>
      <c r="I13" s="28">
        <f>COUNTIFS(LOG!$E$2:$E$2001,A13,LOG!$D$2:$D$2001,"NO_SLOTS")</f>
        <v>0</v>
      </c>
    </row>
    <row r="14" spans="1:9" x14ac:dyDescent="0.35">
      <c r="A14" s="28" t="s">
        <v>228</v>
      </c>
      <c r="B14" s="20" t="s">
        <v>229</v>
      </c>
      <c r="C14" s="41" t="s">
        <v>191</v>
      </c>
      <c r="D14" s="41" t="s">
        <v>192</v>
      </c>
      <c r="E14" s="20" t="s">
        <v>230</v>
      </c>
      <c r="F14" s="28">
        <f>COUNTIFS(DESK!$B$2:$B$601,A14,DESK!$L$2:$L$601,1)</f>
        <v>4</v>
      </c>
      <c r="G14" s="28">
        <f>COUNTIFS(DESK!$B$2:$B$601,A14,DESK!$AO$2:$AO$601,1)</f>
        <v>0</v>
      </c>
      <c r="H14" s="44">
        <f t="shared" si="0"/>
        <v>0</v>
      </c>
      <c r="I14" s="28">
        <f>COUNTIFS(LOG!$E$2:$E$2001,A14,LOG!$D$2:$D$2001,"NO_SLOTS")</f>
        <v>0</v>
      </c>
    </row>
    <row r="15" spans="1:9" x14ac:dyDescent="0.35">
      <c r="A15" s="28" t="s">
        <v>231</v>
      </c>
      <c r="B15" s="20" t="s">
        <v>232</v>
      </c>
      <c r="C15" s="41" t="s">
        <v>199</v>
      </c>
      <c r="D15" s="41" t="s">
        <v>192</v>
      </c>
      <c r="E15" s="20" t="s">
        <v>233</v>
      </c>
      <c r="F15" s="28">
        <f>COUNTIFS(DESK!$B$2:$B$601,A15,DESK!$L$2:$L$601,1)</f>
        <v>9</v>
      </c>
      <c r="G15" s="28">
        <f>COUNTIFS(DESK!$B$2:$B$601,A15,DESK!$AO$2:$AO$601,1)</f>
        <v>4</v>
      </c>
      <c r="H15" s="44">
        <f t="shared" si="0"/>
        <v>0.44444444444444442</v>
      </c>
      <c r="I15" s="28">
        <f>COUNTIFS(LOG!$E$2:$E$2001,A15,LOG!$D$2:$D$2001,"NO_SLOTS")</f>
        <v>0</v>
      </c>
    </row>
    <row r="16" spans="1:9" x14ac:dyDescent="0.35">
      <c r="A16" s="28" t="s">
        <v>234</v>
      </c>
      <c r="B16" s="20" t="s">
        <v>235</v>
      </c>
      <c r="C16" s="41" t="s">
        <v>191</v>
      </c>
      <c r="D16" s="41" t="s">
        <v>192</v>
      </c>
      <c r="E16" s="20" t="s">
        <v>236</v>
      </c>
      <c r="F16" s="28">
        <f>COUNTIFS(DESK!$B$2:$B$601,A16,DESK!$L$2:$L$601,1)</f>
        <v>5</v>
      </c>
      <c r="G16" s="28">
        <f>COUNTIFS(DESK!$B$2:$B$601,A16,DESK!$AO$2:$AO$601,1)</f>
        <v>3</v>
      </c>
      <c r="H16" s="44">
        <f t="shared" si="0"/>
        <v>0.6</v>
      </c>
      <c r="I16" s="28">
        <f>COUNTIFS(LOG!$E$2:$E$2001,A16,LOG!$D$2:$D$2001,"NO_SLOTS")</f>
        <v>0</v>
      </c>
    </row>
    <row r="17" spans="1:9" x14ac:dyDescent="0.35">
      <c r="A17" s="28" t="s">
        <v>237</v>
      </c>
      <c r="B17" s="20" t="s">
        <v>238</v>
      </c>
      <c r="C17" s="41" t="s">
        <v>199</v>
      </c>
      <c r="D17" s="41" t="s">
        <v>192</v>
      </c>
      <c r="E17" s="20" t="s">
        <v>239</v>
      </c>
      <c r="F17" s="28">
        <f>COUNTIFS(DESK!$B$2:$B$601,A17,DESK!$L$2:$L$601,1)</f>
        <v>5</v>
      </c>
      <c r="G17" s="28">
        <f>COUNTIFS(DESK!$B$2:$B$601,A17,DESK!$AO$2:$AO$601,1)</f>
        <v>2</v>
      </c>
      <c r="H17" s="44">
        <f t="shared" si="0"/>
        <v>0.4</v>
      </c>
      <c r="I17" s="28">
        <f>COUNTIFS(LOG!$E$2:$E$2001,A17,LOG!$D$2:$D$2001,"NO_SLOTS")</f>
        <v>0</v>
      </c>
    </row>
    <row r="18" spans="1:9" x14ac:dyDescent="0.35">
      <c r="A18" s="28" t="s">
        <v>240</v>
      </c>
      <c r="B18" s="20" t="s">
        <v>241</v>
      </c>
      <c r="C18" s="41" t="s">
        <v>191</v>
      </c>
      <c r="D18" s="41" t="s">
        <v>192</v>
      </c>
      <c r="E18" s="20" t="s">
        <v>242</v>
      </c>
      <c r="F18" s="28">
        <f>COUNTIFS(DESK!$B$2:$B$601,A18,DESK!$L$2:$L$601,1)</f>
        <v>6</v>
      </c>
      <c r="G18" s="28">
        <f>COUNTIFS(DESK!$B$2:$B$601,A18,DESK!$AO$2:$AO$601,1)</f>
        <v>2</v>
      </c>
      <c r="H18" s="44">
        <f t="shared" si="0"/>
        <v>0.33333333333333331</v>
      </c>
      <c r="I18" s="28">
        <f>COUNTIFS(LOG!$E$2:$E$2001,A18,LOG!$D$2:$D$2001,"NO_SLOTS")</f>
        <v>0</v>
      </c>
    </row>
    <row r="19" spans="1:9" x14ac:dyDescent="0.35">
      <c r="A19" s="28" t="s">
        <v>243</v>
      </c>
      <c r="B19" s="20" t="s">
        <v>244</v>
      </c>
      <c r="C19" s="41" t="s">
        <v>199</v>
      </c>
      <c r="D19" s="41" t="s">
        <v>192</v>
      </c>
      <c r="E19" s="20" t="s">
        <v>245</v>
      </c>
      <c r="F19" s="28">
        <f>COUNTIFS(DESK!$B$2:$B$601,A19,DESK!$L$2:$L$601,1)</f>
        <v>5</v>
      </c>
      <c r="G19" s="28">
        <f>COUNTIFS(DESK!$B$2:$B$601,A19,DESK!$AO$2:$AO$601,1)</f>
        <v>2</v>
      </c>
      <c r="H19" s="44">
        <f t="shared" si="0"/>
        <v>0.4</v>
      </c>
      <c r="I19" s="28">
        <f>COUNTIFS(LOG!$E$2:$E$2001,A19,LOG!$D$2:$D$2001,"NO_SLOTS")</f>
        <v>0</v>
      </c>
    </row>
    <row r="20" spans="1:9" x14ac:dyDescent="0.35">
      <c r="A20" s="28" t="s">
        <v>246</v>
      </c>
      <c r="B20" s="20" t="s">
        <v>247</v>
      </c>
      <c r="C20" s="41" t="s">
        <v>199</v>
      </c>
      <c r="D20" s="41" t="s">
        <v>192</v>
      </c>
      <c r="E20" s="20" t="s">
        <v>248</v>
      </c>
      <c r="F20" s="28">
        <f>COUNTIFS(DESK!$B$2:$B$601,A20,DESK!$L$2:$L$601,1)</f>
        <v>5</v>
      </c>
      <c r="G20" s="28">
        <f>COUNTIFS(DESK!$B$2:$B$601,A20,DESK!$AO$2:$AO$601,1)</f>
        <v>1</v>
      </c>
      <c r="H20" s="44">
        <f t="shared" si="0"/>
        <v>0.2</v>
      </c>
      <c r="I20" s="28">
        <f>COUNTIFS(LOG!$E$2:$E$2001,A20,LOG!$D$2:$D$2001,"NO_SLOTS")</f>
        <v>0</v>
      </c>
    </row>
    <row r="21" spans="1:9" x14ac:dyDescent="0.35">
      <c r="A21" s="28" t="s">
        <v>249</v>
      </c>
      <c r="B21" s="20" t="s">
        <v>250</v>
      </c>
      <c r="C21" s="41" t="s">
        <v>191</v>
      </c>
      <c r="D21" s="41" t="s">
        <v>192</v>
      </c>
      <c r="E21" s="20" t="s">
        <v>251</v>
      </c>
      <c r="F21" s="28">
        <f>COUNTIFS(DESK!$B$2:$B$601,A21,DESK!$L$2:$L$601,1)</f>
        <v>4</v>
      </c>
      <c r="G21" s="28">
        <f>COUNTIFS(DESK!$B$2:$B$601,A21,DESK!$AO$2:$AO$601,1)</f>
        <v>3</v>
      </c>
      <c r="H21" s="44">
        <f t="shared" si="0"/>
        <v>0.75</v>
      </c>
      <c r="I21" s="28">
        <f>COUNTIFS(LOG!$E$2:$E$2001,A21,LOG!$D$2:$D$2001,"NO_SLOTS")</f>
        <v>0</v>
      </c>
    </row>
    <row r="22" spans="1:9" x14ac:dyDescent="0.35">
      <c r="A22" s="28" t="s">
        <v>252</v>
      </c>
      <c r="B22" s="20" t="s">
        <v>253</v>
      </c>
      <c r="C22" s="41" t="s">
        <v>199</v>
      </c>
      <c r="D22" s="41" t="s">
        <v>192</v>
      </c>
      <c r="E22" s="20" t="s">
        <v>254</v>
      </c>
      <c r="F22" s="28">
        <f>COUNTIFS(DESK!$B$2:$B$601,A22,DESK!$L$2:$L$601,1)</f>
        <v>6</v>
      </c>
      <c r="G22" s="28">
        <f>COUNTIFS(DESK!$B$2:$B$601,A22,DESK!$AO$2:$AO$601,1)</f>
        <v>3</v>
      </c>
      <c r="H22" s="44">
        <f t="shared" si="0"/>
        <v>0.5</v>
      </c>
      <c r="I22" s="28">
        <f>COUNTIFS(LOG!$E$2:$E$2001,A22,LOG!$D$2:$D$2001,"NO_SLOTS")</f>
        <v>0</v>
      </c>
    </row>
    <row r="23" spans="1:9" x14ac:dyDescent="0.35">
      <c r="A23" s="28" t="s">
        <v>255</v>
      </c>
      <c r="B23" s="20" t="s">
        <v>256</v>
      </c>
      <c r="C23" s="41" t="s">
        <v>191</v>
      </c>
      <c r="D23" s="41" t="s">
        <v>192</v>
      </c>
      <c r="E23" s="20" t="s">
        <v>257</v>
      </c>
      <c r="F23" s="28">
        <f>COUNTIFS(DESK!$B$2:$B$601,A23,DESK!$L$2:$L$601,1)</f>
        <v>6</v>
      </c>
      <c r="G23" s="28">
        <f>COUNTIFS(DESK!$B$2:$B$601,A23,DESK!$AO$2:$AO$601,1)</f>
        <v>1</v>
      </c>
      <c r="H23" s="44">
        <f t="shared" si="0"/>
        <v>0.16666666666666666</v>
      </c>
      <c r="I23" s="28">
        <f>COUNTIFS(LOG!$E$2:$E$2001,A23,LOG!$D$2:$D$2001,"NO_SLOTS")</f>
        <v>0</v>
      </c>
    </row>
    <row r="24" spans="1:9" x14ac:dyDescent="0.35">
      <c r="A24" s="28" t="s">
        <v>258</v>
      </c>
      <c r="B24" s="20" t="s">
        <v>259</v>
      </c>
      <c r="C24" s="41" t="s">
        <v>199</v>
      </c>
      <c r="D24" s="41" t="s">
        <v>192</v>
      </c>
      <c r="E24" s="20" t="s">
        <v>260</v>
      </c>
      <c r="F24" s="28">
        <f>COUNTIFS(DESK!$B$2:$B$601,A24,DESK!$L$2:$L$601,1)</f>
        <v>6</v>
      </c>
      <c r="G24" s="28">
        <f>COUNTIFS(DESK!$B$2:$B$601,A24,DESK!$AO$2:$AO$601,1)</f>
        <v>4</v>
      </c>
      <c r="H24" s="44">
        <f t="shared" si="0"/>
        <v>0.66666666666666663</v>
      </c>
      <c r="I24" s="28">
        <f>COUNTIFS(LOG!$E$2:$E$2001,A24,LOG!$D$2:$D$2001,"NO_SLOTS")</f>
        <v>0</v>
      </c>
    </row>
    <row r="25" spans="1:9" x14ac:dyDescent="0.35">
      <c r="A25" s="28" t="s">
        <v>261</v>
      </c>
      <c r="B25" s="20" t="s">
        <v>262</v>
      </c>
      <c r="C25" s="41" t="s">
        <v>199</v>
      </c>
      <c r="D25" s="41" t="s">
        <v>192</v>
      </c>
      <c r="E25" s="20" t="s">
        <v>263</v>
      </c>
      <c r="F25" s="28">
        <f>COUNTIFS(DESK!$B$2:$B$601,A25,DESK!$L$2:$L$601,1)</f>
        <v>5</v>
      </c>
      <c r="G25" s="28">
        <f>COUNTIFS(DESK!$B$2:$B$601,A25,DESK!$AO$2:$AO$601,1)</f>
        <v>3</v>
      </c>
      <c r="H25" s="44">
        <f t="shared" si="0"/>
        <v>0.6</v>
      </c>
      <c r="I25" s="28">
        <f>COUNTIFS(LOG!$E$2:$E$2001,A25,LOG!$D$2:$D$2001,"NO_SLOTS")</f>
        <v>0</v>
      </c>
    </row>
    <row r="26" spans="1:9" x14ac:dyDescent="0.35">
      <c r="A26" s="28" t="s">
        <v>264</v>
      </c>
      <c r="B26" s="20" t="s">
        <v>265</v>
      </c>
      <c r="C26" s="41" t="s">
        <v>199</v>
      </c>
      <c r="D26" s="41" t="s">
        <v>192</v>
      </c>
      <c r="E26" s="20" t="s">
        <v>266</v>
      </c>
      <c r="F26" s="28">
        <f>COUNTIFS(DESK!$B$2:$B$601,A26,DESK!$L$2:$L$601,1)</f>
        <v>4</v>
      </c>
      <c r="G26" s="28">
        <f>COUNTIFS(DESK!$B$2:$B$601,A26,DESK!$AO$2:$AO$601,1)</f>
        <v>1</v>
      </c>
      <c r="H26" s="44">
        <f t="shared" si="0"/>
        <v>0.25</v>
      </c>
      <c r="I26" s="28">
        <f>COUNTIFS(LOG!$E$2:$E$2001,A26,LOG!$D$2:$D$2001,"NO_SLOTS")</f>
        <v>0</v>
      </c>
    </row>
    <row r="27" spans="1:9" x14ac:dyDescent="0.35">
      <c r="A27" s="28" t="s">
        <v>267</v>
      </c>
      <c r="B27" s="20" t="s">
        <v>268</v>
      </c>
      <c r="C27" s="41" t="s">
        <v>191</v>
      </c>
      <c r="D27" s="41" t="s">
        <v>192</v>
      </c>
      <c r="E27" s="20" t="s">
        <v>269</v>
      </c>
      <c r="F27" s="28">
        <f>COUNTIFS(DESK!$B$2:$B$601,A27,DESK!$L$2:$L$601,1)</f>
        <v>6</v>
      </c>
      <c r="G27" s="28">
        <f>COUNTIFS(DESK!$B$2:$B$601,A27,DESK!$AO$2:$AO$601,1)</f>
        <v>2</v>
      </c>
      <c r="H27" s="44">
        <f t="shared" si="0"/>
        <v>0.33333333333333331</v>
      </c>
      <c r="I27" s="28">
        <f>COUNTIFS(LOG!$E$2:$E$2001,A27,LOG!$D$2:$D$2001,"NO_SLOTS")</f>
        <v>0</v>
      </c>
    </row>
    <row r="28" spans="1:9" x14ac:dyDescent="0.35">
      <c r="A28" s="28" t="s">
        <v>270</v>
      </c>
      <c r="B28" s="20" t="s">
        <v>271</v>
      </c>
      <c r="C28" s="41" t="s">
        <v>199</v>
      </c>
      <c r="D28" s="41" t="s">
        <v>192</v>
      </c>
      <c r="E28" s="20" t="s">
        <v>272</v>
      </c>
      <c r="F28" s="28">
        <f>COUNTIFS(DESK!$B$2:$B$601,A28,DESK!$L$2:$L$601,1)</f>
        <v>5</v>
      </c>
      <c r="G28" s="28">
        <f>COUNTIFS(DESK!$B$2:$B$601,A28,DESK!$AO$2:$AO$601,1)</f>
        <v>0</v>
      </c>
      <c r="H28" s="44">
        <f t="shared" si="0"/>
        <v>0</v>
      </c>
      <c r="I28" s="28">
        <f>COUNTIFS(LOG!$E$2:$E$2001,A28,LOG!$D$2:$D$2001,"NO_SLOTS")</f>
        <v>0</v>
      </c>
    </row>
    <row r="29" spans="1:9" x14ac:dyDescent="0.35">
      <c r="A29" s="28" t="s">
        <v>273</v>
      </c>
      <c r="B29" s="20" t="s">
        <v>274</v>
      </c>
      <c r="C29" s="41" t="s">
        <v>199</v>
      </c>
      <c r="D29" s="41" t="s">
        <v>192</v>
      </c>
      <c r="E29" s="20" t="s">
        <v>275</v>
      </c>
      <c r="F29" s="28">
        <f>COUNTIFS(DESK!$B$2:$B$601,A29,DESK!$L$2:$L$601,1)</f>
        <v>4</v>
      </c>
      <c r="G29" s="28">
        <f>COUNTIFS(DESK!$B$2:$B$601,A29,DESK!$AO$2:$AO$601,1)</f>
        <v>1</v>
      </c>
      <c r="H29" s="44">
        <f t="shared" si="0"/>
        <v>0.25</v>
      </c>
      <c r="I29" s="28">
        <f>COUNTIFS(LOG!$E$2:$E$2001,A29,LOG!$D$2:$D$2001,"NO_SLOTS")</f>
        <v>0</v>
      </c>
    </row>
    <row r="30" spans="1:9" x14ac:dyDescent="0.35">
      <c r="A30" s="28" t="s">
        <v>276</v>
      </c>
      <c r="B30" s="20" t="s">
        <v>277</v>
      </c>
      <c r="C30" s="41" t="s">
        <v>199</v>
      </c>
      <c r="D30" s="41" t="s">
        <v>192</v>
      </c>
      <c r="E30" s="20" t="s">
        <v>278</v>
      </c>
      <c r="F30" s="28">
        <f>COUNTIFS(DESK!$B$2:$B$601,A30,DESK!$L$2:$L$601,1)</f>
        <v>3</v>
      </c>
      <c r="G30" s="28">
        <f>COUNTIFS(DESK!$B$2:$B$601,A30,DESK!$AO$2:$AO$601,1)</f>
        <v>1</v>
      </c>
      <c r="H30" s="44">
        <f t="shared" si="0"/>
        <v>0.33333333333333331</v>
      </c>
      <c r="I30" s="28">
        <f>COUNTIFS(LOG!$E$2:$E$2001,A30,LOG!$D$2:$D$2001,"NO_SLOTS")</f>
        <v>0</v>
      </c>
    </row>
    <row r="31" spans="1:9" x14ac:dyDescent="0.35">
      <c r="A31" s="28" t="s">
        <v>279</v>
      </c>
      <c r="B31" s="20" t="s">
        <v>280</v>
      </c>
      <c r="C31" s="41" t="s">
        <v>199</v>
      </c>
      <c r="D31" s="41" t="s">
        <v>192</v>
      </c>
      <c r="E31" s="20" t="s">
        <v>281</v>
      </c>
      <c r="F31" s="28">
        <f>COUNTIFS(DESK!$B$2:$B$601,A31,DESK!$L$2:$L$601,1)</f>
        <v>6</v>
      </c>
      <c r="G31" s="28">
        <f>COUNTIFS(DESK!$B$2:$B$601,A31,DESK!$AO$2:$AO$601,1)</f>
        <v>4</v>
      </c>
      <c r="H31" s="44">
        <f t="shared" si="0"/>
        <v>0.66666666666666663</v>
      </c>
      <c r="I31" s="28">
        <f>COUNTIFS(LOG!$E$2:$E$2001,A31,LOG!$D$2:$D$2001,"NO_SLOTS")</f>
        <v>0</v>
      </c>
    </row>
    <row r="32" spans="1:9" x14ac:dyDescent="0.35">
      <c r="A32" s="28" t="s">
        <v>282</v>
      </c>
      <c r="B32" s="20" t="s">
        <v>283</v>
      </c>
      <c r="C32" s="41" t="s">
        <v>199</v>
      </c>
      <c r="D32" s="41" t="s">
        <v>192</v>
      </c>
      <c r="E32" s="20" t="s">
        <v>284</v>
      </c>
      <c r="F32" s="28">
        <f>COUNTIFS(DESK!$B$2:$B$601,A32,DESK!$L$2:$L$601,1)</f>
        <v>1</v>
      </c>
      <c r="G32" s="28">
        <f>COUNTIFS(DESK!$B$2:$B$601,A32,DESK!$AO$2:$AO$601,1)</f>
        <v>1</v>
      </c>
      <c r="H32" s="44">
        <f t="shared" si="0"/>
        <v>1</v>
      </c>
      <c r="I32" s="28">
        <f>COUNTIFS(LOG!$E$2:$E$2001,A32,LOG!$D$2:$D$2001,"NO_SLOTS")</f>
        <v>0</v>
      </c>
    </row>
    <row r="33" spans="1:9" x14ac:dyDescent="0.35">
      <c r="A33" s="28" t="s">
        <v>285</v>
      </c>
      <c r="B33" s="20" t="s">
        <v>286</v>
      </c>
      <c r="C33" s="41" t="s">
        <v>199</v>
      </c>
      <c r="D33" s="41" t="s">
        <v>192</v>
      </c>
      <c r="E33" s="20" t="s">
        <v>287</v>
      </c>
      <c r="F33" s="28">
        <f>COUNTIFS(DESK!$B$2:$B$601,A33,DESK!$L$2:$L$601,1)</f>
        <v>5</v>
      </c>
      <c r="G33" s="28">
        <f>COUNTIFS(DESK!$B$2:$B$601,A33,DESK!$AO$2:$AO$601,1)</f>
        <v>3</v>
      </c>
      <c r="H33" s="44">
        <f t="shared" si="0"/>
        <v>0.6</v>
      </c>
      <c r="I33" s="28">
        <f>COUNTIFS(LOG!$E$2:$E$2001,A33,LOG!$D$2:$D$2001,"NO_SLOTS")</f>
        <v>0</v>
      </c>
    </row>
    <row r="34" spans="1:9" x14ac:dyDescent="0.35">
      <c r="A34" s="28" t="s">
        <v>288</v>
      </c>
      <c r="B34" s="20" t="s">
        <v>289</v>
      </c>
      <c r="C34" s="41" t="s">
        <v>199</v>
      </c>
      <c r="D34" s="41" t="s">
        <v>192</v>
      </c>
      <c r="E34" s="20" t="s">
        <v>290</v>
      </c>
      <c r="F34" s="28">
        <f>COUNTIFS(DESK!$B$2:$B$601,A34,DESK!$L$2:$L$601,1)</f>
        <v>2</v>
      </c>
      <c r="G34" s="28">
        <f>COUNTIFS(DESK!$B$2:$B$601,A34,DESK!$AO$2:$AO$601,1)</f>
        <v>1</v>
      </c>
      <c r="H34" s="44">
        <f t="shared" ref="H34:H65" si="1">IF(F34=0,"",G34/F34)</f>
        <v>0.5</v>
      </c>
      <c r="I34" s="28">
        <f>COUNTIFS(LOG!$E$2:$E$2001,A34,LOG!$D$2:$D$2001,"NO_SLOTS")</f>
        <v>0</v>
      </c>
    </row>
    <row r="35" spans="1:9" x14ac:dyDescent="0.35">
      <c r="A35" s="28" t="s">
        <v>291</v>
      </c>
      <c r="B35" s="20" t="s">
        <v>292</v>
      </c>
      <c r="C35" s="41" t="s">
        <v>199</v>
      </c>
      <c r="D35" s="41" t="s">
        <v>192</v>
      </c>
      <c r="E35" s="20" t="s">
        <v>293</v>
      </c>
      <c r="F35" s="28">
        <f>COUNTIFS(DESK!$B$2:$B$601,A35,DESK!$L$2:$L$601,1)</f>
        <v>2</v>
      </c>
      <c r="G35" s="28">
        <f>COUNTIFS(DESK!$B$2:$B$601,A35,DESK!$AO$2:$AO$601,1)</f>
        <v>1</v>
      </c>
      <c r="H35" s="44">
        <f t="shared" si="1"/>
        <v>0.5</v>
      </c>
      <c r="I35" s="28">
        <f>COUNTIFS(LOG!$E$2:$E$2001,A35,LOG!$D$2:$D$2001,"NO_SLOTS")</f>
        <v>0</v>
      </c>
    </row>
    <row r="36" spans="1:9" x14ac:dyDescent="0.35">
      <c r="A36" s="28" t="s">
        <v>294</v>
      </c>
      <c r="B36" s="20" t="s">
        <v>295</v>
      </c>
      <c r="C36" s="41" t="s">
        <v>191</v>
      </c>
      <c r="D36" s="41" t="s">
        <v>192</v>
      </c>
      <c r="E36" s="20" t="s">
        <v>296</v>
      </c>
      <c r="F36" s="28">
        <f>COUNTIFS(DESK!$B$2:$B$601,A36,DESK!$L$2:$L$601,1)</f>
        <v>4</v>
      </c>
      <c r="G36" s="28">
        <f>COUNTIFS(DESK!$B$2:$B$601,A36,DESK!$AO$2:$AO$601,1)</f>
        <v>2</v>
      </c>
      <c r="H36" s="44">
        <f t="shared" si="1"/>
        <v>0.5</v>
      </c>
      <c r="I36" s="28">
        <f>COUNTIFS(LOG!$E$2:$E$2001,A36,LOG!$D$2:$D$2001,"NO_SLOTS")</f>
        <v>0</v>
      </c>
    </row>
    <row r="37" spans="1:9" x14ac:dyDescent="0.35">
      <c r="A37" s="28" t="s">
        <v>297</v>
      </c>
      <c r="B37" s="20" t="s">
        <v>298</v>
      </c>
      <c r="C37" s="41" t="s">
        <v>199</v>
      </c>
      <c r="D37" s="41" t="s">
        <v>192</v>
      </c>
      <c r="E37" s="20" t="s">
        <v>299</v>
      </c>
      <c r="F37" s="28">
        <f>COUNTIFS(DESK!$B$2:$B$601,A37,DESK!$L$2:$L$601,1)</f>
        <v>3</v>
      </c>
      <c r="G37" s="28">
        <f>COUNTIFS(DESK!$B$2:$B$601,A37,DESK!$AO$2:$AO$601,1)</f>
        <v>1</v>
      </c>
      <c r="H37" s="44">
        <f t="shared" si="1"/>
        <v>0.33333333333333331</v>
      </c>
      <c r="I37" s="28">
        <f>COUNTIFS(LOG!$E$2:$E$2001,A37,LOG!$D$2:$D$2001,"NO_SLOTS")</f>
        <v>0</v>
      </c>
    </row>
    <row r="38" spans="1:9" x14ac:dyDescent="0.35">
      <c r="A38" s="28" t="s">
        <v>300</v>
      </c>
      <c r="B38" s="20" t="s">
        <v>301</v>
      </c>
      <c r="C38" s="41" t="s">
        <v>199</v>
      </c>
      <c r="D38" s="41" t="s">
        <v>192</v>
      </c>
      <c r="E38" s="20" t="s">
        <v>302</v>
      </c>
      <c r="F38" s="28">
        <f>COUNTIFS(DESK!$B$2:$B$601,A38,DESK!$L$2:$L$601,1)</f>
        <v>2</v>
      </c>
      <c r="G38" s="28">
        <f>COUNTIFS(DESK!$B$2:$B$601,A38,DESK!$AO$2:$AO$601,1)</f>
        <v>1</v>
      </c>
      <c r="H38" s="44">
        <f t="shared" si="1"/>
        <v>0.5</v>
      </c>
      <c r="I38" s="28">
        <f>COUNTIFS(LOG!$E$2:$E$2001,A38,LOG!$D$2:$D$2001,"NO_SLOTS")</f>
        <v>0</v>
      </c>
    </row>
    <row r="39" spans="1:9" x14ac:dyDescent="0.35">
      <c r="A39" s="28" t="s">
        <v>303</v>
      </c>
      <c r="B39" s="20" t="s">
        <v>304</v>
      </c>
      <c r="C39" s="41" t="s">
        <v>191</v>
      </c>
      <c r="D39" s="41" t="s">
        <v>192</v>
      </c>
      <c r="E39" s="20" t="s">
        <v>305</v>
      </c>
      <c r="F39" s="28">
        <f>COUNTIFS(DESK!$B$2:$B$601,A39,DESK!$L$2:$L$601,1)</f>
        <v>2</v>
      </c>
      <c r="G39" s="28">
        <f>COUNTIFS(DESK!$B$2:$B$601,A39,DESK!$AO$2:$AO$601,1)</f>
        <v>2</v>
      </c>
      <c r="H39" s="44">
        <f t="shared" si="1"/>
        <v>1</v>
      </c>
      <c r="I39" s="28">
        <f>COUNTIFS(LOG!$E$2:$E$2001,A39,LOG!$D$2:$D$2001,"NO_SLOTS")</f>
        <v>0</v>
      </c>
    </row>
    <row r="40" spans="1:9" x14ac:dyDescent="0.35">
      <c r="A40" s="28" t="s">
        <v>306</v>
      </c>
      <c r="B40" s="20" t="s">
        <v>307</v>
      </c>
      <c r="C40" s="41" t="s">
        <v>191</v>
      </c>
      <c r="D40" s="41" t="s">
        <v>192</v>
      </c>
      <c r="E40" s="20" t="s">
        <v>308</v>
      </c>
      <c r="F40" s="28">
        <f>COUNTIFS(DESK!$B$2:$B$601,A40,DESK!$L$2:$L$601,1)</f>
        <v>3</v>
      </c>
      <c r="G40" s="28">
        <f>COUNTIFS(DESK!$B$2:$B$601,A40,DESK!$AO$2:$AO$601,1)</f>
        <v>2</v>
      </c>
      <c r="H40" s="44">
        <f t="shared" si="1"/>
        <v>0.66666666666666663</v>
      </c>
      <c r="I40" s="28">
        <f>COUNTIFS(LOG!$E$2:$E$2001,A40,LOG!$D$2:$D$2001,"NO_SLOTS")</f>
        <v>0</v>
      </c>
    </row>
    <row r="41" spans="1:9" x14ac:dyDescent="0.35">
      <c r="A41" s="28" t="s">
        <v>309</v>
      </c>
      <c r="B41" s="20" t="s">
        <v>310</v>
      </c>
      <c r="C41" s="41" t="s">
        <v>199</v>
      </c>
      <c r="D41" s="41" t="s">
        <v>192</v>
      </c>
      <c r="E41" s="20" t="s">
        <v>311</v>
      </c>
      <c r="F41" s="28">
        <f>COUNTIFS(DESK!$B$2:$B$601,A41,DESK!$L$2:$L$601,1)</f>
        <v>4</v>
      </c>
      <c r="G41" s="28">
        <f>COUNTIFS(DESK!$B$2:$B$601,A41,DESK!$AO$2:$AO$601,1)</f>
        <v>3</v>
      </c>
      <c r="H41" s="44">
        <f t="shared" si="1"/>
        <v>0.75</v>
      </c>
      <c r="I41" s="28">
        <f>COUNTIFS(LOG!$E$2:$E$2001,A41,LOG!$D$2:$D$2001,"NO_SLOTS")</f>
        <v>0</v>
      </c>
    </row>
    <row r="42" spans="1:9" x14ac:dyDescent="0.35">
      <c r="A42" s="28" t="s">
        <v>312</v>
      </c>
      <c r="B42" s="20" t="s">
        <v>313</v>
      </c>
      <c r="C42" s="41" t="s">
        <v>191</v>
      </c>
      <c r="D42" s="41" t="s">
        <v>192</v>
      </c>
      <c r="E42" s="20" t="s">
        <v>314</v>
      </c>
      <c r="F42" s="28">
        <f>COUNTIFS(DESK!$B$2:$B$601,A42,DESK!$L$2:$L$601,1)</f>
        <v>1</v>
      </c>
      <c r="G42" s="28">
        <f>COUNTIFS(DESK!$B$2:$B$601,A42,DESK!$AO$2:$AO$601,1)</f>
        <v>0</v>
      </c>
      <c r="H42" s="44">
        <f t="shared" si="1"/>
        <v>0</v>
      </c>
      <c r="I42" s="28">
        <f>COUNTIFS(LOG!$E$2:$E$2001,A42,LOG!$D$2:$D$2001,"NO_SLOTS")</f>
        <v>0</v>
      </c>
    </row>
    <row r="43" spans="1:9" x14ac:dyDescent="0.35">
      <c r="A43" s="28" t="s">
        <v>315</v>
      </c>
      <c r="B43" s="20" t="s">
        <v>316</v>
      </c>
      <c r="C43" s="41" t="s">
        <v>199</v>
      </c>
      <c r="D43" s="41" t="s">
        <v>192</v>
      </c>
      <c r="E43" s="20" t="s">
        <v>317</v>
      </c>
      <c r="F43" s="28">
        <f>COUNTIFS(DESK!$B$2:$B$601,A43,DESK!$L$2:$L$601,1)</f>
        <v>1</v>
      </c>
      <c r="G43" s="28">
        <f>COUNTIFS(DESK!$B$2:$B$601,A43,DESK!$AO$2:$AO$601,1)</f>
        <v>1</v>
      </c>
      <c r="H43" s="44">
        <f t="shared" si="1"/>
        <v>1</v>
      </c>
      <c r="I43" s="28">
        <f>COUNTIFS(LOG!$E$2:$E$2001,A43,LOG!$D$2:$D$2001,"NO_SLOTS")</f>
        <v>0</v>
      </c>
    </row>
    <row r="44" spans="1:9" x14ac:dyDescent="0.35">
      <c r="A44" s="28" t="s">
        <v>318</v>
      </c>
      <c r="B44" s="20" t="s">
        <v>319</v>
      </c>
      <c r="C44" s="41" t="s">
        <v>199</v>
      </c>
      <c r="D44" s="41" t="s">
        <v>192</v>
      </c>
      <c r="E44" s="20" t="s">
        <v>320</v>
      </c>
      <c r="F44" s="28">
        <f>COUNTIFS(DESK!$B$2:$B$601,A44,DESK!$L$2:$L$601,1)</f>
        <v>1</v>
      </c>
      <c r="G44" s="28">
        <f>COUNTIFS(DESK!$B$2:$B$601,A44,DESK!$AO$2:$AO$601,1)</f>
        <v>1</v>
      </c>
      <c r="H44" s="44">
        <f t="shared" si="1"/>
        <v>1</v>
      </c>
      <c r="I44" s="28">
        <f>COUNTIFS(LOG!$E$2:$E$2001,A44,LOG!$D$2:$D$2001,"NO_SLOTS")</f>
        <v>0</v>
      </c>
    </row>
    <row r="45" spans="1:9" x14ac:dyDescent="0.35">
      <c r="A45" s="28" t="s">
        <v>321</v>
      </c>
      <c r="B45" s="20" t="s">
        <v>322</v>
      </c>
      <c r="C45" s="41" t="s">
        <v>191</v>
      </c>
      <c r="D45" s="41" t="s">
        <v>192</v>
      </c>
      <c r="E45" s="20" t="s">
        <v>323</v>
      </c>
      <c r="F45" s="28">
        <f>COUNTIFS(DESK!$B$2:$B$601,A45,DESK!$L$2:$L$601,1)</f>
        <v>2</v>
      </c>
      <c r="G45" s="28">
        <f>COUNTIFS(DESK!$B$2:$B$601,A45,DESK!$AO$2:$AO$601,1)</f>
        <v>1</v>
      </c>
      <c r="H45" s="44">
        <f t="shared" si="1"/>
        <v>0.5</v>
      </c>
      <c r="I45" s="28">
        <f>COUNTIFS(LOG!$E$2:$E$2001,A45,LOG!$D$2:$D$2001,"NO_SLOTS")</f>
        <v>0</v>
      </c>
    </row>
    <row r="46" spans="1:9" x14ac:dyDescent="0.35">
      <c r="A46" s="28" t="s">
        <v>324</v>
      </c>
      <c r="B46" s="20" t="s">
        <v>325</v>
      </c>
      <c r="C46" s="41" t="s">
        <v>199</v>
      </c>
      <c r="D46" s="41" t="s">
        <v>192</v>
      </c>
      <c r="E46" s="20" t="s">
        <v>326</v>
      </c>
      <c r="F46" s="28">
        <f>COUNTIFS(DESK!$B$2:$B$601,A46,DESK!$L$2:$L$601,1)</f>
        <v>3</v>
      </c>
      <c r="G46" s="28">
        <f>COUNTIFS(DESK!$B$2:$B$601,A46,DESK!$AO$2:$AO$601,1)</f>
        <v>2</v>
      </c>
      <c r="H46" s="44">
        <f t="shared" si="1"/>
        <v>0.66666666666666663</v>
      </c>
      <c r="I46" s="28">
        <f>COUNTIFS(LOG!$E$2:$E$2001,A46,LOG!$D$2:$D$2001,"NO_SLOTS")</f>
        <v>0</v>
      </c>
    </row>
    <row r="47" spans="1:9" x14ac:dyDescent="0.35">
      <c r="A47" s="28" t="s">
        <v>327</v>
      </c>
      <c r="B47" s="20" t="s">
        <v>328</v>
      </c>
      <c r="C47" s="41" t="s">
        <v>199</v>
      </c>
      <c r="D47" s="41" t="s">
        <v>192</v>
      </c>
      <c r="E47" s="20" t="s">
        <v>329</v>
      </c>
      <c r="F47" s="28">
        <f>COUNTIFS(DESK!$B$2:$B$601,A47,DESK!$L$2:$L$601,1)</f>
        <v>3</v>
      </c>
      <c r="G47" s="28">
        <f>COUNTIFS(DESK!$B$2:$B$601,A47,DESK!$AO$2:$AO$601,1)</f>
        <v>1</v>
      </c>
      <c r="H47" s="44">
        <f t="shared" si="1"/>
        <v>0.33333333333333331</v>
      </c>
      <c r="I47" s="28">
        <f>COUNTIFS(LOG!$E$2:$E$2001,A47,LOG!$D$2:$D$2001,"NO_SLOTS")</f>
        <v>0</v>
      </c>
    </row>
    <row r="48" spans="1:9" x14ac:dyDescent="0.35">
      <c r="A48" s="28" t="s">
        <v>330</v>
      </c>
      <c r="B48" s="20" t="s">
        <v>331</v>
      </c>
      <c r="C48" s="41" t="s">
        <v>199</v>
      </c>
      <c r="D48" s="41" t="s">
        <v>192</v>
      </c>
      <c r="E48" s="20" t="s">
        <v>332</v>
      </c>
      <c r="F48" s="28">
        <f>COUNTIFS(DESK!$B$2:$B$601,A48,DESK!$L$2:$L$601,1)</f>
        <v>1</v>
      </c>
      <c r="G48" s="28">
        <f>COUNTIFS(DESK!$B$2:$B$601,A48,DESK!$AO$2:$AO$601,1)</f>
        <v>0</v>
      </c>
      <c r="H48" s="44">
        <f t="shared" si="1"/>
        <v>0</v>
      </c>
      <c r="I48" s="28">
        <f>COUNTIFS(LOG!$E$2:$E$2001,A48,LOG!$D$2:$D$2001,"NO_SLOTS")</f>
        <v>0</v>
      </c>
    </row>
    <row r="49" spans="1:9" x14ac:dyDescent="0.35">
      <c r="A49" s="28" t="s">
        <v>333</v>
      </c>
      <c r="B49" s="20" t="s">
        <v>334</v>
      </c>
      <c r="C49" s="41" t="s">
        <v>199</v>
      </c>
      <c r="D49" s="41" t="s">
        <v>192</v>
      </c>
      <c r="E49" s="20" t="s">
        <v>335</v>
      </c>
      <c r="F49" s="28">
        <f>COUNTIFS(DESK!$B$2:$B$601,A49,DESK!$L$2:$L$601,1)</f>
        <v>2</v>
      </c>
      <c r="G49" s="28">
        <f>COUNTIFS(DESK!$B$2:$B$601,A49,DESK!$AO$2:$AO$601,1)</f>
        <v>1</v>
      </c>
      <c r="H49" s="44">
        <f t="shared" si="1"/>
        <v>0.5</v>
      </c>
      <c r="I49" s="28">
        <f>COUNTIFS(LOG!$E$2:$E$2001,A49,LOG!$D$2:$D$2001,"NO_SLOTS")</f>
        <v>0</v>
      </c>
    </row>
    <row r="50" spans="1:9" x14ac:dyDescent="0.35">
      <c r="A50" s="28" t="s">
        <v>336</v>
      </c>
      <c r="B50" s="20" t="s">
        <v>337</v>
      </c>
      <c r="C50" s="41" t="s">
        <v>199</v>
      </c>
      <c r="D50" s="41" t="s">
        <v>192</v>
      </c>
      <c r="E50" s="20" t="s">
        <v>338</v>
      </c>
      <c r="F50" s="28">
        <f>COUNTIFS(DESK!$B$2:$B$601,A50,DESK!$L$2:$L$601,1)</f>
        <v>3</v>
      </c>
      <c r="G50" s="28">
        <f>COUNTIFS(DESK!$B$2:$B$601,A50,DESK!$AO$2:$AO$601,1)</f>
        <v>2</v>
      </c>
      <c r="H50" s="44">
        <f t="shared" si="1"/>
        <v>0.66666666666666663</v>
      </c>
      <c r="I50" s="28">
        <f>COUNTIFS(LOG!$E$2:$E$2001,A50,LOG!$D$2:$D$2001,"NO_SLOTS")</f>
        <v>0</v>
      </c>
    </row>
    <row r="51" spans="1:9" x14ac:dyDescent="0.35">
      <c r="A51" s="28" t="s">
        <v>339</v>
      </c>
      <c r="B51" s="20" t="s">
        <v>340</v>
      </c>
      <c r="C51" s="41" t="s">
        <v>191</v>
      </c>
      <c r="D51" s="41" t="s">
        <v>192</v>
      </c>
      <c r="E51" s="20" t="s">
        <v>341</v>
      </c>
      <c r="F51" s="28">
        <f>COUNTIFS(DESK!$B$2:$B$601,A51,DESK!$L$2:$L$601,1)</f>
        <v>1</v>
      </c>
      <c r="G51" s="28">
        <f>COUNTIFS(DESK!$B$2:$B$601,A51,DESK!$AO$2:$AO$601,1)</f>
        <v>0</v>
      </c>
      <c r="H51" s="44">
        <f t="shared" si="1"/>
        <v>0</v>
      </c>
      <c r="I51" s="28">
        <f>COUNTIFS(LOG!$E$2:$E$2001,A51,LOG!$D$2:$D$2001,"NO_SLOTS")</f>
        <v>0</v>
      </c>
    </row>
    <row r="52" spans="1:9" x14ac:dyDescent="0.35">
      <c r="A52" s="28" t="s">
        <v>342</v>
      </c>
      <c r="B52" s="20" t="s">
        <v>343</v>
      </c>
      <c r="C52" s="41" t="s">
        <v>199</v>
      </c>
      <c r="D52" s="41" t="s">
        <v>192</v>
      </c>
      <c r="E52" s="20" t="s">
        <v>344</v>
      </c>
      <c r="F52" s="28">
        <f>COUNTIFS(DESK!$B$2:$B$601,A52,DESK!$L$2:$L$601,1)</f>
        <v>1</v>
      </c>
      <c r="G52" s="28">
        <f>COUNTIFS(DESK!$B$2:$B$601,A52,DESK!$AO$2:$AO$601,1)</f>
        <v>1</v>
      </c>
      <c r="H52" s="44">
        <f t="shared" si="1"/>
        <v>1</v>
      </c>
      <c r="I52" s="28">
        <f>COUNTIFS(LOG!$E$2:$E$2001,A52,LOG!$D$2:$D$2001,"NO_SLOTS")</f>
        <v>0</v>
      </c>
    </row>
    <row r="53" spans="1:9" x14ac:dyDescent="0.35">
      <c r="A53" s="28" t="s">
        <v>345</v>
      </c>
      <c r="B53" s="20" t="s">
        <v>346</v>
      </c>
      <c r="C53" s="41" t="s">
        <v>199</v>
      </c>
      <c r="D53" s="41" t="s">
        <v>192</v>
      </c>
      <c r="E53" s="20" t="s">
        <v>347</v>
      </c>
      <c r="F53" s="28">
        <f>COUNTIFS(DESK!$B$2:$B$601,A53,DESK!$L$2:$L$601,1)</f>
        <v>2</v>
      </c>
      <c r="G53" s="28">
        <f>COUNTIFS(DESK!$B$2:$B$601,A53,DESK!$AO$2:$AO$601,1)</f>
        <v>2</v>
      </c>
      <c r="H53" s="44">
        <f t="shared" si="1"/>
        <v>1</v>
      </c>
      <c r="I53" s="28">
        <f>COUNTIFS(LOG!$E$2:$E$2001,A53,LOG!$D$2:$D$2001,"NO_SLOTS")</f>
        <v>0</v>
      </c>
    </row>
    <row r="54" spans="1:9" x14ac:dyDescent="0.35">
      <c r="A54" s="28" t="s">
        <v>348</v>
      </c>
      <c r="B54" s="20" t="s">
        <v>349</v>
      </c>
      <c r="C54" s="41" t="s">
        <v>191</v>
      </c>
      <c r="D54" s="41" t="s">
        <v>192</v>
      </c>
      <c r="E54" s="20" t="s">
        <v>350</v>
      </c>
      <c r="F54" s="28">
        <f>COUNTIFS(DESK!$B$2:$B$601,A54,DESK!$L$2:$L$601,1)</f>
        <v>2</v>
      </c>
      <c r="G54" s="28">
        <f>COUNTIFS(DESK!$B$2:$B$601,A54,DESK!$AO$2:$AO$601,1)</f>
        <v>0</v>
      </c>
      <c r="H54" s="44">
        <f t="shared" si="1"/>
        <v>0</v>
      </c>
      <c r="I54" s="28">
        <f>COUNTIFS(LOG!$E$2:$E$2001,A54,LOG!$D$2:$D$2001,"NO_SLOTS")</f>
        <v>0</v>
      </c>
    </row>
    <row r="55" spans="1:9" x14ac:dyDescent="0.35">
      <c r="A55" s="28" t="s">
        <v>351</v>
      </c>
      <c r="B55" s="20" t="s">
        <v>352</v>
      </c>
      <c r="C55" s="41" t="s">
        <v>199</v>
      </c>
      <c r="D55" s="41" t="s">
        <v>192</v>
      </c>
      <c r="E55" s="20" t="s">
        <v>353</v>
      </c>
      <c r="F55" s="28">
        <f>COUNTIFS(DESK!$B$2:$B$601,A55,DESK!$L$2:$L$601,1)</f>
        <v>2</v>
      </c>
      <c r="G55" s="28">
        <f>COUNTIFS(DESK!$B$2:$B$601,A55,DESK!$AO$2:$AO$601,1)</f>
        <v>1</v>
      </c>
      <c r="H55" s="44">
        <f t="shared" si="1"/>
        <v>0.5</v>
      </c>
      <c r="I55" s="28">
        <f>COUNTIFS(LOG!$E$2:$E$2001,A55,LOG!$D$2:$D$2001,"NO_SLOTS")</f>
        <v>0</v>
      </c>
    </row>
    <row r="56" spans="1:9" x14ac:dyDescent="0.35">
      <c r="A56" s="28" t="s">
        <v>354</v>
      </c>
      <c r="B56" s="20" t="s">
        <v>355</v>
      </c>
      <c r="C56" s="41" t="s">
        <v>199</v>
      </c>
      <c r="D56" s="41" t="s">
        <v>192</v>
      </c>
      <c r="E56" s="20" t="s">
        <v>356</v>
      </c>
      <c r="F56" s="28">
        <f>COUNTIFS(DESK!$B$2:$B$601,A56,DESK!$L$2:$L$601,1)</f>
        <v>2</v>
      </c>
      <c r="G56" s="28">
        <f>COUNTIFS(DESK!$B$2:$B$601,A56,DESK!$AO$2:$AO$601,1)</f>
        <v>1</v>
      </c>
      <c r="H56" s="44">
        <f t="shared" si="1"/>
        <v>0.5</v>
      </c>
      <c r="I56" s="28">
        <f>COUNTIFS(LOG!$E$2:$E$2001,A56,LOG!$D$2:$D$2001,"NO_SLOTS")</f>
        <v>0</v>
      </c>
    </row>
    <row r="57" spans="1:9" x14ac:dyDescent="0.35">
      <c r="A57" s="28" t="s">
        <v>357</v>
      </c>
      <c r="B57" s="20" t="s">
        <v>358</v>
      </c>
      <c r="C57" s="41" t="s">
        <v>191</v>
      </c>
      <c r="D57" s="41" t="s">
        <v>192</v>
      </c>
      <c r="E57" s="20" t="s">
        <v>359</v>
      </c>
      <c r="F57" s="28">
        <f>COUNTIFS(DESK!$B$2:$B$601,A57,DESK!$L$2:$L$601,1)</f>
        <v>2</v>
      </c>
      <c r="G57" s="28">
        <f>COUNTIFS(DESK!$B$2:$B$601,A57,DESK!$AO$2:$AO$601,1)</f>
        <v>0</v>
      </c>
      <c r="H57" s="44">
        <f t="shared" si="1"/>
        <v>0</v>
      </c>
      <c r="I57" s="28">
        <f>COUNTIFS(LOG!$E$2:$E$2001,A57,LOG!$D$2:$D$2001,"NO_SLOTS")</f>
        <v>0</v>
      </c>
    </row>
    <row r="58" spans="1:9" x14ac:dyDescent="0.35">
      <c r="A58" s="28" t="s">
        <v>360</v>
      </c>
      <c r="B58" s="20" t="s">
        <v>361</v>
      </c>
      <c r="C58" s="41" t="s">
        <v>199</v>
      </c>
      <c r="D58" s="41" t="s">
        <v>192</v>
      </c>
      <c r="E58" s="20" t="s">
        <v>362</v>
      </c>
      <c r="F58" s="28">
        <f>COUNTIFS(DESK!$B$2:$B$601,A58,DESK!$L$2:$L$601,1)</f>
        <v>2</v>
      </c>
      <c r="G58" s="28">
        <f>COUNTIFS(DESK!$B$2:$B$601,A58,DESK!$AO$2:$AO$601,1)</f>
        <v>0</v>
      </c>
      <c r="H58" s="44">
        <f t="shared" si="1"/>
        <v>0</v>
      </c>
      <c r="I58" s="28">
        <f>COUNTIFS(LOG!$E$2:$E$2001,A58,LOG!$D$2:$D$2001,"NO_SLOTS")</f>
        <v>0</v>
      </c>
    </row>
    <row r="59" spans="1:9" x14ac:dyDescent="0.35">
      <c r="A59" s="28" t="s">
        <v>363</v>
      </c>
      <c r="B59" s="20" t="s">
        <v>364</v>
      </c>
      <c r="C59" s="41" t="s">
        <v>191</v>
      </c>
      <c r="D59" s="41" t="s">
        <v>192</v>
      </c>
      <c r="E59" s="20" t="s">
        <v>365</v>
      </c>
      <c r="F59" s="28">
        <f>COUNTIFS(DESK!$B$2:$B$601,A59,DESK!$L$2:$L$601,1)</f>
        <v>1</v>
      </c>
      <c r="G59" s="28">
        <f>COUNTIFS(DESK!$B$2:$B$601,A59,DESK!$AO$2:$AO$601,1)</f>
        <v>1</v>
      </c>
      <c r="H59" s="44">
        <f t="shared" si="1"/>
        <v>1</v>
      </c>
      <c r="I59" s="28">
        <f>COUNTIFS(LOG!$E$2:$E$2001,A59,LOG!$D$2:$D$2001,"NO_SLOTS")</f>
        <v>0</v>
      </c>
    </row>
    <row r="60" spans="1:9" x14ac:dyDescent="0.35">
      <c r="A60" s="28" t="s">
        <v>366</v>
      </c>
      <c r="B60" s="20" t="s">
        <v>367</v>
      </c>
      <c r="C60" s="41" t="s">
        <v>191</v>
      </c>
      <c r="D60" s="41" t="s">
        <v>192</v>
      </c>
      <c r="E60" s="20" t="s">
        <v>368</v>
      </c>
      <c r="F60" s="28">
        <f>COUNTIFS(DESK!$B$2:$B$601,A60,DESK!$L$2:$L$601,1)</f>
        <v>4</v>
      </c>
      <c r="G60" s="28">
        <f>COUNTIFS(DESK!$B$2:$B$601,A60,DESK!$AO$2:$AO$601,1)</f>
        <v>2</v>
      </c>
      <c r="H60" s="44">
        <f t="shared" si="1"/>
        <v>0.5</v>
      </c>
      <c r="I60" s="28">
        <f>COUNTIFS(LOG!$E$2:$E$2001,A60,LOG!$D$2:$D$2001,"NO_SLOTS")</f>
        <v>0</v>
      </c>
    </row>
    <row r="61" spans="1:9" x14ac:dyDescent="0.35">
      <c r="A61" s="28" t="s">
        <v>369</v>
      </c>
      <c r="B61" s="20" t="s">
        <v>370</v>
      </c>
      <c r="C61" s="41" t="s">
        <v>199</v>
      </c>
      <c r="D61" s="41" t="s">
        <v>192</v>
      </c>
      <c r="E61" s="20" t="s">
        <v>371</v>
      </c>
      <c r="F61" s="28">
        <f>COUNTIFS(DESK!$B$2:$B$601,A61,DESK!$L$2:$L$601,1)</f>
        <v>3</v>
      </c>
      <c r="G61" s="28">
        <f>COUNTIFS(DESK!$B$2:$B$601,A61,DESK!$AO$2:$AO$601,1)</f>
        <v>1</v>
      </c>
      <c r="H61" s="44">
        <f t="shared" si="1"/>
        <v>0.33333333333333331</v>
      </c>
      <c r="I61" s="28">
        <f>COUNTIFS(LOG!$E$2:$E$2001,A61,LOG!$D$2:$D$2001,"NO_SLOTS")</f>
        <v>0</v>
      </c>
    </row>
    <row r="62" spans="1:9" x14ac:dyDescent="0.35">
      <c r="A62" s="28" t="s">
        <v>372</v>
      </c>
      <c r="B62" s="20" t="s">
        <v>373</v>
      </c>
      <c r="C62" s="41" t="s">
        <v>191</v>
      </c>
      <c r="D62" s="41" t="s">
        <v>192</v>
      </c>
      <c r="E62" s="20" t="s">
        <v>374</v>
      </c>
      <c r="F62" s="28">
        <f>COUNTIFS(DESK!$B$2:$B$601,A62,DESK!$L$2:$L$601,1)</f>
        <v>2</v>
      </c>
      <c r="G62" s="28">
        <f>COUNTIFS(DESK!$B$2:$B$601,A62,DESK!$AO$2:$AO$601,1)</f>
        <v>1</v>
      </c>
      <c r="H62" s="44">
        <f t="shared" si="1"/>
        <v>0.5</v>
      </c>
      <c r="I62" s="28">
        <f>COUNTIFS(LOG!$E$2:$E$2001,A62,LOG!$D$2:$D$2001,"NO_SLOTS")</f>
        <v>0</v>
      </c>
    </row>
    <row r="63" spans="1:9" x14ac:dyDescent="0.35">
      <c r="A63" s="28" t="s">
        <v>375</v>
      </c>
      <c r="B63" s="20" t="s">
        <v>376</v>
      </c>
      <c r="C63" s="41" t="s">
        <v>199</v>
      </c>
      <c r="D63" s="41" t="s">
        <v>192</v>
      </c>
      <c r="E63" s="20" t="s">
        <v>377</v>
      </c>
      <c r="F63" s="28">
        <f>COUNTIFS(DESK!$B$2:$B$601,A63,DESK!$L$2:$L$601,1)</f>
        <v>1</v>
      </c>
      <c r="G63" s="28">
        <f>COUNTIFS(DESK!$B$2:$B$601,A63,DESK!$AO$2:$AO$601,1)</f>
        <v>1</v>
      </c>
      <c r="H63" s="44">
        <f t="shared" si="1"/>
        <v>1</v>
      </c>
      <c r="I63" s="28">
        <f>COUNTIFS(LOG!$E$2:$E$2001,A63,LOG!$D$2:$D$2001,"NO_SLOTS")</f>
        <v>0</v>
      </c>
    </row>
    <row r="64" spans="1:9" x14ac:dyDescent="0.35">
      <c r="A64" s="28" t="s">
        <v>378</v>
      </c>
      <c r="B64" s="20" t="s">
        <v>379</v>
      </c>
      <c r="C64" s="41" t="s">
        <v>199</v>
      </c>
      <c r="D64" s="41" t="s">
        <v>192</v>
      </c>
      <c r="E64" s="20" t="s">
        <v>380</v>
      </c>
      <c r="F64" s="28">
        <f>COUNTIFS(DESK!$B$2:$B$601,A64,DESK!$L$2:$L$601,1)</f>
        <v>1</v>
      </c>
      <c r="G64" s="28">
        <f>COUNTIFS(DESK!$B$2:$B$601,A64,DESK!$AO$2:$AO$601,1)</f>
        <v>0</v>
      </c>
      <c r="H64" s="44">
        <f t="shared" si="1"/>
        <v>0</v>
      </c>
      <c r="I64" s="28">
        <f>COUNTIFS(LOG!$E$2:$E$2001,A64,LOG!$D$2:$D$2001,"NO_SLOTS")</f>
        <v>0</v>
      </c>
    </row>
    <row r="65" spans="1:9" x14ac:dyDescent="0.35">
      <c r="A65" s="28" t="s">
        <v>381</v>
      </c>
      <c r="B65" s="20" t="s">
        <v>382</v>
      </c>
      <c r="C65" s="41" t="s">
        <v>191</v>
      </c>
      <c r="D65" s="41" t="s">
        <v>192</v>
      </c>
      <c r="E65" s="20" t="s">
        <v>383</v>
      </c>
      <c r="F65" s="28">
        <f>COUNTIFS(DESK!$B$2:$B$601,A65,DESK!$L$2:$L$601,1)</f>
        <v>1</v>
      </c>
      <c r="G65" s="28">
        <f>COUNTIFS(DESK!$B$2:$B$601,A65,DESK!$AO$2:$AO$601,1)</f>
        <v>0</v>
      </c>
      <c r="H65" s="44">
        <f t="shared" si="1"/>
        <v>0</v>
      </c>
      <c r="I65" s="28">
        <f>COUNTIFS(LOG!$E$2:$E$2001,A65,LOG!$D$2:$D$2001,"NO_SLOTS")</f>
        <v>0</v>
      </c>
    </row>
    <row r="66" spans="1:9" x14ac:dyDescent="0.35">
      <c r="A66" s="28" t="s">
        <v>384</v>
      </c>
      <c r="B66" s="20" t="s">
        <v>385</v>
      </c>
      <c r="C66" s="41" t="s">
        <v>199</v>
      </c>
      <c r="D66" s="41" t="s">
        <v>192</v>
      </c>
      <c r="E66" s="20" t="s">
        <v>386</v>
      </c>
      <c r="F66" s="28">
        <f>COUNTIFS(DESK!$B$2:$B$601,A66,DESK!$L$2:$L$601,1)</f>
        <v>2</v>
      </c>
      <c r="G66" s="28">
        <f>COUNTIFS(DESK!$B$2:$B$601,A66,DESK!$AO$2:$AO$601,1)</f>
        <v>1</v>
      </c>
      <c r="H66" s="44">
        <f t="shared" ref="H66:H97" si="2">IF(F66=0,"",G66/F66)</f>
        <v>0.5</v>
      </c>
      <c r="I66" s="28">
        <f>COUNTIFS(LOG!$E$2:$E$2001,A66,LOG!$D$2:$D$2001,"NO_SLOTS")</f>
        <v>0</v>
      </c>
    </row>
    <row r="67" spans="1:9" x14ac:dyDescent="0.35">
      <c r="A67" s="28" t="s">
        <v>387</v>
      </c>
      <c r="B67" s="20" t="s">
        <v>388</v>
      </c>
      <c r="C67" s="41" t="s">
        <v>199</v>
      </c>
      <c r="D67" s="41" t="s">
        <v>192</v>
      </c>
      <c r="E67" s="20" t="s">
        <v>389</v>
      </c>
      <c r="F67" s="28">
        <f>COUNTIFS(DESK!$B$2:$B$601,A67,DESK!$L$2:$L$601,1)</f>
        <v>1</v>
      </c>
      <c r="G67" s="28">
        <f>COUNTIFS(DESK!$B$2:$B$601,A67,DESK!$AO$2:$AO$601,1)</f>
        <v>0</v>
      </c>
      <c r="H67" s="44">
        <f t="shared" si="2"/>
        <v>0</v>
      </c>
      <c r="I67" s="28">
        <f>COUNTIFS(LOG!$E$2:$E$2001,A67,LOG!$D$2:$D$2001,"NO_SLOTS")</f>
        <v>0</v>
      </c>
    </row>
    <row r="68" spans="1:9" x14ac:dyDescent="0.35">
      <c r="A68" s="28" t="s">
        <v>390</v>
      </c>
      <c r="B68" s="20" t="s">
        <v>391</v>
      </c>
      <c r="C68" s="41" t="s">
        <v>199</v>
      </c>
      <c r="D68" s="41" t="s">
        <v>192</v>
      </c>
      <c r="E68" s="20" t="s">
        <v>392</v>
      </c>
      <c r="F68" s="28">
        <f>COUNTIFS(DESK!$B$2:$B$601,A68,DESK!$L$2:$L$601,1)</f>
        <v>1</v>
      </c>
      <c r="G68" s="28">
        <f>COUNTIFS(DESK!$B$2:$B$601,A68,DESK!$AO$2:$AO$601,1)</f>
        <v>0</v>
      </c>
      <c r="H68" s="44">
        <f t="shared" si="2"/>
        <v>0</v>
      </c>
      <c r="I68" s="28">
        <f>COUNTIFS(LOG!$E$2:$E$2001,A68,LOG!$D$2:$D$2001,"NO_SLOTS")</f>
        <v>0</v>
      </c>
    </row>
    <row r="69" spans="1:9" x14ac:dyDescent="0.35">
      <c r="A69" s="28" t="s">
        <v>393</v>
      </c>
      <c r="B69" s="20" t="s">
        <v>394</v>
      </c>
      <c r="C69" s="41" t="s">
        <v>199</v>
      </c>
      <c r="D69" s="41" t="s">
        <v>192</v>
      </c>
      <c r="E69" s="20" t="s">
        <v>395</v>
      </c>
      <c r="F69" s="28">
        <f>COUNTIFS(DESK!$B$2:$B$601,A69,DESK!$L$2:$L$601,1)</f>
        <v>1</v>
      </c>
      <c r="G69" s="28">
        <f>COUNTIFS(DESK!$B$2:$B$601,A69,DESK!$AO$2:$AO$601,1)</f>
        <v>0</v>
      </c>
      <c r="H69" s="44">
        <f t="shared" si="2"/>
        <v>0</v>
      </c>
      <c r="I69" s="28">
        <f>COUNTIFS(LOG!$E$2:$E$2001,A69,LOG!$D$2:$D$2001,"NO_SLOTS")</f>
        <v>0</v>
      </c>
    </row>
    <row r="70" spans="1:9" x14ac:dyDescent="0.35">
      <c r="A70" s="28" t="s">
        <v>396</v>
      </c>
      <c r="B70" s="20" t="s">
        <v>397</v>
      </c>
      <c r="C70" s="41" t="s">
        <v>199</v>
      </c>
      <c r="D70" s="41" t="s">
        <v>192</v>
      </c>
      <c r="E70" s="20" t="s">
        <v>398</v>
      </c>
      <c r="F70" s="28">
        <f>COUNTIFS(DESK!$B$2:$B$601,A70,DESK!$L$2:$L$601,1)</f>
        <v>2</v>
      </c>
      <c r="G70" s="28">
        <f>COUNTIFS(DESK!$B$2:$B$601,A70,DESK!$AO$2:$AO$601,1)</f>
        <v>1</v>
      </c>
      <c r="H70" s="44">
        <f t="shared" si="2"/>
        <v>0.5</v>
      </c>
      <c r="I70" s="28">
        <f>COUNTIFS(LOG!$E$2:$E$2001,A70,LOG!$D$2:$D$2001,"NO_SLOTS")</f>
        <v>0</v>
      </c>
    </row>
    <row r="71" spans="1:9" x14ac:dyDescent="0.35">
      <c r="A71" s="28" t="s">
        <v>399</v>
      </c>
      <c r="B71" s="20" t="s">
        <v>400</v>
      </c>
      <c r="C71" s="41" t="s">
        <v>199</v>
      </c>
      <c r="D71" s="41" t="s">
        <v>192</v>
      </c>
      <c r="E71" s="20" t="s">
        <v>401</v>
      </c>
      <c r="F71" s="28">
        <f>COUNTIFS(DESK!$B$2:$B$601,A71,DESK!$L$2:$L$601,1)</f>
        <v>3</v>
      </c>
      <c r="G71" s="28">
        <f>COUNTIFS(DESK!$B$2:$B$601,A71,DESK!$AO$2:$AO$601,1)</f>
        <v>0</v>
      </c>
      <c r="H71" s="44">
        <f t="shared" si="2"/>
        <v>0</v>
      </c>
      <c r="I71" s="28">
        <f>COUNTIFS(LOG!$E$2:$E$2001,A71,LOG!$D$2:$D$2001,"NO_SLOTS")</f>
        <v>0</v>
      </c>
    </row>
    <row r="72" spans="1:9" x14ac:dyDescent="0.35">
      <c r="A72" s="28" t="s">
        <v>402</v>
      </c>
      <c r="B72" s="20" t="s">
        <v>403</v>
      </c>
      <c r="C72" s="41" t="s">
        <v>199</v>
      </c>
      <c r="D72" s="41" t="s">
        <v>192</v>
      </c>
      <c r="E72" s="20" t="s">
        <v>404</v>
      </c>
      <c r="F72" s="28">
        <f>COUNTIFS(DESK!$B$2:$B$601,A72,DESK!$L$2:$L$601,1)</f>
        <v>1</v>
      </c>
      <c r="G72" s="28">
        <f>COUNTIFS(DESK!$B$2:$B$601,A72,DESK!$AO$2:$AO$601,1)</f>
        <v>1</v>
      </c>
      <c r="H72" s="44">
        <f t="shared" si="2"/>
        <v>1</v>
      </c>
      <c r="I72" s="28">
        <f>COUNTIFS(LOG!$E$2:$E$2001,A72,LOG!$D$2:$D$2001,"NO_SLOTS")</f>
        <v>0</v>
      </c>
    </row>
    <row r="73" spans="1:9" x14ac:dyDescent="0.35">
      <c r="A73" s="28" t="s">
        <v>405</v>
      </c>
      <c r="B73" s="20" t="s">
        <v>406</v>
      </c>
      <c r="C73" s="41" t="s">
        <v>199</v>
      </c>
      <c r="D73" s="41" t="s">
        <v>192</v>
      </c>
      <c r="E73" s="20" t="s">
        <v>407</v>
      </c>
      <c r="F73" s="28">
        <f>COUNTIFS(DESK!$B$2:$B$601,A73,DESK!$L$2:$L$601,1)</f>
        <v>1</v>
      </c>
      <c r="G73" s="28">
        <f>COUNTIFS(DESK!$B$2:$B$601,A73,DESK!$AO$2:$AO$601,1)</f>
        <v>0</v>
      </c>
      <c r="H73" s="44">
        <f t="shared" si="2"/>
        <v>0</v>
      </c>
      <c r="I73" s="28">
        <f>COUNTIFS(LOG!$E$2:$E$2001,A73,LOG!$D$2:$D$2001,"NO_SLOTS")</f>
        <v>0</v>
      </c>
    </row>
    <row r="74" spans="1:9" x14ac:dyDescent="0.35">
      <c r="A74" s="28" t="s">
        <v>408</v>
      </c>
      <c r="B74" s="20" t="s">
        <v>409</v>
      </c>
      <c r="C74" s="41" t="s">
        <v>199</v>
      </c>
      <c r="D74" s="41" t="s">
        <v>192</v>
      </c>
      <c r="E74" s="20" t="s">
        <v>410</v>
      </c>
      <c r="F74" s="28">
        <f>COUNTIFS(DESK!$B$2:$B$601,A74,DESK!$L$2:$L$601,1)</f>
        <v>1</v>
      </c>
      <c r="G74" s="28">
        <f>COUNTIFS(DESK!$B$2:$B$601,A74,DESK!$AO$2:$AO$601,1)</f>
        <v>1</v>
      </c>
      <c r="H74" s="44">
        <f t="shared" si="2"/>
        <v>1</v>
      </c>
      <c r="I74" s="28">
        <f>COUNTIFS(LOG!$E$2:$E$2001,A74,LOG!$D$2:$D$2001,"NO_SLOTS")</f>
        <v>0</v>
      </c>
    </row>
    <row r="75" spans="1:9" x14ac:dyDescent="0.35">
      <c r="A75" s="28" t="s">
        <v>411</v>
      </c>
      <c r="B75" s="20" t="s">
        <v>412</v>
      </c>
      <c r="C75" s="41" t="s">
        <v>199</v>
      </c>
      <c r="D75" s="41" t="s">
        <v>192</v>
      </c>
      <c r="E75" s="20" t="s">
        <v>413</v>
      </c>
      <c r="F75" s="28">
        <f>COUNTIFS(DESK!$B$2:$B$601,A75,DESK!$L$2:$L$601,1)</f>
        <v>2</v>
      </c>
      <c r="G75" s="28">
        <f>COUNTIFS(DESK!$B$2:$B$601,A75,DESK!$AO$2:$AO$601,1)</f>
        <v>1</v>
      </c>
      <c r="H75" s="44">
        <f t="shared" si="2"/>
        <v>0.5</v>
      </c>
      <c r="I75" s="28">
        <f>COUNTIFS(LOG!$E$2:$E$2001,A75,LOG!$D$2:$D$2001,"NO_SLOTS")</f>
        <v>0</v>
      </c>
    </row>
    <row r="76" spans="1:9" x14ac:dyDescent="0.35">
      <c r="A76" s="28" t="s">
        <v>414</v>
      </c>
      <c r="B76" s="20" t="s">
        <v>415</v>
      </c>
      <c r="C76" s="41" t="s">
        <v>191</v>
      </c>
      <c r="D76" s="41" t="s">
        <v>192</v>
      </c>
      <c r="E76" s="20" t="s">
        <v>416</v>
      </c>
      <c r="F76" s="28">
        <f>COUNTIFS(DESK!$B$2:$B$601,A76,DESK!$L$2:$L$601,1)</f>
        <v>1</v>
      </c>
      <c r="G76" s="28">
        <f>COUNTIFS(DESK!$B$2:$B$601,A76,DESK!$AO$2:$AO$601,1)</f>
        <v>1</v>
      </c>
      <c r="H76" s="44">
        <f t="shared" si="2"/>
        <v>1</v>
      </c>
      <c r="I76" s="28">
        <f>COUNTIFS(LOG!$E$2:$E$2001,A76,LOG!$D$2:$D$2001,"NO_SLOTS")</f>
        <v>0</v>
      </c>
    </row>
    <row r="77" spans="1:9" x14ac:dyDescent="0.35">
      <c r="A77" s="28" t="s">
        <v>417</v>
      </c>
      <c r="B77" s="20" t="s">
        <v>418</v>
      </c>
      <c r="C77" s="41" t="s">
        <v>199</v>
      </c>
      <c r="D77" s="41" t="s">
        <v>192</v>
      </c>
      <c r="E77" s="20" t="s">
        <v>419</v>
      </c>
      <c r="F77" s="28">
        <f>COUNTIFS(DESK!$B$2:$B$601,A77,DESK!$L$2:$L$601,1)</f>
        <v>1</v>
      </c>
      <c r="G77" s="28">
        <f>COUNTIFS(DESK!$B$2:$B$601,A77,DESK!$AO$2:$AO$601,1)</f>
        <v>0</v>
      </c>
      <c r="H77" s="44">
        <f t="shared" si="2"/>
        <v>0</v>
      </c>
      <c r="I77" s="28">
        <f>COUNTIFS(LOG!$E$2:$E$2001,A77,LOG!$D$2:$D$2001,"NO_SLOTS")</f>
        <v>0</v>
      </c>
    </row>
    <row r="78" spans="1:9" x14ac:dyDescent="0.35">
      <c r="A78" s="28" t="s">
        <v>420</v>
      </c>
      <c r="B78" s="20" t="s">
        <v>421</v>
      </c>
      <c r="C78" s="41" t="s">
        <v>199</v>
      </c>
      <c r="D78" s="41" t="s">
        <v>192</v>
      </c>
      <c r="E78" s="20" t="s">
        <v>422</v>
      </c>
      <c r="F78" s="28">
        <f>COUNTIFS(DESK!$B$2:$B$601,A78,DESK!$L$2:$L$601,1)</f>
        <v>1</v>
      </c>
      <c r="G78" s="28">
        <f>COUNTIFS(DESK!$B$2:$B$601,A78,DESK!$AO$2:$AO$601,1)</f>
        <v>0</v>
      </c>
      <c r="H78" s="44">
        <f t="shared" si="2"/>
        <v>0</v>
      </c>
      <c r="I78" s="28">
        <f>COUNTIFS(LOG!$E$2:$E$2001,A78,LOG!$D$2:$D$2001,"NO_SLOTS")</f>
        <v>0</v>
      </c>
    </row>
    <row r="79" spans="1:9" x14ac:dyDescent="0.35">
      <c r="A79" s="28" t="s">
        <v>423</v>
      </c>
      <c r="B79" s="20" t="s">
        <v>424</v>
      </c>
      <c r="C79" s="41" t="s">
        <v>199</v>
      </c>
      <c r="D79" s="41" t="s">
        <v>192</v>
      </c>
      <c r="E79" s="20" t="s">
        <v>425</v>
      </c>
      <c r="F79" s="28">
        <f>COUNTIFS(DESK!$B$2:$B$601,A79,DESK!$L$2:$L$601,1)</f>
        <v>2</v>
      </c>
      <c r="G79" s="28">
        <f>COUNTIFS(DESK!$B$2:$B$601,A79,DESK!$AO$2:$AO$601,1)</f>
        <v>2</v>
      </c>
      <c r="H79" s="44">
        <f t="shared" si="2"/>
        <v>1</v>
      </c>
      <c r="I79" s="28">
        <f>COUNTIFS(LOG!$E$2:$E$2001,A79,LOG!$D$2:$D$2001,"NO_SLOTS")</f>
        <v>0</v>
      </c>
    </row>
    <row r="80" spans="1:9" x14ac:dyDescent="0.35">
      <c r="A80" s="28" t="s">
        <v>426</v>
      </c>
      <c r="B80" s="20" t="s">
        <v>427</v>
      </c>
      <c r="C80" s="41" t="s">
        <v>199</v>
      </c>
      <c r="D80" s="41" t="s">
        <v>192</v>
      </c>
      <c r="E80" s="20" t="s">
        <v>428</v>
      </c>
      <c r="F80" s="28">
        <f>COUNTIFS(DESK!$B$2:$B$601,A80,DESK!$L$2:$L$601,1)</f>
        <v>1</v>
      </c>
      <c r="G80" s="28">
        <f>COUNTIFS(DESK!$B$2:$B$601,A80,DESK!$AO$2:$AO$601,1)</f>
        <v>1</v>
      </c>
      <c r="H80" s="44">
        <f t="shared" si="2"/>
        <v>1</v>
      </c>
      <c r="I80" s="28">
        <f>COUNTIFS(LOG!$E$2:$E$2001,A80,LOG!$D$2:$D$2001,"NO_SLOTS")</f>
        <v>0</v>
      </c>
    </row>
    <row r="81" spans="1:9" x14ac:dyDescent="0.35">
      <c r="A81" s="28" t="s">
        <v>429</v>
      </c>
      <c r="B81" s="20" t="s">
        <v>430</v>
      </c>
      <c r="C81" s="41" t="s">
        <v>191</v>
      </c>
      <c r="D81" s="41" t="s">
        <v>192</v>
      </c>
      <c r="E81" s="20" t="s">
        <v>431</v>
      </c>
      <c r="F81" s="28">
        <f>COUNTIFS(DESK!$B$2:$B$601,A81,DESK!$L$2:$L$601,1)</f>
        <v>3</v>
      </c>
      <c r="G81" s="28">
        <f>COUNTIFS(DESK!$B$2:$B$601,A81,DESK!$AO$2:$AO$601,1)</f>
        <v>1</v>
      </c>
      <c r="H81" s="44">
        <f t="shared" si="2"/>
        <v>0.33333333333333331</v>
      </c>
      <c r="I81" s="28">
        <f>COUNTIFS(LOG!$E$2:$E$2001,A81,LOG!$D$2:$D$2001,"NO_SLOTS")</f>
        <v>0</v>
      </c>
    </row>
    <row r="82" spans="1:9" x14ac:dyDescent="0.35">
      <c r="A82" s="28" t="s">
        <v>432</v>
      </c>
      <c r="B82" s="20" t="s">
        <v>433</v>
      </c>
      <c r="C82" s="41" t="s">
        <v>191</v>
      </c>
      <c r="D82" s="41" t="s">
        <v>192</v>
      </c>
      <c r="E82" s="20" t="s">
        <v>434</v>
      </c>
      <c r="F82" s="28">
        <f>COUNTIFS(DESK!$B$2:$B$601,A82,DESK!$L$2:$L$601,1)</f>
        <v>1</v>
      </c>
      <c r="G82" s="28">
        <f>COUNTIFS(DESK!$B$2:$B$601,A82,DESK!$AO$2:$AO$601,1)</f>
        <v>1</v>
      </c>
      <c r="H82" s="44">
        <f t="shared" si="2"/>
        <v>1</v>
      </c>
      <c r="I82" s="28">
        <f>COUNTIFS(LOG!$E$2:$E$2001,A82,LOG!$D$2:$D$2001,"NO_SLOTS")</f>
        <v>0</v>
      </c>
    </row>
    <row r="83" spans="1:9" x14ac:dyDescent="0.35">
      <c r="A83" s="28" t="s">
        <v>435</v>
      </c>
      <c r="B83" s="20" t="s">
        <v>436</v>
      </c>
      <c r="C83" s="41" t="s">
        <v>199</v>
      </c>
      <c r="D83" s="41" t="s">
        <v>192</v>
      </c>
      <c r="E83" s="20" t="s">
        <v>437</v>
      </c>
      <c r="F83" s="28">
        <f>COUNTIFS(DESK!$B$2:$B$601,A83,DESK!$L$2:$L$601,1)</f>
        <v>2</v>
      </c>
      <c r="G83" s="28">
        <f>COUNTIFS(DESK!$B$2:$B$601,A83,DESK!$AO$2:$AO$601,1)</f>
        <v>1</v>
      </c>
      <c r="H83" s="44">
        <f t="shared" si="2"/>
        <v>0.5</v>
      </c>
      <c r="I83" s="28">
        <f>COUNTIFS(LOG!$E$2:$E$2001,A83,LOG!$D$2:$D$2001,"NO_SLOTS")</f>
        <v>0</v>
      </c>
    </row>
    <row r="84" spans="1:9" x14ac:dyDescent="0.35">
      <c r="A84" s="28" t="s">
        <v>438</v>
      </c>
      <c r="B84" s="20" t="s">
        <v>439</v>
      </c>
      <c r="C84" s="41" t="s">
        <v>199</v>
      </c>
      <c r="D84" s="41" t="s">
        <v>192</v>
      </c>
      <c r="E84" s="20" t="s">
        <v>440</v>
      </c>
      <c r="F84" s="28">
        <f>COUNTIFS(DESK!$B$2:$B$601,A84,DESK!$L$2:$L$601,1)</f>
        <v>2</v>
      </c>
      <c r="G84" s="28">
        <f>COUNTIFS(DESK!$B$2:$B$601,A84,DESK!$AO$2:$AO$601,1)</f>
        <v>0</v>
      </c>
      <c r="H84" s="44">
        <f t="shared" si="2"/>
        <v>0</v>
      </c>
      <c r="I84" s="28">
        <f>COUNTIFS(LOG!$E$2:$E$2001,A84,LOG!$D$2:$D$2001,"NO_SLOTS")</f>
        <v>0</v>
      </c>
    </row>
    <row r="85" spans="1:9" x14ac:dyDescent="0.35">
      <c r="A85" s="28" t="s">
        <v>441</v>
      </c>
      <c r="B85" s="20" t="s">
        <v>442</v>
      </c>
      <c r="C85" s="41" t="s">
        <v>191</v>
      </c>
      <c r="D85" s="41" t="s">
        <v>192</v>
      </c>
      <c r="E85" s="20" t="s">
        <v>443</v>
      </c>
      <c r="F85" s="28">
        <f>COUNTIFS(DESK!$B$2:$B$601,A85,DESK!$L$2:$L$601,1)</f>
        <v>1</v>
      </c>
      <c r="G85" s="28">
        <f>COUNTIFS(DESK!$B$2:$B$601,A85,DESK!$AO$2:$AO$601,1)</f>
        <v>0</v>
      </c>
      <c r="H85" s="44">
        <f t="shared" si="2"/>
        <v>0</v>
      </c>
      <c r="I85" s="28">
        <f>COUNTIFS(LOG!$E$2:$E$2001,A85,LOG!$D$2:$D$2001,"NO_SLOTS")</f>
        <v>0</v>
      </c>
    </row>
    <row r="86" spans="1:9" x14ac:dyDescent="0.35">
      <c r="A86" s="28" t="s">
        <v>444</v>
      </c>
      <c r="B86" s="20" t="s">
        <v>445</v>
      </c>
      <c r="C86" s="41" t="s">
        <v>199</v>
      </c>
      <c r="D86" s="41" t="s">
        <v>192</v>
      </c>
      <c r="E86" s="20" t="s">
        <v>446</v>
      </c>
      <c r="F86" s="28">
        <f>COUNTIFS(DESK!$B$2:$B$601,A86,DESK!$L$2:$L$601,1)</f>
        <v>1</v>
      </c>
      <c r="G86" s="28">
        <f>COUNTIFS(DESK!$B$2:$B$601,A86,DESK!$AO$2:$AO$601,1)</f>
        <v>0</v>
      </c>
      <c r="H86" s="44">
        <f t="shared" si="2"/>
        <v>0</v>
      </c>
      <c r="I86" s="28">
        <f>COUNTIFS(LOG!$E$2:$E$2001,A86,LOG!$D$2:$D$2001,"NO_SLOTS")</f>
        <v>0</v>
      </c>
    </row>
    <row r="87" spans="1:9" x14ac:dyDescent="0.35">
      <c r="A87" s="28" t="s">
        <v>447</v>
      </c>
      <c r="B87" s="20" t="s">
        <v>448</v>
      </c>
      <c r="C87" s="41" t="s">
        <v>199</v>
      </c>
      <c r="D87" s="41" t="s">
        <v>192</v>
      </c>
      <c r="E87" s="20" t="s">
        <v>449</v>
      </c>
      <c r="F87" s="28">
        <f>COUNTIFS(DESK!$B$2:$B$601,A87,DESK!$L$2:$L$601,1)</f>
        <v>1</v>
      </c>
      <c r="G87" s="28">
        <f>COUNTIFS(DESK!$B$2:$B$601,A87,DESK!$AO$2:$AO$601,1)</f>
        <v>0</v>
      </c>
      <c r="H87" s="44">
        <f t="shared" si="2"/>
        <v>0</v>
      </c>
      <c r="I87" s="28">
        <f>COUNTIFS(LOG!$E$2:$E$2001,A87,LOG!$D$2:$D$2001,"NO_SLOTS")</f>
        <v>0</v>
      </c>
    </row>
    <row r="88" spans="1:9" x14ac:dyDescent="0.35">
      <c r="A88" s="28" t="s">
        <v>450</v>
      </c>
      <c r="B88" s="20" t="s">
        <v>451</v>
      </c>
      <c r="C88" s="41" t="s">
        <v>199</v>
      </c>
      <c r="D88" s="41" t="s">
        <v>192</v>
      </c>
      <c r="E88" s="20" t="s">
        <v>452</v>
      </c>
      <c r="F88" s="28">
        <f>COUNTIFS(DESK!$B$2:$B$601,A88,DESK!$L$2:$L$601,1)</f>
        <v>3</v>
      </c>
      <c r="G88" s="28">
        <f>COUNTIFS(DESK!$B$2:$B$601,A88,DESK!$AO$2:$AO$601,1)</f>
        <v>2</v>
      </c>
      <c r="H88" s="44">
        <f t="shared" si="2"/>
        <v>0.66666666666666663</v>
      </c>
      <c r="I88" s="28">
        <f>COUNTIFS(LOG!$E$2:$E$2001,A88,LOG!$D$2:$D$2001,"NO_SLOTS")</f>
        <v>0</v>
      </c>
    </row>
    <row r="90" spans="1:9" ht="40" customHeight="1" x14ac:dyDescent="0.35">
      <c r="A90" s="60" t="s">
        <v>453</v>
      </c>
      <c r="B90" s="57"/>
      <c r="C90" s="57"/>
      <c r="D90" s="57"/>
      <c r="E90" s="57"/>
      <c r="F90" s="57"/>
      <c r="G90" s="57"/>
      <c r="H90" s="57"/>
      <c r="I90" s="57"/>
    </row>
  </sheetData>
  <mergeCells count="1">
    <mergeCell ref="A90:I90"/>
  </mergeCells>
  <dataValidations count="2">
    <dataValidation type="list" allowBlank="1" sqref="C2:C88" xr:uid="{00000000-0002-0000-0600-000000000000}">
      <formula1>"YES,NO"</formula1>
    </dataValidation>
    <dataValidation type="list" allowBlank="1" sqref="D2:D88" xr:uid="{00000000-0002-0000-0600-000001000000}">
      <formula1>"OK,NO SLOTS,REOPENED"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L521"/>
  <sheetViews>
    <sheetView workbookViewId="0">
      <pane ySplit="1" topLeftCell="A2"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2" max="12" width="60" customWidth="1"/>
  </cols>
  <sheetData>
    <row r="1" spans="1:12" ht="52" x14ac:dyDescent="0.35">
      <c r="A1" s="5" t="s">
        <v>181</v>
      </c>
      <c r="B1" s="5" t="s">
        <v>454</v>
      </c>
      <c r="C1" s="5" t="s">
        <v>455</v>
      </c>
      <c r="D1" s="5" t="s">
        <v>52</v>
      </c>
      <c r="E1" s="5" t="s">
        <v>456</v>
      </c>
      <c r="F1" s="5" t="s">
        <v>457</v>
      </c>
      <c r="G1" s="5" t="s">
        <v>458</v>
      </c>
      <c r="H1" s="5" t="s">
        <v>122</v>
      </c>
      <c r="I1" s="5" t="s">
        <v>459</v>
      </c>
      <c r="J1" s="5" t="s">
        <v>460</v>
      </c>
      <c r="L1" s="8" t="s">
        <v>461</v>
      </c>
    </row>
    <row r="2" spans="1:12" x14ac:dyDescent="0.35">
      <c r="A2" s="20" t="s">
        <v>306</v>
      </c>
      <c r="B2" s="20" t="s">
        <v>462</v>
      </c>
      <c r="C2" s="20" t="s">
        <v>463</v>
      </c>
      <c r="D2" s="20" t="s">
        <v>464</v>
      </c>
      <c r="E2" s="20" t="s">
        <v>465</v>
      </c>
      <c r="F2" s="21" t="s">
        <v>466</v>
      </c>
      <c r="G2" s="20" t="s">
        <v>467</v>
      </c>
      <c r="H2" s="20" t="s">
        <v>468</v>
      </c>
      <c r="I2" s="19">
        <v>46308.82708333333</v>
      </c>
      <c r="J2" s="20" t="s">
        <v>469</v>
      </c>
    </row>
    <row r="3" spans="1:12" x14ac:dyDescent="0.35">
      <c r="A3" s="20" t="s">
        <v>213</v>
      </c>
      <c r="B3" s="20" t="s">
        <v>462</v>
      </c>
      <c r="C3" s="20" t="s">
        <v>470</v>
      </c>
      <c r="D3" s="20" t="s">
        <v>471</v>
      </c>
      <c r="E3" s="20" t="s">
        <v>472</v>
      </c>
      <c r="F3" s="21" t="s">
        <v>473</v>
      </c>
      <c r="G3" s="20" t="s">
        <v>474</v>
      </c>
      <c r="H3" s="20" t="s">
        <v>468</v>
      </c>
      <c r="I3" s="19">
        <v>46308.82708333333</v>
      </c>
      <c r="J3" s="20" t="s">
        <v>469</v>
      </c>
    </row>
    <row r="4" spans="1:12" x14ac:dyDescent="0.35">
      <c r="A4" s="20" t="s">
        <v>189</v>
      </c>
      <c r="B4" s="20" t="s">
        <v>475</v>
      </c>
      <c r="C4" s="20" t="s">
        <v>476</v>
      </c>
      <c r="D4" s="20" t="s">
        <v>477</v>
      </c>
      <c r="E4" s="20" t="s">
        <v>478</v>
      </c>
      <c r="F4" s="21" t="s">
        <v>479</v>
      </c>
      <c r="G4" s="20" t="s">
        <v>480</v>
      </c>
      <c r="H4" s="20" t="s">
        <v>468</v>
      </c>
      <c r="I4" s="19">
        <v>46308.82708333333</v>
      </c>
      <c r="J4" s="20" t="s">
        <v>481</v>
      </c>
    </row>
    <row r="5" spans="1:12" x14ac:dyDescent="0.35">
      <c r="A5" s="20" t="s">
        <v>189</v>
      </c>
      <c r="B5" s="20" t="s">
        <v>482</v>
      </c>
      <c r="C5" s="20" t="s">
        <v>483</v>
      </c>
      <c r="D5" s="20" t="s">
        <v>484</v>
      </c>
      <c r="E5" s="20" t="s">
        <v>485</v>
      </c>
      <c r="F5" s="21" t="s">
        <v>486</v>
      </c>
      <c r="G5" s="20" t="s">
        <v>480</v>
      </c>
      <c r="H5" s="20" t="s">
        <v>468</v>
      </c>
      <c r="I5" s="19">
        <v>46308.82708333333</v>
      </c>
      <c r="J5" s="20" t="s">
        <v>469</v>
      </c>
    </row>
    <row r="6" spans="1:12" x14ac:dyDescent="0.35">
      <c r="A6" s="20" t="s">
        <v>264</v>
      </c>
      <c r="B6" s="20" t="s">
        <v>475</v>
      </c>
      <c r="C6" s="20" t="s">
        <v>487</v>
      </c>
      <c r="D6" s="20" t="s">
        <v>488</v>
      </c>
      <c r="E6" s="20" t="s">
        <v>489</v>
      </c>
      <c r="F6" s="21" t="s">
        <v>490</v>
      </c>
      <c r="G6" s="20" t="s">
        <v>491</v>
      </c>
      <c r="H6" s="20" t="s">
        <v>468</v>
      </c>
      <c r="I6" s="19">
        <v>46308.82708333333</v>
      </c>
      <c r="J6" s="20" t="s">
        <v>469</v>
      </c>
    </row>
    <row r="7" spans="1:12" x14ac:dyDescent="0.35">
      <c r="A7" s="20" t="s">
        <v>267</v>
      </c>
      <c r="B7" s="20" t="s">
        <v>475</v>
      </c>
      <c r="C7" s="20" t="s">
        <v>492</v>
      </c>
      <c r="D7" s="20" t="s">
        <v>493</v>
      </c>
      <c r="E7" s="20" t="s">
        <v>494</v>
      </c>
      <c r="F7" s="21" t="s">
        <v>495</v>
      </c>
      <c r="G7" s="20" t="s">
        <v>496</v>
      </c>
      <c r="H7" s="20" t="s">
        <v>468</v>
      </c>
      <c r="I7" s="19">
        <v>46308.82708333333</v>
      </c>
      <c r="J7" s="20" t="s">
        <v>481</v>
      </c>
    </row>
    <row r="8" spans="1:12" x14ac:dyDescent="0.35">
      <c r="A8" s="20" t="s">
        <v>189</v>
      </c>
      <c r="B8" s="20" t="s">
        <v>462</v>
      </c>
      <c r="C8" s="20" t="s">
        <v>497</v>
      </c>
      <c r="D8" s="20" t="s">
        <v>498</v>
      </c>
      <c r="E8" s="20" t="s">
        <v>499</v>
      </c>
      <c r="F8" s="21" t="s">
        <v>500</v>
      </c>
      <c r="G8" s="20" t="s">
        <v>480</v>
      </c>
      <c r="H8" s="20" t="s">
        <v>468</v>
      </c>
      <c r="I8" s="19">
        <v>46308.82708333333</v>
      </c>
      <c r="J8" s="20" t="s">
        <v>469</v>
      </c>
    </row>
    <row r="9" spans="1:12" x14ac:dyDescent="0.35">
      <c r="A9" s="20" t="s">
        <v>318</v>
      </c>
      <c r="B9" s="20" t="s">
        <v>462</v>
      </c>
      <c r="C9" s="20" t="s">
        <v>501</v>
      </c>
      <c r="D9" s="20" t="s">
        <v>502</v>
      </c>
      <c r="E9" s="20" t="s">
        <v>503</v>
      </c>
      <c r="F9" s="21" t="s">
        <v>504</v>
      </c>
      <c r="G9" s="20" t="s">
        <v>505</v>
      </c>
      <c r="H9" s="20" t="s">
        <v>468</v>
      </c>
      <c r="I9" s="19">
        <v>46308.82708333333</v>
      </c>
      <c r="J9" s="20" t="s">
        <v>481</v>
      </c>
    </row>
    <row r="10" spans="1:12" x14ac:dyDescent="0.35">
      <c r="A10" s="20" t="s">
        <v>306</v>
      </c>
      <c r="B10" s="20" t="s">
        <v>462</v>
      </c>
      <c r="C10" s="20" t="s">
        <v>463</v>
      </c>
      <c r="D10" s="20" t="s">
        <v>506</v>
      </c>
      <c r="E10" s="20" t="s">
        <v>507</v>
      </c>
      <c r="F10" s="21" t="s">
        <v>508</v>
      </c>
      <c r="G10" s="20" t="s">
        <v>467</v>
      </c>
      <c r="H10" s="20" t="s">
        <v>468</v>
      </c>
      <c r="I10" s="19">
        <v>46308.82708333333</v>
      </c>
      <c r="J10" s="20" t="s">
        <v>509</v>
      </c>
    </row>
    <row r="11" spans="1:12" x14ac:dyDescent="0.35">
      <c r="A11" s="20" t="s">
        <v>189</v>
      </c>
      <c r="B11" s="20" t="s">
        <v>462</v>
      </c>
      <c r="C11" s="20" t="s">
        <v>497</v>
      </c>
      <c r="D11" s="20" t="s">
        <v>510</v>
      </c>
      <c r="E11" s="20" t="s">
        <v>511</v>
      </c>
      <c r="F11" s="21" t="s">
        <v>512</v>
      </c>
      <c r="G11" s="20" t="s">
        <v>480</v>
      </c>
      <c r="H11" s="20" t="s">
        <v>468</v>
      </c>
      <c r="I11" s="19">
        <v>46308.82708333333</v>
      </c>
      <c r="J11" s="20" t="s">
        <v>469</v>
      </c>
    </row>
    <row r="12" spans="1:12" x14ac:dyDescent="0.35">
      <c r="A12" s="20" t="s">
        <v>309</v>
      </c>
      <c r="B12" s="20" t="s">
        <v>462</v>
      </c>
      <c r="C12" s="20" t="s">
        <v>513</v>
      </c>
      <c r="D12" s="20" t="s">
        <v>514</v>
      </c>
      <c r="E12" s="20" t="s">
        <v>515</v>
      </c>
      <c r="F12" s="21" t="s">
        <v>516</v>
      </c>
      <c r="G12" s="20" t="s">
        <v>517</v>
      </c>
      <c r="H12" s="20" t="s">
        <v>468</v>
      </c>
      <c r="I12" s="19">
        <v>46308.82708333333</v>
      </c>
      <c r="J12" s="20" t="s">
        <v>469</v>
      </c>
    </row>
    <row r="13" spans="1:12" x14ac:dyDescent="0.35">
      <c r="A13" s="20" t="s">
        <v>345</v>
      </c>
      <c r="B13" s="20" t="s">
        <v>475</v>
      </c>
      <c r="C13" s="20" t="s">
        <v>518</v>
      </c>
      <c r="D13" s="20" t="s">
        <v>519</v>
      </c>
      <c r="E13" s="20" t="s">
        <v>520</v>
      </c>
      <c r="F13" s="21" t="s">
        <v>521</v>
      </c>
      <c r="G13" s="20" t="s">
        <v>522</v>
      </c>
      <c r="H13" s="20" t="s">
        <v>468</v>
      </c>
      <c r="I13" s="19">
        <v>46308.82708333333</v>
      </c>
      <c r="J13" s="20" t="s">
        <v>509</v>
      </c>
    </row>
    <row r="14" spans="1:12" x14ac:dyDescent="0.35">
      <c r="A14" s="20" t="s">
        <v>222</v>
      </c>
      <c r="B14" s="20" t="s">
        <v>475</v>
      </c>
      <c r="C14" s="20" t="s">
        <v>523</v>
      </c>
      <c r="D14" s="20" t="s">
        <v>524</v>
      </c>
      <c r="E14" s="20" t="s">
        <v>525</v>
      </c>
      <c r="F14" s="21" t="s">
        <v>526</v>
      </c>
      <c r="G14" s="20" t="s">
        <v>527</v>
      </c>
      <c r="H14" s="20" t="s">
        <v>468</v>
      </c>
      <c r="I14" s="19">
        <v>46308.82708333333</v>
      </c>
      <c r="J14" s="20" t="s">
        <v>509</v>
      </c>
    </row>
    <row r="15" spans="1:12" x14ac:dyDescent="0.35">
      <c r="A15" s="20" t="s">
        <v>432</v>
      </c>
      <c r="B15" s="20" t="s">
        <v>462</v>
      </c>
      <c r="C15" s="20" t="s">
        <v>528</v>
      </c>
      <c r="D15" s="20" t="s">
        <v>529</v>
      </c>
      <c r="E15" s="20" t="s">
        <v>530</v>
      </c>
      <c r="F15" s="21" t="s">
        <v>531</v>
      </c>
      <c r="G15" s="20" t="s">
        <v>532</v>
      </c>
      <c r="H15" s="20" t="s">
        <v>468</v>
      </c>
      <c r="I15" s="19">
        <v>46308.82708333333</v>
      </c>
      <c r="J15" s="20" t="s">
        <v>481</v>
      </c>
    </row>
    <row r="16" spans="1:12" x14ac:dyDescent="0.35">
      <c r="A16" s="20" t="s">
        <v>201</v>
      </c>
      <c r="B16" s="20" t="s">
        <v>475</v>
      </c>
      <c r="C16" s="20" t="s">
        <v>533</v>
      </c>
      <c r="D16" s="20" t="s">
        <v>534</v>
      </c>
      <c r="E16" s="20" t="s">
        <v>535</v>
      </c>
      <c r="F16" s="21" t="s">
        <v>536</v>
      </c>
      <c r="G16" s="20" t="s">
        <v>537</v>
      </c>
      <c r="H16" s="20" t="s">
        <v>468</v>
      </c>
      <c r="I16" s="19">
        <v>46308.82708333333</v>
      </c>
      <c r="J16" s="20" t="s">
        <v>481</v>
      </c>
    </row>
    <row r="17" spans="1:10" x14ac:dyDescent="0.35">
      <c r="A17" s="20" t="s">
        <v>189</v>
      </c>
      <c r="B17" s="20" t="s">
        <v>482</v>
      </c>
      <c r="C17" s="20" t="s">
        <v>483</v>
      </c>
      <c r="D17" s="20" t="s">
        <v>538</v>
      </c>
      <c r="E17" s="20" t="s">
        <v>539</v>
      </c>
      <c r="F17" s="21" t="s">
        <v>540</v>
      </c>
      <c r="G17" s="20" t="s">
        <v>480</v>
      </c>
      <c r="H17" s="20" t="s">
        <v>468</v>
      </c>
      <c r="I17" s="19">
        <v>46308.82708333333</v>
      </c>
      <c r="J17" s="20" t="s">
        <v>509</v>
      </c>
    </row>
    <row r="18" spans="1:10" x14ac:dyDescent="0.35">
      <c r="A18" s="20" t="s">
        <v>264</v>
      </c>
      <c r="B18" s="20" t="s">
        <v>462</v>
      </c>
      <c r="C18" s="20" t="s">
        <v>541</v>
      </c>
      <c r="D18" s="20" t="s">
        <v>542</v>
      </c>
      <c r="E18" s="20" t="s">
        <v>543</v>
      </c>
      <c r="F18" s="21" t="s">
        <v>544</v>
      </c>
      <c r="G18" s="20" t="s">
        <v>491</v>
      </c>
      <c r="H18" s="20" t="s">
        <v>468</v>
      </c>
      <c r="I18" s="19">
        <v>46308.82708333333</v>
      </c>
      <c r="J18" s="20" t="s">
        <v>481</v>
      </c>
    </row>
    <row r="19" spans="1:10" x14ac:dyDescent="0.35">
      <c r="A19" s="20" t="s">
        <v>197</v>
      </c>
      <c r="B19" s="20" t="s">
        <v>475</v>
      </c>
      <c r="C19" s="20" t="s">
        <v>545</v>
      </c>
      <c r="D19" s="20" t="s">
        <v>546</v>
      </c>
      <c r="E19" s="20" t="s">
        <v>547</v>
      </c>
      <c r="F19" s="21" t="s">
        <v>548</v>
      </c>
      <c r="G19" s="20" t="s">
        <v>549</v>
      </c>
      <c r="H19" s="20" t="s">
        <v>468</v>
      </c>
      <c r="I19" s="19">
        <v>46308.82708333333</v>
      </c>
      <c r="J19" s="20" t="s">
        <v>509</v>
      </c>
    </row>
    <row r="20" spans="1:10" x14ac:dyDescent="0.35">
      <c r="A20" s="20" t="s">
        <v>237</v>
      </c>
      <c r="B20" s="20" t="s">
        <v>462</v>
      </c>
      <c r="C20" s="20" t="s">
        <v>550</v>
      </c>
      <c r="D20" s="20" t="s">
        <v>551</v>
      </c>
      <c r="E20" s="20" t="s">
        <v>552</v>
      </c>
      <c r="F20" s="21" t="s">
        <v>553</v>
      </c>
      <c r="G20" s="20" t="s">
        <v>554</v>
      </c>
      <c r="H20" s="20" t="s">
        <v>468</v>
      </c>
      <c r="I20" s="19">
        <v>46308.82708333333</v>
      </c>
      <c r="J20" s="20" t="s">
        <v>481</v>
      </c>
    </row>
    <row r="21" spans="1:10" x14ac:dyDescent="0.35">
      <c r="A21" s="20" t="s">
        <v>285</v>
      </c>
      <c r="B21" s="20" t="s">
        <v>475</v>
      </c>
      <c r="C21" s="20" t="s">
        <v>555</v>
      </c>
      <c r="D21" s="20" t="s">
        <v>556</v>
      </c>
      <c r="E21" s="20" t="s">
        <v>557</v>
      </c>
      <c r="F21" s="21" t="s">
        <v>558</v>
      </c>
      <c r="G21" s="20" t="s">
        <v>559</v>
      </c>
      <c r="H21" s="20" t="s">
        <v>468</v>
      </c>
      <c r="I21" s="19">
        <v>46308.82708333333</v>
      </c>
      <c r="J21" s="20" t="s">
        <v>509</v>
      </c>
    </row>
    <row r="22" spans="1:10" x14ac:dyDescent="0.35">
      <c r="A22" s="20" t="s">
        <v>197</v>
      </c>
      <c r="B22" s="20" t="s">
        <v>462</v>
      </c>
      <c r="C22" s="20" t="s">
        <v>560</v>
      </c>
      <c r="D22" s="20" t="s">
        <v>561</v>
      </c>
      <c r="E22" s="20" t="s">
        <v>562</v>
      </c>
      <c r="F22" s="21" t="s">
        <v>563</v>
      </c>
      <c r="G22" s="20" t="s">
        <v>549</v>
      </c>
      <c r="H22" s="20" t="s">
        <v>468</v>
      </c>
      <c r="I22" s="19">
        <v>46308.82708333333</v>
      </c>
      <c r="J22" s="20" t="s">
        <v>509</v>
      </c>
    </row>
    <row r="23" spans="1:10" x14ac:dyDescent="0.35">
      <c r="A23" s="20" t="s">
        <v>231</v>
      </c>
      <c r="B23" s="20" t="s">
        <v>475</v>
      </c>
      <c r="C23" s="20" t="s">
        <v>564</v>
      </c>
      <c r="D23" s="20" t="s">
        <v>565</v>
      </c>
      <c r="E23" s="20" t="s">
        <v>566</v>
      </c>
      <c r="F23" s="21" t="s">
        <v>567</v>
      </c>
      <c r="G23" s="20" t="s">
        <v>568</v>
      </c>
      <c r="H23" s="20" t="s">
        <v>468</v>
      </c>
      <c r="I23" s="19">
        <v>46308.82708333333</v>
      </c>
      <c r="J23" s="20" t="s">
        <v>509</v>
      </c>
    </row>
    <row r="24" spans="1:10" x14ac:dyDescent="0.35">
      <c r="A24" s="20" t="s">
        <v>240</v>
      </c>
      <c r="B24" s="20" t="s">
        <v>462</v>
      </c>
      <c r="C24" s="20" t="s">
        <v>569</v>
      </c>
      <c r="D24" s="20" t="s">
        <v>570</v>
      </c>
      <c r="E24" s="20" t="s">
        <v>571</v>
      </c>
      <c r="F24" s="21" t="s">
        <v>572</v>
      </c>
      <c r="G24" s="20" t="s">
        <v>573</v>
      </c>
      <c r="H24" s="20" t="s">
        <v>468</v>
      </c>
      <c r="I24" s="19">
        <v>46308.82708333333</v>
      </c>
      <c r="J24" s="20" t="s">
        <v>481</v>
      </c>
    </row>
    <row r="25" spans="1:10" x14ac:dyDescent="0.35">
      <c r="A25" s="20" t="s">
        <v>402</v>
      </c>
      <c r="B25" s="20" t="s">
        <v>475</v>
      </c>
      <c r="C25" s="20" t="s">
        <v>574</v>
      </c>
      <c r="D25" s="20" t="s">
        <v>575</v>
      </c>
      <c r="E25" s="20" t="s">
        <v>576</v>
      </c>
      <c r="F25" s="21" t="s">
        <v>577</v>
      </c>
      <c r="G25" s="20" t="s">
        <v>578</v>
      </c>
      <c r="H25" s="20" t="s">
        <v>468</v>
      </c>
      <c r="I25" s="19">
        <v>46308.82708333333</v>
      </c>
      <c r="J25" s="20" t="s">
        <v>509</v>
      </c>
    </row>
    <row r="26" spans="1:10" x14ac:dyDescent="0.35">
      <c r="A26" s="20" t="s">
        <v>222</v>
      </c>
      <c r="B26" s="20" t="s">
        <v>482</v>
      </c>
      <c r="C26" s="20" t="s">
        <v>579</v>
      </c>
      <c r="D26" s="20" t="s">
        <v>580</v>
      </c>
      <c r="E26" s="20" t="s">
        <v>581</v>
      </c>
      <c r="F26" s="21" t="s">
        <v>582</v>
      </c>
      <c r="G26" s="20" t="s">
        <v>527</v>
      </c>
      <c r="H26" s="20" t="s">
        <v>468</v>
      </c>
      <c r="I26" s="19">
        <v>46308.82708333333</v>
      </c>
      <c r="J26" s="20" t="s">
        <v>469</v>
      </c>
    </row>
    <row r="27" spans="1:10" x14ac:dyDescent="0.35">
      <c r="A27" s="20" t="s">
        <v>366</v>
      </c>
      <c r="B27" s="20" t="s">
        <v>475</v>
      </c>
      <c r="C27" s="20" t="s">
        <v>583</v>
      </c>
      <c r="D27" s="20" t="s">
        <v>584</v>
      </c>
      <c r="E27" s="20" t="s">
        <v>585</v>
      </c>
      <c r="F27" s="21" t="s">
        <v>586</v>
      </c>
      <c r="G27" s="20" t="s">
        <v>587</v>
      </c>
      <c r="H27" s="20" t="s">
        <v>468</v>
      </c>
      <c r="I27" s="19">
        <v>46308.82708333333</v>
      </c>
      <c r="J27" s="20" t="s">
        <v>469</v>
      </c>
    </row>
    <row r="28" spans="1:10" x14ac:dyDescent="0.35">
      <c r="A28" s="20" t="s">
        <v>207</v>
      </c>
      <c r="B28" s="20" t="s">
        <v>462</v>
      </c>
      <c r="C28" s="20" t="s">
        <v>588</v>
      </c>
      <c r="D28" s="20" t="s">
        <v>589</v>
      </c>
      <c r="E28" s="20" t="s">
        <v>590</v>
      </c>
      <c r="F28" s="21" t="s">
        <v>591</v>
      </c>
      <c r="G28" s="20" t="s">
        <v>592</v>
      </c>
      <c r="H28" s="20" t="s">
        <v>468</v>
      </c>
      <c r="I28" s="19">
        <v>46308.82708333333</v>
      </c>
      <c r="J28" s="20" t="s">
        <v>509</v>
      </c>
    </row>
    <row r="29" spans="1:10" x14ac:dyDescent="0.35">
      <c r="A29" s="20" t="s">
        <v>366</v>
      </c>
      <c r="B29" s="20" t="s">
        <v>475</v>
      </c>
      <c r="C29" s="20" t="s">
        <v>583</v>
      </c>
      <c r="D29" s="20" t="s">
        <v>593</v>
      </c>
      <c r="E29" s="20" t="s">
        <v>594</v>
      </c>
      <c r="F29" s="21" t="s">
        <v>595</v>
      </c>
      <c r="G29" s="20" t="s">
        <v>587</v>
      </c>
      <c r="H29" s="20" t="s">
        <v>468</v>
      </c>
      <c r="I29" s="19">
        <v>46308.82708333333</v>
      </c>
      <c r="J29" s="20" t="s">
        <v>509</v>
      </c>
    </row>
    <row r="30" spans="1:10" x14ac:dyDescent="0.35">
      <c r="A30" s="20" t="s">
        <v>252</v>
      </c>
      <c r="B30" s="20" t="s">
        <v>462</v>
      </c>
      <c r="C30" s="20" t="s">
        <v>596</v>
      </c>
      <c r="D30" s="20" t="s">
        <v>597</v>
      </c>
      <c r="E30" s="20" t="s">
        <v>598</v>
      </c>
      <c r="F30" s="21" t="s">
        <v>599</v>
      </c>
      <c r="G30" s="20" t="s">
        <v>600</v>
      </c>
      <c r="H30" s="20" t="s">
        <v>468</v>
      </c>
      <c r="I30" s="19">
        <v>46308.82708333333</v>
      </c>
      <c r="J30" s="20" t="s">
        <v>469</v>
      </c>
    </row>
    <row r="31" spans="1:10" x14ac:dyDescent="0.35">
      <c r="A31" s="20" t="s">
        <v>231</v>
      </c>
      <c r="B31" s="20" t="s">
        <v>462</v>
      </c>
      <c r="C31" s="20" t="s">
        <v>601</v>
      </c>
      <c r="D31" s="20" t="s">
        <v>602</v>
      </c>
      <c r="E31" s="20" t="s">
        <v>603</v>
      </c>
      <c r="F31" s="21" t="s">
        <v>604</v>
      </c>
      <c r="G31" s="20" t="s">
        <v>568</v>
      </c>
      <c r="H31" s="20" t="s">
        <v>468</v>
      </c>
      <c r="I31" s="19">
        <v>46308.82708333333</v>
      </c>
      <c r="J31" s="20" t="s">
        <v>509</v>
      </c>
    </row>
    <row r="32" spans="1:10" x14ac:dyDescent="0.35">
      <c r="A32" s="20" t="s">
        <v>270</v>
      </c>
      <c r="B32" s="20" t="s">
        <v>482</v>
      </c>
      <c r="C32" s="20" t="s">
        <v>605</v>
      </c>
      <c r="D32" s="20" t="s">
        <v>606</v>
      </c>
      <c r="E32" s="20" t="s">
        <v>607</v>
      </c>
      <c r="F32" s="21" t="s">
        <v>608</v>
      </c>
      <c r="G32" s="20" t="s">
        <v>609</v>
      </c>
      <c r="H32" s="20" t="s">
        <v>468</v>
      </c>
      <c r="I32" s="19">
        <v>46308.82708333333</v>
      </c>
      <c r="J32" s="20" t="s">
        <v>481</v>
      </c>
    </row>
    <row r="33" spans="1:10" x14ac:dyDescent="0.35">
      <c r="A33" s="20" t="s">
        <v>243</v>
      </c>
      <c r="B33" s="20" t="s">
        <v>462</v>
      </c>
      <c r="C33" s="20" t="s">
        <v>610</v>
      </c>
      <c r="D33" s="20" t="s">
        <v>611</v>
      </c>
      <c r="E33" s="20" t="s">
        <v>612</v>
      </c>
      <c r="F33" s="21" t="s">
        <v>613</v>
      </c>
      <c r="G33" s="20" t="s">
        <v>614</v>
      </c>
      <c r="H33" s="20" t="s">
        <v>468</v>
      </c>
      <c r="I33" s="19">
        <v>46308.82708333333</v>
      </c>
      <c r="J33" s="20" t="s">
        <v>469</v>
      </c>
    </row>
    <row r="34" spans="1:10" x14ac:dyDescent="0.35">
      <c r="A34" s="20" t="s">
        <v>216</v>
      </c>
      <c r="B34" s="20" t="s">
        <v>462</v>
      </c>
      <c r="C34" s="20" t="s">
        <v>615</v>
      </c>
      <c r="D34" s="20" t="s">
        <v>616</v>
      </c>
      <c r="E34" s="20" t="s">
        <v>617</v>
      </c>
      <c r="F34" s="21" t="s">
        <v>618</v>
      </c>
      <c r="G34" s="20" t="s">
        <v>619</v>
      </c>
      <c r="H34" s="20" t="s">
        <v>468</v>
      </c>
      <c r="I34" s="19">
        <v>46308.82708333333</v>
      </c>
      <c r="J34" s="20" t="s">
        <v>509</v>
      </c>
    </row>
    <row r="35" spans="1:10" x14ac:dyDescent="0.35">
      <c r="A35" s="20" t="s">
        <v>345</v>
      </c>
      <c r="B35" s="20" t="s">
        <v>475</v>
      </c>
      <c r="C35" s="20" t="s">
        <v>518</v>
      </c>
      <c r="D35" s="20" t="s">
        <v>620</v>
      </c>
      <c r="E35" s="20" t="s">
        <v>621</v>
      </c>
      <c r="F35" s="21" t="s">
        <v>622</v>
      </c>
      <c r="G35" s="20" t="s">
        <v>522</v>
      </c>
      <c r="H35" s="20" t="s">
        <v>468</v>
      </c>
      <c r="I35" s="19">
        <v>46308.82708333333</v>
      </c>
      <c r="J35" s="20" t="s">
        <v>509</v>
      </c>
    </row>
    <row r="36" spans="1:10" x14ac:dyDescent="0.35">
      <c r="A36" s="20" t="s">
        <v>189</v>
      </c>
      <c r="B36" s="20" t="s">
        <v>462</v>
      </c>
      <c r="C36" s="20" t="s">
        <v>497</v>
      </c>
      <c r="D36" s="20" t="s">
        <v>623</v>
      </c>
      <c r="E36" s="20" t="s">
        <v>624</v>
      </c>
      <c r="F36" s="21" t="s">
        <v>625</v>
      </c>
      <c r="G36" s="20" t="s">
        <v>480</v>
      </c>
      <c r="H36" s="20" t="s">
        <v>468</v>
      </c>
      <c r="I36" s="19">
        <v>46308.82708333333</v>
      </c>
      <c r="J36" s="20" t="s">
        <v>481</v>
      </c>
    </row>
    <row r="37" spans="1:10" x14ac:dyDescent="0.35">
      <c r="A37" s="20" t="s">
        <v>189</v>
      </c>
      <c r="B37" s="20" t="s">
        <v>475</v>
      </c>
      <c r="C37" s="20" t="s">
        <v>476</v>
      </c>
      <c r="D37" s="20" t="s">
        <v>626</v>
      </c>
      <c r="E37" s="20" t="s">
        <v>627</v>
      </c>
      <c r="F37" s="21" t="s">
        <v>628</v>
      </c>
      <c r="G37" s="20" t="s">
        <v>480</v>
      </c>
      <c r="H37" s="20" t="s">
        <v>468</v>
      </c>
      <c r="I37" s="19">
        <v>46308.82708333333</v>
      </c>
      <c r="J37" s="20" t="s">
        <v>481</v>
      </c>
    </row>
    <row r="38" spans="1:10" x14ac:dyDescent="0.35">
      <c r="A38" s="20" t="s">
        <v>327</v>
      </c>
      <c r="B38" s="20" t="s">
        <v>475</v>
      </c>
      <c r="C38" s="20" t="s">
        <v>629</v>
      </c>
      <c r="D38" s="20" t="s">
        <v>630</v>
      </c>
      <c r="E38" s="20" t="s">
        <v>631</v>
      </c>
      <c r="F38" s="21" t="s">
        <v>632</v>
      </c>
      <c r="G38" s="20" t="s">
        <v>633</v>
      </c>
      <c r="H38" s="20" t="s">
        <v>634</v>
      </c>
      <c r="I38" s="19">
        <v>46308.82708333333</v>
      </c>
      <c r="J38" s="20" t="s">
        <v>481</v>
      </c>
    </row>
    <row r="39" spans="1:10" x14ac:dyDescent="0.35">
      <c r="A39" s="20" t="s">
        <v>201</v>
      </c>
      <c r="B39" s="20" t="s">
        <v>462</v>
      </c>
      <c r="C39" s="20" t="s">
        <v>635</v>
      </c>
      <c r="D39" s="20" t="s">
        <v>636</v>
      </c>
      <c r="E39" s="20" t="s">
        <v>637</v>
      </c>
      <c r="F39" s="21" t="s">
        <v>638</v>
      </c>
      <c r="G39" s="20" t="s">
        <v>537</v>
      </c>
      <c r="H39" s="20" t="s">
        <v>468</v>
      </c>
      <c r="I39" s="19">
        <v>46308.82708333333</v>
      </c>
      <c r="J39" s="20" t="s">
        <v>509</v>
      </c>
    </row>
    <row r="40" spans="1:10" x14ac:dyDescent="0.35">
      <c r="A40" s="20" t="s">
        <v>225</v>
      </c>
      <c r="B40" s="20" t="s">
        <v>475</v>
      </c>
      <c r="C40" s="20" t="s">
        <v>639</v>
      </c>
      <c r="D40" s="20" t="s">
        <v>640</v>
      </c>
      <c r="E40" s="20" t="s">
        <v>641</v>
      </c>
      <c r="F40" s="21" t="s">
        <v>642</v>
      </c>
      <c r="G40" s="20" t="s">
        <v>643</v>
      </c>
      <c r="H40" s="20" t="s">
        <v>468</v>
      </c>
      <c r="I40" s="19">
        <v>46308.82708333333</v>
      </c>
      <c r="J40" s="20" t="s">
        <v>509</v>
      </c>
    </row>
    <row r="41" spans="1:10" x14ac:dyDescent="0.35">
      <c r="A41" s="20" t="s">
        <v>258</v>
      </c>
      <c r="B41" s="20" t="s">
        <v>482</v>
      </c>
      <c r="C41" s="20" t="s">
        <v>644</v>
      </c>
      <c r="D41" s="20" t="s">
        <v>645</v>
      </c>
      <c r="E41" s="20" t="s">
        <v>646</v>
      </c>
      <c r="F41" s="21" t="s">
        <v>647</v>
      </c>
      <c r="G41" s="20" t="s">
        <v>648</v>
      </c>
      <c r="H41" s="20" t="s">
        <v>468</v>
      </c>
      <c r="I41" s="19">
        <v>46308.82708333333</v>
      </c>
      <c r="J41" s="20" t="s">
        <v>469</v>
      </c>
    </row>
    <row r="42" spans="1:10" x14ac:dyDescent="0.35">
      <c r="A42" s="20" t="s">
        <v>216</v>
      </c>
      <c r="B42" s="20" t="s">
        <v>482</v>
      </c>
      <c r="C42" s="20" t="s">
        <v>649</v>
      </c>
      <c r="D42" s="20" t="s">
        <v>650</v>
      </c>
      <c r="E42" s="20" t="s">
        <v>651</v>
      </c>
      <c r="F42" s="21" t="s">
        <v>652</v>
      </c>
      <c r="G42" s="20" t="s">
        <v>619</v>
      </c>
      <c r="H42" s="20" t="s">
        <v>468</v>
      </c>
      <c r="I42" s="19">
        <v>46308.82708333333</v>
      </c>
      <c r="J42" s="20" t="s">
        <v>509</v>
      </c>
    </row>
    <row r="43" spans="1:10" x14ac:dyDescent="0.35">
      <c r="A43" s="20" t="s">
        <v>264</v>
      </c>
      <c r="B43" s="20" t="s">
        <v>475</v>
      </c>
      <c r="C43" s="20" t="s">
        <v>487</v>
      </c>
      <c r="D43" s="20" t="s">
        <v>653</v>
      </c>
      <c r="E43" s="20" t="s">
        <v>654</v>
      </c>
      <c r="F43" s="21" t="s">
        <v>655</v>
      </c>
      <c r="G43" s="20" t="s">
        <v>491</v>
      </c>
      <c r="H43" s="20" t="s">
        <v>468</v>
      </c>
      <c r="I43" s="19">
        <v>46308.82708333333</v>
      </c>
      <c r="J43" s="20" t="s">
        <v>481</v>
      </c>
    </row>
    <row r="44" spans="1:10" x14ac:dyDescent="0.35">
      <c r="A44" s="20" t="s">
        <v>216</v>
      </c>
      <c r="B44" s="20" t="s">
        <v>462</v>
      </c>
      <c r="C44" s="20" t="s">
        <v>615</v>
      </c>
      <c r="D44" s="20" t="s">
        <v>656</v>
      </c>
      <c r="E44" s="20" t="s">
        <v>657</v>
      </c>
      <c r="F44" s="21" t="s">
        <v>658</v>
      </c>
      <c r="G44" s="20" t="s">
        <v>619</v>
      </c>
      <c r="H44" s="20" t="s">
        <v>468</v>
      </c>
      <c r="I44" s="19">
        <v>46308.82708333333</v>
      </c>
      <c r="J44" s="20" t="s">
        <v>469</v>
      </c>
    </row>
    <row r="45" spans="1:10" x14ac:dyDescent="0.35">
      <c r="A45" s="20" t="s">
        <v>273</v>
      </c>
      <c r="B45" s="20" t="s">
        <v>482</v>
      </c>
      <c r="C45" s="20" t="s">
        <v>659</v>
      </c>
      <c r="D45" s="20" t="s">
        <v>660</v>
      </c>
      <c r="E45" s="20" t="s">
        <v>661</v>
      </c>
      <c r="F45" s="21" t="s">
        <v>662</v>
      </c>
      <c r="G45" s="20" t="s">
        <v>663</v>
      </c>
      <c r="H45" s="20" t="s">
        <v>468</v>
      </c>
      <c r="I45" s="19">
        <v>46308.82708333333</v>
      </c>
      <c r="J45" s="20" t="s">
        <v>469</v>
      </c>
    </row>
    <row r="46" spans="1:10" x14ac:dyDescent="0.35">
      <c r="A46" s="20" t="s">
        <v>270</v>
      </c>
      <c r="B46" s="20" t="s">
        <v>475</v>
      </c>
      <c r="C46" s="20" t="s">
        <v>664</v>
      </c>
      <c r="D46" s="20" t="s">
        <v>665</v>
      </c>
      <c r="E46" s="20" t="s">
        <v>666</v>
      </c>
      <c r="F46" s="21" t="s">
        <v>667</v>
      </c>
      <c r="G46" s="20" t="s">
        <v>609</v>
      </c>
      <c r="H46" s="20" t="s">
        <v>468</v>
      </c>
      <c r="I46" s="19">
        <v>46308.82708333333</v>
      </c>
      <c r="J46" s="20" t="s">
        <v>469</v>
      </c>
    </row>
    <row r="47" spans="1:10" x14ac:dyDescent="0.35">
      <c r="A47" s="20" t="s">
        <v>210</v>
      </c>
      <c r="B47" s="20" t="s">
        <v>462</v>
      </c>
      <c r="C47" s="20" t="s">
        <v>668</v>
      </c>
      <c r="D47" s="20" t="s">
        <v>669</v>
      </c>
      <c r="E47" s="20" t="s">
        <v>670</v>
      </c>
      <c r="F47" s="21" t="s">
        <v>671</v>
      </c>
      <c r="G47" s="20" t="s">
        <v>672</v>
      </c>
      <c r="H47" s="20" t="s">
        <v>468</v>
      </c>
      <c r="I47" s="19">
        <v>46308.82708333333</v>
      </c>
      <c r="J47" s="20" t="s">
        <v>469</v>
      </c>
    </row>
    <row r="48" spans="1:10" x14ac:dyDescent="0.35">
      <c r="A48" s="20" t="s">
        <v>197</v>
      </c>
      <c r="B48" s="20" t="s">
        <v>462</v>
      </c>
      <c r="C48" s="20" t="s">
        <v>560</v>
      </c>
      <c r="D48" s="20" t="s">
        <v>673</v>
      </c>
      <c r="E48" s="20" t="s">
        <v>674</v>
      </c>
      <c r="F48" s="21" t="s">
        <v>675</v>
      </c>
      <c r="G48" s="20" t="s">
        <v>549</v>
      </c>
      <c r="H48" s="20" t="s">
        <v>468</v>
      </c>
      <c r="I48" s="19">
        <v>46308.82708333333</v>
      </c>
      <c r="J48" s="20" t="s">
        <v>481</v>
      </c>
    </row>
    <row r="49" spans="1:10" x14ac:dyDescent="0.35">
      <c r="A49" s="20" t="s">
        <v>201</v>
      </c>
      <c r="B49" s="20" t="s">
        <v>475</v>
      </c>
      <c r="C49" s="20" t="s">
        <v>533</v>
      </c>
      <c r="D49" s="20" t="s">
        <v>676</v>
      </c>
      <c r="E49" s="20" t="s">
        <v>677</v>
      </c>
      <c r="F49" s="21" t="s">
        <v>678</v>
      </c>
      <c r="G49" s="20" t="s">
        <v>537</v>
      </c>
      <c r="H49" s="20" t="s">
        <v>468</v>
      </c>
      <c r="I49" s="19">
        <v>46308.82708333333</v>
      </c>
      <c r="J49" s="20" t="s">
        <v>509</v>
      </c>
    </row>
    <row r="50" spans="1:10" x14ac:dyDescent="0.35">
      <c r="A50" s="20" t="s">
        <v>189</v>
      </c>
      <c r="B50" s="20" t="s">
        <v>475</v>
      </c>
      <c r="C50" s="20" t="s">
        <v>476</v>
      </c>
      <c r="D50" s="20" t="s">
        <v>679</v>
      </c>
      <c r="E50" s="20" t="s">
        <v>680</v>
      </c>
      <c r="F50" s="21" t="s">
        <v>681</v>
      </c>
      <c r="G50" s="20" t="s">
        <v>480</v>
      </c>
      <c r="H50" s="20" t="s">
        <v>468</v>
      </c>
      <c r="I50" s="19">
        <v>46308.830555555563</v>
      </c>
      <c r="J50" s="20" t="s">
        <v>481</v>
      </c>
    </row>
    <row r="51" spans="1:10" x14ac:dyDescent="0.35">
      <c r="A51" s="20" t="s">
        <v>204</v>
      </c>
      <c r="B51" s="20" t="s">
        <v>482</v>
      </c>
      <c r="C51" s="20" t="s">
        <v>682</v>
      </c>
      <c r="D51" s="20" t="s">
        <v>683</v>
      </c>
      <c r="E51" s="20" t="s">
        <v>684</v>
      </c>
      <c r="F51" s="21" t="s">
        <v>685</v>
      </c>
      <c r="G51" s="20" t="s">
        <v>686</v>
      </c>
      <c r="H51" s="20" t="s">
        <v>468</v>
      </c>
      <c r="I51" s="19">
        <v>46308.82708333333</v>
      </c>
      <c r="J51" s="20" t="s">
        <v>469</v>
      </c>
    </row>
    <row r="52" spans="1:10" x14ac:dyDescent="0.35">
      <c r="A52" s="20" t="s">
        <v>197</v>
      </c>
      <c r="B52" s="20" t="s">
        <v>462</v>
      </c>
      <c r="C52" s="20" t="s">
        <v>560</v>
      </c>
      <c r="D52" s="20" t="s">
        <v>687</v>
      </c>
      <c r="E52" s="20" t="s">
        <v>688</v>
      </c>
      <c r="F52" s="21" t="s">
        <v>689</v>
      </c>
      <c r="G52" s="20" t="s">
        <v>549</v>
      </c>
      <c r="H52" s="20" t="s">
        <v>468</v>
      </c>
      <c r="I52" s="19">
        <v>46308.82708333333</v>
      </c>
      <c r="J52" s="20" t="s">
        <v>509</v>
      </c>
    </row>
    <row r="53" spans="1:10" x14ac:dyDescent="0.35">
      <c r="A53" s="20" t="s">
        <v>201</v>
      </c>
      <c r="B53" s="20" t="s">
        <v>475</v>
      </c>
      <c r="C53" s="20" t="s">
        <v>533</v>
      </c>
      <c r="D53" s="20" t="s">
        <v>690</v>
      </c>
      <c r="E53" s="20" t="s">
        <v>691</v>
      </c>
      <c r="F53" s="21" t="s">
        <v>692</v>
      </c>
      <c r="G53" s="20" t="s">
        <v>537</v>
      </c>
      <c r="H53" s="20" t="s">
        <v>468</v>
      </c>
      <c r="I53" s="19">
        <v>46308.82708333333</v>
      </c>
      <c r="J53" s="20" t="s">
        <v>469</v>
      </c>
    </row>
    <row r="54" spans="1:10" x14ac:dyDescent="0.35">
      <c r="A54" s="20" t="s">
        <v>189</v>
      </c>
      <c r="B54" s="20" t="s">
        <v>482</v>
      </c>
      <c r="C54" s="20" t="s">
        <v>483</v>
      </c>
      <c r="D54" s="20" t="s">
        <v>693</v>
      </c>
      <c r="E54" s="20" t="s">
        <v>694</v>
      </c>
      <c r="F54" s="21" t="s">
        <v>695</v>
      </c>
      <c r="G54" s="20" t="s">
        <v>480</v>
      </c>
      <c r="H54" s="20" t="s">
        <v>468</v>
      </c>
      <c r="I54" s="19">
        <v>46308.82708333333</v>
      </c>
      <c r="J54" s="20" t="s">
        <v>481</v>
      </c>
    </row>
    <row r="55" spans="1:10" x14ac:dyDescent="0.35">
      <c r="A55" s="20" t="s">
        <v>189</v>
      </c>
      <c r="B55" s="20" t="s">
        <v>475</v>
      </c>
      <c r="C55" s="20" t="s">
        <v>476</v>
      </c>
      <c r="D55" s="20" t="s">
        <v>696</v>
      </c>
      <c r="E55" s="20" t="s">
        <v>697</v>
      </c>
      <c r="F55" s="21" t="s">
        <v>698</v>
      </c>
      <c r="G55" s="20" t="s">
        <v>480</v>
      </c>
      <c r="H55" s="20" t="s">
        <v>468</v>
      </c>
      <c r="I55" s="19">
        <v>46308.82708333333</v>
      </c>
      <c r="J55" s="20" t="s">
        <v>469</v>
      </c>
    </row>
    <row r="56" spans="1:10" x14ac:dyDescent="0.35">
      <c r="A56" s="20" t="s">
        <v>204</v>
      </c>
      <c r="B56" s="20" t="s">
        <v>462</v>
      </c>
      <c r="C56" s="20" t="s">
        <v>699</v>
      </c>
      <c r="D56" s="20" t="s">
        <v>700</v>
      </c>
      <c r="E56" s="20" t="s">
        <v>701</v>
      </c>
      <c r="F56" s="21" t="s">
        <v>702</v>
      </c>
      <c r="G56" s="20" t="s">
        <v>686</v>
      </c>
      <c r="H56" s="20" t="s">
        <v>468</v>
      </c>
      <c r="I56" s="19">
        <v>46308.82708333333</v>
      </c>
      <c r="J56" s="20" t="s">
        <v>481</v>
      </c>
    </row>
    <row r="57" spans="1:10" x14ac:dyDescent="0.35">
      <c r="A57" s="20" t="s">
        <v>417</v>
      </c>
      <c r="B57" s="20" t="s">
        <v>462</v>
      </c>
      <c r="C57" s="20" t="s">
        <v>703</v>
      </c>
      <c r="D57" s="20" t="s">
        <v>704</v>
      </c>
      <c r="E57" s="20" t="s">
        <v>705</v>
      </c>
      <c r="F57" s="21" t="s">
        <v>706</v>
      </c>
      <c r="G57" s="20" t="s">
        <v>707</v>
      </c>
      <c r="H57" s="20" t="s">
        <v>468</v>
      </c>
      <c r="I57" s="19">
        <v>46308.82708333333</v>
      </c>
      <c r="J57" s="20" t="s">
        <v>469</v>
      </c>
    </row>
    <row r="58" spans="1:10" x14ac:dyDescent="0.35">
      <c r="A58" s="20" t="s">
        <v>252</v>
      </c>
      <c r="B58" s="20" t="s">
        <v>462</v>
      </c>
      <c r="C58" s="20" t="s">
        <v>596</v>
      </c>
      <c r="D58" s="20" t="s">
        <v>708</v>
      </c>
      <c r="E58" s="20" t="s">
        <v>709</v>
      </c>
      <c r="F58" s="21" t="s">
        <v>710</v>
      </c>
      <c r="G58" s="20" t="s">
        <v>600</v>
      </c>
      <c r="H58" s="20" t="s">
        <v>468</v>
      </c>
      <c r="I58" s="19">
        <v>46308.82708333333</v>
      </c>
      <c r="J58" s="20" t="s">
        <v>481</v>
      </c>
    </row>
    <row r="59" spans="1:10" x14ac:dyDescent="0.35">
      <c r="A59" s="20" t="s">
        <v>234</v>
      </c>
      <c r="B59" s="20" t="s">
        <v>475</v>
      </c>
      <c r="C59" s="20" t="s">
        <v>711</v>
      </c>
      <c r="D59" s="20" t="s">
        <v>712</v>
      </c>
      <c r="E59" s="20" t="s">
        <v>713</v>
      </c>
      <c r="F59" s="21" t="s">
        <v>714</v>
      </c>
      <c r="G59" s="20" t="s">
        <v>715</v>
      </c>
      <c r="H59" s="20" t="s">
        <v>468</v>
      </c>
      <c r="I59" s="19">
        <v>46308.82708333333</v>
      </c>
      <c r="J59" s="20" t="s">
        <v>469</v>
      </c>
    </row>
    <row r="60" spans="1:10" x14ac:dyDescent="0.35">
      <c r="A60" s="20" t="s">
        <v>204</v>
      </c>
      <c r="B60" s="20" t="s">
        <v>482</v>
      </c>
      <c r="C60" s="20" t="s">
        <v>682</v>
      </c>
      <c r="D60" s="20" t="s">
        <v>716</v>
      </c>
      <c r="E60" s="20" t="s">
        <v>717</v>
      </c>
      <c r="F60" s="21" t="s">
        <v>718</v>
      </c>
      <c r="G60" s="20" t="s">
        <v>686</v>
      </c>
      <c r="H60" s="20" t="s">
        <v>468</v>
      </c>
      <c r="I60" s="19">
        <v>46308.82708333333</v>
      </c>
      <c r="J60" s="20" t="s">
        <v>509</v>
      </c>
    </row>
    <row r="61" spans="1:10" x14ac:dyDescent="0.35">
      <c r="A61" s="20" t="s">
        <v>213</v>
      </c>
      <c r="B61" s="20" t="s">
        <v>482</v>
      </c>
      <c r="C61" s="20" t="s">
        <v>719</v>
      </c>
      <c r="D61" s="20" t="s">
        <v>720</v>
      </c>
      <c r="E61" s="20" t="s">
        <v>721</v>
      </c>
      <c r="F61" s="21" t="s">
        <v>722</v>
      </c>
      <c r="G61" s="20" t="s">
        <v>474</v>
      </c>
      <c r="H61" s="20" t="s">
        <v>468</v>
      </c>
      <c r="I61" s="19">
        <v>46308.82708333333</v>
      </c>
      <c r="J61" s="20" t="s">
        <v>481</v>
      </c>
    </row>
    <row r="62" spans="1:10" x14ac:dyDescent="0.35">
      <c r="A62" s="20" t="s">
        <v>267</v>
      </c>
      <c r="B62" s="20" t="s">
        <v>462</v>
      </c>
      <c r="C62" s="20" t="s">
        <v>723</v>
      </c>
      <c r="D62" s="20" t="s">
        <v>724</v>
      </c>
      <c r="E62" s="20" t="s">
        <v>725</v>
      </c>
      <c r="F62" s="21" t="s">
        <v>726</v>
      </c>
      <c r="G62" s="20" t="s">
        <v>496</v>
      </c>
      <c r="H62" s="20" t="s">
        <v>468</v>
      </c>
      <c r="I62" s="19">
        <v>46308.82708333333</v>
      </c>
      <c r="J62" s="20" t="s">
        <v>469</v>
      </c>
    </row>
    <row r="63" spans="1:10" x14ac:dyDescent="0.35">
      <c r="A63" s="20" t="s">
        <v>276</v>
      </c>
      <c r="B63" s="20" t="s">
        <v>482</v>
      </c>
      <c r="C63" s="20" t="s">
        <v>727</v>
      </c>
      <c r="D63" s="20" t="s">
        <v>728</v>
      </c>
      <c r="E63" s="20" t="s">
        <v>729</v>
      </c>
      <c r="F63" s="21" t="s">
        <v>730</v>
      </c>
      <c r="G63" s="20" t="s">
        <v>731</v>
      </c>
      <c r="H63" s="20" t="s">
        <v>468</v>
      </c>
      <c r="I63" s="19">
        <v>46308.82708333333</v>
      </c>
      <c r="J63" s="20" t="s">
        <v>481</v>
      </c>
    </row>
    <row r="64" spans="1:10" x14ac:dyDescent="0.35">
      <c r="A64" s="20" t="s">
        <v>213</v>
      </c>
      <c r="B64" s="20" t="s">
        <v>482</v>
      </c>
      <c r="C64" s="20" t="s">
        <v>719</v>
      </c>
      <c r="D64" s="20" t="s">
        <v>732</v>
      </c>
      <c r="E64" s="20" t="s">
        <v>733</v>
      </c>
      <c r="F64" s="21" t="s">
        <v>734</v>
      </c>
      <c r="G64" s="20" t="s">
        <v>474</v>
      </c>
      <c r="H64" s="20" t="s">
        <v>468</v>
      </c>
      <c r="I64" s="19">
        <v>46308.82708333333</v>
      </c>
      <c r="J64" s="20" t="s">
        <v>509</v>
      </c>
    </row>
    <row r="65" spans="1:10" x14ac:dyDescent="0.35">
      <c r="A65" s="20" t="s">
        <v>336</v>
      </c>
      <c r="B65" s="20" t="s">
        <v>482</v>
      </c>
      <c r="C65" s="20" t="s">
        <v>735</v>
      </c>
      <c r="D65" s="20" t="s">
        <v>736</v>
      </c>
      <c r="E65" s="20" t="s">
        <v>737</v>
      </c>
      <c r="F65" s="21" t="s">
        <v>738</v>
      </c>
      <c r="G65" s="20" t="s">
        <v>739</v>
      </c>
      <c r="H65" s="20" t="s">
        <v>468</v>
      </c>
      <c r="I65" s="19">
        <v>46308.82708333333</v>
      </c>
      <c r="J65" s="20" t="s">
        <v>509</v>
      </c>
    </row>
    <row r="66" spans="1:10" x14ac:dyDescent="0.35">
      <c r="A66" s="20" t="s">
        <v>297</v>
      </c>
      <c r="B66" s="20" t="s">
        <v>462</v>
      </c>
      <c r="C66" s="20" t="s">
        <v>740</v>
      </c>
      <c r="D66" s="20" t="s">
        <v>741</v>
      </c>
      <c r="E66" s="20" t="s">
        <v>742</v>
      </c>
      <c r="F66" s="21" t="s">
        <v>743</v>
      </c>
      <c r="G66" s="20" t="s">
        <v>744</v>
      </c>
      <c r="H66" s="20" t="s">
        <v>468</v>
      </c>
      <c r="I66" s="19">
        <v>46308.82708333333</v>
      </c>
      <c r="J66" s="20" t="s">
        <v>469</v>
      </c>
    </row>
    <row r="67" spans="1:10" x14ac:dyDescent="0.35">
      <c r="A67" s="20" t="s">
        <v>300</v>
      </c>
      <c r="B67" s="20" t="s">
        <v>462</v>
      </c>
      <c r="C67" s="20" t="s">
        <v>745</v>
      </c>
      <c r="D67" s="20" t="s">
        <v>746</v>
      </c>
      <c r="E67" s="20" t="s">
        <v>747</v>
      </c>
      <c r="F67" s="21" t="s">
        <v>748</v>
      </c>
      <c r="G67" s="20" t="s">
        <v>749</v>
      </c>
      <c r="H67" s="20" t="s">
        <v>468</v>
      </c>
      <c r="I67" s="19">
        <v>46308.82708333333</v>
      </c>
      <c r="J67" s="20" t="s">
        <v>469</v>
      </c>
    </row>
    <row r="68" spans="1:10" x14ac:dyDescent="0.35">
      <c r="A68" s="20" t="s">
        <v>309</v>
      </c>
      <c r="B68" s="20" t="s">
        <v>482</v>
      </c>
      <c r="C68" s="20" t="s">
        <v>750</v>
      </c>
      <c r="D68" s="20" t="s">
        <v>751</v>
      </c>
      <c r="E68" s="20" t="s">
        <v>752</v>
      </c>
      <c r="F68" s="21" t="s">
        <v>753</v>
      </c>
      <c r="G68" s="20" t="s">
        <v>517</v>
      </c>
      <c r="H68" s="20" t="s">
        <v>468</v>
      </c>
      <c r="I68" s="19">
        <v>46308.82708333333</v>
      </c>
      <c r="J68" s="20" t="s">
        <v>509</v>
      </c>
    </row>
    <row r="69" spans="1:10" x14ac:dyDescent="0.35">
      <c r="A69" s="20" t="s">
        <v>207</v>
      </c>
      <c r="B69" s="20" t="s">
        <v>475</v>
      </c>
      <c r="C69" s="20" t="s">
        <v>754</v>
      </c>
      <c r="D69" s="20" t="s">
        <v>755</v>
      </c>
      <c r="E69" s="20" t="s">
        <v>756</v>
      </c>
      <c r="F69" s="21" t="s">
        <v>757</v>
      </c>
      <c r="G69" s="20" t="s">
        <v>592</v>
      </c>
      <c r="H69" s="20" t="s">
        <v>468</v>
      </c>
      <c r="I69" s="19">
        <v>46308.82708333333</v>
      </c>
      <c r="J69" s="20" t="s">
        <v>481</v>
      </c>
    </row>
    <row r="70" spans="1:10" x14ac:dyDescent="0.35">
      <c r="A70" s="20" t="s">
        <v>216</v>
      </c>
      <c r="B70" s="20" t="s">
        <v>475</v>
      </c>
      <c r="C70" s="20" t="s">
        <v>758</v>
      </c>
      <c r="D70" s="20" t="s">
        <v>759</v>
      </c>
      <c r="E70" s="20" t="s">
        <v>760</v>
      </c>
      <c r="F70" s="21" t="s">
        <v>761</v>
      </c>
      <c r="G70" s="20" t="s">
        <v>619</v>
      </c>
      <c r="H70" s="20" t="s">
        <v>468</v>
      </c>
      <c r="I70" s="19">
        <v>46308.82708333333</v>
      </c>
      <c r="J70" s="20" t="s">
        <v>509</v>
      </c>
    </row>
    <row r="71" spans="1:10" x14ac:dyDescent="0.35">
      <c r="A71" s="20" t="s">
        <v>189</v>
      </c>
      <c r="B71" s="20" t="s">
        <v>482</v>
      </c>
      <c r="C71" s="20" t="s">
        <v>483</v>
      </c>
      <c r="D71" s="20" t="s">
        <v>762</v>
      </c>
      <c r="E71" s="20" t="s">
        <v>763</v>
      </c>
      <c r="F71" s="21" t="s">
        <v>764</v>
      </c>
      <c r="G71" s="20" t="s">
        <v>480</v>
      </c>
      <c r="H71" s="20" t="s">
        <v>468</v>
      </c>
      <c r="I71" s="19">
        <v>46308.82708333333</v>
      </c>
      <c r="J71" s="20" t="s">
        <v>469</v>
      </c>
    </row>
    <row r="72" spans="1:10" x14ac:dyDescent="0.35">
      <c r="A72" s="20" t="s">
        <v>197</v>
      </c>
      <c r="B72" s="20" t="s">
        <v>462</v>
      </c>
      <c r="C72" s="20" t="s">
        <v>560</v>
      </c>
      <c r="D72" s="20" t="s">
        <v>765</v>
      </c>
      <c r="E72" s="20" t="s">
        <v>766</v>
      </c>
      <c r="F72" s="21" t="s">
        <v>767</v>
      </c>
      <c r="G72" s="20" t="s">
        <v>549</v>
      </c>
      <c r="H72" s="20" t="s">
        <v>468</v>
      </c>
      <c r="I72" s="19">
        <v>46308.82708333333</v>
      </c>
      <c r="J72" s="20" t="s">
        <v>509</v>
      </c>
    </row>
    <row r="73" spans="1:10" x14ac:dyDescent="0.35">
      <c r="A73" s="20" t="s">
        <v>333</v>
      </c>
      <c r="B73" s="20" t="s">
        <v>482</v>
      </c>
      <c r="C73" s="20" t="s">
        <v>768</v>
      </c>
      <c r="D73" s="20" t="s">
        <v>769</v>
      </c>
      <c r="E73" s="20" t="s">
        <v>770</v>
      </c>
      <c r="F73" s="21" t="s">
        <v>771</v>
      </c>
      <c r="G73" s="20" t="s">
        <v>772</v>
      </c>
      <c r="H73" s="20" t="s">
        <v>468</v>
      </c>
      <c r="I73" s="19">
        <v>46308.82708333333</v>
      </c>
      <c r="J73" s="20" t="s">
        <v>469</v>
      </c>
    </row>
    <row r="74" spans="1:10" x14ac:dyDescent="0.35">
      <c r="A74" s="20" t="s">
        <v>189</v>
      </c>
      <c r="B74" s="20" t="s">
        <v>462</v>
      </c>
      <c r="C74" s="20" t="s">
        <v>497</v>
      </c>
      <c r="D74" s="20" t="s">
        <v>773</v>
      </c>
      <c r="E74" s="20" t="s">
        <v>774</v>
      </c>
      <c r="F74" s="21" t="s">
        <v>775</v>
      </c>
      <c r="G74" s="20" t="s">
        <v>480</v>
      </c>
      <c r="H74" s="20" t="s">
        <v>468</v>
      </c>
      <c r="I74" s="19">
        <v>46308.82708333333</v>
      </c>
      <c r="J74" s="20" t="s">
        <v>469</v>
      </c>
    </row>
    <row r="75" spans="1:10" x14ac:dyDescent="0.35">
      <c r="A75" s="20" t="s">
        <v>291</v>
      </c>
      <c r="B75" s="20" t="s">
        <v>482</v>
      </c>
      <c r="C75" s="20" t="s">
        <v>776</v>
      </c>
      <c r="D75" s="20" t="s">
        <v>777</v>
      </c>
      <c r="E75" s="20" t="s">
        <v>778</v>
      </c>
      <c r="F75" s="21" t="s">
        <v>779</v>
      </c>
      <c r="G75" s="20" t="s">
        <v>780</v>
      </c>
      <c r="H75" s="20" t="s">
        <v>468</v>
      </c>
      <c r="I75" s="19">
        <v>46308.82708333333</v>
      </c>
      <c r="J75" s="20" t="s">
        <v>481</v>
      </c>
    </row>
    <row r="76" spans="1:10" x14ac:dyDescent="0.35">
      <c r="A76" s="20" t="s">
        <v>197</v>
      </c>
      <c r="B76" s="20" t="s">
        <v>475</v>
      </c>
      <c r="C76" s="20" t="s">
        <v>545</v>
      </c>
      <c r="D76" s="20" t="s">
        <v>781</v>
      </c>
      <c r="E76" s="20" t="s">
        <v>782</v>
      </c>
      <c r="F76" s="21" t="s">
        <v>783</v>
      </c>
      <c r="G76" s="20" t="s">
        <v>549</v>
      </c>
      <c r="H76" s="20" t="s">
        <v>468</v>
      </c>
      <c r="I76" s="19">
        <v>46308.82708333333</v>
      </c>
      <c r="J76" s="20" t="s">
        <v>469</v>
      </c>
    </row>
    <row r="77" spans="1:10" x14ac:dyDescent="0.35">
      <c r="A77" s="20" t="s">
        <v>204</v>
      </c>
      <c r="B77" s="20" t="s">
        <v>482</v>
      </c>
      <c r="C77" s="20" t="s">
        <v>682</v>
      </c>
      <c r="D77" s="20" t="s">
        <v>784</v>
      </c>
      <c r="E77" s="20" t="s">
        <v>785</v>
      </c>
      <c r="F77" s="21" t="s">
        <v>786</v>
      </c>
      <c r="G77" s="20" t="s">
        <v>686</v>
      </c>
      <c r="H77" s="20" t="s">
        <v>468</v>
      </c>
      <c r="I77" s="19">
        <v>46308.82708333333</v>
      </c>
      <c r="J77" s="20" t="s">
        <v>509</v>
      </c>
    </row>
    <row r="78" spans="1:10" x14ac:dyDescent="0.35">
      <c r="A78" s="20" t="s">
        <v>237</v>
      </c>
      <c r="B78" s="20" t="s">
        <v>475</v>
      </c>
      <c r="C78" s="20" t="s">
        <v>787</v>
      </c>
      <c r="D78" s="20" t="s">
        <v>788</v>
      </c>
      <c r="E78" s="20" t="s">
        <v>789</v>
      </c>
      <c r="F78" s="21" t="s">
        <v>790</v>
      </c>
      <c r="G78" s="20" t="s">
        <v>554</v>
      </c>
      <c r="H78" s="20" t="s">
        <v>468</v>
      </c>
      <c r="I78" s="19">
        <v>46308.82708333333</v>
      </c>
      <c r="J78" s="20" t="s">
        <v>469</v>
      </c>
    </row>
    <row r="79" spans="1:10" x14ac:dyDescent="0.35">
      <c r="A79" s="20" t="s">
        <v>429</v>
      </c>
      <c r="B79" s="20" t="s">
        <v>475</v>
      </c>
      <c r="C79" s="20" t="s">
        <v>791</v>
      </c>
      <c r="D79" s="20" t="s">
        <v>792</v>
      </c>
      <c r="E79" s="20" t="s">
        <v>793</v>
      </c>
      <c r="F79" s="21" t="s">
        <v>794</v>
      </c>
      <c r="G79" s="20" t="s">
        <v>795</v>
      </c>
      <c r="H79" s="20" t="s">
        <v>468</v>
      </c>
      <c r="I79" s="19">
        <v>46308.82708333333</v>
      </c>
      <c r="J79" s="20" t="s">
        <v>469</v>
      </c>
    </row>
    <row r="80" spans="1:10" x14ac:dyDescent="0.35">
      <c r="A80" s="20" t="s">
        <v>189</v>
      </c>
      <c r="B80" s="20" t="s">
        <v>482</v>
      </c>
      <c r="C80" s="20" t="s">
        <v>483</v>
      </c>
      <c r="D80" s="20" t="s">
        <v>796</v>
      </c>
      <c r="E80" s="20" t="s">
        <v>797</v>
      </c>
      <c r="F80" s="21" t="s">
        <v>798</v>
      </c>
      <c r="G80" s="20" t="s">
        <v>480</v>
      </c>
      <c r="H80" s="20" t="s">
        <v>468</v>
      </c>
      <c r="I80" s="19">
        <v>46308.82708333333</v>
      </c>
      <c r="J80" s="20" t="s">
        <v>481</v>
      </c>
    </row>
    <row r="81" spans="1:10" x14ac:dyDescent="0.35">
      <c r="A81" s="20" t="s">
        <v>194</v>
      </c>
      <c r="B81" s="20" t="s">
        <v>462</v>
      </c>
      <c r="C81" s="20" t="s">
        <v>799</v>
      </c>
      <c r="D81" s="20" t="s">
        <v>788</v>
      </c>
      <c r="E81" s="20" t="s">
        <v>789</v>
      </c>
      <c r="F81" s="21" t="s">
        <v>790</v>
      </c>
      <c r="G81" s="20" t="s">
        <v>800</v>
      </c>
      <c r="H81" s="20" t="s">
        <v>468</v>
      </c>
      <c r="I81" s="19">
        <v>46308.82708333333</v>
      </c>
      <c r="J81" s="20" t="s">
        <v>469</v>
      </c>
    </row>
    <row r="82" spans="1:10" x14ac:dyDescent="0.35">
      <c r="A82" s="20" t="s">
        <v>189</v>
      </c>
      <c r="B82" s="20" t="s">
        <v>462</v>
      </c>
      <c r="C82" s="20" t="s">
        <v>497</v>
      </c>
      <c r="D82" s="20" t="s">
        <v>551</v>
      </c>
      <c r="E82" s="20" t="s">
        <v>552</v>
      </c>
      <c r="F82" s="21" t="s">
        <v>553</v>
      </c>
      <c r="G82" s="20" t="s">
        <v>480</v>
      </c>
      <c r="H82" s="20" t="s">
        <v>468</v>
      </c>
      <c r="I82" s="19">
        <v>46308.82708333333</v>
      </c>
      <c r="J82" s="20" t="s">
        <v>481</v>
      </c>
    </row>
    <row r="83" spans="1:10" x14ac:dyDescent="0.35">
      <c r="A83" s="20" t="s">
        <v>219</v>
      </c>
      <c r="B83" s="20" t="s">
        <v>462</v>
      </c>
      <c r="C83" s="20" t="s">
        <v>801</v>
      </c>
      <c r="D83" s="20" t="s">
        <v>802</v>
      </c>
      <c r="E83" s="20" t="s">
        <v>803</v>
      </c>
      <c r="F83" s="21" t="s">
        <v>804</v>
      </c>
      <c r="G83" s="20" t="s">
        <v>805</v>
      </c>
      <c r="H83" s="20" t="s">
        <v>468</v>
      </c>
      <c r="I83" s="19">
        <v>46308.82708333333</v>
      </c>
      <c r="J83" s="20" t="s">
        <v>481</v>
      </c>
    </row>
    <row r="84" spans="1:10" x14ac:dyDescent="0.35">
      <c r="A84" s="20" t="s">
        <v>210</v>
      </c>
      <c r="B84" s="20" t="s">
        <v>462</v>
      </c>
      <c r="C84" s="20" t="s">
        <v>668</v>
      </c>
      <c r="D84" s="20" t="s">
        <v>806</v>
      </c>
      <c r="E84" s="20" t="s">
        <v>807</v>
      </c>
      <c r="F84" s="21" t="s">
        <v>808</v>
      </c>
      <c r="G84" s="20" t="s">
        <v>672</v>
      </c>
      <c r="H84" s="20" t="s">
        <v>468</v>
      </c>
      <c r="I84" s="19">
        <v>46308.82708333333</v>
      </c>
      <c r="J84" s="20" t="s">
        <v>509</v>
      </c>
    </row>
    <row r="85" spans="1:10" x14ac:dyDescent="0.35">
      <c r="A85" s="20" t="s">
        <v>189</v>
      </c>
      <c r="B85" s="20" t="s">
        <v>462</v>
      </c>
      <c r="C85" s="20" t="s">
        <v>497</v>
      </c>
      <c r="D85" s="20" t="s">
        <v>809</v>
      </c>
      <c r="E85" s="20" t="s">
        <v>810</v>
      </c>
      <c r="F85" s="21" t="s">
        <v>811</v>
      </c>
      <c r="G85" s="20" t="s">
        <v>480</v>
      </c>
      <c r="H85" s="20" t="s">
        <v>468</v>
      </c>
      <c r="I85" s="19">
        <v>46308.82708333333</v>
      </c>
      <c r="J85" s="20" t="s">
        <v>481</v>
      </c>
    </row>
    <row r="86" spans="1:10" x14ac:dyDescent="0.35">
      <c r="A86" s="20" t="s">
        <v>189</v>
      </c>
      <c r="B86" s="20" t="s">
        <v>475</v>
      </c>
      <c r="C86" s="20" t="s">
        <v>476</v>
      </c>
      <c r="D86" s="20" t="s">
        <v>812</v>
      </c>
      <c r="E86" s="20" t="s">
        <v>813</v>
      </c>
      <c r="F86" s="21" t="s">
        <v>814</v>
      </c>
      <c r="G86" s="20" t="s">
        <v>480</v>
      </c>
      <c r="H86" s="20" t="s">
        <v>468</v>
      </c>
      <c r="I86" s="19">
        <v>46308.82708333333</v>
      </c>
      <c r="J86" s="20" t="s">
        <v>481</v>
      </c>
    </row>
    <row r="87" spans="1:10" x14ac:dyDescent="0.35">
      <c r="A87" s="20" t="s">
        <v>201</v>
      </c>
      <c r="B87" s="20" t="s">
        <v>462</v>
      </c>
      <c r="C87" s="20" t="s">
        <v>635</v>
      </c>
      <c r="D87" s="20" t="s">
        <v>815</v>
      </c>
      <c r="E87" s="20" t="s">
        <v>816</v>
      </c>
      <c r="F87" s="21" t="s">
        <v>817</v>
      </c>
      <c r="G87" s="20" t="s">
        <v>537</v>
      </c>
      <c r="H87" s="20" t="s">
        <v>468</v>
      </c>
      <c r="I87" s="19">
        <v>46308.82708333333</v>
      </c>
      <c r="J87" s="20" t="s">
        <v>481</v>
      </c>
    </row>
    <row r="88" spans="1:10" x14ac:dyDescent="0.35">
      <c r="A88" s="20" t="s">
        <v>194</v>
      </c>
      <c r="B88" s="20" t="s">
        <v>462</v>
      </c>
      <c r="C88" s="20" t="s">
        <v>799</v>
      </c>
      <c r="D88" s="20" t="s">
        <v>818</v>
      </c>
      <c r="E88" s="20" t="s">
        <v>819</v>
      </c>
      <c r="F88" s="21" t="s">
        <v>820</v>
      </c>
      <c r="G88" s="20" t="s">
        <v>800</v>
      </c>
      <c r="H88" s="20" t="s">
        <v>468</v>
      </c>
      <c r="I88" s="19">
        <v>46308.82708333333</v>
      </c>
      <c r="J88" s="20" t="s">
        <v>509</v>
      </c>
    </row>
    <row r="89" spans="1:10" x14ac:dyDescent="0.35">
      <c r="A89" s="20" t="s">
        <v>222</v>
      </c>
      <c r="B89" s="20" t="s">
        <v>462</v>
      </c>
      <c r="C89" s="20" t="s">
        <v>821</v>
      </c>
      <c r="D89" s="20" t="s">
        <v>822</v>
      </c>
      <c r="E89" s="20" t="s">
        <v>823</v>
      </c>
      <c r="F89" s="21" t="s">
        <v>824</v>
      </c>
      <c r="G89" s="20" t="s">
        <v>527</v>
      </c>
      <c r="H89" s="20" t="s">
        <v>468</v>
      </c>
      <c r="I89" s="19">
        <v>46308.82708333333</v>
      </c>
      <c r="J89" s="20" t="s">
        <v>469</v>
      </c>
    </row>
    <row r="90" spans="1:10" x14ac:dyDescent="0.35">
      <c r="A90" s="20" t="s">
        <v>201</v>
      </c>
      <c r="B90" s="20" t="s">
        <v>475</v>
      </c>
      <c r="C90" s="20" t="s">
        <v>533</v>
      </c>
      <c r="D90" s="20" t="s">
        <v>825</v>
      </c>
      <c r="E90" s="20" t="s">
        <v>826</v>
      </c>
      <c r="F90" s="21" t="s">
        <v>827</v>
      </c>
      <c r="G90" s="20" t="s">
        <v>537</v>
      </c>
      <c r="H90" s="20" t="s">
        <v>468</v>
      </c>
      <c r="I90" s="19">
        <v>46308.82708333333</v>
      </c>
      <c r="J90" s="20" t="s">
        <v>481</v>
      </c>
    </row>
    <row r="91" spans="1:10" x14ac:dyDescent="0.35">
      <c r="A91" s="20" t="s">
        <v>204</v>
      </c>
      <c r="B91" s="20" t="s">
        <v>475</v>
      </c>
      <c r="C91" s="20" t="s">
        <v>828</v>
      </c>
      <c r="D91" s="20" t="s">
        <v>529</v>
      </c>
      <c r="E91" s="20" t="s">
        <v>530</v>
      </c>
      <c r="F91" s="21" t="s">
        <v>531</v>
      </c>
      <c r="G91" s="20" t="s">
        <v>686</v>
      </c>
      <c r="H91" s="20" t="s">
        <v>468</v>
      </c>
      <c r="I91" s="19">
        <v>46308.82708333333</v>
      </c>
      <c r="J91" s="20" t="s">
        <v>481</v>
      </c>
    </row>
    <row r="92" spans="1:10" x14ac:dyDescent="0.35">
      <c r="A92" s="20" t="s">
        <v>194</v>
      </c>
      <c r="B92" s="20" t="s">
        <v>462</v>
      </c>
      <c r="C92" s="20" t="s">
        <v>799</v>
      </c>
      <c r="D92" s="20" t="s">
        <v>829</v>
      </c>
      <c r="E92" s="20" t="s">
        <v>830</v>
      </c>
      <c r="F92" s="21" t="s">
        <v>831</v>
      </c>
      <c r="G92" s="20" t="s">
        <v>800</v>
      </c>
      <c r="H92" s="20" t="s">
        <v>468</v>
      </c>
      <c r="I92" s="19">
        <v>46308.82708333333</v>
      </c>
      <c r="J92" s="20" t="s">
        <v>509</v>
      </c>
    </row>
    <row r="93" spans="1:10" x14ac:dyDescent="0.35">
      <c r="A93" s="20" t="s">
        <v>276</v>
      </c>
      <c r="B93" s="20" t="s">
        <v>482</v>
      </c>
      <c r="C93" s="20" t="s">
        <v>727</v>
      </c>
      <c r="D93" s="20" t="s">
        <v>542</v>
      </c>
      <c r="E93" s="20" t="s">
        <v>543</v>
      </c>
      <c r="F93" s="21" t="s">
        <v>544</v>
      </c>
      <c r="G93" s="20" t="s">
        <v>731</v>
      </c>
      <c r="H93" s="20" t="s">
        <v>468</v>
      </c>
      <c r="I93" s="19">
        <v>46308.82708333333</v>
      </c>
      <c r="J93" s="20" t="s">
        <v>481</v>
      </c>
    </row>
    <row r="94" spans="1:10" x14ac:dyDescent="0.35">
      <c r="A94" s="20" t="s">
        <v>189</v>
      </c>
      <c r="B94" s="20" t="s">
        <v>462</v>
      </c>
      <c r="C94" s="20" t="s">
        <v>497</v>
      </c>
      <c r="D94" s="20" t="s">
        <v>832</v>
      </c>
      <c r="E94" s="20" t="s">
        <v>833</v>
      </c>
      <c r="F94" s="21" t="s">
        <v>834</v>
      </c>
      <c r="G94" s="20" t="s">
        <v>480</v>
      </c>
      <c r="H94" s="20" t="s">
        <v>468</v>
      </c>
      <c r="I94" s="19">
        <v>46308.82708333333</v>
      </c>
      <c r="J94" s="20" t="s">
        <v>481</v>
      </c>
    </row>
    <row r="95" spans="1:10" x14ac:dyDescent="0.35">
      <c r="A95" s="20" t="s">
        <v>207</v>
      </c>
      <c r="B95" s="20" t="s">
        <v>462</v>
      </c>
      <c r="C95" s="20" t="s">
        <v>588</v>
      </c>
      <c r="D95" s="20" t="s">
        <v>835</v>
      </c>
      <c r="E95" s="20" t="s">
        <v>836</v>
      </c>
      <c r="F95" s="21" t="s">
        <v>837</v>
      </c>
      <c r="G95" s="20" t="s">
        <v>592</v>
      </c>
      <c r="H95" s="20" t="s">
        <v>468</v>
      </c>
      <c r="I95" s="19">
        <v>46308.82708333333</v>
      </c>
      <c r="J95" s="20" t="s">
        <v>509</v>
      </c>
    </row>
    <row r="96" spans="1:10" x14ac:dyDescent="0.35">
      <c r="A96" s="20" t="s">
        <v>222</v>
      </c>
      <c r="B96" s="20" t="s">
        <v>482</v>
      </c>
      <c r="C96" s="20" t="s">
        <v>579</v>
      </c>
      <c r="D96" s="20" t="s">
        <v>838</v>
      </c>
      <c r="E96" s="20" t="s">
        <v>839</v>
      </c>
      <c r="F96" s="21" t="s">
        <v>840</v>
      </c>
      <c r="G96" s="20" t="s">
        <v>527</v>
      </c>
      <c r="H96" s="20" t="s">
        <v>468</v>
      </c>
      <c r="I96" s="19">
        <v>46308.82708333333</v>
      </c>
      <c r="J96" s="20" t="s">
        <v>469</v>
      </c>
    </row>
    <row r="97" spans="1:10" x14ac:dyDescent="0.35">
      <c r="A97" s="20" t="s">
        <v>288</v>
      </c>
      <c r="B97" s="20" t="s">
        <v>482</v>
      </c>
      <c r="C97" s="20" t="s">
        <v>841</v>
      </c>
      <c r="D97" s="20" t="s">
        <v>842</v>
      </c>
      <c r="E97" s="20" t="s">
        <v>843</v>
      </c>
      <c r="F97" s="21" t="s">
        <v>844</v>
      </c>
      <c r="G97" s="20" t="s">
        <v>845</v>
      </c>
      <c r="H97" s="20" t="s">
        <v>468</v>
      </c>
      <c r="I97" s="19">
        <v>46308.82708333333</v>
      </c>
      <c r="J97" s="20" t="s">
        <v>481</v>
      </c>
    </row>
    <row r="98" spans="1:10" x14ac:dyDescent="0.35">
      <c r="A98" s="20" t="s">
        <v>420</v>
      </c>
      <c r="B98" s="20" t="s">
        <v>475</v>
      </c>
      <c r="C98" s="20" t="s">
        <v>846</v>
      </c>
      <c r="D98" s="20" t="s">
        <v>847</v>
      </c>
      <c r="E98" s="20" t="s">
        <v>848</v>
      </c>
      <c r="F98" s="21" t="s">
        <v>849</v>
      </c>
      <c r="G98" s="20" t="s">
        <v>850</v>
      </c>
      <c r="H98" s="20" t="s">
        <v>468</v>
      </c>
      <c r="I98" s="19">
        <v>46308.82708333333</v>
      </c>
      <c r="J98" s="20" t="s">
        <v>481</v>
      </c>
    </row>
    <row r="99" spans="1:10" x14ac:dyDescent="0.35">
      <c r="A99" s="20" t="s">
        <v>189</v>
      </c>
      <c r="B99" s="20" t="s">
        <v>482</v>
      </c>
      <c r="C99" s="20" t="s">
        <v>483</v>
      </c>
      <c r="D99" s="20" t="s">
        <v>851</v>
      </c>
      <c r="E99" s="20" t="s">
        <v>852</v>
      </c>
      <c r="F99" s="21" t="s">
        <v>853</v>
      </c>
      <c r="G99" s="20" t="s">
        <v>480</v>
      </c>
      <c r="H99" s="20" t="s">
        <v>468</v>
      </c>
      <c r="I99" s="19">
        <v>46308.82708333333</v>
      </c>
      <c r="J99" s="20" t="s">
        <v>481</v>
      </c>
    </row>
    <row r="100" spans="1:10" x14ac:dyDescent="0.35">
      <c r="A100" s="20" t="s">
        <v>189</v>
      </c>
      <c r="B100" s="20" t="s">
        <v>482</v>
      </c>
      <c r="C100" s="20" t="s">
        <v>483</v>
      </c>
      <c r="D100" s="20" t="s">
        <v>854</v>
      </c>
      <c r="E100" s="20" t="s">
        <v>855</v>
      </c>
      <c r="F100" s="21" t="s">
        <v>856</v>
      </c>
      <c r="G100" s="20" t="s">
        <v>480</v>
      </c>
      <c r="H100" s="20" t="s">
        <v>468</v>
      </c>
      <c r="I100" s="19">
        <v>46308.82708333333</v>
      </c>
      <c r="J100" s="20" t="s">
        <v>481</v>
      </c>
    </row>
    <row r="101" spans="1:10" x14ac:dyDescent="0.35">
      <c r="A101" s="20" t="s">
        <v>324</v>
      </c>
      <c r="B101" s="20" t="s">
        <v>475</v>
      </c>
      <c r="C101" s="20" t="s">
        <v>857</v>
      </c>
      <c r="D101" s="20" t="s">
        <v>858</v>
      </c>
      <c r="E101" s="20" t="s">
        <v>859</v>
      </c>
      <c r="F101" s="21" t="s">
        <v>860</v>
      </c>
      <c r="G101" s="20" t="s">
        <v>861</v>
      </c>
      <c r="H101" s="20" t="s">
        <v>468</v>
      </c>
      <c r="I101" s="19">
        <v>46308.82708333333</v>
      </c>
      <c r="J101" s="20" t="s">
        <v>509</v>
      </c>
    </row>
    <row r="102" spans="1:10" x14ac:dyDescent="0.35">
      <c r="A102" s="20" t="s">
        <v>333</v>
      </c>
      <c r="B102" s="20" t="s">
        <v>462</v>
      </c>
      <c r="C102" s="20" t="s">
        <v>862</v>
      </c>
      <c r="D102" s="20" t="s">
        <v>863</v>
      </c>
      <c r="E102" s="20" t="s">
        <v>864</v>
      </c>
      <c r="F102" s="21" t="s">
        <v>865</v>
      </c>
      <c r="G102" s="20" t="s">
        <v>772</v>
      </c>
      <c r="H102" s="20" t="s">
        <v>468</v>
      </c>
      <c r="I102" s="19">
        <v>46308.82708333333</v>
      </c>
      <c r="J102" s="20" t="s">
        <v>509</v>
      </c>
    </row>
    <row r="103" spans="1:10" x14ac:dyDescent="0.35">
      <c r="A103" s="20" t="s">
        <v>194</v>
      </c>
      <c r="B103" s="20" t="s">
        <v>462</v>
      </c>
      <c r="C103" s="20" t="s">
        <v>799</v>
      </c>
      <c r="D103" s="20" t="s">
        <v>866</v>
      </c>
      <c r="E103" s="20" t="s">
        <v>867</v>
      </c>
      <c r="F103" s="21" t="s">
        <v>868</v>
      </c>
      <c r="G103" s="20" t="s">
        <v>800</v>
      </c>
      <c r="H103" s="20" t="s">
        <v>468</v>
      </c>
      <c r="I103" s="19">
        <v>46308.82708333333</v>
      </c>
      <c r="J103" s="20" t="s">
        <v>481</v>
      </c>
    </row>
    <row r="104" spans="1:10" x14ac:dyDescent="0.35">
      <c r="A104" s="20" t="s">
        <v>189</v>
      </c>
      <c r="B104" s="20" t="s">
        <v>462</v>
      </c>
      <c r="C104" s="20" t="s">
        <v>497</v>
      </c>
      <c r="D104" s="20" t="s">
        <v>869</v>
      </c>
      <c r="E104" s="20" t="s">
        <v>870</v>
      </c>
      <c r="F104" s="21" t="s">
        <v>871</v>
      </c>
      <c r="G104" s="20" t="s">
        <v>480</v>
      </c>
      <c r="H104" s="20" t="s">
        <v>468</v>
      </c>
      <c r="I104" s="19">
        <v>46308.82708333333</v>
      </c>
      <c r="J104" s="20" t="s">
        <v>469</v>
      </c>
    </row>
    <row r="105" spans="1:10" x14ac:dyDescent="0.35">
      <c r="A105" s="20" t="s">
        <v>197</v>
      </c>
      <c r="B105" s="20" t="s">
        <v>475</v>
      </c>
      <c r="C105" s="20" t="s">
        <v>545</v>
      </c>
      <c r="D105" s="20" t="s">
        <v>872</v>
      </c>
      <c r="E105" s="20" t="s">
        <v>873</v>
      </c>
      <c r="F105" s="21" t="s">
        <v>874</v>
      </c>
      <c r="G105" s="20" t="s">
        <v>549</v>
      </c>
      <c r="H105" s="20" t="s">
        <v>468</v>
      </c>
      <c r="I105" s="19">
        <v>46308.82708333333</v>
      </c>
      <c r="J105" s="20" t="s">
        <v>469</v>
      </c>
    </row>
    <row r="106" spans="1:10" x14ac:dyDescent="0.35">
      <c r="A106" s="20" t="s">
        <v>189</v>
      </c>
      <c r="B106" s="20" t="s">
        <v>475</v>
      </c>
      <c r="C106" s="20" t="s">
        <v>476</v>
      </c>
      <c r="D106" s="20" t="s">
        <v>679</v>
      </c>
      <c r="E106" s="20" t="s">
        <v>680</v>
      </c>
      <c r="F106" s="21" t="s">
        <v>681</v>
      </c>
      <c r="G106" s="20" t="s">
        <v>480</v>
      </c>
      <c r="H106" s="20" t="s">
        <v>468</v>
      </c>
      <c r="I106" s="19">
        <v>46308.82708333333</v>
      </c>
      <c r="J106" s="20" t="s">
        <v>481</v>
      </c>
    </row>
    <row r="107" spans="1:10" x14ac:dyDescent="0.35">
      <c r="A107" s="20" t="s">
        <v>189</v>
      </c>
      <c r="B107" s="20" t="s">
        <v>475</v>
      </c>
      <c r="C107" s="20" t="s">
        <v>476</v>
      </c>
      <c r="D107" s="20" t="s">
        <v>875</v>
      </c>
      <c r="E107" s="20" t="s">
        <v>876</v>
      </c>
      <c r="F107" s="21" t="s">
        <v>877</v>
      </c>
      <c r="G107" s="20" t="s">
        <v>480</v>
      </c>
      <c r="H107" s="20" t="s">
        <v>468</v>
      </c>
      <c r="I107" s="19">
        <v>46308.82708333333</v>
      </c>
      <c r="J107" s="20" t="s">
        <v>469</v>
      </c>
    </row>
    <row r="108" spans="1:10" x14ac:dyDescent="0.35">
      <c r="A108" s="20" t="s">
        <v>252</v>
      </c>
      <c r="B108" s="20" t="s">
        <v>475</v>
      </c>
      <c r="C108" s="20" t="s">
        <v>878</v>
      </c>
      <c r="D108" s="20" t="s">
        <v>879</v>
      </c>
      <c r="E108" s="20" t="s">
        <v>880</v>
      </c>
      <c r="F108" s="21" t="s">
        <v>881</v>
      </c>
      <c r="G108" s="20" t="s">
        <v>600</v>
      </c>
      <c r="H108" s="20" t="s">
        <v>468</v>
      </c>
      <c r="I108" s="19">
        <v>46308.82708333333</v>
      </c>
      <c r="J108" s="20" t="s">
        <v>481</v>
      </c>
    </row>
    <row r="109" spans="1:10" x14ac:dyDescent="0.35">
      <c r="A109" s="20" t="s">
        <v>189</v>
      </c>
      <c r="B109" s="20" t="s">
        <v>462</v>
      </c>
      <c r="C109" s="20" t="s">
        <v>497</v>
      </c>
      <c r="D109" s="20" t="s">
        <v>882</v>
      </c>
      <c r="E109" s="20" t="s">
        <v>883</v>
      </c>
      <c r="F109" s="21" t="s">
        <v>884</v>
      </c>
      <c r="G109" s="20" t="s">
        <v>480</v>
      </c>
      <c r="H109" s="20" t="s">
        <v>468</v>
      </c>
      <c r="I109" s="19">
        <v>46308.82708333333</v>
      </c>
      <c r="J109" s="20" t="s">
        <v>481</v>
      </c>
    </row>
    <row r="110" spans="1:10" x14ac:dyDescent="0.35">
      <c r="A110" s="20" t="s">
        <v>240</v>
      </c>
      <c r="B110" s="20" t="s">
        <v>475</v>
      </c>
      <c r="C110" s="20" t="s">
        <v>885</v>
      </c>
      <c r="D110" s="20" t="s">
        <v>886</v>
      </c>
      <c r="E110" s="20" t="s">
        <v>887</v>
      </c>
      <c r="F110" s="21" t="s">
        <v>888</v>
      </c>
      <c r="G110" s="20" t="s">
        <v>573</v>
      </c>
      <c r="H110" s="20" t="s">
        <v>468</v>
      </c>
      <c r="I110" s="19">
        <v>46308.82708333333</v>
      </c>
      <c r="J110" s="20" t="s">
        <v>469</v>
      </c>
    </row>
    <row r="111" spans="1:10" x14ac:dyDescent="0.35">
      <c r="A111" s="20" t="s">
        <v>366</v>
      </c>
      <c r="B111" s="20" t="s">
        <v>462</v>
      </c>
      <c r="C111" s="20" t="s">
        <v>889</v>
      </c>
      <c r="D111" s="20" t="s">
        <v>890</v>
      </c>
      <c r="E111" s="20" t="s">
        <v>891</v>
      </c>
      <c r="F111" s="21" t="s">
        <v>892</v>
      </c>
      <c r="G111" s="20" t="s">
        <v>587</v>
      </c>
      <c r="H111" s="20" t="s">
        <v>468</v>
      </c>
      <c r="I111" s="19">
        <v>46308.82708333333</v>
      </c>
      <c r="J111" s="20" t="s">
        <v>469</v>
      </c>
    </row>
    <row r="112" spans="1:10" x14ac:dyDescent="0.35">
      <c r="A112" s="20" t="s">
        <v>189</v>
      </c>
      <c r="B112" s="20" t="s">
        <v>482</v>
      </c>
      <c r="C112" s="20" t="s">
        <v>483</v>
      </c>
      <c r="D112" s="20" t="s">
        <v>893</v>
      </c>
      <c r="E112" s="20" t="s">
        <v>894</v>
      </c>
      <c r="F112" s="21" t="s">
        <v>895</v>
      </c>
      <c r="G112" s="20" t="s">
        <v>480</v>
      </c>
      <c r="H112" s="20" t="s">
        <v>468</v>
      </c>
      <c r="I112" s="19">
        <v>46308.82708333333</v>
      </c>
      <c r="J112" s="20" t="s">
        <v>469</v>
      </c>
    </row>
    <row r="113" spans="1:10" x14ac:dyDescent="0.35">
      <c r="A113" s="20" t="s">
        <v>189</v>
      </c>
      <c r="B113" s="20" t="s">
        <v>482</v>
      </c>
      <c r="C113" s="20" t="s">
        <v>483</v>
      </c>
      <c r="D113" s="20" t="s">
        <v>896</v>
      </c>
      <c r="E113" s="20" t="s">
        <v>897</v>
      </c>
      <c r="F113" s="21" t="s">
        <v>898</v>
      </c>
      <c r="G113" s="20" t="s">
        <v>480</v>
      </c>
      <c r="H113" s="20" t="s">
        <v>468</v>
      </c>
      <c r="I113" s="19">
        <v>46308.82708333333</v>
      </c>
      <c r="J113" s="20" t="s">
        <v>481</v>
      </c>
    </row>
    <row r="114" spans="1:10" x14ac:dyDescent="0.35">
      <c r="A114" s="20" t="s">
        <v>216</v>
      </c>
      <c r="B114" s="20" t="s">
        <v>482</v>
      </c>
      <c r="C114" s="20" t="s">
        <v>649</v>
      </c>
      <c r="D114" s="20" t="s">
        <v>899</v>
      </c>
      <c r="E114" s="20" t="s">
        <v>900</v>
      </c>
      <c r="F114" s="21" t="s">
        <v>901</v>
      </c>
      <c r="G114" s="20" t="s">
        <v>619</v>
      </c>
      <c r="H114" s="20" t="s">
        <v>468</v>
      </c>
      <c r="I114" s="19">
        <v>46308.82708333333</v>
      </c>
      <c r="J114" s="20" t="s">
        <v>509</v>
      </c>
    </row>
    <row r="115" spans="1:10" x14ac:dyDescent="0.35">
      <c r="A115" s="20" t="s">
        <v>207</v>
      </c>
      <c r="B115" s="20" t="s">
        <v>475</v>
      </c>
      <c r="C115" s="20" t="s">
        <v>754</v>
      </c>
      <c r="D115" s="20" t="s">
        <v>902</v>
      </c>
      <c r="E115" s="20" t="s">
        <v>903</v>
      </c>
      <c r="F115" s="21" t="s">
        <v>904</v>
      </c>
      <c r="G115" s="20" t="s">
        <v>905</v>
      </c>
      <c r="H115" s="20" t="s">
        <v>906</v>
      </c>
      <c r="I115" s="19">
        <v>46308.82708333333</v>
      </c>
      <c r="J115" s="20" t="s">
        <v>469</v>
      </c>
    </row>
    <row r="116" spans="1:10" x14ac:dyDescent="0.35">
      <c r="A116" s="20" t="s">
        <v>189</v>
      </c>
      <c r="B116" s="20" t="s">
        <v>462</v>
      </c>
      <c r="C116" s="20" t="s">
        <v>497</v>
      </c>
      <c r="D116" s="20" t="s">
        <v>907</v>
      </c>
      <c r="E116" s="20" t="s">
        <v>908</v>
      </c>
      <c r="F116" s="21" t="s">
        <v>909</v>
      </c>
      <c r="G116" s="20" t="s">
        <v>480</v>
      </c>
      <c r="H116" s="20" t="s">
        <v>468</v>
      </c>
      <c r="I116" s="19">
        <v>46308.82708333333</v>
      </c>
      <c r="J116" s="20" t="s">
        <v>469</v>
      </c>
    </row>
    <row r="117" spans="1:10" x14ac:dyDescent="0.35">
      <c r="A117" s="20" t="s">
        <v>210</v>
      </c>
      <c r="B117" s="20" t="s">
        <v>475</v>
      </c>
      <c r="C117" s="20" t="s">
        <v>910</v>
      </c>
      <c r="D117" s="20" t="s">
        <v>911</v>
      </c>
      <c r="E117" s="20" t="s">
        <v>912</v>
      </c>
      <c r="F117" s="21" t="s">
        <v>913</v>
      </c>
      <c r="G117" s="20" t="s">
        <v>672</v>
      </c>
      <c r="H117" s="20" t="s">
        <v>468</v>
      </c>
      <c r="I117" s="19">
        <v>46308.82708333333</v>
      </c>
      <c r="J117" s="20" t="s">
        <v>509</v>
      </c>
    </row>
    <row r="118" spans="1:10" x14ac:dyDescent="0.35">
      <c r="A118" s="20" t="s">
        <v>216</v>
      </c>
      <c r="B118" s="20" t="s">
        <v>482</v>
      </c>
      <c r="C118" s="20" t="s">
        <v>649</v>
      </c>
      <c r="D118" s="20" t="s">
        <v>914</v>
      </c>
      <c r="E118" s="20" t="s">
        <v>915</v>
      </c>
      <c r="F118" s="21" t="s">
        <v>916</v>
      </c>
      <c r="G118" s="20" t="s">
        <v>619</v>
      </c>
      <c r="H118" s="20" t="s">
        <v>468</v>
      </c>
      <c r="I118" s="19">
        <v>46308.82708333333</v>
      </c>
      <c r="J118" s="20" t="s">
        <v>509</v>
      </c>
    </row>
    <row r="119" spans="1:10" x14ac:dyDescent="0.35">
      <c r="A119" s="20" t="s">
        <v>194</v>
      </c>
      <c r="B119" s="20" t="s">
        <v>475</v>
      </c>
      <c r="C119" s="20" t="s">
        <v>917</v>
      </c>
      <c r="D119" s="20" t="s">
        <v>918</v>
      </c>
      <c r="E119" s="20" t="s">
        <v>919</v>
      </c>
      <c r="F119" s="21" t="s">
        <v>920</v>
      </c>
      <c r="G119" s="20" t="s">
        <v>800</v>
      </c>
      <c r="H119" s="20" t="s">
        <v>468</v>
      </c>
      <c r="I119" s="19">
        <v>46308.82708333333</v>
      </c>
      <c r="J119" s="20" t="s">
        <v>469</v>
      </c>
    </row>
    <row r="120" spans="1:10" x14ac:dyDescent="0.35">
      <c r="A120" s="20" t="s">
        <v>207</v>
      </c>
      <c r="B120" s="20" t="s">
        <v>482</v>
      </c>
      <c r="C120" s="20" t="s">
        <v>921</v>
      </c>
      <c r="D120" s="20" t="s">
        <v>922</v>
      </c>
      <c r="E120" s="20" t="s">
        <v>923</v>
      </c>
      <c r="F120" s="21" t="s">
        <v>924</v>
      </c>
      <c r="G120" s="20" t="s">
        <v>592</v>
      </c>
      <c r="H120" s="20" t="s">
        <v>468</v>
      </c>
      <c r="I120" s="19">
        <v>46308.82708333333</v>
      </c>
      <c r="J120" s="20" t="s">
        <v>509</v>
      </c>
    </row>
    <row r="121" spans="1:10" x14ac:dyDescent="0.35">
      <c r="A121" s="20" t="s">
        <v>213</v>
      </c>
      <c r="B121" s="20" t="s">
        <v>482</v>
      </c>
      <c r="C121" s="20" t="s">
        <v>719</v>
      </c>
      <c r="D121" s="20" t="s">
        <v>925</v>
      </c>
      <c r="E121" s="20" t="s">
        <v>926</v>
      </c>
      <c r="F121" s="21" t="s">
        <v>927</v>
      </c>
      <c r="G121" s="20" t="s">
        <v>474</v>
      </c>
      <c r="H121" s="20" t="s">
        <v>468</v>
      </c>
      <c r="I121" s="19">
        <v>46308.82708333333</v>
      </c>
      <c r="J121" s="20" t="s">
        <v>481</v>
      </c>
    </row>
    <row r="122" spans="1:10" x14ac:dyDescent="0.35">
      <c r="A122" s="20" t="s">
        <v>189</v>
      </c>
      <c r="B122" s="20" t="s">
        <v>462</v>
      </c>
      <c r="C122" s="20" t="s">
        <v>497</v>
      </c>
      <c r="D122" s="20" t="s">
        <v>928</v>
      </c>
      <c r="E122" s="20" t="s">
        <v>929</v>
      </c>
      <c r="F122" s="21" t="s">
        <v>930</v>
      </c>
      <c r="G122" s="20" t="s">
        <v>480</v>
      </c>
      <c r="H122" s="20" t="s">
        <v>468</v>
      </c>
      <c r="I122" s="19">
        <v>46308.82708333333</v>
      </c>
      <c r="J122" s="20" t="s">
        <v>509</v>
      </c>
    </row>
    <row r="123" spans="1:10" x14ac:dyDescent="0.35">
      <c r="A123" s="20" t="s">
        <v>194</v>
      </c>
      <c r="B123" s="20" t="s">
        <v>475</v>
      </c>
      <c r="C123" s="20" t="s">
        <v>917</v>
      </c>
      <c r="D123" s="20" t="s">
        <v>931</v>
      </c>
      <c r="E123" s="20" t="s">
        <v>932</v>
      </c>
      <c r="F123" s="21" t="s">
        <v>933</v>
      </c>
      <c r="G123" s="20" t="s">
        <v>800</v>
      </c>
      <c r="H123" s="20" t="s">
        <v>468</v>
      </c>
      <c r="I123" s="19">
        <v>46308.82708333333</v>
      </c>
      <c r="J123" s="20" t="s">
        <v>509</v>
      </c>
    </row>
    <row r="124" spans="1:10" x14ac:dyDescent="0.35">
      <c r="A124" s="20" t="s">
        <v>201</v>
      </c>
      <c r="B124" s="20" t="s">
        <v>475</v>
      </c>
      <c r="C124" s="20" t="s">
        <v>533</v>
      </c>
      <c r="D124" s="20" t="s">
        <v>934</v>
      </c>
      <c r="E124" s="20" t="s">
        <v>935</v>
      </c>
      <c r="F124" s="21" t="s">
        <v>936</v>
      </c>
      <c r="G124" s="20" t="s">
        <v>537</v>
      </c>
      <c r="H124" s="20" t="s">
        <v>468</v>
      </c>
      <c r="I124" s="19">
        <v>46308.82708333333</v>
      </c>
      <c r="J124" s="20" t="s">
        <v>469</v>
      </c>
    </row>
    <row r="125" spans="1:10" x14ac:dyDescent="0.35">
      <c r="A125" s="20" t="s">
        <v>204</v>
      </c>
      <c r="B125" s="20" t="s">
        <v>462</v>
      </c>
      <c r="C125" s="20" t="s">
        <v>699</v>
      </c>
      <c r="D125" s="20" t="s">
        <v>937</v>
      </c>
      <c r="E125" s="20" t="s">
        <v>938</v>
      </c>
      <c r="F125" s="21" t="s">
        <v>939</v>
      </c>
      <c r="G125" s="20" t="s">
        <v>686</v>
      </c>
      <c r="H125" s="20" t="s">
        <v>468</v>
      </c>
      <c r="I125" s="19">
        <v>46308.82708333333</v>
      </c>
      <c r="J125" s="20" t="s">
        <v>509</v>
      </c>
    </row>
    <row r="126" spans="1:10" x14ac:dyDescent="0.35">
      <c r="A126" s="20" t="s">
        <v>222</v>
      </c>
      <c r="B126" s="20" t="s">
        <v>482</v>
      </c>
      <c r="C126" s="20" t="s">
        <v>579</v>
      </c>
      <c r="D126" s="20" t="s">
        <v>940</v>
      </c>
      <c r="E126" s="20" t="s">
        <v>941</v>
      </c>
      <c r="F126" s="21" t="s">
        <v>942</v>
      </c>
      <c r="G126" s="20" t="s">
        <v>527</v>
      </c>
      <c r="H126" s="20" t="s">
        <v>468</v>
      </c>
      <c r="I126" s="19">
        <v>46308.82708333333</v>
      </c>
      <c r="J126" s="20" t="s">
        <v>481</v>
      </c>
    </row>
    <row r="127" spans="1:10" x14ac:dyDescent="0.35">
      <c r="A127" s="20" t="s">
        <v>213</v>
      </c>
      <c r="B127" s="20" t="s">
        <v>462</v>
      </c>
      <c r="C127" s="20" t="s">
        <v>470</v>
      </c>
      <c r="D127" s="20" t="s">
        <v>943</v>
      </c>
      <c r="E127" s="20" t="s">
        <v>944</v>
      </c>
      <c r="F127" s="21" t="s">
        <v>945</v>
      </c>
      <c r="G127" s="20" t="s">
        <v>474</v>
      </c>
      <c r="H127" s="20" t="s">
        <v>468</v>
      </c>
      <c r="I127" s="19">
        <v>46308.82708333333</v>
      </c>
      <c r="J127" s="20" t="s">
        <v>469</v>
      </c>
    </row>
    <row r="128" spans="1:10" x14ac:dyDescent="0.35">
      <c r="A128" s="20" t="s">
        <v>423</v>
      </c>
      <c r="B128" s="20" t="s">
        <v>482</v>
      </c>
      <c r="C128" s="20" t="s">
        <v>946</v>
      </c>
      <c r="D128" s="20" t="s">
        <v>716</v>
      </c>
      <c r="E128" s="20" t="s">
        <v>717</v>
      </c>
      <c r="F128" s="21" t="s">
        <v>718</v>
      </c>
      <c r="G128" s="20" t="s">
        <v>947</v>
      </c>
      <c r="H128" s="20" t="s">
        <v>468</v>
      </c>
      <c r="I128" s="19">
        <v>46308.82708333333</v>
      </c>
      <c r="J128" s="20" t="s">
        <v>509</v>
      </c>
    </row>
    <row r="129" spans="1:10" x14ac:dyDescent="0.35">
      <c r="A129" s="20" t="s">
        <v>222</v>
      </c>
      <c r="B129" s="20" t="s">
        <v>482</v>
      </c>
      <c r="C129" s="20" t="s">
        <v>579</v>
      </c>
      <c r="D129" s="20" t="s">
        <v>948</v>
      </c>
      <c r="E129" s="20" t="s">
        <v>949</v>
      </c>
      <c r="F129" s="21" t="s">
        <v>950</v>
      </c>
      <c r="G129" s="20" t="s">
        <v>527</v>
      </c>
      <c r="H129" s="20" t="s">
        <v>468</v>
      </c>
      <c r="I129" s="19">
        <v>46308.82708333333</v>
      </c>
      <c r="J129" s="20" t="s">
        <v>469</v>
      </c>
    </row>
    <row r="130" spans="1:10" x14ac:dyDescent="0.35">
      <c r="A130" s="20" t="s">
        <v>411</v>
      </c>
      <c r="B130" s="20" t="s">
        <v>482</v>
      </c>
      <c r="C130" s="20" t="s">
        <v>951</v>
      </c>
      <c r="D130" s="20" t="s">
        <v>952</v>
      </c>
      <c r="E130" s="20" t="s">
        <v>953</v>
      </c>
      <c r="F130" s="21" t="s">
        <v>954</v>
      </c>
      <c r="G130" s="20" t="s">
        <v>955</v>
      </c>
      <c r="H130" s="20" t="s">
        <v>468</v>
      </c>
      <c r="I130" s="19">
        <v>46308.82708333333</v>
      </c>
      <c r="J130" s="20" t="s">
        <v>509</v>
      </c>
    </row>
    <row r="131" spans="1:10" x14ac:dyDescent="0.35">
      <c r="A131" s="20" t="s">
        <v>201</v>
      </c>
      <c r="B131" s="20" t="s">
        <v>482</v>
      </c>
      <c r="C131" s="20" t="s">
        <v>956</v>
      </c>
      <c r="D131" s="20" t="s">
        <v>957</v>
      </c>
      <c r="E131" s="20" t="s">
        <v>958</v>
      </c>
      <c r="F131" s="21" t="s">
        <v>959</v>
      </c>
      <c r="G131" s="20" t="s">
        <v>537</v>
      </c>
      <c r="H131" s="20" t="s">
        <v>468</v>
      </c>
      <c r="I131" s="19">
        <v>46308.82708333333</v>
      </c>
      <c r="J131" s="20" t="s">
        <v>469</v>
      </c>
    </row>
    <row r="132" spans="1:10" x14ac:dyDescent="0.35">
      <c r="A132" s="20" t="s">
        <v>246</v>
      </c>
      <c r="B132" s="20" t="s">
        <v>482</v>
      </c>
      <c r="C132" s="20" t="s">
        <v>960</v>
      </c>
      <c r="D132" s="20" t="s">
        <v>961</v>
      </c>
      <c r="E132" s="20" t="s">
        <v>962</v>
      </c>
      <c r="F132" s="21" t="s">
        <v>963</v>
      </c>
      <c r="G132" s="20" t="s">
        <v>964</v>
      </c>
      <c r="H132" s="20" t="s">
        <v>468</v>
      </c>
      <c r="I132" s="19">
        <v>46308.82708333333</v>
      </c>
      <c r="J132" s="20" t="s">
        <v>469</v>
      </c>
    </row>
    <row r="133" spans="1:10" x14ac:dyDescent="0.35">
      <c r="A133" s="20" t="s">
        <v>189</v>
      </c>
      <c r="B133" s="20" t="s">
        <v>475</v>
      </c>
      <c r="C133" s="20" t="s">
        <v>476</v>
      </c>
      <c r="D133" s="20" t="s">
        <v>965</v>
      </c>
      <c r="E133" s="20" t="s">
        <v>966</v>
      </c>
      <c r="F133" s="21" t="s">
        <v>967</v>
      </c>
      <c r="G133" s="20" t="s">
        <v>480</v>
      </c>
      <c r="H133" s="20" t="s">
        <v>468</v>
      </c>
      <c r="I133" s="19">
        <v>46308.82708333333</v>
      </c>
      <c r="J133" s="20" t="s">
        <v>509</v>
      </c>
    </row>
    <row r="134" spans="1:10" x14ac:dyDescent="0.35">
      <c r="A134" s="20" t="s">
        <v>243</v>
      </c>
      <c r="B134" s="20" t="s">
        <v>462</v>
      </c>
      <c r="C134" s="20" t="s">
        <v>610</v>
      </c>
      <c r="D134" s="20" t="s">
        <v>968</v>
      </c>
      <c r="E134" s="20" t="s">
        <v>969</v>
      </c>
      <c r="F134" s="21" t="s">
        <v>970</v>
      </c>
      <c r="G134" s="20" t="s">
        <v>614</v>
      </c>
      <c r="H134" s="20" t="s">
        <v>468</v>
      </c>
      <c r="I134" s="19">
        <v>46308.82708333333</v>
      </c>
      <c r="J134" s="20" t="s">
        <v>481</v>
      </c>
    </row>
    <row r="135" spans="1:10" x14ac:dyDescent="0.35">
      <c r="A135" s="20" t="s">
        <v>194</v>
      </c>
      <c r="B135" s="20" t="s">
        <v>462</v>
      </c>
      <c r="C135" s="20" t="s">
        <v>799</v>
      </c>
      <c r="D135" s="20" t="s">
        <v>971</v>
      </c>
      <c r="E135" s="20" t="s">
        <v>972</v>
      </c>
      <c r="F135" s="21" t="s">
        <v>973</v>
      </c>
      <c r="G135" s="20" t="s">
        <v>800</v>
      </c>
      <c r="H135" s="20" t="s">
        <v>468</v>
      </c>
      <c r="I135" s="19">
        <v>46308.82708333333</v>
      </c>
      <c r="J135" s="20" t="s">
        <v>509</v>
      </c>
    </row>
    <row r="136" spans="1:10" x14ac:dyDescent="0.35">
      <c r="A136" s="20" t="s">
        <v>210</v>
      </c>
      <c r="B136" s="20" t="s">
        <v>462</v>
      </c>
      <c r="C136" s="20" t="s">
        <v>668</v>
      </c>
      <c r="D136" s="20" t="s">
        <v>974</v>
      </c>
      <c r="E136" s="20" t="s">
        <v>975</v>
      </c>
      <c r="F136" s="21" t="s">
        <v>976</v>
      </c>
      <c r="G136" s="20" t="s">
        <v>672</v>
      </c>
      <c r="H136" s="20" t="s">
        <v>468</v>
      </c>
      <c r="I136" s="19">
        <v>46308.82708333333</v>
      </c>
      <c r="J136" s="20" t="s">
        <v>469</v>
      </c>
    </row>
    <row r="137" spans="1:10" x14ac:dyDescent="0.35">
      <c r="A137" s="20" t="s">
        <v>219</v>
      </c>
      <c r="B137" s="20" t="s">
        <v>475</v>
      </c>
      <c r="C137" s="20" t="s">
        <v>977</v>
      </c>
      <c r="D137" s="20" t="s">
        <v>978</v>
      </c>
      <c r="E137" s="20" t="s">
        <v>979</v>
      </c>
      <c r="F137" s="21" t="s">
        <v>980</v>
      </c>
      <c r="G137" s="20" t="s">
        <v>805</v>
      </c>
      <c r="H137" s="20" t="s">
        <v>468</v>
      </c>
      <c r="I137" s="19">
        <v>46308.82708333333</v>
      </c>
      <c r="J137" s="20" t="s">
        <v>509</v>
      </c>
    </row>
    <row r="138" spans="1:10" x14ac:dyDescent="0.35">
      <c r="A138" s="20" t="s">
        <v>342</v>
      </c>
      <c r="B138" s="20" t="s">
        <v>475</v>
      </c>
      <c r="C138" s="20" t="s">
        <v>981</v>
      </c>
      <c r="D138" s="20" t="s">
        <v>982</v>
      </c>
      <c r="E138" s="20" t="s">
        <v>983</v>
      </c>
      <c r="F138" s="21" t="s">
        <v>984</v>
      </c>
      <c r="G138" s="20" t="s">
        <v>985</v>
      </c>
      <c r="H138" s="20" t="s">
        <v>468</v>
      </c>
      <c r="I138" s="19">
        <v>46308.830555555563</v>
      </c>
      <c r="J138" s="20" t="s">
        <v>509</v>
      </c>
    </row>
    <row r="139" spans="1:10" x14ac:dyDescent="0.35">
      <c r="A139" s="20" t="s">
        <v>393</v>
      </c>
      <c r="B139" s="20" t="s">
        <v>482</v>
      </c>
      <c r="C139" s="20" t="s">
        <v>986</v>
      </c>
      <c r="D139" s="20" t="s">
        <v>987</v>
      </c>
      <c r="E139" s="20" t="s">
        <v>988</v>
      </c>
      <c r="F139" s="21" t="s">
        <v>989</v>
      </c>
      <c r="G139" s="20" t="s">
        <v>990</v>
      </c>
      <c r="H139" s="20" t="s">
        <v>468</v>
      </c>
      <c r="I139" s="19">
        <v>46308.82708333333</v>
      </c>
      <c r="J139" s="20" t="s">
        <v>469</v>
      </c>
    </row>
    <row r="140" spans="1:10" x14ac:dyDescent="0.35">
      <c r="A140" s="20" t="s">
        <v>194</v>
      </c>
      <c r="B140" s="20" t="s">
        <v>482</v>
      </c>
      <c r="C140" s="20" t="s">
        <v>991</v>
      </c>
      <c r="D140" s="20" t="s">
        <v>992</v>
      </c>
      <c r="E140" s="20" t="s">
        <v>993</v>
      </c>
      <c r="F140" s="21" t="s">
        <v>994</v>
      </c>
      <c r="G140" s="20" t="s">
        <v>800</v>
      </c>
      <c r="H140" s="20" t="s">
        <v>468</v>
      </c>
      <c r="I140" s="19">
        <v>46308.82708333333</v>
      </c>
      <c r="J140" s="20" t="s">
        <v>509</v>
      </c>
    </row>
    <row r="141" spans="1:10" x14ac:dyDescent="0.35">
      <c r="A141" s="20" t="s">
        <v>189</v>
      </c>
      <c r="B141" s="20" t="s">
        <v>462</v>
      </c>
      <c r="C141" s="20" t="s">
        <v>497</v>
      </c>
      <c r="D141" s="20" t="s">
        <v>872</v>
      </c>
      <c r="E141" s="20" t="s">
        <v>873</v>
      </c>
      <c r="F141" s="21" t="s">
        <v>874</v>
      </c>
      <c r="G141" s="20" t="s">
        <v>480</v>
      </c>
      <c r="H141" s="20" t="s">
        <v>468</v>
      </c>
      <c r="I141" s="19">
        <v>46308.82708333333</v>
      </c>
      <c r="J141" s="20" t="s">
        <v>469</v>
      </c>
    </row>
    <row r="142" spans="1:10" x14ac:dyDescent="0.35">
      <c r="A142" s="20" t="s">
        <v>194</v>
      </c>
      <c r="B142" s="20" t="s">
        <v>482</v>
      </c>
      <c r="C142" s="20" t="s">
        <v>991</v>
      </c>
      <c r="D142" s="20" t="s">
        <v>995</v>
      </c>
      <c r="E142" s="20" t="s">
        <v>996</v>
      </c>
      <c r="F142" s="21" t="s">
        <v>997</v>
      </c>
      <c r="G142" s="20" t="s">
        <v>800</v>
      </c>
      <c r="H142" s="20" t="s">
        <v>468</v>
      </c>
      <c r="I142" s="19">
        <v>46308.82708333333</v>
      </c>
      <c r="J142" s="20" t="s">
        <v>509</v>
      </c>
    </row>
    <row r="143" spans="1:10" x14ac:dyDescent="0.35">
      <c r="A143" s="20" t="s">
        <v>189</v>
      </c>
      <c r="B143" s="20" t="s">
        <v>482</v>
      </c>
      <c r="C143" s="20" t="s">
        <v>483</v>
      </c>
      <c r="D143" s="20" t="s">
        <v>998</v>
      </c>
      <c r="E143" s="20" t="s">
        <v>999</v>
      </c>
      <c r="F143" s="21" t="s">
        <v>1000</v>
      </c>
      <c r="G143" s="20" t="s">
        <v>480</v>
      </c>
      <c r="H143" s="20" t="s">
        <v>468</v>
      </c>
      <c r="I143" s="19">
        <v>46308.82708333333</v>
      </c>
      <c r="J143" s="20" t="s">
        <v>509</v>
      </c>
    </row>
    <row r="144" spans="1:10" x14ac:dyDescent="0.35">
      <c r="A144" s="20" t="s">
        <v>194</v>
      </c>
      <c r="B144" s="20" t="s">
        <v>462</v>
      </c>
      <c r="C144" s="20" t="s">
        <v>799</v>
      </c>
      <c r="D144" s="20" t="s">
        <v>1001</v>
      </c>
      <c r="E144" s="20" t="s">
        <v>1002</v>
      </c>
      <c r="F144" s="21" t="s">
        <v>1003</v>
      </c>
      <c r="G144" s="20" t="s">
        <v>800</v>
      </c>
      <c r="H144" s="20" t="s">
        <v>468</v>
      </c>
      <c r="I144" s="19">
        <v>46308.82708333333</v>
      </c>
      <c r="J144" s="20" t="s">
        <v>469</v>
      </c>
    </row>
    <row r="145" spans="1:10" x14ac:dyDescent="0.35">
      <c r="A145" s="20" t="s">
        <v>189</v>
      </c>
      <c r="B145" s="20" t="s">
        <v>475</v>
      </c>
      <c r="C145" s="20" t="s">
        <v>476</v>
      </c>
      <c r="D145" s="20" t="s">
        <v>788</v>
      </c>
      <c r="E145" s="20" t="s">
        <v>789</v>
      </c>
      <c r="F145" s="21" t="s">
        <v>790</v>
      </c>
      <c r="G145" s="20" t="s">
        <v>480</v>
      </c>
      <c r="H145" s="20" t="s">
        <v>468</v>
      </c>
      <c r="I145" s="19">
        <v>46308.82708333333</v>
      </c>
      <c r="J145" s="20" t="s">
        <v>469</v>
      </c>
    </row>
    <row r="146" spans="1:10" x14ac:dyDescent="0.35">
      <c r="A146" s="20" t="s">
        <v>197</v>
      </c>
      <c r="B146" s="20" t="s">
        <v>462</v>
      </c>
      <c r="C146" s="20" t="s">
        <v>560</v>
      </c>
      <c r="D146" s="20" t="s">
        <v>1004</v>
      </c>
      <c r="E146" s="20" t="s">
        <v>1005</v>
      </c>
      <c r="F146" s="21" t="s">
        <v>1006</v>
      </c>
      <c r="G146" s="20" t="s">
        <v>549</v>
      </c>
      <c r="H146" s="20" t="s">
        <v>468</v>
      </c>
      <c r="I146" s="19">
        <v>46308.82708333333</v>
      </c>
      <c r="J146" s="20" t="s">
        <v>481</v>
      </c>
    </row>
    <row r="147" spans="1:10" x14ac:dyDescent="0.35">
      <c r="A147" s="20" t="s">
        <v>270</v>
      </c>
      <c r="B147" s="20" t="s">
        <v>482</v>
      </c>
      <c r="C147" s="20" t="s">
        <v>605</v>
      </c>
      <c r="D147" s="20" t="s">
        <v>1007</v>
      </c>
      <c r="E147" s="20" t="s">
        <v>1008</v>
      </c>
      <c r="F147" s="21" t="s">
        <v>1009</v>
      </c>
      <c r="G147" s="20" t="s">
        <v>609</v>
      </c>
      <c r="H147" s="20" t="s">
        <v>468</v>
      </c>
      <c r="I147" s="19">
        <v>46308.82708333333</v>
      </c>
      <c r="J147" s="20" t="s">
        <v>469</v>
      </c>
    </row>
    <row r="148" spans="1:10" x14ac:dyDescent="0.35">
      <c r="A148" s="20" t="s">
        <v>194</v>
      </c>
      <c r="B148" s="20" t="s">
        <v>462</v>
      </c>
      <c r="C148" s="20" t="s">
        <v>799</v>
      </c>
      <c r="D148" s="20" t="s">
        <v>1010</v>
      </c>
      <c r="E148" s="20" t="s">
        <v>1011</v>
      </c>
      <c r="F148" s="21" t="s">
        <v>1012</v>
      </c>
      <c r="G148" s="20" t="s">
        <v>800</v>
      </c>
      <c r="H148" s="20" t="s">
        <v>468</v>
      </c>
      <c r="I148" s="19">
        <v>46308.82708333333</v>
      </c>
      <c r="J148" s="20" t="s">
        <v>509</v>
      </c>
    </row>
    <row r="149" spans="1:10" x14ac:dyDescent="0.35">
      <c r="A149" s="20" t="s">
        <v>189</v>
      </c>
      <c r="B149" s="20" t="s">
        <v>462</v>
      </c>
      <c r="C149" s="20" t="s">
        <v>497</v>
      </c>
      <c r="D149" s="20" t="s">
        <v>1013</v>
      </c>
      <c r="E149" s="20" t="s">
        <v>1014</v>
      </c>
      <c r="F149" s="21" t="s">
        <v>1015</v>
      </c>
      <c r="G149" s="20" t="s">
        <v>480</v>
      </c>
      <c r="H149" s="20" t="s">
        <v>468</v>
      </c>
      <c r="I149" s="19">
        <v>46308.82708333333</v>
      </c>
      <c r="J149" s="20" t="s">
        <v>469</v>
      </c>
    </row>
    <row r="150" spans="1:10" x14ac:dyDescent="0.35">
      <c r="A150" s="20" t="s">
        <v>189</v>
      </c>
      <c r="B150" s="20" t="s">
        <v>462</v>
      </c>
      <c r="C150" s="20" t="s">
        <v>497</v>
      </c>
      <c r="D150" s="20" t="s">
        <v>1016</v>
      </c>
      <c r="E150" s="20" t="s">
        <v>1017</v>
      </c>
      <c r="F150" s="21" t="s">
        <v>1018</v>
      </c>
      <c r="G150" s="20" t="s">
        <v>480</v>
      </c>
      <c r="H150" s="20" t="s">
        <v>468</v>
      </c>
      <c r="I150" s="19">
        <v>46308.82708333333</v>
      </c>
      <c r="J150" s="20" t="s">
        <v>469</v>
      </c>
    </row>
    <row r="151" spans="1:10" x14ac:dyDescent="0.35">
      <c r="A151" s="20" t="s">
        <v>189</v>
      </c>
      <c r="B151" s="20" t="s">
        <v>482</v>
      </c>
      <c r="C151" s="20" t="s">
        <v>483</v>
      </c>
      <c r="D151" s="20" t="s">
        <v>1019</v>
      </c>
      <c r="E151" s="20" t="s">
        <v>1020</v>
      </c>
      <c r="F151" s="21" t="s">
        <v>1021</v>
      </c>
      <c r="G151" s="20" t="s">
        <v>480</v>
      </c>
      <c r="H151" s="20" t="s">
        <v>468</v>
      </c>
      <c r="I151" s="19">
        <v>46308.82708333333</v>
      </c>
      <c r="J151" s="20" t="s">
        <v>509</v>
      </c>
    </row>
    <row r="152" spans="1:10" x14ac:dyDescent="0.35">
      <c r="A152" s="20" t="s">
        <v>189</v>
      </c>
      <c r="B152" s="20" t="s">
        <v>462</v>
      </c>
      <c r="C152" s="20" t="s">
        <v>497</v>
      </c>
      <c r="D152" s="20" t="s">
        <v>1022</v>
      </c>
      <c r="E152" s="20" t="s">
        <v>1023</v>
      </c>
      <c r="F152" s="21" t="s">
        <v>1024</v>
      </c>
      <c r="G152" s="20" t="s">
        <v>480</v>
      </c>
      <c r="H152" s="20" t="s">
        <v>468</v>
      </c>
      <c r="I152" s="19">
        <v>46308.82708333333</v>
      </c>
      <c r="J152" s="20" t="s">
        <v>469</v>
      </c>
    </row>
    <row r="153" spans="1:10" x14ac:dyDescent="0.35">
      <c r="A153" s="20" t="s">
        <v>387</v>
      </c>
      <c r="B153" s="20" t="s">
        <v>482</v>
      </c>
      <c r="C153" s="20" t="s">
        <v>1025</v>
      </c>
      <c r="D153" s="20" t="s">
        <v>1026</v>
      </c>
      <c r="E153" s="20" t="s">
        <v>1027</v>
      </c>
      <c r="F153" s="21" t="s">
        <v>1028</v>
      </c>
      <c r="G153" s="20" t="s">
        <v>1029</v>
      </c>
      <c r="H153" s="20" t="s">
        <v>468</v>
      </c>
      <c r="I153" s="19">
        <v>46308.82708333333</v>
      </c>
      <c r="J153" s="20" t="s">
        <v>481</v>
      </c>
    </row>
    <row r="154" spans="1:10" x14ac:dyDescent="0.35">
      <c r="A154" s="20" t="s">
        <v>336</v>
      </c>
      <c r="B154" s="20" t="s">
        <v>462</v>
      </c>
      <c r="C154" s="20" t="s">
        <v>1030</v>
      </c>
      <c r="D154" s="20" t="s">
        <v>1031</v>
      </c>
      <c r="E154" s="20" t="s">
        <v>1032</v>
      </c>
      <c r="F154" s="21" t="s">
        <v>1033</v>
      </c>
      <c r="G154" s="20" t="s">
        <v>739</v>
      </c>
      <c r="H154" s="20" t="s">
        <v>468</v>
      </c>
      <c r="I154" s="19">
        <v>46308.82708333333</v>
      </c>
      <c r="J154" s="20" t="s">
        <v>481</v>
      </c>
    </row>
    <row r="155" spans="1:10" x14ac:dyDescent="0.35">
      <c r="A155" s="20" t="s">
        <v>207</v>
      </c>
      <c r="B155" s="20" t="s">
        <v>475</v>
      </c>
      <c r="C155" s="20" t="s">
        <v>754</v>
      </c>
      <c r="D155" s="20" t="s">
        <v>1034</v>
      </c>
      <c r="E155" s="20" t="s">
        <v>1035</v>
      </c>
      <c r="F155" s="21" t="s">
        <v>1036</v>
      </c>
      <c r="G155" s="20" t="s">
        <v>592</v>
      </c>
      <c r="H155" s="20" t="s">
        <v>468</v>
      </c>
      <c r="I155" s="19">
        <v>46308.82708333333</v>
      </c>
      <c r="J155" s="20" t="s">
        <v>509</v>
      </c>
    </row>
    <row r="156" spans="1:10" x14ac:dyDescent="0.35">
      <c r="A156" s="20" t="s">
        <v>204</v>
      </c>
      <c r="B156" s="20" t="s">
        <v>482</v>
      </c>
      <c r="C156" s="20" t="s">
        <v>682</v>
      </c>
      <c r="D156" s="20" t="s">
        <v>1037</v>
      </c>
      <c r="E156" s="20" t="s">
        <v>1038</v>
      </c>
      <c r="F156" s="21" t="s">
        <v>1039</v>
      </c>
      <c r="G156" s="20" t="s">
        <v>686</v>
      </c>
      <c r="H156" s="20" t="s">
        <v>468</v>
      </c>
      <c r="I156" s="19">
        <v>46308.82708333333</v>
      </c>
      <c r="J156" s="20" t="s">
        <v>469</v>
      </c>
    </row>
    <row r="157" spans="1:10" x14ac:dyDescent="0.35">
      <c r="A157" s="20" t="s">
        <v>194</v>
      </c>
      <c r="B157" s="20" t="s">
        <v>475</v>
      </c>
      <c r="C157" s="20" t="s">
        <v>917</v>
      </c>
      <c r="D157" s="20" t="s">
        <v>918</v>
      </c>
      <c r="E157" s="20" t="s">
        <v>919</v>
      </c>
      <c r="F157" s="21" t="s">
        <v>920</v>
      </c>
      <c r="G157" s="20" t="s">
        <v>800</v>
      </c>
      <c r="H157" s="20" t="s">
        <v>468</v>
      </c>
      <c r="I157" s="19">
        <v>46308.827777777777</v>
      </c>
      <c r="J157" s="20" t="s">
        <v>469</v>
      </c>
    </row>
    <row r="158" spans="1:10" x14ac:dyDescent="0.35">
      <c r="A158" s="20" t="s">
        <v>360</v>
      </c>
      <c r="B158" s="20" t="s">
        <v>462</v>
      </c>
      <c r="C158" s="20" t="s">
        <v>1040</v>
      </c>
      <c r="D158" s="20" t="s">
        <v>886</v>
      </c>
      <c r="E158" s="20" t="s">
        <v>887</v>
      </c>
      <c r="F158" s="21" t="s">
        <v>888</v>
      </c>
      <c r="G158" s="20" t="s">
        <v>1041</v>
      </c>
      <c r="H158" s="20" t="s">
        <v>468</v>
      </c>
      <c r="I158" s="19">
        <v>46308.82708333333</v>
      </c>
      <c r="J158" s="20" t="s">
        <v>469</v>
      </c>
    </row>
    <row r="159" spans="1:10" x14ac:dyDescent="0.35">
      <c r="A159" s="20" t="s">
        <v>321</v>
      </c>
      <c r="B159" s="20" t="s">
        <v>462</v>
      </c>
      <c r="C159" s="20" t="s">
        <v>1042</v>
      </c>
      <c r="D159" s="20" t="s">
        <v>1043</v>
      </c>
      <c r="E159" s="20" t="s">
        <v>1044</v>
      </c>
      <c r="F159" s="21" t="s">
        <v>1045</v>
      </c>
      <c r="G159" s="20" t="s">
        <v>1046</v>
      </c>
      <c r="H159" s="20" t="s">
        <v>468</v>
      </c>
      <c r="I159" s="19">
        <v>46308.82708333333</v>
      </c>
      <c r="J159" s="20" t="s">
        <v>469</v>
      </c>
    </row>
    <row r="160" spans="1:10" x14ac:dyDescent="0.35">
      <c r="A160" s="20" t="s">
        <v>207</v>
      </c>
      <c r="B160" s="20" t="s">
        <v>475</v>
      </c>
      <c r="C160" s="20" t="s">
        <v>754</v>
      </c>
      <c r="D160" s="20" t="s">
        <v>1047</v>
      </c>
      <c r="E160" s="20" t="s">
        <v>1048</v>
      </c>
      <c r="F160" s="21" t="s">
        <v>1049</v>
      </c>
      <c r="G160" s="20" t="s">
        <v>592</v>
      </c>
      <c r="H160" s="20" t="s">
        <v>468</v>
      </c>
      <c r="I160" s="19">
        <v>46308.82708333333</v>
      </c>
      <c r="J160" s="20" t="s">
        <v>509</v>
      </c>
    </row>
    <row r="161" spans="1:10" x14ac:dyDescent="0.35">
      <c r="A161" s="20" t="s">
        <v>197</v>
      </c>
      <c r="B161" s="20" t="s">
        <v>462</v>
      </c>
      <c r="C161" s="20" t="s">
        <v>560</v>
      </c>
      <c r="D161" s="20" t="s">
        <v>1050</v>
      </c>
      <c r="E161" s="20" t="s">
        <v>1051</v>
      </c>
      <c r="F161" s="21" t="s">
        <v>1052</v>
      </c>
      <c r="G161" s="20" t="s">
        <v>549</v>
      </c>
      <c r="H161" s="20" t="s">
        <v>468</v>
      </c>
      <c r="I161" s="19">
        <v>46308.82708333333</v>
      </c>
      <c r="J161" s="20" t="s">
        <v>509</v>
      </c>
    </row>
    <row r="162" spans="1:10" x14ac:dyDescent="0.35">
      <c r="A162" s="20" t="s">
        <v>197</v>
      </c>
      <c r="B162" s="20" t="s">
        <v>462</v>
      </c>
      <c r="C162" s="20" t="s">
        <v>560</v>
      </c>
      <c r="D162" s="20" t="s">
        <v>1053</v>
      </c>
      <c r="E162" s="20" t="s">
        <v>1054</v>
      </c>
      <c r="F162" s="21" t="s">
        <v>1055</v>
      </c>
      <c r="G162" s="20" t="s">
        <v>549</v>
      </c>
      <c r="H162" s="20" t="s">
        <v>468</v>
      </c>
      <c r="I162" s="19">
        <v>46308.82708333333</v>
      </c>
      <c r="J162" s="20" t="s">
        <v>481</v>
      </c>
    </row>
    <row r="163" spans="1:10" x14ac:dyDescent="0.35">
      <c r="A163" s="20" t="s">
        <v>197</v>
      </c>
      <c r="B163" s="20" t="s">
        <v>475</v>
      </c>
      <c r="C163" s="20" t="s">
        <v>545</v>
      </c>
      <c r="D163" s="20" t="s">
        <v>925</v>
      </c>
      <c r="E163" s="20" t="s">
        <v>926</v>
      </c>
      <c r="F163" s="21" t="s">
        <v>927</v>
      </c>
      <c r="G163" s="20" t="s">
        <v>549</v>
      </c>
      <c r="H163" s="20" t="s">
        <v>468</v>
      </c>
      <c r="I163" s="19">
        <v>46308.82708333333</v>
      </c>
      <c r="J163" s="20" t="s">
        <v>481</v>
      </c>
    </row>
    <row r="164" spans="1:10" x14ac:dyDescent="0.35">
      <c r="A164" s="20" t="s">
        <v>204</v>
      </c>
      <c r="B164" s="20" t="s">
        <v>462</v>
      </c>
      <c r="C164" s="20" t="s">
        <v>699</v>
      </c>
      <c r="D164" s="20" t="s">
        <v>1056</v>
      </c>
      <c r="E164" s="20" t="s">
        <v>1057</v>
      </c>
      <c r="F164" s="21" t="s">
        <v>1058</v>
      </c>
      <c r="G164" s="20" t="s">
        <v>686</v>
      </c>
      <c r="H164" s="20" t="s">
        <v>468</v>
      </c>
      <c r="I164" s="19">
        <v>46308.82708333333</v>
      </c>
      <c r="J164" s="20" t="s">
        <v>481</v>
      </c>
    </row>
    <row r="165" spans="1:10" x14ac:dyDescent="0.35">
      <c r="A165" s="20" t="s">
        <v>213</v>
      </c>
      <c r="B165" s="20" t="s">
        <v>462</v>
      </c>
      <c r="C165" s="20" t="s">
        <v>470</v>
      </c>
      <c r="D165" s="20" t="s">
        <v>1059</v>
      </c>
      <c r="E165" s="20" t="s">
        <v>1060</v>
      </c>
      <c r="F165" s="21" t="s">
        <v>1061</v>
      </c>
      <c r="G165" s="20" t="s">
        <v>474</v>
      </c>
      <c r="H165" s="20" t="s">
        <v>468</v>
      </c>
      <c r="I165" s="19">
        <v>46308.82708333333</v>
      </c>
      <c r="J165" s="20" t="s">
        <v>481</v>
      </c>
    </row>
    <row r="166" spans="1:10" x14ac:dyDescent="0.35">
      <c r="A166" s="20" t="s">
        <v>189</v>
      </c>
      <c r="B166" s="20" t="s">
        <v>475</v>
      </c>
      <c r="C166" s="20" t="s">
        <v>476</v>
      </c>
      <c r="D166" s="20" t="s">
        <v>1062</v>
      </c>
      <c r="E166" s="20" t="s">
        <v>1063</v>
      </c>
      <c r="F166" s="21" t="s">
        <v>1064</v>
      </c>
      <c r="G166" s="20" t="s">
        <v>480</v>
      </c>
      <c r="H166" s="20" t="s">
        <v>468</v>
      </c>
      <c r="I166" s="19">
        <v>46308.82708333333</v>
      </c>
      <c r="J166" s="20" t="s">
        <v>509</v>
      </c>
    </row>
    <row r="167" spans="1:10" x14ac:dyDescent="0.35">
      <c r="A167" s="20" t="s">
        <v>255</v>
      </c>
      <c r="B167" s="20" t="s">
        <v>482</v>
      </c>
      <c r="C167" s="20" t="s">
        <v>1065</v>
      </c>
      <c r="D167" s="20" t="s">
        <v>1066</v>
      </c>
      <c r="E167" s="20" t="s">
        <v>1067</v>
      </c>
      <c r="F167" s="21" t="s">
        <v>1068</v>
      </c>
      <c r="G167" s="20" t="s">
        <v>1069</v>
      </c>
      <c r="H167" s="20" t="s">
        <v>468</v>
      </c>
      <c r="I167" s="19">
        <v>46308.82708333333</v>
      </c>
      <c r="J167" s="20" t="s">
        <v>469</v>
      </c>
    </row>
    <row r="168" spans="1:10" x14ac:dyDescent="0.35">
      <c r="A168" s="20" t="s">
        <v>450</v>
      </c>
      <c r="B168" s="20" t="s">
        <v>462</v>
      </c>
      <c r="C168" s="20" t="s">
        <v>1070</v>
      </c>
      <c r="D168" s="20" t="s">
        <v>1071</v>
      </c>
      <c r="E168" s="20" t="s">
        <v>1072</v>
      </c>
      <c r="F168" s="21" t="s">
        <v>1073</v>
      </c>
      <c r="G168" s="20" t="s">
        <v>1074</v>
      </c>
      <c r="H168" s="20" t="s">
        <v>468</v>
      </c>
      <c r="I168" s="19">
        <v>46308.82708333333</v>
      </c>
      <c r="J168" s="20" t="s">
        <v>481</v>
      </c>
    </row>
    <row r="169" spans="1:10" x14ac:dyDescent="0.35">
      <c r="A169" s="20" t="s">
        <v>240</v>
      </c>
      <c r="B169" s="20" t="s">
        <v>462</v>
      </c>
      <c r="C169" s="20" t="s">
        <v>569</v>
      </c>
      <c r="D169" s="20" t="s">
        <v>1075</v>
      </c>
      <c r="E169" s="20" t="s">
        <v>1076</v>
      </c>
      <c r="F169" s="21" t="s">
        <v>1077</v>
      </c>
      <c r="G169" s="20" t="s">
        <v>573</v>
      </c>
      <c r="H169" s="20" t="s">
        <v>468</v>
      </c>
      <c r="I169" s="19">
        <v>46308.82708333333</v>
      </c>
      <c r="J169" s="20" t="s">
        <v>481</v>
      </c>
    </row>
    <row r="170" spans="1:10" x14ac:dyDescent="0.35">
      <c r="A170" s="20" t="s">
        <v>194</v>
      </c>
      <c r="B170" s="20" t="s">
        <v>482</v>
      </c>
      <c r="C170" s="20" t="s">
        <v>991</v>
      </c>
      <c r="D170" s="20" t="s">
        <v>1078</v>
      </c>
      <c r="E170" s="20" t="s">
        <v>1079</v>
      </c>
      <c r="F170" s="21" t="s">
        <v>1080</v>
      </c>
      <c r="G170" s="20" t="s">
        <v>800</v>
      </c>
      <c r="H170" s="20" t="s">
        <v>468</v>
      </c>
      <c r="I170" s="19">
        <v>46308.82708333333</v>
      </c>
      <c r="J170" s="20" t="s">
        <v>509</v>
      </c>
    </row>
    <row r="171" spans="1:10" x14ac:dyDescent="0.35">
      <c r="A171" s="20" t="s">
        <v>194</v>
      </c>
      <c r="B171" s="20" t="s">
        <v>475</v>
      </c>
      <c r="C171" s="20" t="s">
        <v>917</v>
      </c>
      <c r="D171" s="20" t="s">
        <v>957</v>
      </c>
      <c r="E171" s="20" t="s">
        <v>958</v>
      </c>
      <c r="F171" s="21" t="s">
        <v>959</v>
      </c>
      <c r="G171" s="20" t="s">
        <v>800</v>
      </c>
      <c r="H171" s="20" t="s">
        <v>468</v>
      </c>
      <c r="I171" s="19">
        <v>46308.82708333333</v>
      </c>
      <c r="J171" s="20" t="s">
        <v>469</v>
      </c>
    </row>
    <row r="172" spans="1:10" x14ac:dyDescent="0.35">
      <c r="A172" s="20" t="s">
        <v>189</v>
      </c>
      <c r="B172" s="20" t="s">
        <v>462</v>
      </c>
      <c r="C172" s="20" t="s">
        <v>497</v>
      </c>
      <c r="D172" s="20" t="s">
        <v>1081</v>
      </c>
      <c r="E172" s="20" t="s">
        <v>1082</v>
      </c>
      <c r="F172" s="21" t="s">
        <v>1083</v>
      </c>
      <c r="G172" s="20" t="s">
        <v>480</v>
      </c>
      <c r="H172" s="20" t="s">
        <v>468</v>
      </c>
      <c r="I172" s="19">
        <v>46308.82708333333</v>
      </c>
      <c r="J172" s="20" t="s">
        <v>509</v>
      </c>
    </row>
    <row r="173" spans="1:10" x14ac:dyDescent="0.35">
      <c r="A173" s="20" t="s">
        <v>189</v>
      </c>
      <c r="B173" s="20" t="s">
        <v>482</v>
      </c>
      <c r="C173" s="20" t="s">
        <v>483</v>
      </c>
      <c r="D173" s="20" t="s">
        <v>1084</v>
      </c>
      <c r="E173" s="20" t="s">
        <v>1085</v>
      </c>
      <c r="F173" s="21" t="s">
        <v>1086</v>
      </c>
      <c r="G173" s="20" t="s">
        <v>480</v>
      </c>
      <c r="H173" s="20" t="s">
        <v>468</v>
      </c>
      <c r="I173" s="19">
        <v>46308.82708333333</v>
      </c>
      <c r="J173" s="20" t="s">
        <v>481</v>
      </c>
    </row>
    <row r="174" spans="1:10" x14ac:dyDescent="0.35">
      <c r="A174" s="20" t="s">
        <v>399</v>
      </c>
      <c r="B174" s="20" t="s">
        <v>475</v>
      </c>
      <c r="C174" s="20" t="s">
        <v>1087</v>
      </c>
      <c r="D174" s="20" t="s">
        <v>1088</v>
      </c>
      <c r="E174" s="20" t="s">
        <v>1089</v>
      </c>
      <c r="F174" s="21" t="s">
        <v>1090</v>
      </c>
      <c r="G174" s="20" t="s">
        <v>1091</v>
      </c>
      <c r="H174" s="20" t="s">
        <v>468</v>
      </c>
      <c r="I174" s="19">
        <v>46308.82708333333</v>
      </c>
      <c r="J174" s="20" t="s">
        <v>509</v>
      </c>
    </row>
    <row r="175" spans="1:10" x14ac:dyDescent="0.35">
      <c r="A175" s="20" t="s">
        <v>357</v>
      </c>
      <c r="B175" s="20" t="s">
        <v>475</v>
      </c>
      <c r="C175" s="20" t="s">
        <v>1092</v>
      </c>
      <c r="D175" s="20" t="s">
        <v>1093</v>
      </c>
      <c r="E175" s="20" t="s">
        <v>1094</v>
      </c>
      <c r="F175" s="21" t="s">
        <v>1095</v>
      </c>
      <c r="G175" s="20" t="s">
        <v>1096</v>
      </c>
      <c r="H175" s="20" t="s">
        <v>468</v>
      </c>
      <c r="I175" s="19">
        <v>46308.82708333333</v>
      </c>
      <c r="J175" s="20" t="s">
        <v>481</v>
      </c>
    </row>
    <row r="176" spans="1:10" x14ac:dyDescent="0.35">
      <c r="A176" s="20" t="s">
        <v>194</v>
      </c>
      <c r="B176" s="20" t="s">
        <v>462</v>
      </c>
      <c r="C176" s="20" t="s">
        <v>799</v>
      </c>
      <c r="D176" s="20" t="s">
        <v>570</v>
      </c>
      <c r="E176" s="20" t="s">
        <v>571</v>
      </c>
      <c r="F176" s="21" t="s">
        <v>572</v>
      </c>
      <c r="G176" s="20" t="s">
        <v>800</v>
      </c>
      <c r="H176" s="20" t="s">
        <v>468</v>
      </c>
      <c r="I176" s="19">
        <v>46308.82708333333</v>
      </c>
      <c r="J176" s="20" t="s">
        <v>481</v>
      </c>
    </row>
    <row r="177" spans="1:10" x14ac:dyDescent="0.35">
      <c r="A177" s="20" t="s">
        <v>363</v>
      </c>
      <c r="B177" s="20" t="s">
        <v>462</v>
      </c>
      <c r="C177" s="20" t="s">
        <v>1097</v>
      </c>
      <c r="D177" s="20" t="s">
        <v>1098</v>
      </c>
      <c r="E177" s="20" t="s">
        <v>1099</v>
      </c>
      <c r="F177" s="21" t="s">
        <v>1100</v>
      </c>
      <c r="G177" s="20" t="s">
        <v>1101</v>
      </c>
      <c r="H177" s="20" t="s">
        <v>634</v>
      </c>
      <c r="I177" s="19">
        <v>46308.82708333333</v>
      </c>
      <c r="J177" s="20" t="s">
        <v>469</v>
      </c>
    </row>
    <row r="178" spans="1:10" x14ac:dyDescent="0.35">
      <c r="A178" s="20" t="s">
        <v>207</v>
      </c>
      <c r="B178" s="20" t="s">
        <v>475</v>
      </c>
      <c r="C178" s="20" t="s">
        <v>754</v>
      </c>
      <c r="D178" s="20" t="s">
        <v>1102</v>
      </c>
      <c r="E178" s="20" t="s">
        <v>1103</v>
      </c>
      <c r="F178" s="21" t="s">
        <v>1104</v>
      </c>
      <c r="G178" s="20" t="s">
        <v>592</v>
      </c>
      <c r="H178" s="20" t="s">
        <v>468</v>
      </c>
      <c r="I178" s="19">
        <v>46308.82708333333</v>
      </c>
      <c r="J178" s="20" t="s">
        <v>469</v>
      </c>
    </row>
    <row r="179" spans="1:10" x14ac:dyDescent="0.35">
      <c r="A179" s="20" t="s">
        <v>189</v>
      </c>
      <c r="B179" s="20" t="s">
        <v>462</v>
      </c>
      <c r="C179" s="20" t="s">
        <v>497</v>
      </c>
      <c r="D179" s="20" t="s">
        <v>1105</v>
      </c>
      <c r="E179" s="20" t="s">
        <v>1106</v>
      </c>
      <c r="F179" s="21" t="s">
        <v>1107</v>
      </c>
      <c r="G179" s="20" t="s">
        <v>480</v>
      </c>
      <c r="H179" s="20" t="s">
        <v>468</v>
      </c>
      <c r="I179" s="19">
        <v>46308.82708333333</v>
      </c>
      <c r="J179" s="20" t="s">
        <v>469</v>
      </c>
    </row>
    <row r="180" spans="1:10" x14ac:dyDescent="0.35">
      <c r="A180" s="20" t="s">
        <v>216</v>
      </c>
      <c r="B180" s="20" t="s">
        <v>462</v>
      </c>
      <c r="C180" s="20" t="s">
        <v>615</v>
      </c>
      <c r="D180" s="20" t="s">
        <v>1108</v>
      </c>
      <c r="E180" s="20" t="s">
        <v>1109</v>
      </c>
      <c r="F180" s="21" t="s">
        <v>1110</v>
      </c>
      <c r="G180" s="20" t="s">
        <v>619</v>
      </c>
      <c r="H180" s="20" t="s">
        <v>468</v>
      </c>
      <c r="I180" s="19">
        <v>46308.82916666667</v>
      </c>
      <c r="J180" s="20" t="s">
        <v>481</v>
      </c>
    </row>
    <row r="181" spans="1:10" x14ac:dyDescent="0.35">
      <c r="A181" s="20" t="s">
        <v>197</v>
      </c>
      <c r="B181" s="20" t="s">
        <v>475</v>
      </c>
      <c r="C181" s="20" t="s">
        <v>545</v>
      </c>
      <c r="D181" s="20" t="s">
        <v>1111</v>
      </c>
      <c r="E181" s="20" t="s">
        <v>1112</v>
      </c>
      <c r="F181" s="21" t="s">
        <v>1113</v>
      </c>
      <c r="G181" s="20" t="s">
        <v>549</v>
      </c>
      <c r="H181" s="20" t="s">
        <v>468</v>
      </c>
      <c r="I181" s="19">
        <v>46308.82708333333</v>
      </c>
      <c r="J181" s="20" t="s">
        <v>469</v>
      </c>
    </row>
    <row r="182" spans="1:10" x14ac:dyDescent="0.35">
      <c r="A182" s="20" t="s">
        <v>197</v>
      </c>
      <c r="B182" s="20" t="s">
        <v>475</v>
      </c>
      <c r="C182" s="20" t="s">
        <v>545</v>
      </c>
      <c r="D182" s="20" t="s">
        <v>498</v>
      </c>
      <c r="E182" s="20" t="s">
        <v>499</v>
      </c>
      <c r="F182" s="21" t="s">
        <v>500</v>
      </c>
      <c r="G182" s="20" t="s">
        <v>549</v>
      </c>
      <c r="H182" s="20" t="s">
        <v>468</v>
      </c>
      <c r="I182" s="19">
        <v>46308.82708333333</v>
      </c>
      <c r="J182" s="20" t="s">
        <v>469</v>
      </c>
    </row>
    <row r="183" spans="1:10" x14ac:dyDescent="0.35">
      <c r="A183" s="20" t="s">
        <v>201</v>
      </c>
      <c r="B183" s="20" t="s">
        <v>475</v>
      </c>
      <c r="C183" s="20" t="s">
        <v>533</v>
      </c>
      <c r="D183" s="20" t="s">
        <v>1114</v>
      </c>
      <c r="E183" s="20" t="s">
        <v>1115</v>
      </c>
      <c r="F183" s="21" t="s">
        <v>1116</v>
      </c>
      <c r="G183" s="20" t="s">
        <v>537</v>
      </c>
      <c r="H183" s="20" t="s">
        <v>468</v>
      </c>
      <c r="I183" s="19">
        <v>46308.82708333333</v>
      </c>
      <c r="J183" s="20" t="s">
        <v>481</v>
      </c>
    </row>
    <row r="184" spans="1:10" x14ac:dyDescent="0.35">
      <c r="A184" s="20" t="s">
        <v>194</v>
      </c>
      <c r="B184" s="20" t="s">
        <v>475</v>
      </c>
      <c r="C184" s="20" t="s">
        <v>917</v>
      </c>
      <c r="D184" s="20" t="s">
        <v>1117</v>
      </c>
      <c r="E184" s="20" t="s">
        <v>1118</v>
      </c>
      <c r="F184" s="21" t="s">
        <v>1119</v>
      </c>
      <c r="G184" s="20" t="s">
        <v>800</v>
      </c>
      <c r="H184" s="20" t="s">
        <v>468</v>
      </c>
      <c r="I184" s="19">
        <v>46308.82708333333</v>
      </c>
      <c r="J184" s="20" t="s">
        <v>469</v>
      </c>
    </row>
    <row r="185" spans="1:10" x14ac:dyDescent="0.35">
      <c r="A185" s="20" t="s">
        <v>279</v>
      </c>
      <c r="B185" s="20" t="s">
        <v>482</v>
      </c>
      <c r="C185" s="20" t="s">
        <v>1120</v>
      </c>
      <c r="D185" s="20" t="s">
        <v>1121</v>
      </c>
      <c r="E185" s="20" t="s">
        <v>1122</v>
      </c>
      <c r="F185" s="21" t="s">
        <v>1123</v>
      </c>
      <c r="G185" s="20" t="s">
        <v>1124</v>
      </c>
      <c r="H185" s="20" t="s">
        <v>468</v>
      </c>
      <c r="I185" s="19">
        <v>46308.82708333333</v>
      </c>
      <c r="J185" s="20" t="s">
        <v>469</v>
      </c>
    </row>
    <row r="186" spans="1:10" x14ac:dyDescent="0.35">
      <c r="A186" s="20" t="s">
        <v>231</v>
      </c>
      <c r="B186" s="20" t="s">
        <v>482</v>
      </c>
      <c r="C186" s="20" t="s">
        <v>1125</v>
      </c>
      <c r="D186" s="20" t="s">
        <v>1126</v>
      </c>
      <c r="E186" s="20" t="s">
        <v>1127</v>
      </c>
      <c r="F186" s="21" t="s">
        <v>1128</v>
      </c>
      <c r="G186" s="20" t="s">
        <v>568</v>
      </c>
      <c r="H186" s="20" t="s">
        <v>468</v>
      </c>
      <c r="I186" s="19">
        <v>46308.82708333333</v>
      </c>
      <c r="J186" s="20" t="s">
        <v>509</v>
      </c>
    </row>
    <row r="187" spans="1:10" x14ac:dyDescent="0.35">
      <c r="A187" s="20" t="s">
        <v>273</v>
      </c>
      <c r="B187" s="20" t="s">
        <v>462</v>
      </c>
      <c r="C187" s="20" t="s">
        <v>1129</v>
      </c>
      <c r="D187" s="20" t="s">
        <v>815</v>
      </c>
      <c r="E187" s="20" t="s">
        <v>816</v>
      </c>
      <c r="F187" s="21" t="s">
        <v>817</v>
      </c>
      <c r="G187" s="20" t="s">
        <v>663</v>
      </c>
      <c r="H187" s="20" t="s">
        <v>468</v>
      </c>
      <c r="I187" s="19">
        <v>46308.82708333333</v>
      </c>
      <c r="J187" s="20" t="s">
        <v>481</v>
      </c>
    </row>
    <row r="188" spans="1:10" x14ac:dyDescent="0.35">
      <c r="A188" s="20" t="s">
        <v>189</v>
      </c>
      <c r="B188" s="20" t="s">
        <v>462</v>
      </c>
      <c r="C188" s="20" t="s">
        <v>497</v>
      </c>
      <c r="D188" s="20" t="s">
        <v>1130</v>
      </c>
      <c r="E188" s="20" t="s">
        <v>1131</v>
      </c>
      <c r="F188" s="21" t="s">
        <v>1132</v>
      </c>
      <c r="G188" s="20" t="s">
        <v>480</v>
      </c>
      <c r="H188" s="20" t="s">
        <v>468</v>
      </c>
      <c r="I188" s="19">
        <v>46308.82708333333</v>
      </c>
      <c r="J188" s="20" t="s">
        <v>509</v>
      </c>
    </row>
    <row r="189" spans="1:10" x14ac:dyDescent="0.35">
      <c r="A189" s="20" t="s">
        <v>258</v>
      </c>
      <c r="B189" s="20" t="s">
        <v>482</v>
      </c>
      <c r="C189" s="20" t="s">
        <v>644</v>
      </c>
      <c r="D189" s="20" t="s">
        <v>669</v>
      </c>
      <c r="E189" s="20" t="s">
        <v>670</v>
      </c>
      <c r="F189" s="21" t="s">
        <v>671</v>
      </c>
      <c r="G189" s="20" t="s">
        <v>648</v>
      </c>
      <c r="H189" s="20" t="s">
        <v>468</v>
      </c>
      <c r="I189" s="19">
        <v>46308.82708333333</v>
      </c>
      <c r="J189" s="20" t="s">
        <v>469</v>
      </c>
    </row>
    <row r="190" spans="1:10" x14ac:dyDescent="0.35">
      <c r="A190" s="20" t="s">
        <v>194</v>
      </c>
      <c r="B190" s="20" t="s">
        <v>475</v>
      </c>
      <c r="C190" s="20" t="s">
        <v>917</v>
      </c>
      <c r="D190" s="20" t="s">
        <v>1133</v>
      </c>
      <c r="E190" s="20" t="s">
        <v>1134</v>
      </c>
      <c r="F190" s="21" t="s">
        <v>1135</v>
      </c>
      <c r="G190" s="20" t="s">
        <v>800</v>
      </c>
      <c r="H190" s="20" t="s">
        <v>468</v>
      </c>
      <c r="I190" s="19">
        <v>46308.82708333333</v>
      </c>
      <c r="J190" s="20" t="s">
        <v>469</v>
      </c>
    </row>
    <row r="191" spans="1:10" x14ac:dyDescent="0.35">
      <c r="A191" s="20" t="s">
        <v>219</v>
      </c>
      <c r="B191" s="20" t="s">
        <v>482</v>
      </c>
      <c r="C191" s="20" t="s">
        <v>1136</v>
      </c>
      <c r="D191" s="20" t="s">
        <v>1137</v>
      </c>
      <c r="E191" s="20" t="s">
        <v>1138</v>
      </c>
      <c r="F191" s="21" t="s">
        <v>1139</v>
      </c>
      <c r="G191" s="20" t="s">
        <v>805</v>
      </c>
      <c r="H191" s="20" t="s">
        <v>468</v>
      </c>
      <c r="I191" s="19">
        <v>46308.830555555563</v>
      </c>
      <c r="J191" s="20" t="s">
        <v>469</v>
      </c>
    </row>
    <row r="192" spans="1:10" x14ac:dyDescent="0.35">
      <c r="A192" s="20" t="s">
        <v>219</v>
      </c>
      <c r="B192" s="20" t="s">
        <v>482</v>
      </c>
      <c r="C192" s="20" t="s">
        <v>1136</v>
      </c>
      <c r="D192" s="20" t="s">
        <v>1140</v>
      </c>
      <c r="E192" s="20" t="s">
        <v>1141</v>
      </c>
      <c r="F192" s="21" t="s">
        <v>1142</v>
      </c>
      <c r="G192" s="20" t="s">
        <v>805</v>
      </c>
      <c r="H192" s="20" t="s">
        <v>468</v>
      </c>
      <c r="I192" s="19">
        <v>46308.82708333333</v>
      </c>
      <c r="J192" s="20" t="s">
        <v>481</v>
      </c>
    </row>
    <row r="193" spans="1:10" x14ac:dyDescent="0.35">
      <c r="A193" s="20" t="s">
        <v>231</v>
      </c>
      <c r="B193" s="20" t="s">
        <v>462</v>
      </c>
      <c r="C193" s="20" t="s">
        <v>601</v>
      </c>
      <c r="D193" s="20" t="s">
        <v>1143</v>
      </c>
      <c r="E193" s="20" t="s">
        <v>1144</v>
      </c>
      <c r="F193" s="21" t="s">
        <v>1145</v>
      </c>
      <c r="G193" s="20" t="s">
        <v>568</v>
      </c>
      <c r="H193" s="20" t="s">
        <v>468</v>
      </c>
      <c r="I193" s="19">
        <v>46308.82708333333</v>
      </c>
      <c r="J193" s="20" t="s">
        <v>481</v>
      </c>
    </row>
    <row r="194" spans="1:10" x14ac:dyDescent="0.35">
      <c r="A194" s="20" t="s">
        <v>216</v>
      </c>
      <c r="B194" s="20" t="s">
        <v>482</v>
      </c>
      <c r="C194" s="20" t="s">
        <v>649</v>
      </c>
      <c r="D194" s="20" t="s">
        <v>1146</v>
      </c>
      <c r="E194" s="20" t="s">
        <v>1147</v>
      </c>
      <c r="F194" s="21" t="s">
        <v>1148</v>
      </c>
      <c r="G194" s="20" t="s">
        <v>619</v>
      </c>
      <c r="H194" s="20" t="s">
        <v>468</v>
      </c>
      <c r="I194" s="19">
        <v>46308.82708333333</v>
      </c>
      <c r="J194" s="20" t="s">
        <v>509</v>
      </c>
    </row>
    <row r="195" spans="1:10" x14ac:dyDescent="0.35">
      <c r="A195" s="20" t="s">
        <v>243</v>
      </c>
      <c r="B195" s="20" t="s">
        <v>482</v>
      </c>
      <c r="C195" s="20" t="s">
        <v>1149</v>
      </c>
      <c r="D195" s="20" t="s">
        <v>1150</v>
      </c>
      <c r="E195" s="20" t="s">
        <v>1151</v>
      </c>
      <c r="F195" s="21" t="s">
        <v>1152</v>
      </c>
      <c r="G195" s="20" t="s">
        <v>614</v>
      </c>
      <c r="H195" s="20" t="s">
        <v>468</v>
      </c>
      <c r="I195" s="19">
        <v>46308.82708333333</v>
      </c>
      <c r="J195" s="20" t="s">
        <v>481</v>
      </c>
    </row>
    <row r="196" spans="1:10" x14ac:dyDescent="0.35">
      <c r="A196" s="20" t="s">
        <v>249</v>
      </c>
      <c r="B196" s="20" t="s">
        <v>482</v>
      </c>
      <c r="C196" s="20" t="s">
        <v>1153</v>
      </c>
      <c r="D196" s="20" t="s">
        <v>1154</v>
      </c>
      <c r="E196" s="20" t="s">
        <v>1155</v>
      </c>
      <c r="F196" s="21" t="s">
        <v>1156</v>
      </c>
      <c r="G196" s="20" t="s">
        <v>1157</v>
      </c>
      <c r="H196" s="20" t="s">
        <v>468</v>
      </c>
      <c r="I196" s="19">
        <v>46308.82708333333</v>
      </c>
      <c r="J196" s="20" t="s">
        <v>481</v>
      </c>
    </row>
    <row r="197" spans="1:10" x14ac:dyDescent="0.35">
      <c r="A197" s="20" t="s">
        <v>204</v>
      </c>
      <c r="B197" s="20" t="s">
        <v>482</v>
      </c>
      <c r="C197" s="20" t="s">
        <v>682</v>
      </c>
      <c r="D197" s="20" t="s">
        <v>784</v>
      </c>
      <c r="E197" s="20" t="s">
        <v>785</v>
      </c>
      <c r="F197" s="21" t="s">
        <v>786</v>
      </c>
      <c r="G197" s="20" t="s">
        <v>686</v>
      </c>
      <c r="H197" s="20" t="s">
        <v>468</v>
      </c>
      <c r="I197" s="19">
        <v>46308.829861111109</v>
      </c>
      <c r="J197" s="20" t="s">
        <v>509</v>
      </c>
    </row>
    <row r="198" spans="1:10" x14ac:dyDescent="0.35">
      <c r="A198" s="20" t="s">
        <v>294</v>
      </c>
      <c r="B198" s="20" t="s">
        <v>475</v>
      </c>
      <c r="C198" s="20" t="s">
        <v>1158</v>
      </c>
      <c r="D198" s="20" t="s">
        <v>1159</v>
      </c>
      <c r="E198" s="20" t="s">
        <v>1160</v>
      </c>
      <c r="F198" s="21" t="s">
        <v>1161</v>
      </c>
      <c r="G198" s="20" t="s">
        <v>1162</v>
      </c>
      <c r="H198" s="20" t="s">
        <v>468</v>
      </c>
      <c r="I198" s="19">
        <v>46308.82708333333</v>
      </c>
      <c r="J198" s="20" t="s">
        <v>509</v>
      </c>
    </row>
    <row r="199" spans="1:10" x14ac:dyDescent="0.35">
      <c r="A199" s="20" t="s">
        <v>306</v>
      </c>
      <c r="B199" s="20" t="s">
        <v>475</v>
      </c>
      <c r="C199" s="20" t="s">
        <v>1163</v>
      </c>
      <c r="D199" s="20" t="s">
        <v>1164</v>
      </c>
      <c r="E199" s="20" t="s">
        <v>1165</v>
      </c>
      <c r="F199" s="21" t="s">
        <v>1166</v>
      </c>
      <c r="G199" s="20" t="s">
        <v>467</v>
      </c>
      <c r="H199" s="20" t="s">
        <v>468</v>
      </c>
      <c r="I199" s="19">
        <v>46308.82708333333</v>
      </c>
      <c r="J199" s="20" t="s">
        <v>481</v>
      </c>
    </row>
    <row r="200" spans="1:10" x14ac:dyDescent="0.35">
      <c r="A200" s="20" t="s">
        <v>197</v>
      </c>
      <c r="B200" s="20" t="s">
        <v>482</v>
      </c>
      <c r="C200" s="20" t="s">
        <v>1167</v>
      </c>
      <c r="D200" s="20" t="s">
        <v>1168</v>
      </c>
      <c r="E200" s="20" t="s">
        <v>1169</v>
      </c>
      <c r="F200" s="21" t="s">
        <v>1170</v>
      </c>
      <c r="G200" s="20" t="s">
        <v>549</v>
      </c>
      <c r="H200" s="20" t="s">
        <v>468</v>
      </c>
      <c r="I200" s="19">
        <v>46308.82708333333</v>
      </c>
      <c r="J200" s="20" t="s">
        <v>481</v>
      </c>
    </row>
    <row r="201" spans="1:10" x14ac:dyDescent="0.35">
      <c r="A201" s="20" t="s">
        <v>258</v>
      </c>
      <c r="B201" s="20" t="s">
        <v>475</v>
      </c>
      <c r="C201" s="20" t="s">
        <v>1171</v>
      </c>
      <c r="D201" s="20" t="s">
        <v>1172</v>
      </c>
      <c r="E201" s="20" t="s">
        <v>1173</v>
      </c>
      <c r="F201" s="21" t="s">
        <v>1174</v>
      </c>
      <c r="G201" s="20" t="s">
        <v>648</v>
      </c>
      <c r="H201" s="20" t="s">
        <v>468</v>
      </c>
      <c r="I201" s="19">
        <v>46308.82708333333</v>
      </c>
      <c r="J201" s="20" t="s">
        <v>481</v>
      </c>
    </row>
    <row r="202" spans="1:10" x14ac:dyDescent="0.35">
      <c r="A202" s="20" t="s">
        <v>222</v>
      </c>
      <c r="B202" s="20" t="s">
        <v>482</v>
      </c>
      <c r="C202" s="20" t="s">
        <v>579</v>
      </c>
      <c r="D202" s="20" t="s">
        <v>1175</v>
      </c>
      <c r="E202" s="20" t="s">
        <v>1176</v>
      </c>
      <c r="F202" s="21" t="s">
        <v>1177</v>
      </c>
      <c r="G202" s="20" t="s">
        <v>527</v>
      </c>
      <c r="H202" s="20" t="s">
        <v>468</v>
      </c>
      <c r="I202" s="19">
        <v>46308.82708333333</v>
      </c>
      <c r="J202" s="20" t="s">
        <v>469</v>
      </c>
    </row>
    <row r="203" spans="1:10" x14ac:dyDescent="0.35">
      <c r="A203" s="20" t="s">
        <v>396</v>
      </c>
      <c r="B203" s="20" t="s">
        <v>475</v>
      </c>
      <c r="C203" s="20" t="s">
        <v>1178</v>
      </c>
      <c r="D203" s="20" t="s">
        <v>534</v>
      </c>
      <c r="E203" s="20" t="s">
        <v>535</v>
      </c>
      <c r="F203" s="21" t="s">
        <v>536</v>
      </c>
      <c r="G203" s="20" t="s">
        <v>1179</v>
      </c>
      <c r="H203" s="20" t="s">
        <v>468</v>
      </c>
      <c r="I203" s="19">
        <v>46308.82708333333</v>
      </c>
      <c r="J203" s="20" t="s">
        <v>481</v>
      </c>
    </row>
    <row r="204" spans="1:10" x14ac:dyDescent="0.35">
      <c r="A204" s="20" t="s">
        <v>210</v>
      </c>
      <c r="B204" s="20" t="s">
        <v>475</v>
      </c>
      <c r="C204" s="20" t="s">
        <v>910</v>
      </c>
      <c r="D204" s="20" t="s">
        <v>1180</v>
      </c>
      <c r="E204" s="20" t="s">
        <v>1181</v>
      </c>
      <c r="F204" s="21" t="s">
        <v>1182</v>
      </c>
      <c r="G204" s="20" t="s">
        <v>672</v>
      </c>
      <c r="H204" s="20" t="s">
        <v>468</v>
      </c>
      <c r="I204" s="19">
        <v>46308.82708333333</v>
      </c>
      <c r="J204" s="20" t="s">
        <v>481</v>
      </c>
    </row>
    <row r="205" spans="1:10" x14ac:dyDescent="0.35">
      <c r="A205" s="20" t="s">
        <v>237</v>
      </c>
      <c r="B205" s="20" t="s">
        <v>482</v>
      </c>
      <c r="C205" s="20" t="s">
        <v>1183</v>
      </c>
      <c r="D205" s="20" t="s">
        <v>1184</v>
      </c>
      <c r="E205" s="20" t="s">
        <v>1185</v>
      </c>
      <c r="F205" s="21" t="s">
        <v>1186</v>
      </c>
      <c r="G205" s="20" t="s">
        <v>554</v>
      </c>
      <c r="H205" s="20" t="s">
        <v>468</v>
      </c>
      <c r="I205" s="19">
        <v>46308.82708333333</v>
      </c>
      <c r="J205" s="20" t="s">
        <v>469</v>
      </c>
    </row>
    <row r="206" spans="1:10" x14ac:dyDescent="0.35">
      <c r="A206" s="20" t="s">
        <v>234</v>
      </c>
      <c r="B206" s="20" t="s">
        <v>462</v>
      </c>
      <c r="C206" s="20" t="s">
        <v>1187</v>
      </c>
      <c r="D206" s="20" t="s">
        <v>896</v>
      </c>
      <c r="E206" s="20" t="s">
        <v>897</v>
      </c>
      <c r="F206" s="21" t="s">
        <v>898</v>
      </c>
      <c r="G206" s="20" t="s">
        <v>715</v>
      </c>
      <c r="H206" s="20" t="s">
        <v>468</v>
      </c>
      <c r="I206" s="19">
        <v>46308.82708333333</v>
      </c>
      <c r="J206" s="20" t="s">
        <v>481</v>
      </c>
    </row>
    <row r="207" spans="1:10" x14ac:dyDescent="0.35">
      <c r="A207" s="20" t="s">
        <v>189</v>
      </c>
      <c r="B207" s="20" t="s">
        <v>475</v>
      </c>
      <c r="C207" s="20" t="s">
        <v>476</v>
      </c>
      <c r="D207" s="20" t="s">
        <v>1188</v>
      </c>
      <c r="E207" s="20" t="s">
        <v>1189</v>
      </c>
      <c r="F207" s="21" t="s">
        <v>1190</v>
      </c>
      <c r="G207" s="20" t="s">
        <v>480</v>
      </c>
      <c r="H207" s="20" t="s">
        <v>468</v>
      </c>
      <c r="I207" s="19">
        <v>46308.82708333333</v>
      </c>
      <c r="J207" s="20" t="s">
        <v>481</v>
      </c>
    </row>
    <row r="208" spans="1:10" x14ac:dyDescent="0.35">
      <c r="A208" s="20" t="s">
        <v>189</v>
      </c>
      <c r="B208" s="20" t="s">
        <v>475</v>
      </c>
      <c r="C208" s="20" t="s">
        <v>476</v>
      </c>
      <c r="D208" s="20" t="s">
        <v>1191</v>
      </c>
      <c r="E208" s="20" t="s">
        <v>1192</v>
      </c>
      <c r="F208" s="21" t="s">
        <v>1193</v>
      </c>
      <c r="G208" s="20" t="s">
        <v>480</v>
      </c>
      <c r="H208" s="20" t="s">
        <v>468</v>
      </c>
      <c r="I208" s="19">
        <v>46308.82708333333</v>
      </c>
      <c r="J208" s="20" t="s">
        <v>481</v>
      </c>
    </row>
    <row r="209" spans="1:10" x14ac:dyDescent="0.35">
      <c r="A209" s="20" t="s">
        <v>207</v>
      </c>
      <c r="B209" s="20" t="s">
        <v>482</v>
      </c>
      <c r="C209" s="20" t="s">
        <v>921</v>
      </c>
      <c r="D209" s="20" t="s">
        <v>1194</v>
      </c>
      <c r="E209" s="20" t="s">
        <v>1195</v>
      </c>
      <c r="F209" s="21" t="s">
        <v>1196</v>
      </c>
      <c r="G209" s="20" t="s">
        <v>592</v>
      </c>
      <c r="H209" s="20" t="s">
        <v>468</v>
      </c>
      <c r="I209" s="19">
        <v>46308.82708333333</v>
      </c>
      <c r="J209" s="20" t="s">
        <v>469</v>
      </c>
    </row>
    <row r="210" spans="1:10" x14ac:dyDescent="0.35">
      <c r="A210" s="20" t="s">
        <v>194</v>
      </c>
      <c r="B210" s="20" t="s">
        <v>475</v>
      </c>
      <c r="C210" s="20" t="s">
        <v>917</v>
      </c>
      <c r="D210" s="20" t="s">
        <v>1197</v>
      </c>
      <c r="E210" s="20" t="s">
        <v>1198</v>
      </c>
      <c r="F210" s="21" t="s">
        <v>1199</v>
      </c>
      <c r="G210" s="20" t="s">
        <v>800</v>
      </c>
      <c r="H210" s="20" t="s">
        <v>468</v>
      </c>
      <c r="I210" s="19">
        <v>46308.82708333333</v>
      </c>
      <c r="J210" s="20" t="s">
        <v>509</v>
      </c>
    </row>
    <row r="211" spans="1:10" x14ac:dyDescent="0.35">
      <c r="A211" s="20" t="s">
        <v>204</v>
      </c>
      <c r="B211" s="20" t="s">
        <v>475</v>
      </c>
      <c r="C211" s="20" t="s">
        <v>828</v>
      </c>
      <c r="D211" s="20" t="s">
        <v>1200</v>
      </c>
      <c r="E211" s="20" t="s">
        <v>1201</v>
      </c>
      <c r="F211" s="21" t="s">
        <v>1202</v>
      </c>
      <c r="G211" s="20" t="s">
        <v>686</v>
      </c>
      <c r="H211" s="20" t="s">
        <v>468</v>
      </c>
      <c r="I211" s="19">
        <v>46308.82708333333</v>
      </c>
      <c r="J211" s="20" t="s">
        <v>509</v>
      </c>
    </row>
    <row r="212" spans="1:10" x14ac:dyDescent="0.35">
      <c r="A212" s="20" t="s">
        <v>216</v>
      </c>
      <c r="B212" s="20" t="s">
        <v>482</v>
      </c>
      <c r="C212" s="20" t="s">
        <v>649</v>
      </c>
      <c r="D212" s="20" t="s">
        <v>1203</v>
      </c>
      <c r="E212" s="20" t="s">
        <v>1204</v>
      </c>
      <c r="F212" s="21" t="s">
        <v>1205</v>
      </c>
      <c r="G212" s="20" t="s">
        <v>619</v>
      </c>
      <c r="H212" s="20" t="s">
        <v>468</v>
      </c>
      <c r="I212" s="19">
        <v>46308.82708333333</v>
      </c>
      <c r="J212" s="20" t="s">
        <v>481</v>
      </c>
    </row>
    <row r="213" spans="1:10" x14ac:dyDescent="0.35">
      <c r="A213" s="20" t="s">
        <v>219</v>
      </c>
      <c r="B213" s="20" t="s">
        <v>475</v>
      </c>
      <c r="C213" s="20" t="s">
        <v>977</v>
      </c>
      <c r="D213" s="20" t="s">
        <v>1206</v>
      </c>
      <c r="E213" s="20" t="s">
        <v>1207</v>
      </c>
      <c r="F213" s="21" t="s">
        <v>1208</v>
      </c>
      <c r="G213" s="20" t="s">
        <v>805</v>
      </c>
      <c r="H213" s="20" t="s">
        <v>468</v>
      </c>
      <c r="I213" s="19">
        <v>46308.82708333333</v>
      </c>
      <c r="J213" s="20" t="s">
        <v>469</v>
      </c>
    </row>
    <row r="214" spans="1:10" x14ac:dyDescent="0.35">
      <c r="A214" s="20" t="s">
        <v>189</v>
      </c>
      <c r="B214" s="20" t="s">
        <v>462</v>
      </c>
      <c r="C214" s="20" t="s">
        <v>497</v>
      </c>
      <c r="D214" s="20" t="s">
        <v>645</v>
      </c>
      <c r="E214" s="20" t="s">
        <v>646</v>
      </c>
      <c r="F214" s="21" t="s">
        <v>647</v>
      </c>
      <c r="G214" s="20" t="s">
        <v>480</v>
      </c>
      <c r="H214" s="20" t="s">
        <v>468</v>
      </c>
      <c r="I214" s="19">
        <v>46308.82916666667</v>
      </c>
      <c r="J214" s="20" t="s">
        <v>469</v>
      </c>
    </row>
    <row r="215" spans="1:10" x14ac:dyDescent="0.35">
      <c r="A215" s="20" t="s">
        <v>267</v>
      </c>
      <c r="B215" s="20" t="s">
        <v>462</v>
      </c>
      <c r="C215" s="20" t="s">
        <v>723</v>
      </c>
      <c r="D215" s="20" t="s">
        <v>1209</v>
      </c>
      <c r="E215" s="20" t="s">
        <v>1210</v>
      </c>
      <c r="F215" s="21" t="s">
        <v>1211</v>
      </c>
      <c r="G215" s="20" t="s">
        <v>496</v>
      </c>
      <c r="H215" s="20" t="s">
        <v>468</v>
      </c>
      <c r="I215" s="19">
        <v>46308.82708333333</v>
      </c>
      <c r="J215" s="20" t="s">
        <v>469</v>
      </c>
    </row>
    <row r="216" spans="1:10" x14ac:dyDescent="0.35">
      <c r="A216" s="20" t="s">
        <v>303</v>
      </c>
      <c r="B216" s="20" t="s">
        <v>482</v>
      </c>
      <c r="C216" s="20" t="s">
        <v>1212</v>
      </c>
      <c r="D216" s="20" t="s">
        <v>1213</v>
      </c>
      <c r="E216" s="20" t="s">
        <v>1214</v>
      </c>
      <c r="F216" s="21" t="s">
        <v>1215</v>
      </c>
      <c r="G216" s="20" t="s">
        <v>1216</v>
      </c>
      <c r="H216" s="20" t="s">
        <v>468</v>
      </c>
      <c r="I216" s="19">
        <v>46308.82916666667</v>
      </c>
      <c r="J216" s="20" t="s">
        <v>481</v>
      </c>
    </row>
    <row r="217" spans="1:10" x14ac:dyDescent="0.35">
      <c r="A217" s="20" t="s">
        <v>189</v>
      </c>
      <c r="B217" s="20" t="s">
        <v>482</v>
      </c>
      <c r="C217" s="20" t="s">
        <v>483</v>
      </c>
      <c r="D217" s="20" t="s">
        <v>1217</v>
      </c>
      <c r="E217" s="20" t="s">
        <v>1218</v>
      </c>
      <c r="F217" s="21" t="s">
        <v>1219</v>
      </c>
      <c r="G217" s="20" t="s">
        <v>480</v>
      </c>
      <c r="H217" s="20" t="s">
        <v>468</v>
      </c>
      <c r="I217" s="19">
        <v>46308.82708333333</v>
      </c>
      <c r="J217" s="20" t="s">
        <v>469</v>
      </c>
    </row>
    <row r="218" spans="1:10" x14ac:dyDescent="0.35">
      <c r="A218" s="20" t="s">
        <v>249</v>
      </c>
      <c r="B218" s="20" t="s">
        <v>462</v>
      </c>
      <c r="C218" s="20" t="s">
        <v>1220</v>
      </c>
      <c r="D218" s="20" t="s">
        <v>1221</v>
      </c>
      <c r="E218" s="20" t="s">
        <v>1222</v>
      </c>
      <c r="F218" s="21" t="s">
        <v>1223</v>
      </c>
      <c r="G218" s="20" t="s">
        <v>1157</v>
      </c>
      <c r="H218" s="20" t="s">
        <v>468</v>
      </c>
      <c r="I218" s="19">
        <v>46308.82708333333</v>
      </c>
      <c r="J218" s="20" t="s">
        <v>509</v>
      </c>
    </row>
    <row r="219" spans="1:10" x14ac:dyDescent="0.35">
      <c r="A219" s="20" t="s">
        <v>197</v>
      </c>
      <c r="B219" s="20" t="s">
        <v>462</v>
      </c>
      <c r="C219" s="20" t="s">
        <v>560</v>
      </c>
      <c r="D219" s="20" t="s">
        <v>1224</v>
      </c>
      <c r="E219" s="20" t="s">
        <v>1225</v>
      </c>
      <c r="F219" s="21" t="s">
        <v>1226</v>
      </c>
      <c r="G219" s="20" t="s">
        <v>549</v>
      </c>
      <c r="H219" s="20" t="s">
        <v>468</v>
      </c>
      <c r="I219" s="19">
        <v>46308.82708333333</v>
      </c>
      <c r="J219" s="20" t="s">
        <v>469</v>
      </c>
    </row>
    <row r="220" spans="1:10" x14ac:dyDescent="0.35">
      <c r="A220" s="20" t="s">
        <v>207</v>
      </c>
      <c r="B220" s="20" t="s">
        <v>462</v>
      </c>
      <c r="C220" s="20" t="s">
        <v>588</v>
      </c>
      <c r="D220" s="20" t="s">
        <v>1227</v>
      </c>
      <c r="E220" s="20" t="s">
        <v>1228</v>
      </c>
      <c r="F220" s="21" t="s">
        <v>1229</v>
      </c>
      <c r="G220" s="20" t="s">
        <v>592</v>
      </c>
      <c r="H220" s="20" t="s">
        <v>468</v>
      </c>
      <c r="I220" s="19">
        <v>46308.82708333333</v>
      </c>
      <c r="J220" s="20" t="s">
        <v>509</v>
      </c>
    </row>
    <row r="221" spans="1:10" x14ac:dyDescent="0.35">
      <c r="A221" s="20" t="s">
        <v>213</v>
      </c>
      <c r="B221" s="20" t="s">
        <v>462</v>
      </c>
      <c r="C221" s="20" t="s">
        <v>470</v>
      </c>
      <c r="D221" s="20" t="s">
        <v>1230</v>
      </c>
      <c r="E221" s="20" t="s">
        <v>1231</v>
      </c>
      <c r="F221" s="21" t="s">
        <v>1232</v>
      </c>
      <c r="G221" s="20" t="s">
        <v>474</v>
      </c>
      <c r="H221" s="20" t="s">
        <v>468</v>
      </c>
      <c r="I221" s="19">
        <v>46308.82708333333</v>
      </c>
      <c r="J221" s="20" t="s">
        <v>481</v>
      </c>
    </row>
    <row r="222" spans="1:10" x14ac:dyDescent="0.35">
      <c r="A222" s="20" t="s">
        <v>228</v>
      </c>
      <c r="B222" s="20" t="s">
        <v>475</v>
      </c>
      <c r="C222" s="20" t="s">
        <v>1233</v>
      </c>
      <c r="D222" s="20" t="s">
        <v>1234</v>
      </c>
      <c r="E222" s="20" t="s">
        <v>1235</v>
      </c>
      <c r="F222" s="21" t="s">
        <v>1236</v>
      </c>
      <c r="G222" s="20" t="s">
        <v>1237</v>
      </c>
      <c r="H222" s="20" t="s">
        <v>468</v>
      </c>
      <c r="I222" s="19">
        <v>46308.82708333333</v>
      </c>
      <c r="J222" s="20" t="s">
        <v>481</v>
      </c>
    </row>
    <row r="223" spans="1:10" x14ac:dyDescent="0.35">
      <c r="A223" s="20" t="s">
        <v>201</v>
      </c>
      <c r="B223" s="20" t="s">
        <v>462</v>
      </c>
      <c r="C223" s="20" t="s">
        <v>635</v>
      </c>
      <c r="D223" s="20" t="s">
        <v>1238</v>
      </c>
      <c r="E223" s="20" t="s">
        <v>1239</v>
      </c>
      <c r="F223" s="21" t="s">
        <v>1240</v>
      </c>
      <c r="G223" s="20" t="s">
        <v>537</v>
      </c>
      <c r="H223" s="20" t="s">
        <v>468</v>
      </c>
      <c r="I223" s="19">
        <v>46308.82708333333</v>
      </c>
      <c r="J223" s="20" t="s">
        <v>509</v>
      </c>
    </row>
    <row r="224" spans="1:10" x14ac:dyDescent="0.35">
      <c r="A224" s="20" t="s">
        <v>297</v>
      </c>
      <c r="B224" s="20" t="s">
        <v>462</v>
      </c>
      <c r="C224" s="20" t="s">
        <v>740</v>
      </c>
      <c r="D224" s="20" t="s">
        <v>1241</v>
      </c>
      <c r="E224" s="20" t="s">
        <v>1242</v>
      </c>
      <c r="F224" s="21" t="s">
        <v>1243</v>
      </c>
      <c r="G224" s="20" t="s">
        <v>744</v>
      </c>
      <c r="H224" s="20" t="s">
        <v>468</v>
      </c>
      <c r="I224" s="19">
        <v>46308.82708333333</v>
      </c>
      <c r="J224" s="20" t="s">
        <v>509</v>
      </c>
    </row>
    <row r="225" spans="1:10" x14ac:dyDescent="0.35">
      <c r="A225" s="20" t="s">
        <v>231</v>
      </c>
      <c r="B225" s="20" t="s">
        <v>482</v>
      </c>
      <c r="C225" s="20" t="s">
        <v>1125</v>
      </c>
      <c r="D225" s="20" t="s">
        <v>1126</v>
      </c>
      <c r="E225" s="20" t="s">
        <v>1127</v>
      </c>
      <c r="F225" s="21" t="s">
        <v>1128</v>
      </c>
      <c r="G225" s="20" t="s">
        <v>568</v>
      </c>
      <c r="H225" s="20" t="s">
        <v>468</v>
      </c>
      <c r="I225" s="19">
        <v>46308.827777777777</v>
      </c>
      <c r="J225" s="20" t="s">
        <v>509</v>
      </c>
    </row>
    <row r="226" spans="1:10" x14ac:dyDescent="0.35">
      <c r="A226" s="20" t="s">
        <v>438</v>
      </c>
      <c r="B226" s="20" t="s">
        <v>482</v>
      </c>
      <c r="C226" s="20" t="s">
        <v>1244</v>
      </c>
      <c r="D226" s="20" t="s">
        <v>1245</v>
      </c>
      <c r="E226" s="20" t="s">
        <v>1246</v>
      </c>
      <c r="F226" s="21" t="s">
        <v>1247</v>
      </c>
      <c r="G226" s="20" t="s">
        <v>1248</v>
      </c>
      <c r="H226" s="20" t="s">
        <v>468</v>
      </c>
      <c r="I226" s="19">
        <v>46308.82708333333</v>
      </c>
      <c r="J226" s="20" t="s">
        <v>481</v>
      </c>
    </row>
    <row r="227" spans="1:10" x14ac:dyDescent="0.35">
      <c r="A227" s="20" t="s">
        <v>194</v>
      </c>
      <c r="B227" s="20" t="s">
        <v>475</v>
      </c>
      <c r="C227" s="20" t="s">
        <v>917</v>
      </c>
      <c r="D227" s="20" t="s">
        <v>1249</v>
      </c>
      <c r="E227" s="20" t="s">
        <v>1250</v>
      </c>
      <c r="F227" s="21" t="s">
        <v>1251</v>
      </c>
      <c r="G227" s="20" t="s">
        <v>800</v>
      </c>
      <c r="H227" s="20" t="s">
        <v>468</v>
      </c>
      <c r="I227" s="19">
        <v>46308.82708333333</v>
      </c>
      <c r="J227" s="20" t="s">
        <v>481</v>
      </c>
    </row>
    <row r="228" spans="1:10" x14ac:dyDescent="0.35">
      <c r="A228" s="20" t="s">
        <v>210</v>
      </c>
      <c r="B228" s="20" t="s">
        <v>462</v>
      </c>
      <c r="C228" s="20" t="s">
        <v>668</v>
      </c>
      <c r="D228" s="20" t="s">
        <v>1252</v>
      </c>
      <c r="E228" s="20" t="s">
        <v>1253</v>
      </c>
      <c r="F228" s="21" t="s">
        <v>1254</v>
      </c>
      <c r="G228" s="20" t="s">
        <v>672</v>
      </c>
      <c r="H228" s="20" t="s">
        <v>468</v>
      </c>
      <c r="I228" s="19">
        <v>46308.82708333333</v>
      </c>
      <c r="J228" s="20" t="s">
        <v>469</v>
      </c>
    </row>
    <row r="229" spans="1:10" x14ac:dyDescent="0.35">
      <c r="A229" s="20" t="s">
        <v>258</v>
      </c>
      <c r="B229" s="20" t="s">
        <v>482</v>
      </c>
      <c r="C229" s="20" t="s">
        <v>644</v>
      </c>
      <c r="D229" s="20" t="s">
        <v>1255</v>
      </c>
      <c r="E229" s="20" t="s">
        <v>1256</v>
      </c>
      <c r="F229" s="21" t="s">
        <v>1257</v>
      </c>
      <c r="G229" s="20" t="s">
        <v>648</v>
      </c>
      <c r="H229" s="20" t="s">
        <v>468</v>
      </c>
      <c r="I229" s="19">
        <v>46308.82708333333</v>
      </c>
      <c r="J229" s="20" t="s">
        <v>509</v>
      </c>
    </row>
    <row r="230" spans="1:10" x14ac:dyDescent="0.35">
      <c r="A230" s="20" t="s">
        <v>381</v>
      </c>
      <c r="B230" s="20" t="s">
        <v>475</v>
      </c>
      <c r="C230" s="20" t="s">
        <v>1258</v>
      </c>
      <c r="D230" s="20" t="s">
        <v>971</v>
      </c>
      <c r="E230" s="20" t="s">
        <v>972</v>
      </c>
      <c r="F230" s="21" t="s">
        <v>973</v>
      </c>
      <c r="G230" s="20" t="s">
        <v>1259</v>
      </c>
      <c r="H230" s="20" t="s">
        <v>468</v>
      </c>
      <c r="I230" s="19">
        <v>46308.82708333333</v>
      </c>
      <c r="J230" s="20" t="s">
        <v>509</v>
      </c>
    </row>
    <row r="231" spans="1:10" x14ac:dyDescent="0.35">
      <c r="A231" s="20" t="s">
        <v>216</v>
      </c>
      <c r="B231" s="20" t="s">
        <v>462</v>
      </c>
      <c r="C231" s="20" t="s">
        <v>615</v>
      </c>
      <c r="D231" s="20" t="s">
        <v>1108</v>
      </c>
      <c r="E231" s="20" t="s">
        <v>1109</v>
      </c>
      <c r="F231" s="21" t="s">
        <v>1110</v>
      </c>
      <c r="G231" s="20" t="s">
        <v>619</v>
      </c>
      <c r="H231" s="20" t="s">
        <v>468</v>
      </c>
      <c r="I231" s="19">
        <v>46308.82708333333</v>
      </c>
      <c r="J231" s="20" t="s">
        <v>481</v>
      </c>
    </row>
    <row r="232" spans="1:10" x14ac:dyDescent="0.35">
      <c r="A232" s="20" t="s">
        <v>366</v>
      </c>
      <c r="B232" s="20" t="s">
        <v>462</v>
      </c>
      <c r="C232" s="20" t="s">
        <v>889</v>
      </c>
      <c r="D232" s="20" t="s">
        <v>1260</v>
      </c>
      <c r="E232" s="20" t="s">
        <v>1261</v>
      </c>
      <c r="F232" s="21" t="s">
        <v>1262</v>
      </c>
      <c r="G232" s="20" t="s">
        <v>587</v>
      </c>
      <c r="H232" s="20" t="s">
        <v>468</v>
      </c>
      <c r="I232" s="19">
        <v>46308.82708333333</v>
      </c>
      <c r="J232" s="20" t="s">
        <v>481</v>
      </c>
    </row>
    <row r="233" spans="1:10" x14ac:dyDescent="0.35">
      <c r="A233" s="20" t="s">
        <v>285</v>
      </c>
      <c r="B233" s="20" t="s">
        <v>475</v>
      </c>
      <c r="C233" s="20" t="s">
        <v>555</v>
      </c>
      <c r="D233" s="20" t="s">
        <v>1263</v>
      </c>
      <c r="E233" s="20" t="s">
        <v>1264</v>
      </c>
      <c r="F233" s="21" t="s">
        <v>1265</v>
      </c>
      <c r="G233" s="20" t="s">
        <v>1266</v>
      </c>
      <c r="H233" s="20" t="s">
        <v>906</v>
      </c>
      <c r="I233" s="19">
        <v>46308.82708333333</v>
      </c>
      <c r="J233" s="20" t="s">
        <v>481</v>
      </c>
    </row>
    <row r="234" spans="1:10" x14ac:dyDescent="0.35">
      <c r="A234" s="20" t="s">
        <v>279</v>
      </c>
      <c r="B234" s="20" t="s">
        <v>475</v>
      </c>
      <c r="C234" s="20" t="s">
        <v>1267</v>
      </c>
      <c r="D234" s="20" t="s">
        <v>1268</v>
      </c>
      <c r="E234" s="20" t="s">
        <v>1269</v>
      </c>
      <c r="F234" s="21" t="s">
        <v>1270</v>
      </c>
      <c r="G234" s="20" t="s">
        <v>1124</v>
      </c>
      <c r="H234" s="20" t="s">
        <v>468</v>
      </c>
      <c r="I234" s="19">
        <v>46308.82708333333</v>
      </c>
      <c r="J234" s="20" t="s">
        <v>509</v>
      </c>
    </row>
    <row r="235" spans="1:10" x14ac:dyDescent="0.35">
      <c r="A235" s="20" t="s">
        <v>408</v>
      </c>
      <c r="B235" s="20" t="s">
        <v>462</v>
      </c>
      <c r="C235" s="20" t="s">
        <v>1271</v>
      </c>
      <c r="D235" s="20" t="s">
        <v>1272</v>
      </c>
      <c r="E235" s="20" t="s">
        <v>1273</v>
      </c>
      <c r="F235" s="21" t="s">
        <v>1274</v>
      </c>
      <c r="G235" s="20" t="s">
        <v>1275</v>
      </c>
      <c r="H235" s="20" t="s">
        <v>468</v>
      </c>
      <c r="I235" s="19">
        <v>46308.82708333333</v>
      </c>
      <c r="J235" s="20" t="s">
        <v>509</v>
      </c>
    </row>
    <row r="236" spans="1:10" x14ac:dyDescent="0.35">
      <c r="A236" s="20" t="s">
        <v>321</v>
      </c>
      <c r="B236" s="20" t="s">
        <v>475</v>
      </c>
      <c r="C236" s="20" t="s">
        <v>1276</v>
      </c>
      <c r="D236" s="20" t="s">
        <v>1277</v>
      </c>
      <c r="E236" s="20" t="s">
        <v>1278</v>
      </c>
      <c r="F236" s="21" t="s">
        <v>1279</v>
      </c>
      <c r="G236" s="20" t="s">
        <v>1046</v>
      </c>
      <c r="H236" s="20" t="s">
        <v>468</v>
      </c>
      <c r="I236" s="19">
        <v>46308.82708333333</v>
      </c>
      <c r="J236" s="20" t="s">
        <v>481</v>
      </c>
    </row>
    <row r="237" spans="1:10" x14ac:dyDescent="0.35">
      <c r="A237" s="20" t="s">
        <v>411</v>
      </c>
      <c r="B237" s="20" t="s">
        <v>475</v>
      </c>
      <c r="C237" s="20" t="s">
        <v>1280</v>
      </c>
      <c r="D237" s="20" t="s">
        <v>1281</v>
      </c>
      <c r="E237" s="20" t="s">
        <v>1282</v>
      </c>
      <c r="F237" s="21" t="s">
        <v>1283</v>
      </c>
      <c r="G237" s="20" t="s">
        <v>955</v>
      </c>
      <c r="H237" s="20" t="s">
        <v>468</v>
      </c>
      <c r="I237" s="19">
        <v>46308.82708333333</v>
      </c>
      <c r="J237" s="20" t="s">
        <v>481</v>
      </c>
    </row>
    <row r="238" spans="1:10" x14ac:dyDescent="0.35">
      <c r="A238" s="20" t="s">
        <v>207</v>
      </c>
      <c r="B238" s="20" t="s">
        <v>482</v>
      </c>
      <c r="C238" s="20" t="s">
        <v>921</v>
      </c>
      <c r="D238" s="20" t="s">
        <v>1284</v>
      </c>
      <c r="E238" s="20" t="s">
        <v>1285</v>
      </c>
      <c r="F238" s="21" t="s">
        <v>1286</v>
      </c>
      <c r="G238" s="20" t="s">
        <v>592</v>
      </c>
      <c r="H238" s="20" t="s">
        <v>468</v>
      </c>
      <c r="I238" s="19">
        <v>46308.82708333333</v>
      </c>
      <c r="J238" s="20" t="s">
        <v>469</v>
      </c>
    </row>
    <row r="239" spans="1:10" x14ac:dyDescent="0.35">
      <c r="A239" s="20" t="s">
        <v>219</v>
      </c>
      <c r="B239" s="20" t="s">
        <v>462</v>
      </c>
      <c r="C239" s="20" t="s">
        <v>801</v>
      </c>
      <c r="D239" s="20" t="s">
        <v>1287</v>
      </c>
      <c r="E239" s="20" t="s">
        <v>1288</v>
      </c>
      <c r="F239" s="21" t="s">
        <v>1289</v>
      </c>
      <c r="G239" s="20" t="s">
        <v>805</v>
      </c>
      <c r="H239" s="20" t="s">
        <v>468</v>
      </c>
      <c r="I239" s="19">
        <v>46308.82708333333</v>
      </c>
      <c r="J239" s="20" t="s">
        <v>509</v>
      </c>
    </row>
    <row r="240" spans="1:10" x14ac:dyDescent="0.35">
      <c r="A240" s="20" t="s">
        <v>197</v>
      </c>
      <c r="B240" s="20" t="s">
        <v>462</v>
      </c>
      <c r="C240" s="20" t="s">
        <v>560</v>
      </c>
      <c r="D240" s="20" t="s">
        <v>952</v>
      </c>
      <c r="E240" s="20" t="s">
        <v>953</v>
      </c>
      <c r="F240" s="21" t="s">
        <v>954</v>
      </c>
      <c r="G240" s="20" t="s">
        <v>549</v>
      </c>
      <c r="H240" s="20" t="s">
        <v>468</v>
      </c>
      <c r="I240" s="19">
        <v>46308.82708333333</v>
      </c>
      <c r="J240" s="20" t="s">
        <v>509</v>
      </c>
    </row>
    <row r="241" spans="1:10" x14ac:dyDescent="0.35">
      <c r="A241" s="20" t="s">
        <v>228</v>
      </c>
      <c r="B241" s="20" t="s">
        <v>475</v>
      </c>
      <c r="C241" s="20" t="s">
        <v>1233</v>
      </c>
      <c r="D241" s="20" t="s">
        <v>1290</v>
      </c>
      <c r="E241" s="20" t="s">
        <v>1291</v>
      </c>
      <c r="F241" s="21" t="s">
        <v>1292</v>
      </c>
      <c r="G241" s="20" t="s">
        <v>1237</v>
      </c>
      <c r="H241" s="20" t="s">
        <v>468</v>
      </c>
      <c r="I241" s="19">
        <v>46308.82708333333</v>
      </c>
      <c r="J241" s="20" t="s">
        <v>469</v>
      </c>
    </row>
    <row r="242" spans="1:10" x14ac:dyDescent="0.35">
      <c r="A242" s="20" t="s">
        <v>216</v>
      </c>
      <c r="B242" s="20" t="s">
        <v>482</v>
      </c>
      <c r="C242" s="20" t="s">
        <v>649</v>
      </c>
      <c r="D242" s="20" t="s">
        <v>1293</v>
      </c>
      <c r="E242" s="20" t="s">
        <v>1294</v>
      </c>
      <c r="F242" s="21" t="s">
        <v>1295</v>
      </c>
      <c r="G242" s="20" t="s">
        <v>619</v>
      </c>
      <c r="H242" s="20" t="s">
        <v>468</v>
      </c>
      <c r="I242" s="19">
        <v>46308.82708333333</v>
      </c>
      <c r="J242" s="20" t="s">
        <v>509</v>
      </c>
    </row>
    <row r="243" spans="1:10" x14ac:dyDescent="0.35">
      <c r="A243" s="20" t="s">
        <v>240</v>
      </c>
      <c r="B243" s="20" t="s">
        <v>475</v>
      </c>
      <c r="C243" s="20" t="s">
        <v>885</v>
      </c>
      <c r="D243" s="20" t="s">
        <v>1296</v>
      </c>
      <c r="E243" s="20" t="s">
        <v>1297</v>
      </c>
      <c r="F243" s="21" t="s">
        <v>1298</v>
      </c>
      <c r="G243" s="20" t="s">
        <v>573</v>
      </c>
      <c r="H243" s="20" t="s">
        <v>468</v>
      </c>
      <c r="I243" s="19">
        <v>46308.82708333333</v>
      </c>
      <c r="J243" s="20" t="s">
        <v>469</v>
      </c>
    </row>
    <row r="244" spans="1:10" x14ac:dyDescent="0.35">
      <c r="A244" s="20" t="s">
        <v>201</v>
      </c>
      <c r="B244" s="20" t="s">
        <v>462</v>
      </c>
      <c r="C244" s="20" t="s">
        <v>635</v>
      </c>
      <c r="D244" s="20" t="s">
        <v>1299</v>
      </c>
      <c r="E244" s="20" t="s">
        <v>1300</v>
      </c>
      <c r="F244" s="21" t="s">
        <v>1301</v>
      </c>
      <c r="G244" s="20" t="s">
        <v>537</v>
      </c>
      <c r="H244" s="20" t="s">
        <v>468</v>
      </c>
      <c r="I244" s="19">
        <v>46308.82708333333</v>
      </c>
      <c r="J244" s="20" t="s">
        <v>469</v>
      </c>
    </row>
    <row r="245" spans="1:10" x14ac:dyDescent="0.35">
      <c r="A245" s="20" t="s">
        <v>189</v>
      </c>
      <c r="B245" s="20" t="s">
        <v>482</v>
      </c>
      <c r="C245" s="20" t="s">
        <v>483</v>
      </c>
      <c r="D245" s="20" t="s">
        <v>957</v>
      </c>
      <c r="E245" s="20" t="s">
        <v>958</v>
      </c>
      <c r="F245" s="21" t="s">
        <v>959</v>
      </c>
      <c r="G245" s="20" t="s">
        <v>480</v>
      </c>
      <c r="H245" s="20" t="s">
        <v>468</v>
      </c>
      <c r="I245" s="19">
        <v>46308.82708333333</v>
      </c>
      <c r="J245" s="20" t="s">
        <v>469</v>
      </c>
    </row>
    <row r="246" spans="1:10" x14ac:dyDescent="0.35">
      <c r="A246" s="20" t="s">
        <v>231</v>
      </c>
      <c r="B246" s="20" t="s">
        <v>482</v>
      </c>
      <c r="C246" s="20" t="s">
        <v>1125</v>
      </c>
      <c r="D246" s="20" t="s">
        <v>1302</v>
      </c>
      <c r="E246" s="20" t="s">
        <v>1303</v>
      </c>
      <c r="F246" s="21" t="s">
        <v>1304</v>
      </c>
      <c r="G246" s="20" t="s">
        <v>568</v>
      </c>
      <c r="H246" s="20" t="s">
        <v>468</v>
      </c>
      <c r="I246" s="19">
        <v>46308.82708333333</v>
      </c>
      <c r="J246" s="20" t="s">
        <v>481</v>
      </c>
    </row>
    <row r="247" spans="1:10" x14ac:dyDescent="0.35">
      <c r="A247" s="20" t="s">
        <v>189</v>
      </c>
      <c r="B247" s="20" t="s">
        <v>462</v>
      </c>
      <c r="C247" s="20" t="s">
        <v>497</v>
      </c>
      <c r="D247" s="20" t="s">
        <v>1305</v>
      </c>
      <c r="E247" s="20" t="s">
        <v>1306</v>
      </c>
      <c r="F247" s="21" t="s">
        <v>1307</v>
      </c>
      <c r="G247" s="20" t="s">
        <v>480</v>
      </c>
      <c r="H247" s="20" t="s">
        <v>468</v>
      </c>
      <c r="I247" s="19">
        <v>46308.82708333333</v>
      </c>
      <c r="J247" s="20" t="s">
        <v>481</v>
      </c>
    </row>
    <row r="248" spans="1:10" x14ac:dyDescent="0.35">
      <c r="A248" s="20" t="s">
        <v>189</v>
      </c>
      <c r="B248" s="20" t="s">
        <v>482</v>
      </c>
      <c r="C248" s="20" t="s">
        <v>483</v>
      </c>
      <c r="D248" s="20" t="s">
        <v>1308</v>
      </c>
      <c r="E248" s="20" t="s">
        <v>1309</v>
      </c>
      <c r="F248" s="21" t="s">
        <v>1310</v>
      </c>
      <c r="G248" s="20" t="s">
        <v>1311</v>
      </c>
      <c r="H248" s="20" t="s">
        <v>634</v>
      </c>
      <c r="I248" s="19">
        <v>46308.82708333333</v>
      </c>
      <c r="J248" s="20" t="s">
        <v>469</v>
      </c>
    </row>
    <row r="249" spans="1:10" x14ac:dyDescent="0.35">
      <c r="A249" s="20" t="s">
        <v>390</v>
      </c>
      <c r="B249" s="20" t="s">
        <v>475</v>
      </c>
      <c r="C249" s="20" t="s">
        <v>1312</v>
      </c>
      <c r="D249" s="20" t="s">
        <v>1313</v>
      </c>
      <c r="E249" s="20" t="s">
        <v>1314</v>
      </c>
      <c r="F249" s="21" t="s">
        <v>1315</v>
      </c>
      <c r="G249" s="20" t="s">
        <v>1316</v>
      </c>
      <c r="H249" s="20" t="s">
        <v>468</v>
      </c>
      <c r="I249" s="19">
        <v>46308.82708333333</v>
      </c>
      <c r="J249" s="20" t="s">
        <v>481</v>
      </c>
    </row>
    <row r="250" spans="1:10" x14ac:dyDescent="0.35">
      <c r="A250" s="20" t="s">
        <v>249</v>
      </c>
      <c r="B250" s="20" t="s">
        <v>482</v>
      </c>
      <c r="C250" s="20" t="s">
        <v>1153</v>
      </c>
      <c r="D250" s="20" t="s">
        <v>1317</v>
      </c>
      <c r="E250" s="20" t="s">
        <v>1318</v>
      </c>
      <c r="F250" s="21" t="s">
        <v>1319</v>
      </c>
      <c r="G250" s="20" t="s">
        <v>1157</v>
      </c>
      <c r="H250" s="20" t="s">
        <v>468</v>
      </c>
      <c r="I250" s="19">
        <v>46308.82708333333</v>
      </c>
      <c r="J250" s="20" t="s">
        <v>481</v>
      </c>
    </row>
    <row r="251" spans="1:10" x14ac:dyDescent="0.35">
      <c r="A251" s="20" t="s">
        <v>243</v>
      </c>
      <c r="B251" s="20" t="s">
        <v>475</v>
      </c>
      <c r="C251" s="20" t="s">
        <v>1320</v>
      </c>
      <c r="D251" s="20" t="s">
        <v>1321</v>
      </c>
      <c r="E251" s="20" t="s">
        <v>1322</v>
      </c>
      <c r="F251" s="21" t="s">
        <v>1323</v>
      </c>
      <c r="G251" s="20" t="s">
        <v>614</v>
      </c>
      <c r="H251" s="20" t="s">
        <v>468</v>
      </c>
      <c r="I251" s="19">
        <v>46308.82708333333</v>
      </c>
      <c r="J251" s="20" t="s">
        <v>481</v>
      </c>
    </row>
    <row r="252" spans="1:10" x14ac:dyDescent="0.35">
      <c r="A252" s="20" t="s">
        <v>207</v>
      </c>
      <c r="B252" s="20" t="s">
        <v>475</v>
      </c>
      <c r="C252" s="20" t="s">
        <v>754</v>
      </c>
      <c r="D252" s="20" t="s">
        <v>751</v>
      </c>
      <c r="E252" s="20" t="s">
        <v>752</v>
      </c>
      <c r="F252" s="21" t="s">
        <v>753</v>
      </c>
      <c r="G252" s="20" t="s">
        <v>592</v>
      </c>
      <c r="H252" s="20" t="s">
        <v>468</v>
      </c>
      <c r="I252" s="19">
        <v>46308.82708333333</v>
      </c>
      <c r="J252" s="20" t="s">
        <v>509</v>
      </c>
    </row>
    <row r="253" spans="1:10" x14ac:dyDescent="0.35">
      <c r="A253" s="20" t="s">
        <v>303</v>
      </c>
      <c r="B253" s="20" t="s">
        <v>482</v>
      </c>
      <c r="C253" s="20" t="s">
        <v>1212</v>
      </c>
      <c r="D253" s="20" t="s">
        <v>1213</v>
      </c>
      <c r="E253" s="20" t="s">
        <v>1214</v>
      </c>
      <c r="F253" s="21" t="s">
        <v>1215</v>
      </c>
      <c r="G253" s="20" t="s">
        <v>1216</v>
      </c>
      <c r="H253" s="20" t="s">
        <v>468</v>
      </c>
      <c r="I253" s="19">
        <v>46308.82708333333</v>
      </c>
      <c r="J253" s="20" t="s">
        <v>481</v>
      </c>
    </row>
    <row r="254" spans="1:10" x14ac:dyDescent="0.35">
      <c r="A254" s="20" t="s">
        <v>231</v>
      </c>
      <c r="B254" s="20" t="s">
        <v>475</v>
      </c>
      <c r="C254" s="20" t="s">
        <v>564</v>
      </c>
      <c r="D254" s="20" t="s">
        <v>1324</v>
      </c>
      <c r="E254" s="20" t="s">
        <v>1325</v>
      </c>
      <c r="F254" s="21" t="s">
        <v>1326</v>
      </c>
      <c r="G254" s="20" t="s">
        <v>568</v>
      </c>
      <c r="H254" s="20" t="s">
        <v>468</v>
      </c>
      <c r="I254" s="19">
        <v>46308.82708333333</v>
      </c>
      <c r="J254" s="20" t="s">
        <v>481</v>
      </c>
    </row>
    <row r="255" spans="1:10" x14ac:dyDescent="0.35">
      <c r="A255" s="20" t="s">
        <v>360</v>
      </c>
      <c r="B255" s="20" t="s">
        <v>462</v>
      </c>
      <c r="C255" s="20" t="s">
        <v>1040</v>
      </c>
      <c r="D255" s="20" t="s">
        <v>1308</v>
      </c>
      <c r="E255" s="20" t="s">
        <v>1309</v>
      </c>
      <c r="F255" s="21" t="s">
        <v>1310</v>
      </c>
      <c r="G255" s="20" t="s">
        <v>1041</v>
      </c>
      <c r="H255" s="20" t="s">
        <v>468</v>
      </c>
      <c r="I255" s="19">
        <v>46308.82708333333</v>
      </c>
      <c r="J255" s="20" t="s">
        <v>469</v>
      </c>
    </row>
    <row r="256" spans="1:10" x14ac:dyDescent="0.35">
      <c r="A256" s="20" t="s">
        <v>189</v>
      </c>
      <c r="B256" s="20" t="s">
        <v>462</v>
      </c>
      <c r="C256" s="20" t="s">
        <v>497</v>
      </c>
      <c r="D256" s="20" t="s">
        <v>1327</v>
      </c>
      <c r="E256" s="20" t="s">
        <v>1328</v>
      </c>
      <c r="F256" s="21" t="s">
        <v>1329</v>
      </c>
      <c r="G256" s="20" t="s">
        <v>480</v>
      </c>
      <c r="H256" s="20" t="s">
        <v>468</v>
      </c>
      <c r="I256" s="19">
        <v>46308.82708333333</v>
      </c>
      <c r="J256" s="20" t="s">
        <v>469</v>
      </c>
    </row>
    <row r="257" spans="1:10" x14ac:dyDescent="0.35">
      <c r="A257" s="20" t="s">
        <v>276</v>
      </c>
      <c r="B257" s="20" t="s">
        <v>475</v>
      </c>
      <c r="C257" s="20" t="s">
        <v>1330</v>
      </c>
      <c r="D257" s="20" t="s">
        <v>1331</v>
      </c>
      <c r="E257" s="20" t="s">
        <v>1332</v>
      </c>
      <c r="F257" s="21" t="s">
        <v>1333</v>
      </c>
      <c r="G257" s="20" t="s">
        <v>731</v>
      </c>
      <c r="H257" s="20" t="s">
        <v>468</v>
      </c>
      <c r="I257" s="19">
        <v>46308.82708333333</v>
      </c>
      <c r="J257" s="20" t="s">
        <v>509</v>
      </c>
    </row>
    <row r="258" spans="1:10" x14ac:dyDescent="0.35">
      <c r="A258" s="20" t="s">
        <v>213</v>
      </c>
      <c r="B258" s="20" t="s">
        <v>475</v>
      </c>
      <c r="C258" s="20" t="s">
        <v>1334</v>
      </c>
      <c r="D258" s="20" t="s">
        <v>1335</v>
      </c>
      <c r="E258" s="20" t="s">
        <v>1336</v>
      </c>
      <c r="F258" s="21" t="s">
        <v>1337</v>
      </c>
      <c r="G258" s="20" t="s">
        <v>1338</v>
      </c>
      <c r="H258" s="20" t="s">
        <v>906</v>
      </c>
      <c r="I258" s="19">
        <v>46308.82708333333</v>
      </c>
      <c r="J258" s="20" t="s">
        <v>509</v>
      </c>
    </row>
    <row r="259" spans="1:10" x14ac:dyDescent="0.35">
      <c r="A259" s="20" t="s">
        <v>213</v>
      </c>
      <c r="B259" s="20" t="s">
        <v>482</v>
      </c>
      <c r="C259" s="20" t="s">
        <v>719</v>
      </c>
      <c r="D259" s="20" t="s">
        <v>1339</v>
      </c>
      <c r="E259" s="20" t="s">
        <v>1340</v>
      </c>
      <c r="F259" s="21" t="s">
        <v>1341</v>
      </c>
      <c r="G259" s="20" t="s">
        <v>474</v>
      </c>
      <c r="H259" s="20" t="s">
        <v>468</v>
      </c>
      <c r="I259" s="19">
        <v>46308.82708333333</v>
      </c>
      <c r="J259" s="20" t="s">
        <v>509</v>
      </c>
    </row>
    <row r="260" spans="1:10" x14ac:dyDescent="0.35">
      <c r="A260" s="20" t="s">
        <v>207</v>
      </c>
      <c r="B260" s="20" t="s">
        <v>462</v>
      </c>
      <c r="C260" s="20" t="s">
        <v>588</v>
      </c>
      <c r="D260" s="20" t="s">
        <v>1342</v>
      </c>
      <c r="E260" s="20" t="s">
        <v>1343</v>
      </c>
      <c r="F260" s="21" t="s">
        <v>1344</v>
      </c>
      <c r="G260" s="20" t="s">
        <v>592</v>
      </c>
      <c r="H260" s="20" t="s">
        <v>468</v>
      </c>
      <c r="I260" s="19">
        <v>46308.82708333333</v>
      </c>
      <c r="J260" s="20" t="s">
        <v>469</v>
      </c>
    </row>
    <row r="261" spans="1:10" x14ac:dyDescent="0.35">
      <c r="A261" s="20" t="s">
        <v>189</v>
      </c>
      <c r="B261" s="20" t="s">
        <v>475</v>
      </c>
      <c r="C261" s="20" t="s">
        <v>476</v>
      </c>
      <c r="D261" s="20" t="s">
        <v>1345</v>
      </c>
      <c r="E261" s="20" t="s">
        <v>1346</v>
      </c>
      <c r="F261" s="21" t="s">
        <v>1347</v>
      </c>
      <c r="G261" s="20" t="s">
        <v>480</v>
      </c>
      <c r="H261" s="20" t="s">
        <v>468</v>
      </c>
      <c r="I261" s="19">
        <v>46308.82708333333</v>
      </c>
      <c r="J261" s="20" t="s">
        <v>509</v>
      </c>
    </row>
    <row r="262" spans="1:10" x14ac:dyDescent="0.35">
      <c r="A262" s="20" t="s">
        <v>375</v>
      </c>
      <c r="B262" s="20" t="s">
        <v>482</v>
      </c>
      <c r="C262" s="20" t="s">
        <v>1348</v>
      </c>
      <c r="D262" s="20" t="s">
        <v>1349</v>
      </c>
      <c r="E262" s="20" t="s">
        <v>1350</v>
      </c>
      <c r="F262" s="21" t="s">
        <v>1351</v>
      </c>
      <c r="G262" s="20" t="s">
        <v>1352</v>
      </c>
      <c r="H262" s="20" t="s">
        <v>468</v>
      </c>
      <c r="I262" s="19">
        <v>46308.82708333333</v>
      </c>
      <c r="J262" s="20" t="s">
        <v>481</v>
      </c>
    </row>
    <row r="263" spans="1:10" x14ac:dyDescent="0.35">
      <c r="A263" s="20" t="s">
        <v>194</v>
      </c>
      <c r="B263" s="20" t="s">
        <v>482</v>
      </c>
      <c r="C263" s="20" t="s">
        <v>991</v>
      </c>
      <c r="D263" s="20" t="s">
        <v>1353</v>
      </c>
      <c r="E263" s="20" t="s">
        <v>1354</v>
      </c>
      <c r="F263" s="21" t="s">
        <v>1355</v>
      </c>
      <c r="G263" s="20" t="s">
        <v>800</v>
      </c>
      <c r="H263" s="20" t="s">
        <v>468</v>
      </c>
      <c r="I263" s="19">
        <v>46308.82708333333</v>
      </c>
      <c r="J263" s="20" t="s">
        <v>481</v>
      </c>
    </row>
    <row r="264" spans="1:10" x14ac:dyDescent="0.35">
      <c r="A264" s="20" t="s">
        <v>201</v>
      </c>
      <c r="B264" s="20" t="s">
        <v>482</v>
      </c>
      <c r="C264" s="20" t="s">
        <v>956</v>
      </c>
      <c r="D264" s="20" t="s">
        <v>851</v>
      </c>
      <c r="E264" s="20" t="s">
        <v>852</v>
      </c>
      <c r="F264" s="21" t="s">
        <v>853</v>
      </c>
      <c r="G264" s="20" t="s">
        <v>537</v>
      </c>
      <c r="H264" s="20" t="s">
        <v>468</v>
      </c>
      <c r="I264" s="19">
        <v>46308.82708333333</v>
      </c>
      <c r="J264" s="20" t="s">
        <v>481</v>
      </c>
    </row>
    <row r="265" spans="1:10" x14ac:dyDescent="0.35">
      <c r="A265" s="20" t="s">
        <v>189</v>
      </c>
      <c r="B265" s="20" t="s">
        <v>475</v>
      </c>
      <c r="C265" s="20" t="s">
        <v>476</v>
      </c>
      <c r="D265" s="20" t="s">
        <v>1356</v>
      </c>
      <c r="E265" s="20" t="s">
        <v>1357</v>
      </c>
      <c r="F265" s="21" t="s">
        <v>1358</v>
      </c>
      <c r="G265" s="20" t="s">
        <v>480</v>
      </c>
      <c r="H265" s="20" t="s">
        <v>468</v>
      </c>
      <c r="I265" s="19">
        <v>46308.82708333333</v>
      </c>
      <c r="J265" s="20" t="s">
        <v>481</v>
      </c>
    </row>
    <row r="266" spans="1:10" x14ac:dyDescent="0.35">
      <c r="A266" s="20" t="s">
        <v>189</v>
      </c>
      <c r="B266" s="20" t="s">
        <v>482</v>
      </c>
      <c r="C266" s="20" t="s">
        <v>483</v>
      </c>
      <c r="D266" s="20" t="s">
        <v>1359</v>
      </c>
      <c r="E266" s="20" t="s">
        <v>1360</v>
      </c>
      <c r="F266" s="21" t="s">
        <v>1361</v>
      </c>
      <c r="G266" s="20" t="s">
        <v>480</v>
      </c>
      <c r="H266" s="20" t="s">
        <v>468</v>
      </c>
      <c r="I266" s="19">
        <v>46308.82708333333</v>
      </c>
      <c r="J266" s="20" t="s">
        <v>481</v>
      </c>
    </row>
    <row r="267" spans="1:10" x14ac:dyDescent="0.35">
      <c r="A267" s="20" t="s">
        <v>194</v>
      </c>
      <c r="B267" s="20" t="s">
        <v>482</v>
      </c>
      <c r="C267" s="20" t="s">
        <v>991</v>
      </c>
      <c r="D267" s="20" t="s">
        <v>1362</v>
      </c>
      <c r="E267" s="20" t="s">
        <v>1363</v>
      </c>
      <c r="F267" s="21" t="s">
        <v>1364</v>
      </c>
      <c r="G267" s="20" t="s">
        <v>800</v>
      </c>
      <c r="H267" s="20" t="s">
        <v>468</v>
      </c>
      <c r="I267" s="19">
        <v>46308.82708333333</v>
      </c>
      <c r="J267" s="20" t="s">
        <v>481</v>
      </c>
    </row>
    <row r="268" spans="1:10" x14ac:dyDescent="0.35">
      <c r="A268" s="20" t="s">
        <v>294</v>
      </c>
      <c r="B268" s="20" t="s">
        <v>475</v>
      </c>
      <c r="C268" s="20" t="s">
        <v>1158</v>
      </c>
      <c r="D268" s="20" t="s">
        <v>1339</v>
      </c>
      <c r="E268" s="20" t="s">
        <v>1340</v>
      </c>
      <c r="F268" s="21" t="s">
        <v>1341</v>
      </c>
      <c r="G268" s="20" t="s">
        <v>1162</v>
      </c>
      <c r="H268" s="20" t="s">
        <v>468</v>
      </c>
      <c r="I268" s="19">
        <v>46308.82708333333</v>
      </c>
      <c r="J268" s="20" t="s">
        <v>509</v>
      </c>
    </row>
    <row r="269" spans="1:10" x14ac:dyDescent="0.35">
      <c r="A269" s="20" t="s">
        <v>261</v>
      </c>
      <c r="B269" s="20" t="s">
        <v>482</v>
      </c>
      <c r="C269" s="20" t="s">
        <v>1365</v>
      </c>
      <c r="D269" s="20" t="s">
        <v>1366</v>
      </c>
      <c r="E269" s="20" t="s">
        <v>1367</v>
      </c>
      <c r="F269" s="21" t="s">
        <v>1368</v>
      </c>
      <c r="G269" s="20" t="s">
        <v>1369</v>
      </c>
      <c r="H269" s="20" t="s">
        <v>468</v>
      </c>
      <c r="I269" s="19">
        <v>46308.82708333333</v>
      </c>
      <c r="J269" s="20" t="s">
        <v>481</v>
      </c>
    </row>
    <row r="270" spans="1:10" x14ac:dyDescent="0.35">
      <c r="A270" s="20" t="s">
        <v>189</v>
      </c>
      <c r="B270" s="20" t="s">
        <v>482</v>
      </c>
      <c r="C270" s="20" t="s">
        <v>483</v>
      </c>
      <c r="D270" s="20" t="s">
        <v>1370</v>
      </c>
      <c r="E270" s="20" t="s">
        <v>1371</v>
      </c>
      <c r="F270" s="21" t="s">
        <v>1372</v>
      </c>
      <c r="G270" s="20" t="s">
        <v>480</v>
      </c>
      <c r="H270" s="20" t="s">
        <v>468</v>
      </c>
      <c r="I270" s="19">
        <v>46308.82708333333</v>
      </c>
      <c r="J270" s="20" t="s">
        <v>469</v>
      </c>
    </row>
    <row r="271" spans="1:10" x14ac:dyDescent="0.35">
      <c r="A271" s="20" t="s">
        <v>279</v>
      </c>
      <c r="B271" s="20" t="s">
        <v>462</v>
      </c>
      <c r="C271" s="20" t="s">
        <v>1373</v>
      </c>
      <c r="D271" s="20" t="s">
        <v>1374</v>
      </c>
      <c r="E271" s="20" t="s">
        <v>1375</v>
      </c>
      <c r="F271" s="21" t="s">
        <v>1376</v>
      </c>
      <c r="G271" s="20" t="s">
        <v>1124</v>
      </c>
      <c r="H271" s="20" t="s">
        <v>468</v>
      </c>
      <c r="I271" s="19">
        <v>46308.82708333333</v>
      </c>
      <c r="J271" s="20" t="s">
        <v>509</v>
      </c>
    </row>
    <row r="272" spans="1:10" x14ac:dyDescent="0.35">
      <c r="A272" s="20" t="s">
        <v>194</v>
      </c>
      <c r="B272" s="20" t="s">
        <v>462</v>
      </c>
      <c r="C272" s="20" t="s">
        <v>799</v>
      </c>
      <c r="D272" s="20" t="s">
        <v>1377</v>
      </c>
      <c r="E272" s="20" t="s">
        <v>1378</v>
      </c>
      <c r="F272" s="21" t="s">
        <v>1379</v>
      </c>
      <c r="G272" s="20" t="s">
        <v>800</v>
      </c>
      <c r="H272" s="20" t="s">
        <v>468</v>
      </c>
      <c r="I272" s="19">
        <v>46308.82708333333</v>
      </c>
      <c r="J272" s="20" t="s">
        <v>469</v>
      </c>
    </row>
    <row r="273" spans="1:10" x14ac:dyDescent="0.35">
      <c r="A273" s="20" t="s">
        <v>189</v>
      </c>
      <c r="B273" s="20" t="s">
        <v>482</v>
      </c>
      <c r="C273" s="20" t="s">
        <v>483</v>
      </c>
      <c r="D273" s="20" t="s">
        <v>1380</v>
      </c>
      <c r="E273" s="20" t="s">
        <v>1381</v>
      </c>
      <c r="F273" s="21" t="s">
        <v>1382</v>
      </c>
      <c r="G273" s="20" t="s">
        <v>480</v>
      </c>
      <c r="H273" s="20" t="s">
        <v>468</v>
      </c>
      <c r="I273" s="19">
        <v>46308.82708333333</v>
      </c>
      <c r="J273" s="20" t="s">
        <v>469</v>
      </c>
    </row>
    <row r="274" spans="1:10" x14ac:dyDescent="0.35">
      <c r="A274" s="20" t="s">
        <v>189</v>
      </c>
      <c r="B274" s="20" t="s">
        <v>482</v>
      </c>
      <c r="C274" s="20" t="s">
        <v>483</v>
      </c>
      <c r="D274" s="20" t="s">
        <v>1383</v>
      </c>
      <c r="E274" s="20" t="s">
        <v>1384</v>
      </c>
      <c r="F274" s="21" t="s">
        <v>1385</v>
      </c>
      <c r="G274" s="20" t="s">
        <v>1386</v>
      </c>
      <c r="H274" s="20" t="s">
        <v>906</v>
      </c>
      <c r="I274" s="19">
        <v>46308.82708333333</v>
      </c>
      <c r="J274" s="20" t="s">
        <v>469</v>
      </c>
    </row>
    <row r="275" spans="1:10" x14ac:dyDescent="0.35">
      <c r="A275" s="20" t="s">
        <v>189</v>
      </c>
      <c r="B275" s="20" t="s">
        <v>475</v>
      </c>
      <c r="C275" s="20" t="s">
        <v>476</v>
      </c>
      <c r="D275" s="20" t="s">
        <v>1387</v>
      </c>
      <c r="E275" s="20" t="s">
        <v>1388</v>
      </c>
      <c r="F275" s="21" t="s">
        <v>1389</v>
      </c>
      <c r="G275" s="20" t="s">
        <v>480</v>
      </c>
      <c r="H275" s="20" t="s">
        <v>468</v>
      </c>
      <c r="I275" s="19">
        <v>46308.82708333333</v>
      </c>
      <c r="J275" s="20" t="s">
        <v>509</v>
      </c>
    </row>
    <row r="276" spans="1:10" x14ac:dyDescent="0.35">
      <c r="A276" s="20" t="s">
        <v>372</v>
      </c>
      <c r="B276" s="20" t="s">
        <v>482</v>
      </c>
      <c r="C276" s="20" t="s">
        <v>1390</v>
      </c>
      <c r="D276" s="20" t="s">
        <v>1391</v>
      </c>
      <c r="E276" s="20" t="s">
        <v>1392</v>
      </c>
      <c r="F276" s="21" t="s">
        <v>1393</v>
      </c>
      <c r="G276" s="20" t="s">
        <v>1394</v>
      </c>
      <c r="H276" s="20" t="s">
        <v>468</v>
      </c>
      <c r="I276" s="19">
        <v>46308.82708333333</v>
      </c>
      <c r="J276" s="20" t="s">
        <v>481</v>
      </c>
    </row>
    <row r="277" spans="1:10" x14ac:dyDescent="0.35">
      <c r="A277" s="20" t="s">
        <v>225</v>
      </c>
      <c r="B277" s="20" t="s">
        <v>462</v>
      </c>
      <c r="C277" s="20" t="s">
        <v>1395</v>
      </c>
      <c r="D277" s="20" t="s">
        <v>1396</v>
      </c>
      <c r="E277" s="20" t="s">
        <v>1397</v>
      </c>
      <c r="F277" s="21" t="s">
        <v>1398</v>
      </c>
      <c r="G277" s="20" t="s">
        <v>643</v>
      </c>
      <c r="H277" s="20" t="s">
        <v>468</v>
      </c>
      <c r="I277" s="19">
        <v>46308.82708333333</v>
      </c>
      <c r="J277" s="20" t="s">
        <v>481</v>
      </c>
    </row>
    <row r="278" spans="1:10" x14ac:dyDescent="0.35">
      <c r="A278" s="20" t="s">
        <v>426</v>
      </c>
      <c r="B278" s="20" t="s">
        <v>475</v>
      </c>
      <c r="C278" s="20" t="s">
        <v>1399</v>
      </c>
      <c r="D278" s="20" t="s">
        <v>1400</v>
      </c>
      <c r="E278" s="20" t="s">
        <v>1401</v>
      </c>
      <c r="F278" s="21" t="s">
        <v>1402</v>
      </c>
      <c r="G278" s="20" t="s">
        <v>1403</v>
      </c>
      <c r="H278" s="20" t="s">
        <v>468</v>
      </c>
      <c r="I278" s="19">
        <v>46308.82708333333</v>
      </c>
      <c r="J278" s="20" t="s">
        <v>509</v>
      </c>
    </row>
    <row r="279" spans="1:10" x14ac:dyDescent="0.35">
      <c r="A279" s="20" t="s">
        <v>213</v>
      </c>
      <c r="B279" s="20" t="s">
        <v>482</v>
      </c>
      <c r="C279" s="20" t="s">
        <v>719</v>
      </c>
      <c r="D279" s="20" t="s">
        <v>1404</v>
      </c>
      <c r="E279" s="20" t="s">
        <v>1405</v>
      </c>
      <c r="F279" s="21" t="s">
        <v>1406</v>
      </c>
      <c r="G279" s="20" t="s">
        <v>474</v>
      </c>
      <c r="H279" s="20" t="s">
        <v>468</v>
      </c>
      <c r="I279" s="19">
        <v>46308.82708333333</v>
      </c>
      <c r="J279" s="20" t="s">
        <v>481</v>
      </c>
    </row>
    <row r="280" spans="1:10" x14ac:dyDescent="0.35">
      <c r="A280" s="20" t="s">
        <v>294</v>
      </c>
      <c r="B280" s="20" t="s">
        <v>475</v>
      </c>
      <c r="C280" s="20" t="s">
        <v>1158</v>
      </c>
      <c r="D280" s="20" t="s">
        <v>1407</v>
      </c>
      <c r="E280" s="20" t="s">
        <v>1408</v>
      </c>
      <c r="F280" s="21" t="s">
        <v>1409</v>
      </c>
      <c r="G280" s="20" t="s">
        <v>1162</v>
      </c>
      <c r="H280" s="20" t="s">
        <v>468</v>
      </c>
      <c r="I280" s="19">
        <v>46308.82708333333</v>
      </c>
      <c r="J280" s="20" t="s">
        <v>481</v>
      </c>
    </row>
    <row r="281" spans="1:10" x14ac:dyDescent="0.35">
      <c r="A281" s="20" t="s">
        <v>351</v>
      </c>
      <c r="B281" s="20" t="s">
        <v>475</v>
      </c>
      <c r="C281" s="20" t="s">
        <v>1410</v>
      </c>
      <c r="D281" s="20" t="s">
        <v>1411</v>
      </c>
      <c r="E281" s="20" t="s">
        <v>1412</v>
      </c>
      <c r="F281" s="21" t="s">
        <v>1413</v>
      </c>
      <c r="G281" s="20" t="s">
        <v>1414</v>
      </c>
      <c r="H281" s="20" t="s">
        <v>468</v>
      </c>
      <c r="I281" s="19">
        <v>46308.82708333333</v>
      </c>
      <c r="J281" s="20" t="s">
        <v>469</v>
      </c>
    </row>
    <row r="282" spans="1:10" x14ac:dyDescent="0.35">
      <c r="A282" s="20" t="s">
        <v>255</v>
      </c>
      <c r="B282" s="20" t="s">
        <v>462</v>
      </c>
      <c r="C282" s="20" t="s">
        <v>1415</v>
      </c>
      <c r="D282" s="20" t="s">
        <v>1416</v>
      </c>
      <c r="E282" s="20" t="s">
        <v>1417</v>
      </c>
      <c r="F282" s="21" t="s">
        <v>1418</v>
      </c>
      <c r="G282" s="20" t="s">
        <v>1069</v>
      </c>
      <c r="H282" s="20" t="s">
        <v>468</v>
      </c>
      <c r="I282" s="19">
        <v>46308.82708333333</v>
      </c>
      <c r="J282" s="20" t="s">
        <v>469</v>
      </c>
    </row>
    <row r="283" spans="1:10" x14ac:dyDescent="0.35">
      <c r="A283" s="20" t="s">
        <v>297</v>
      </c>
      <c r="B283" s="20" t="s">
        <v>482</v>
      </c>
      <c r="C283" s="20" t="s">
        <v>1419</v>
      </c>
      <c r="D283" s="20" t="s">
        <v>1420</v>
      </c>
      <c r="E283" s="20" t="s">
        <v>1421</v>
      </c>
      <c r="F283" s="21" t="s">
        <v>1422</v>
      </c>
      <c r="G283" s="20" t="s">
        <v>744</v>
      </c>
      <c r="H283" s="20" t="s">
        <v>468</v>
      </c>
      <c r="I283" s="19">
        <v>46308.82708333333</v>
      </c>
      <c r="J283" s="20" t="s">
        <v>469</v>
      </c>
    </row>
    <row r="284" spans="1:10" x14ac:dyDescent="0.35">
      <c r="A284" s="20" t="s">
        <v>189</v>
      </c>
      <c r="B284" s="20" t="s">
        <v>482</v>
      </c>
      <c r="C284" s="20" t="s">
        <v>483</v>
      </c>
      <c r="D284" s="20" t="s">
        <v>1423</v>
      </c>
      <c r="E284" s="20" t="s">
        <v>1424</v>
      </c>
      <c r="F284" s="21" t="s">
        <v>1425</v>
      </c>
      <c r="G284" s="20" t="s">
        <v>480</v>
      </c>
      <c r="H284" s="20" t="s">
        <v>468</v>
      </c>
      <c r="I284" s="19">
        <v>46308.82708333333</v>
      </c>
      <c r="J284" s="20" t="s">
        <v>509</v>
      </c>
    </row>
    <row r="285" spans="1:10" x14ac:dyDescent="0.35">
      <c r="A285" s="20" t="s">
        <v>315</v>
      </c>
      <c r="B285" s="20" t="s">
        <v>482</v>
      </c>
      <c r="C285" s="20" t="s">
        <v>1426</v>
      </c>
      <c r="D285" s="20" t="s">
        <v>1427</v>
      </c>
      <c r="E285" s="20" t="s">
        <v>1428</v>
      </c>
      <c r="F285" s="21" t="s">
        <v>1429</v>
      </c>
      <c r="G285" s="20" t="s">
        <v>1430</v>
      </c>
      <c r="H285" s="20" t="s">
        <v>468</v>
      </c>
      <c r="I285" s="19">
        <v>46308.82708333333</v>
      </c>
      <c r="J285" s="20" t="s">
        <v>509</v>
      </c>
    </row>
    <row r="286" spans="1:10" x14ac:dyDescent="0.35">
      <c r="A286" s="20" t="s">
        <v>255</v>
      </c>
      <c r="B286" s="20" t="s">
        <v>475</v>
      </c>
      <c r="C286" s="20" t="s">
        <v>1431</v>
      </c>
      <c r="D286" s="20" t="s">
        <v>1432</v>
      </c>
      <c r="E286" s="20" t="s">
        <v>1433</v>
      </c>
      <c r="F286" s="21" t="s">
        <v>1434</v>
      </c>
      <c r="G286" s="20" t="s">
        <v>1069</v>
      </c>
      <c r="H286" s="20" t="s">
        <v>468</v>
      </c>
      <c r="I286" s="19">
        <v>46308.82708333333</v>
      </c>
      <c r="J286" s="20" t="s">
        <v>469</v>
      </c>
    </row>
    <row r="287" spans="1:10" x14ac:dyDescent="0.35">
      <c r="A287" s="20" t="s">
        <v>189</v>
      </c>
      <c r="B287" s="20" t="s">
        <v>475</v>
      </c>
      <c r="C287" s="20" t="s">
        <v>476</v>
      </c>
      <c r="D287" s="20" t="s">
        <v>1435</v>
      </c>
      <c r="E287" s="20" t="s">
        <v>1436</v>
      </c>
      <c r="F287" s="21" t="s">
        <v>1437</v>
      </c>
      <c r="G287" s="20" t="s">
        <v>480</v>
      </c>
      <c r="H287" s="20" t="s">
        <v>468</v>
      </c>
      <c r="I287" s="19">
        <v>46308.82708333333</v>
      </c>
      <c r="J287" s="20" t="s">
        <v>469</v>
      </c>
    </row>
    <row r="288" spans="1:10" x14ac:dyDescent="0.35">
      <c r="A288" s="20" t="s">
        <v>246</v>
      </c>
      <c r="B288" s="20" t="s">
        <v>482</v>
      </c>
      <c r="C288" s="20" t="s">
        <v>960</v>
      </c>
      <c r="D288" s="20" t="s">
        <v>1438</v>
      </c>
      <c r="E288" s="20" t="s">
        <v>1439</v>
      </c>
      <c r="F288" s="21" t="s">
        <v>1440</v>
      </c>
      <c r="G288" s="20" t="s">
        <v>964</v>
      </c>
      <c r="H288" s="20" t="s">
        <v>468</v>
      </c>
      <c r="I288" s="19">
        <v>46308.82708333333</v>
      </c>
      <c r="J288" s="20" t="s">
        <v>469</v>
      </c>
    </row>
    <row r="289" spans="1:10" x14ac:dyDescent="0.35">
      <c r="A289" s="20" t="s">
        <v>189</v>
      </c>
      <c r="B289" s="20" t="s">
        <v>475</v>
      </c>
      <c r="C289" s="20" t="s">
        <v>476</v>
      </c>
      <c r="D289" s="20" t="s">
        <v>1441</v>
      </c>
      <c r="E289" s="20" t="s">
        <v>1442</v>
      </c>
      <c r="F289" s="21" t="s">
        <v>1443</v>
      </c>
      <c r="G289" s="20" t="s">
        <v>480</v>
      </c>
      <c r="H289" s="20" t="s">
        <v>468</v>
      </c>
      <c r="I289" s="19">
        <v>46308.82708333333</v>
      </c>
      <c r="J289" s="20" t="s">
        <v>481</v>
      </c>
    </row>
    <row r="290" spans="1:10" x14ac:dyDescent="0.35">
      <c r="A290" s="20" t="s">
        <v>285</v>
      </c>
      <c r="B290" s="20" t="s">
        <v>482</v>
      </c>
      <c r="C290" s="20" t="s">
        <v>1444</v>
      </c>
      <c r="D290" s="20" t="s">
        <v>1445</v>
      </c>
      <c r="E290" s="20" t="s">
        <v>1446</v>
      </c>
      <c r="F290" s="21" t="s">
        <v>1447</v>
      </c>
      <c r="G290" s="20" t="s">
        <v>559</v>
      </c>
      <c r="H290" s="20" t="s">
        <v>468</v>
      </c>
      <c r="I290" s="19">
        <v>46308.82708333333</v>
      </c>
      <c r="J290" s="20" t="s">
        <v>509</v>
      </c>
    </row>
    <row r="291" spans="1:10" x14ac:dyDescent="0.35">
      <c r="A291" s="20" t="s">
        <v>216</v>
      </c>
      <c r="B291" s="20" t="s">
        <v>475</v>
      </c>
      <c r="C291" s="20" t="s">
        <v>758</v>
      </c>
      <c r="D291" s="20" t="s">
        <v>1448</v>
      </c>
      <c r="E291" s="20" t="s">
        <v>1449</v>
      </c>
      <c r="F291" s="21" t="s">
        <v>1450</v>
      </c>
      <c r="G291" s="20" t="s">
        <v>619</v>
      </c>
      <c r="H291" s="20" t="s">
        <v>468</v>
      </c>
      <c r="I291" s="19">
        <v>46308.82708333333</v>
      </c>
      <c r="J291" s="20" t="s">
        <v>481</v>
      </c>
    </row>
    <row r="292" spans="1:10" x14ac:dyDescent="0.35">
      <c r="A292" s="20" t="s">
        <v>194</v>
      </c>
      <c r="B292" s="20" t="s">
        <v>462</v>
      </c>
      <c r="C292" s="20" t="s">
        <v>799</v>
      </c>
      <c r="D292" s="20" t="s">
        <v>1451</v>
      </c>
      <c r="E292" s="20" t="s">
        <v>1452</v>
      </c>
      <c r="F292" s="21" t="s">
        <v>1453</v>
      </c>
      <c r="G292" s="20" t="s">
        <v>800</v>
      </c>
      <c r="H292" s="20" t="s">
        <v>468</v>
      </c>
      <c r="I292" s="19">
        <v>46308.82708333333</v>
      </c>
      <c r="J292" s="20" t="s">
        <v>469</v>
      </c>
    </row>
    <row r="293" spans="1:10" x14ac:dyDescent="0.35">
      <c r="A293" s="20" t="s">
        <v>194</v>
      </c>
      <c r="B293" s="20" t="s">
        <v>462</v>
      </c>
      <c r="C293" s="20" t="s">
        <v>799</v>
      </c>
      <c r="D293" s="20" t="s">
        <v>1454</v>
      </c>
      <c r="E293" s="20" t="s">
        <v>1455</v>
      </c>
      <c r="F293" s="21" t="s">
        <v>1456</v>
      </c>
      <c r="G293" s="20" t="s">
        <v>800</v>
      </c>
      <c r="H293" s="20" t="s">
        <v>468</v>
      </c>
      <c r="I293" s="19">
        <v>46308.82708333333</v>
      </c>
      <c r="J293" s="20" t="s">
        <v>509</v>
      </c>
    </row>
    <row r="294" spans="1:10" x14ac:dyDescent="0.35">
      <c r="A294" s="20" t="s">
        <v>189</v>
      </c>
      <c r="B294" s="20" t="s">
        <v>462</v>
      </c>
      <c r="C294" s="20" t="s">
        <v>497</v>
      </c>
      <c r="D294" s="20" t="s">
        <v>1457</v>
      </c>
      <c r="E294" s="20" t="s">
        <v>1458</v>
      </c>
      <c r="F294" s="21" t="s">
        <v>1459</v>
      </c>
      <c r="G294" s="20" t="s">
        <v>480</v>
      </c>
      <c r="H294" s="20" t="s">
        <v>468</v>
      </c>
      <c r="I294" s="19">
        <v>46308.82708333333</v>
      </c>
      <c r="J294" s="20" t="s">
        <v>509</v>
      </c>
    </row>
    <row r="295" spans="1:10" x14ac:dyDescent="0.35">
      <c r="A295" s="20" t="s">
        <v>194</v>
      </c>
      <c r="B295" s="20" t="s">
        <v>462</v>
      </c>
      <c r="C295" s="20" t="s">
        <v>799</v>
      </c>
      <c r="D295" s="20" t="s">
        <v>1460</v>
      </c>
      <c r="E295" s="20" t="s">
        <v>1461</v>
      </c>
      <c r="F295" s="21" t="s">
        <v>1462</v>
      </c>
      <c r="G295" s="20" t="s">
        <v>800</v>
      </c>
      <c r="H295" s="20" t="s">
        <v>468</v>
      </c>
      <c r="I295" s="19">
        <v>46308.82708333333</v>
      </c>
      <c r="J295" s="20" t="s">
        <v>469</v>
      </c>
    </row>
    <row r="296" spans="1:10" x14ac:dyDescent="0.35">
      <c r="A296" s="20" t="s">
        <v>197</v>
      </c>
      <c r="B296" s="20" t="s">
        <v>475</v>
      </c>
      <c r="C296" s="20" t="s">
        <v>545</v>
      </c>
      <c r="D296" s="20" t="s">
        <v>1463</v>
      </c>
      <c r="E296" s="20" t="s">
        <v>1464</v>
      </c>
      <c r="F296" s="21" t="s">
        <v>1465</v>
      </c>
      <c r="G296" s="20" t="s">
        <v>549</v>
      </c>
      <c r="H296" s="20" t="s">
        <v>468</v>
      </c>
      <c r="I296" s="19">
        <v>46308.82708333333</v>
      </c>
      <c r="J296" s="20" t="s">
        <v>509</v>
      </c>
    </row>
    <row r="297" spans="1:10" x14ac:dyDescent="0.35">
      <c r="A297" s="20" t="s">
        <v>194</v>
      </c>
      <c r="B297" s="20" t="s">
        <v>462</v>
      </c>
      <c r="C297" s="20" t="s">
        <v>799</v>
      </c>
      <c r="D297" s="20" t="s">
        <v>1466</v>
      </c>
      <c r="E297" s="20" t="s">
        <v>1467</v>
      </c>
      <c r="F297" s="21" t="s">
        <v>1468</v>
      </c>
      <c r="G297" s="20" t="s">
        <v>800</v>
      </c>
      <c r="H297" s="20" t="s">
        <v>468</v>
      </c>
      <c r="I297" s="19">
        <v>46308.82708333333</v>
      </c>
      <c r="J297" s="20" t="s">
        <v>509</v>
      </c>
    </row>
    <row r="298" spans="1:10" x14ac:dyDescent="0.35">
      <c r="A298" s="20" t="s">
        <v>384</v>
      </c>
      <c r="B298" s="20" t="s">
        <v>462</v>
      </c>
      <c r="C298" s="20" t="s">
        <v>1469</v>
      </c>
      <c r="D298" s="20" t="s">
        <v>1470</v>
      </c>
      <c r="E298" s="20" t="s">
        <v>1471</v>
      </c>
      <c r="F298" s="21" t="s">
        <v>1472</v>
      </c>
      <c r="G298" s="20" t="s">
        <v>1473</v>
      </c>
      <c r="H298" s="20" t="s">
        <v>468</v>
      </c>
      <c r="I298" s="19">
        <v>46308.82708333333</v>
      </c>
      <c r="J298" s="20" t="s">
        <v>481</v>
      </c>
    </row>
    <row r="299" spans="1:10" x14ac:dyDescent="0.35">
      <c r="A299" s="20" t="s">
        <v>197</v>
      </c>
      <c r="B299" s="20" t="s">
        <v>482</v>
      </c>
      <c r="C299" s="20" t="s">
        <v>1167</v>
      </c>
      <c r="D299" s="20" t="s">
        <v>1474</v>
      </c>
      <c r="E299" s="20" t="s">
        <v>1475</v>
      </c>
      <c r="F299" s="21" t="s">
        <v>1476</v>
      </c>
      <c r="G299" s="20" t="s">
        <v>549</v>
      </c>
      <c r="H299" s="20" t="s">
        <v>468</v>
      </c>
      <c r="I299" s="19">
        <v>46308.82708333333</v>
      </c>
      <c r="J299" s="20" t="s">
        <v>509</v>
      </c>
    </row>
    <row r="300" spans="1:10" x14ac:dyDescent="0.35">
      <c r="A300" s="20" t="s">
        <v>197</v>
      </c>
      <c r="B300" s="20" t="s">
        <v>475</v>
      </c>
      <c r="C300" s="20" t="s">
        <v>545</v>
      </c>
      <c r="D300" s="20" t="s">
        <v>1477</v>
      </c>
      <c r="E300" s="20" t="s">
        <v>1478</v>
      </c>
      <c r="F300" s="21" t="s">
        <v>1479</v>
      </c>
      <c r="G300" s="20" t="s">
        <v>549</v>
      </c>
      <c r="H300" s="20" t="s">
        <v>468</v>
      </c>
      <c r="I300" s="19">
        <v>46308.82708333333</v>
      </c>
      <c r="J300" s="20" t="s">
        <v>469</v>
      </c>
    </row>
    <row r="301" spans="1:10" x14ac:dyDescent="0.35">
      <c r="A301" s="20" t="s">
        <v>189</v>
      </c>
      <c r="B301" s="20" t="s">
        <v>475</v>
      </c>
      <c r="C301" s="20" t="s">
        <v>476</v>
      </c>
      <c r="D301" s="20" t="s">
        <v>477</v>
      </c>
      <c r="E301" s="20" t="s">
        <v>478</v>
      </c>
      <c r="F301" s="21" t="s">
        <v>479</v>
      </c>
      <c r="G301" s="20" t="s">
        <v>480</v>
      </c>
      <c r="H301" s="20" t="s">
        <v>468</v>
      </c>
      <c r="I301" s="19">
        <v>46308.830555555563</v>
      </c>
      <c r="J301" s="20" t="s">
        <v>481</v>
      </c>
    </row>
    <row r="302" spans="1:10" x14ac:dyDescent="0.35">
      <c r="A302" s="20" t="s">
        <v>201</v>
      </c>
      <c r="B302" s="20" t="s">
        <v>482</v>
      </c>
      <c r="C302" s="20" t="s">
        <v>956</v>
      </c>
      <c r="D302" s="20" t="s">
        <v>1480</v>
      </c>
      <c r="E302" s="20" t="s">
        <v>1481</v>
      </c>
      <c r="F302" s="21" t="s">
        <v>1482</v>
      </c>
      <c r="G302" s="20" t="s">
        <v>537</v>
      </c>
      <c r="H302" s="20" t="s">
        <v>468</v>
      </c>
      <c r="I302" s="19">
        <v>46308.82708333333</v>
      </c>
      <c r="J302" s="20" t="s">
        <v>469</v>
      </c>
    </row>
    <row r="303" spans="1:10" x14ac:dyDescent="0.35">
      <c r="A303" s="20" t="s">
        <v>197</v>
      </c>
      <c r="B303" s="20" t="s">
        <v>475</v>
      </c>
      <c r="C303" s="20" t="s">
        <v>545</v>
      </c>
      <c r="D303" s="20" t="s">
        <v>1483</v>
      </c>
      <c r="E303" s="20" t="s">
        <v>1484</v>
      </c>
      <c r="F303" s="21" t="s">
        <v>1485</v>
      </c>
      <c r="G303" s="20" t="s">
        <v>549</v>
      </c>
      <c r="H303" s="20" t="s">
        <v>468</v>
      </c>
      <c r="I303" s="19">
        <v>46308.82708333333</v>
      </c>
      <c r="J303" s="20" t="s">
        <v>469</v>
      </c>
    </row>
    <row r="304" spans="1:10" x14ac:dyDescent="0.35">
      <c r="A304" s="20" t="s">
        <v>194</v>
      </c>
      <c r="B304" s="20" t="s">
        <v>482</v>
      </c>
      <c r="C304" s="20" t="s">
        <v>991</v>
      </c>
      <c r="D304" s="20" t="s">
        <v>1486</v>
      </c>
      <c r="E304" s="20" t="s">
        <v>1487</v>
      </c>
      <c r="F304" s="21" t="s">
        <v>1488</v>
      </c>
      <c r="G304" s="20" t="s">
        <v>1489</v>
      </c>
      <c r="H304" s="20" t="s">
        <v>906</v>
      </c>
      <c r="I304" s="19">
        <v>46308.82708333333</v>
      </c>
      <c r="J304" s="20" t="s">
        <v>481</v>
      </c>
    </row>
    <row r="305" spans="1:10" x14ac:dyDescent="0.35">
      <c r="A305" s="20" t="s">
        <v>273</v>
      </c>
      <c r="B305" s="20" t="s">
        <v>482</v>
      </c>
      <c r="C305" s="20" t="s">
        <v>659</v>
      </c>
      <c r="D305" s="20" t="s">
        <v>1490</v>
      </c>
      <c r="E305" s="20" t="s">
        <v>1491</v>
      </c>
      <c r="F305" s="21" t="s">
        <v>1492</v>
      </c>
      <c r="G305" s="20" t="s">
        <v>663</v>
      </c>
      <c r="H305" s="20" t="s">
        <v>468</v>
      </c>
      <c r="I305" s="19">
        <v>46308.82708333333</v>
      </c>
      <c r="J305" s="20" t="s">
        <v>509</v>
      </c>
    </row>
    <row r="306" spans="1:10" x14ac:dyDescent="0.35">
      <c r="A306" s="20" t="s">
        <v>204</v>
      </c>
      <c r="B306" s="20" t="s">
        <v>475</v>
      </c>
      <c r="C306" s="20" t="s">
        <v>828</v>
      </c>
      <c r="D306" s="20" t="s">
        <v>1493</v>
      </c>
      <c r="E306" s="20" t="s">
        <v>1494</v>
      </c>
      <c r="F306" s="21" t="s">
        <v>1495</v>
      </c>
      <c r="G306" s="20" t="s">
        <v>686</v>
      </c>
      <c r="H306" s="20" t="s">
        <v>468</v>
      </c>
      <c r="I306" s="19">
        <v>46308.82708333333</v>
      </c>
      <c r="J306" s="20" t="s">
        <v>481</v>
      </c>
    </row>
    <row r="307" spans="1:10" x14ac:dyDescent="0.35">
      <c r="A307" s="20" t="s">
        <v>204</v>
      </c>
      <c r="B307" s="20" t="s">
        <v>462</v>
      </c>
      <c r="C307" s="20" t="s">
        <v>699</v>
      </c>
      <c r="D307" s="20" t="s">
        <v>1496</v>
      </c>
      <c r="E307" s="20" t="s">
        <v>1497</v>
      </c>
      <c r="F307" s="21" t="s">
        <v>1498</v>
      </c>
      <c r="G307" s="20" t="s">
        <v>686</v>
      </c>
      <c r="H307" s="20" t="s">
        <v>468</v>
      </c>
      <c r="I307" s="19">
        <v>46308.82708333333</v>
      </c>
      <c r="J307" s="20" t="s">
        <v>481</v>
      </c>
    </row>
    <row r="308" spans="1:10" x14ac:dyDescent="0.35">
      <c r="A308" s="20" t="s">
        <v>234</v>
      </c>
      <c r="B308" s="20" t="s">
        <v>475</v>
      </c>
      <c r="C308" s="20" t="s">
        <v>711</v>
      </c>
      <c r="D308" s="20" t="s">
        <v>1499</v>
      </c>
      <c r="E308" s="20" t="s">
        <v>1500</v>
      </c>
      <c r="F308" s="21" t="s">
        <v>1501</v>
      </c>
      <c r="G308" s="20" t="s">
        <v>715</v>
      </c>
      <c r="H308" s="20" t="s">
        <v>468</v>
      </c>
      <c r="I308" s="19">
        <v>46308.82708333333</v>
      </c>
      <c r="J308" s="20" t="s">
        <v>509</v>
      </c>
    </row>
    <row r="309" spans="1:10" x14ac:dyDescent="0.35">
      <c r="A309" s="20" t="s">
        <v>207</v>
      </c>
      <c r="B309" s="20" t="s">
        <v>482</v>
      </c>
      <c r="C309" s="20" t="s">
        <v>921</v>
      </c>
      <c r="D309" s="20" t="s">
        <v>822</v>
      </c>
      <c r="E309" s="20" t="s">
        <v>823</v>
      </c>
      <c r="F309" s="21" t="s">
        <v>824</v>
      </c>
      <c r="G309" s="20" t="s">
        <v>592</v>
      </c>
      <c r="H309" s="20" t="s">
        <v>468</v>
      </c>
      <c r="I309" s="19">
        <v>46308.82708333333</v>
      </c>
      <c r="J309" s="20" t="s">
        <v>469</v>
      </c>
    </row>
    <row r="310" spans="1:10" x14ac:dyDescent="0.35">
      <c r="A310" s="20" t="s">
        <v>261</v>
      </c>
      <c r="B310" s="20" t="s">
        <v>475</v>
      </c>
      <c r="C310" s="20" t="s">
        <v>1502</v>
      </c>
      <c r="D310" s="20" t="s">
        <v>1299</v>
      </c>
      <c r="E310" s="20" t="s">
        <v>1300</v>
      </c>
      <c r="F310" s="21" t="s">
        <v>1301</v>
      </c>
      <c r="G310" s="20" t="s">
        <v>1369</v>
      </c>
      <c r="H310" s="20" t="s">
        <v>468</v>
      </c>
      <c r="I310" s="19">
        <v>46308.82708333333</v>
      </c>
      <c r="J310" s="20" t="s">
        <v>469</v>
      </c>
    </row>
    <row r="311" spans="1:10" x14ac:dyDescent="0.35">
      <c r="A311" s="20" t="s">
        <v>189</v>
      </c>
      <c r="B311" s="20" t="s">
        <v>475</v>
      </c>
      <c r="C311" s="20" t="s">
        <v>476</v>
      </c>
      <c r="D311" s="20" t="s">
        <v>1503</v>
      </c>
      <c r="E311" s="20" t="s">
        <v>1504</v>
      </c>
      <c r="F311" s="21" t="s">
        <v>1505</v>
      </c>
      <c r="G311" s="20" t="s">
        <v>480</v>
      </c>
      <c r="H311" s="20" t="s">
        <v>468</v>
      </c>
      <c r="I311" s="19">
        <v>46308.82708333333</v>
      </c>
      <c r="J311" s="20" t="s">
        <v>509</v>
      </c>
    </row>
    <row r="312" spans="1:10" x14ac:dyDescent="0.35">
      <c r="A312" s="20" t="s">
        <v>228</v>
      </c>
      <c r="B312" s="20" t="s">
        <v>475</v>
      </c>
      <c r="C312" s="20" t="s">
        <v>1233</v>
      </c>
      <c r="D312" s="20" t="s">
        <v>1506</v>
      </c>
      <c r="E312" s="20" t="s">
        <v>1507</v>
      </c>
      <c r="F312" s="21" t="s">
        <v>1508</v>
      </c>
      <c r="G312" s="20" t="s">
        <v>1237</v>
      </c>
      <c r="H312" s="20" t="s">
        <v>468</v>
      </c>
      <c r="I312" s="19">
        <v>46308.82708333333</v>
      </c>
      <c r="J312" s="20" t="s">
        <v>469</v>
      </c>
    </row>
    <row r="313" spans="1:10" x14ac:dyDescent="0.35">
      <c r="A313" s="20" t="s">
        <v>197</v>
      </c>
      <c r="B313" s="20" t="s">
        <v>475</v>
      </c>
      <c r="C313" s="20" t="s">
        <v>545</v>
      </c>
      <c r="D313" s="20" t="s">
        <v>1509</v>
      </c>
      <c r="E313" s="20" t="s">
        <v>1510</v>
      </c>
      <c r="F313" s="21" t="s">
        <v>1511</v>
      </c>
      <c r="G313" s="20" t="s">
        <v>549</v>
      </c>
      <c r="H313" s="20" t="s">
        <v>468</v>
      </c>
      <c r="I313" s="19">
        <v>46308.82708333333</v>
      </c>
      <c r="J313" s="20" t="s">
        <v>481</v>
      </c>
    </row>
    <row r="314" spans="1:10" x14ac:dyDescent="0.35">
      <c r="A314" s="20" t="s">
        <v>189</v>
      </c>
      <c r="B314" s="20" t="s">
        <v>482</v>
      </c>
      <c r="C314" s="20" t="s">
        <v>483</v>
      </c>
      <c r="D314" s="20" t="s">
        <v>1512</v>
      </c>
      <c r="E314" s="20" t="s">
        <v>1513</v>
      </c>
      <c r="F314" s="21" t="s">
        <v>1514</v>
      </c>
      <c r="G314" s="20" t="s">
        <v>480</v>
      </c>
      <c r="H314" s="20" t="s">
        <v>468</v>
      </c>
      <c r="I314" s="19">
        <v>46308.82708333333</v>
      </c>
      <c r="J314" s="20" t="s">
        <v>509</v>
      </c>
    </row>
    <row r="315" spans="1:10" x14ac:dyDescent="0.35">
      <c r="A315" s="20" t="s">
        <v>219</v>
      </c>
      <c r="B315" s="20" t="s">
        <v>482</v>
      </c>
      <c r="C315" s="20" t="s">
        <v>1136</v>
      </c>
      <c r="D315" s="20" t="s">
        <v>1137</v>
      </c>
      <c r="E315" s="20" t="s">
        <v>1138</v>
      </c>
      <c r="F315" s="21" t="s">
        <v>1139</v>
      </c>
      <c r="G315" s="20" t="s">
        <v>805</v>
      </c>
      <c r="H315" s="20" t="s">
        <v>468</v>
      </c>
      <c r="I315" s="19">
        <v>46308.82708333333</v>
      </c>
      <c r="J315" s="20" t="s">
        <v>469</v>
      </c>
    </row>
    <row r="316" spans="1:10" x14ac:dyDescent="0.35">
      <c r="A316" s="20" t="s">
        <v>279</v>
      </c>
      <c r="B316" s="20" t="s">
        <v>475</v>
      </c>
      <c r="C316" s="20" t="s">
        <v>1267</v>
      </c>
      <c r="D316" s="20" t="s">
        <v>1515</v>
      </c>
      <c r="E316" s="20" t="s">
        <v>1516</v>
      </c>
      <c r="F316" s="21" t="s">
        <v>1517</v>
      </c>
      <c r="G316" s="20" t="s">
        <v>1124</v>
      </c>
      <c r="H316" s="20" t="s">
        <v>468</v>
      </c>
      <c r="I316" s="19">
        <v>46308.82708333333</v>
      </c>
      <c r="J316" s="20" t="s">
        <v>509</v>
      </c>
    </row>
    <row r="317" spans="1:10" x14ac:dyDescent="0.35">
      <c r="A317" s="20" t="s">
        <v>204</v>
      </c>
      <c r="B317" s="20" t="s">
        <v>482</v>
      </c>
      <c r="C317" s="20" t="s">
        <v>682</v>
      </c>
      <c r="D317" s="20" t="s">
        <v>1518</v>
      </c>
      <c r="E317" s="20" t="s">
        <v>1519</v>
      </c>
      <c r="F317" s="21" t="s">
        <v>1520</v>
      </c>
      <c r="G317" s="20" t="s">
        <v>686</v>
      </c>
      <c r="H317" s="20" t="s">
        <v>468</v>
      </c>
      <c r="I317" s="19">
        <v>46308.82708333333</v>
      </c>
      <c r="J317" s="20" t="s">
        <v>469</v>
      </c>
    </row>
    <row r="318" spans="1:10" x14ac:dyDescent="0.35">
      <c r="A318" s="20" t="s">
        <v>225</v>
      </c>
      <c r="B318" s="20" t="s">
        <v>462</v>
      </c>
      <c r="C318" s="20" t="s">
        <v>1395</v>
      </c>
      <c r="D318" s="20" t="s">
        <v>1521</v>
      </c>
      <c r="E318" s="20" t="s">
        <v>1522</v>
      </c>
      <c r="F318" s="21" t="s">
        <v>1523</v>
      </c>
      <c r="G318" s="20" t="s">
        <v>643</v>
      </c>
      <c r="H318" s="20" t="s">
        <v>468</v>
      </c>
      <c r="I318" s="19">
        <v>46308.82708333333</v>
      </c>
      <c r="J318" s="20" t="s">
        <v>481</v>
      </c>
    </row>
    <row r="319" spans="1:10" x14ac:dyDescent="0.35">
      <c r="A319" s="20" t="s">
        <v>219</v>
      </c>
      <c r="B319" s="20" t="s">
        <v>462</v>
      </c>
      <c r="C319" s="20" t="s">
        <v>801</v>
      </c>
      <c r="D319" s="20" t="s">
        <v>1524</v>
      </c>
      <c r="E319" s="20" t="s">
        <v>1525</v>
      </c>
      <c r="F319" s="21" t="s">
        <v>1526</v>
      </c>
      <c r="G319" s="20" t="s">
        <v>805</v>
      </c>
      <c r="H319" s="20" t="s">
        <v>468</v>
      </c>
      <c r="I319" s="19">
        <v>46308.82708333333</v>
      </c>
      <c r="J319" s="20" t="s">
        <v>481</v>
      </c>
    </row>
    <row r="320" spans="1:10" x14ac:dyDescent="0.35">
      <c r="A320" s="20" t="s">
        <v>189</v>
      </c>
      <c r="B320" s="20" t="s">
        <v>482</v>
      </c>
      <c r="C320" s="20" t="s">
        <v>483</v>
      </c>
      <c r="D320" s="20" t="s">
        <v>1527</v>
      </c>
      <c r="E320" s="20" t="s">
        <v>1528</v>
      </c>
      <c r="F320" s="21" t="s">
        <v>1529</v>
      </c>
      <c r="G320" s="20" t="s">
        <v>480</v>
      </c>
      <c r="H320" s="20" t="s">
        <v>468</v>
      </c>
      <c r="I320" s="19">
        <v>46308.82708333333</v>
      </c>
      <c r="J320" s="20" t="s">
        <v>469</v>
      </c>
    </row>
    <row r="321" spans="1:10" x14ac:dyDescent="0.35">
      <c r="A321" s="20" t="s">
        <v>258</v>
      </c>
      <c r="B321" s="20" t="s">
        <v>475</v>
      </c>
      <c r="C321" s="20" t="s">
        <v>1171</v>
      </c>
      <c r="D321" s="20" t="s">
        <v>1530</v>
      </c>
      <c r="E321" s="20" t="s">
        <v>1531</v>
      </c>
      <c r="F321" s="21" t="s">
        <v>1532</v>
      </c>
      <c r="G321" s="20" t="s">
        <v>1533</v>
      </c>
      <c r="H321" s="20" t="s">
        <v>634</v>
      </c>
      <c r="I321" s="19">
        <v>46308.82708333333</v>
      </c>
      <c r="J321" s="20" t="s">
        <v>481</v>
      </c>
    </row>
    <row r="322" spans="1:10" x14ac:dyDescent="0.35">
      <c r="A322" s="20" t="s">
        <v>197</v>
      </c>
      <c r="B322" s="20" t="s">
        <v>475</v>
      </c>
      <c r="C322" s="20" t="s">
        <v>545</v>
      </c>
      <c r="D322" s="20" t="s">
        <v>1534</v>
      </c>
      <c r="E322" s="20" t="s">
        <v>1535</v>
      </c>
      <c r="F322" s="21" t="s">
        <v>1536</v>
      </c>
      <c r="G322" s="20" t="s">
        <v>549</v>
      </c>
      <c r="H322" s="20" t="s">
        <v>468</v>
      </c>
      <c r="I322" s="19">
        <v>46308.82708333333</v>
      </c>
      <c r="J322" s="20" t="s">
        <v>469</v>
      </c>
    </row>
    <row r="323" spans="1:10" x14ac:dyDescent="0.35">
      <c r="A323" s="20" t="s">
        <v>194</v>
      </c>
      <c r="B323" s="20" t="s">
        <v>482</v>
      </c>
      <c r="C323" s="20" t="s">
        <v>991</v>
      </c>
      <c r="D323" s="20" t="s">
        <v>1537</v>
      </c>
      <c r="E323" s="20" t="s">
        <v>1538</v>
      </c>
      <c r="F323" s="21" t="s">
        <v>1539</v>
      </c>
      <c r="G323" s="20" t="s">
        <v>800</v>
      </c>
      <c r="H323" s="20" t="s">
        <v>468</v>
      </c>
      <c r="I323" s="19">
        <v>46308.82708333333</v>
      </c>
      <c r="J323" s="20" t="s">
        <v>481</v>
      </c>
    </row>
    <row r="324" spans="1:10" x14ac:dyDescent="0.35">
      <c r="A324" s="20" t="s">
        <v>348</v>
      </c>
      <c r="B324" s="20" t="s">
        <v>482</v>
      </c>
      <c r="C324" s="20" t="s">
        <v>1540</v>
      </c>
      <c r="D324" s="20" t="s">
        <v>1541</v>
      </c>
      <c r="E324" s="20" t="s">
        <v>1542</v>
      </c>
      <c r="F324" s="21" t="s">
        <v>1543</v>
      </c>
      <c r="G324" s="20" t="s">
        <v>1544</v>
      </c>
      <c r="H324" s="20" t="s">
        <v>468</v>
      </c>
      <c r="I324" s="19">
        <v>46308.82708333333</v>
      </c>
      <c r="J324" s="20" t="s">
        <v>481</v>
      </c>
    </row>
    <row r="325" spans="1:10" x14ac:dyDescent="0.35">
      <c r="A325" s="20" t="s">
        <v>197</v>
      </c>
      <c r="B325" s="20" t="s">
        <v>475</v>
      </c>
      <c r="C325" s="20" t="s">
        <v>545</v>
      </c>
      <c r="D325" s="20" t="s">
        <v>882</v>
      </c>
      <c r="E325" s="20" t="s">
        <v>883</v>
      </c>
      <c r="F325" s="21" t="s">
        <v>884</v>
      </c>
      <c r="G325" s="20" t="s">
        <v>549</v>
      </c>
      <c r="H325" s="20" t="s">
        <v>468</v>
      </c>
      <c r="I325" s="19">
        <v>46308.82708333333</v>
      </c>
      <c r="J325" s="20" t="s">
        <v>481</v>
      </c>
    </row>
    <row r="326" spans="1:10" x14ac:dyDescent="0.35">
      <c r="A326" s="20" t="s">
        <v>324</v>
      </c>
      <c r="B326" s="20" t="s">
        <v>462</v>
      </c>
      <c r="C326" s="20" t="s">
        <v>1545</v>
      </c>
      <c r="D326" s="20" t="s">
        <v>1546</v>
      </c>
      <c r="E326" s="20" t="s">
        <v>1547</v>
      </c>
      <c r="F326" s="21" t="s">
        <v>1548</v>
      </c>
      <c r="G326" s="20" t="s">
        <v>861</v>
      </c>
      <c r="H326" s="20" t="s">
        <v>468</v>
      </c>
      <c r="I326" s="19">
        <v>46308.82708333333</v>
      </c>
      <c r="J326" s="20" t="s">
        <v>469</v>
      </c>
    </row>
    <row r="327" spans="1:10" x14ac:dyDescent="0.35">
      <c r="A327" s="20" t="s">
        <v>194</v>
      </c>
      <c r="B327" s="20" t="s">
        <v>462</v>
      </c>
      <c r="C327" s="20" t="s">
        <v>799</v>
      </c>
      <c r="D327" s="20" t="s">
        <v>1549</v>
      </c>
      <c r="E327" s="20" t="s">
        <v>1550</v>
      </c>
      <c r="F327" s="21" t="s">
        <v>1551</v>
      </c>
      <c r="G327" s="20" t="s">
        <v>800</v>
      </c>
      <c r="H327" s="20" t="s">
        <v>468</v>
      </c>
      <c r="I327" s="19">
        <v>46308.82708333333</v>
      </c>
      <c r="J327" s="20" t="s">
        <v>509</v>
      </c>
    </row>
    <row r="328" spans="1:10" x14ac:dyDescent="0.35">
      <c r="A328" s="20" t="s">
        <v>189</v>
      </c>
      <c r="B328" s="20" t="s">
        <v>462</v>
      </c>
      <c r="C328" s="20" t="s">
        <v>497</v>
      </c>
      <c r="D328" s="20" t="s">
        <v>1552</v>
      </c>
      <c r="E328" s="20" t="s">
        <v>1553</v>
      </c>
      <c r="F328" s="21" t="s">
        <v>1554</v>
      </c>
      <c r="G328" s="20" t="s">
        <v>480</v>
      </c>
      <c r="H328" s="20" t="s">
        <v>468</v>
      </c>
      <c r="I328" s="19">
        <v>46308.82708333333</v>
      </c>
      <c r="J328" s="20" t="s">
        <v>481</v>
      </c>
    </row>
    <row r="329" spans="1:10" x14ac:dyDescent="0.35">
      <c r="A329" s="20" t="s">
        <v>309</v>
      </c>
      <c r="B329" s="20" t="s">
        <v>475</v>
      </c>
      <c r="C329" s="20" t="s">
        <v>1555</v>
      </c>
      <c r="D329" s="20" t="s">
        <v>1556</v>
      </c>
      <c r="E329" s="20" t="s">
        <v>1557</v>
      </c>
      <c r="F329" s="21" t="s">
        <v>1558</v>
      </c>
      <c r="G329" s="20" t="s">
        <v>517</v>
      </c>
      <c r="H329" s="20" t="s">
        <v>468</v>
      </c>
      <c r="I329" s="19">
        <v>46308.82708333333</v>
      </c>
      <c r="J329" s="20" t="s">
        <v>481</v>
      </c>
    </row>
    <row r="330" spans="1:10" x14ac:dyDescent="0.35">
      <c r="A330" s="20" t="s">
        <v>258</v>
      </c>
      <c r="B330" s="20" t="s">
        <v>462</v>
      </c>
      <c r="C330" s="20" t="s">
        <v>1559</v>
      </c>
      <c r="D330" s="20" t="s">
        <v>1560</v>
      </c>
      <c r="E330" s="20" t="s">
        <v>1561</v>
      </c>
      <c r="F330" s="21" t="s">
        <v>1562</v>
      </c>
      <c r="G330" s="20" t="s">
        <v>648</v>
      </c>
      <c r="H330" s="20" t="s">
        <v>468</v>
      </c>
      <c r="I330" s="19">
        <v>46308.82708333333</v>
      </c>
      <c r="J330" s="20" t="s">
        <v>509</v>
      </c>
    </row>
    <row r="331" spans="1:10" x14ac:dyDescent="0.35">
      <c r="A331" s="20" t="s">
        <v>189</v>
      </c>
      <c r="B331" s="20" t="s">
        <v>482</v>
      </c>
      <c r="C331" s="20" t="s">
        <v>483</v>
      </c>
      <c r="D331" s="20" t="s">
        <v>1563</v>
      </c>
      <c r="E331" s="20" t="s">
        <v>1564</v>
      </c>
      <c r="F331" s="21" t="s">
        <v>1565</v>
      </c>
      <c r="G331" s="20" t="s">
        <v>480</v>
      </c>
      <c r="H331" s="20" t="s">
        <v>468</v>
      </c>
      <c r="I331" s="19">
        <v>46308.82708333333</v>
      </c>
      <c r="J331" s="20" t="s">
        <v>469</v>
      </c>
    </row>
    <row r="332" spans="1:10" x14ac:dyDescent="0.35">
      <c r="A332" s="20" t="s">
        <v>327</v>
      </c>
      <c r="B332" s="20" t="s">
        <v>475</v>
      </c>
      <c r="C332" s="20" t="s">
        <v>629</v>
      </c>
      <c r="D332" s="20" t="s">
        <v>796</v>
      </c>
      <c r="E332" s="20" t="s">
        <v>797</v>
      </c>
      <c r="F332" s="21" t="s">
        <v>798</v>
      </c>
      <c r="G332" s="20" t="s">
        <v>1566</v>
      </c>
      <c r="H332" s="20" t="s">
        <v>468</v>
      </c>
      <c r="I332" s="19">
        <v>46308.82708333333</v>
      </c>
      <c r="J332" s="20" t="s">
        <v>481</v>
      </c>
    </row>
    <row r="333" spans="1:10" x14ac:dyDescent="0.35">
      <c r="A333" s="20" t="s">
        <v>222</v>
      </c>
      <c r="B333" s="20" t="s">
        <v>482</v>
      </c>
      <c r="C333" s="20" t="s">
        <v>579</v>
      </c>
      <c r="D333" s="20" t="s">
        <v>1509</v>
      </c>
      <c r="E333" s="20" t="s">
        <v>1510</v>
      </c>
      <c r="F333" s="21" t="s">
        <v>1511</v>
      </c>
      <c r="G333" s="20" t="s">
        <v>527</v>
      </c>
      <c r="H333" s="20" t="s">
        <v>468</v>
      </c>
      <c r="I333" s="19">
        <v>46308.82708333333</v>
      </c>
      <c r="J333" s="20" t="s">
        <v>481</v>
      </c>
    </row>
    <row r="334" spans="1:10" x14ac:dyDescent="0.35">
      <c r="A334" s="20" t="s">
        <v>197</v>
      </c>
      <c r="B334" s="20" t="s">
        <v>475</v>
      </c>
      <c r="C334" s="20" t="s">
        <v>545</v>
      </c>
      <c r="D334" s="20" t="s">
        <v>1567</v>
      </c>
      <c r="E334" s="20" t="s">
        <v>1568</v>
      </c>
      <c r="F334" s="21" t="s">
        <v>1569</v>
      </c>
      <c r="G334" s="20" t="s">
        <v>549</v>
      </c>
      <c r="H334" s="20" t="s">
        <v>468</v>
      </c>
      <c r="I334" s="19">
        <v>46308.82708333333</v>
      </c>
      <c r="J334" s="20" t="s">
        <v>469</v>
      </c>
    </row>
    <row r="335" spans="1:10" x14ac:dyDescent="0.35">
      <c r="A335" s="20" t="s">
        <v>216</v>
      </c>
      <c r="B335" s="20" t="s">
        <v>462</v>
      </c>
      <c r="C335" s="20" t="s">
        <v>615</v>
      </c>
      <c r="D335" s="20" t="s">
        <v>1570</v>
      </c>
      <c r="E335" s="20" t="s">
        <v>1571</v>
      </c>
      <c r="F335" s="21" t="s">
        <v>1572</v>
      </c>
      <c r="G335" s="20" t="s">
        <v>619</v>
      </c>
      <c r="H335" s="20" t="s">
        <v>468</v>
      </c>
      <c r="I335" s="19">
        <v>46308.82708333333</v>
      </c>
      <c r="J335" s="20" t="s">
        <v>509</v>
      </c>
    </row>
    <row r="336" spans="1:10" x14ac:dyDescent="0.35">
      <c r="A336" s="20" t="s">
        <v>197</v>
      </c>
      <c r="B336" s="20" t="s">
        <v>462</v>
      </c>
      <c r="C336" s="20" t="s">
        <v>560</v>
      </c>
      <c r="D336" s="20" t="s">
        <v>1573</v>
      </c>
      <c r="E336" s="20" t="s">
        <v>1574</v>
      </c>
      <c r="F336" s="21" t="s">
        <v>1575</v>
      </c>
      <c r="G336" s="20" t="s">
        <v>549</v>
      </c>
      <c r="H336" s="20" t="s">
        <v>468</v>
      </c>
      <c r="I336" s="19">
        <v>46308.82708333333</v>
      </c>
      <c r="J336" s="20" t="s">
        <v>469</v>
      </c>
    </row>
    <row r="337" spans="1:10" x14ac:dyDescent="0.35">
      <c r="A337" s="20" t="s">
        <v>189</v>
      </c>
      <c r="B337" s="20" t="s">
        <v>475</v>
      </c>
      <c r="C337" s="20" t="s">
        <v>476</v>
      </c>
      <c r="D337" s="20" t="s">
        <v>1576</v>
      </c>
      <c r="E337" s="20" t="s">
        <v>1577</v>
      </c>
      <c r="F337" s="21" t="s">
        <v>1578</v>
      </c>
      <c r="G337" s="20" t="s">
        <v>480</v>
      </c>
      <c r="H337" s="20" t="s">
        <v>468</v>
      </c>
      <c r="I337" s="19">
        <v>46308.82708333333</v>
      </c>
      <c r="J337" s="20" t="s">
        <v>469</v>
      </c>
    </row>
    <row r="338" spans="1:10" x14ac:dyDescent="0.35">
      <c r="A338" s="20" t="s">
        <v>197</v>
      </c>
      <c r="B338" s="20" t="s">
        <v>462</v>
      </c>
      <c r="C338" s="20" t="s">
        <v>560</v>
      </c>
      <c r="D338" s="20" t="s">
        <v>1342</v>
      </c>
      <c r="E338" s="20" t="s">
        <v>1343</v>
      </c>
      <c r="F338" s="21" t="s">
        <v>1344</v>
      </c>
      <c r="G338" s="20" t="s">
        <v>549</v>
      </c>
      <c r="H338" s="20" t="s">
        <v>468</v>
      </c>
      <c r="I338" s="19">
        <v>46308.82708333333</v>
      </c>
      <c r="J338" s="20" t="s">
        <v>469</v>
      </c>
    </row>
    <row r="339" spans="1:10" x14ac:dyDescent="0.35">
      <c r="A339" s="20" t="s">
        <v>342</v>
      </c>
      <c r="B339" s="20" t="s">
        <v>475</v>
      </c>
      <c r="C339" s="20" t="s">
        <v>981</v>
      </c>
      <c r="D339" s="20" t="s">
        <v>982</v>
      </c>
      <c r="E339" s="20" t="s">
        <v>983</v>
      </c>
      <c r="F339" s="21" t="s">
        <v>984</v>
      </c>
      <c r="G339" s="20" t="s">
        <v>985</v>
      </c>
      <c r="H339" s="20" t="s">
        <v>468</v>
      </c>
      <c r="I339" s="19">
        <v>46308.82708333333</v>
      </c>
      <c r="J339" s="20" t="s">
        <v>509</v>
      </c>
    </row>
    <row r="340" spans="1:10" x14ac:dyDescent="0.35">
      <c r="A340" s="20" t="s">
        <v>219</v>
      </c>
      <c r="B340" s="20" t="s">
        <v>475</v>
      </c>
      <c r="C340" s="20" t="s">
        <v>977</v>
      </c>
      <c r="D340" s="20" t="s">
        <v>822</v>
      </c>
      <c r="E340" s="20" t="s">
        <v>823</v>
      </c>
      <c r="F340" s="21" t="s">
        <v>824</v>
      </c>
      <c r="G340" s="20" t="s">
        <v>805</v>
      </c>
      <c r="H340" s="20" t="s">
        <v>468</v>
      </c>
      <c r="I340" s="19">
        <v>46308.82708333333</v>
      </c>
      <c r="J340" s="20" t="s">
        <v>469</v>
      </c>
    </row>
    <row r="341" spans="1:10" x14ac:dyDescent="0.35">
      <c r="A341" s="20" t="s">
        <v>197</v>
      </c>
      <c r="B341" s="20" t="s">
        <v>462</v>
      </c>
      <c r="C341" s="20" t="s">
        <v>560</v>
      </c>
      <c r="D341" s="20" t="s">
        <v>1184</v>
      </c>
      <c r="E341" s="20" t="s">
        <v>1185</v>
      </c>
      <c r="F341" s="21" t="s">
        <v>1186</v>
      </c>
      <c r="G341" s="20" t="s">
        <v>549</v>
      </c>
      <c r="H341" s="20" t="s">
        <v>468</v>
      </c>
      <c r="I341" s="19">
        <v>46308.82708333333</v>
      </c>
      <c r="J341" s="20" t="s">
        <v>469</v>
      </c>
    </row>
    <row r="342" spans="1:10" x14ac:dyDescent="0.35">
      <c r="A342" s="20" t="s">
        <v>294</v>
      </c>
      <c r="B342" s="20" t="s">
        <v>475</v>
      </c>
      <c r="C342" s="20" t="s">
        <v>1158</v>
      </c>
      <c r="D342" s="20" t="s">
        <v>1339</v>
      </c>
      <c r="E342" s="20" t="s">
        <v>1340</v>
      </c>
      <c r="F342" s="21" t="s">
        <v>1341</v>
      </c>
      <c r="G342" s="20" t="s">
        <v>1162</v>
      </c>
      <c r="H342" s="20" t="s">
        <v>468</v>
      </c>
      <c r="I342" s="19">
        <v>46308.827777777777</v>
      </c>
      <c r="J342" s="20" t="s">
        <v>509</v>
      </c>
    </row>
    <row r="343" spans="1:10" x14ac:dyDescent="0.35">
      <c r="A343" s="20" t="s">
        <v>189</v>
      </c>
      <c r="B343" s="20" t="s">
        <v>462</v>
      </c>
      <c r="C343" s="20" t="s">
        <v>497</v>
      </c>
      <c r="D343" s="20" t="s">
        <v>645</v>
      </c>
      <c r="E343" s="20" t="s">
        <v>646</v>
      </c>
      <c r="F343" s="21" t="s">
        <v>647</v>
      </c>
      <c r="G343" s="20" t="s">
        <v>480</v>
      </c>
      <c r="H343" s="20" t="s">
        <v>468</v>
      </c>
      <c r="I343" s="19">
        <v>46308.82708333333</v>
      </c>
      <c r="J343" s="20" t="s">
        <v>469</v>
      </c>
    </row>
    <row r="344" spans="1:10" x14ac:dyDescent="0.35">
      <c r="A344" s="20" t="s">
        <v>288</v>
      </c>
      <c r="B344" s="20" t="s">
        <v>482</v>
      </c>
      <c r="C344" s="20" t="s">
        <v>841</v>
      </c>
      <c r="D344" s="20" t="s">
        <v>1579</v>
      </c>
      <c r="E344" s="20" t="s">
        <v>1580</v>
      </c>
      <c r="F344" s="21" t="s">
        <v>1581</v>
      </c>
      <c r="G344" s="20" t="s">
        <v>845</v>
      </c>
      <c r="H344" s="20" t="s">
        <v>468</v>
      </c>
      <c r="I344" s="19">
        <v>46308.82708333333</v>
      </c>
      <c r="J344" s="20" t="s">
        <v>469</v>
      </c>
    </row>
    <row r="345" spans="1:10" x14ac:dyDescent="0.35">
      <c r="A345" s="20" t="s">
        <v>384</v>
      </c>
      <c r="B345" s="20" t="s">
        <v>462</v>
      </c>
      <c r="C345" s="20" t="s">
        <v>1469</v>
      </c>
      <c r="D345" s="20" t="s">
        <v>1582</v>
      </c>
      <c r="E345" s="20" t="s">
        <v>1583</v>
      </c>
      <c r="F345" s="21" t="s">
        <v>1584</v>
      </c>
      <c r="G345" s="20" t="s">
        <v>1473</v>
      </c>
      <c r="H345" s="20" t="s">
        <v>468</v>
      </c>
      <c r="I345" s="19">
        <v>46308.82708333333</v>
      </c>
      <c r="J345" s="20" t="s">
        <v>469</v>
      </c>
    </row>
    <row r="346" spans="1:10" x14ac:dyDescent="0.35">
      <c r="A346" s="20" t="s">
        <v>240</v>
      </c>
      <c r="B346" s="20" t="s">
        <v>462</v>
      </c>
      <c r="C346" s="20" t="s">
        <v>569</v>
      </c>
      <c r="D346" s="20" t="s">
        <v>1585</v>
      </c>
      <c r="E346" s="20" t="s">
        <v>1586</v>
      </c>
      <c r="F346" s="21" t="s">
        <v>1587</v>
      </c>
      <c r="G346" s="20" t="s">
        <v>573</v>
      </c>
      <c r="H346" s="20" t="s">
        <v>468</v>
      </c>
      <c r="I346" s="19">
        <v>46308.82708333333</v>
      </c>
      <c r="J346" s="20" t="s">
        <v>481</v>
      </c>
    </row>
    <row r="347" spans="1:10" x14ac:dyDescent="0.35">
      <c r="A347" s="20" t="s">
        <v>201</v>
      </c>
      <c r="B347" s="20" t="s">
        <v>475</v>
      </c>
      <c r="C347" s="20" t="s">
        <v>533</v>
      </c>
      <c r="D347" s="20" t="s">
        <v>626</v>
      </c>
      <c r="E347" s="20" t="s">
        <v>627</v>
      </c>
      <c r="F347" s="21" t="s">
        <v>628</v>
      </c>
      <c r="G347" s="20" t="s">
        <v>537</v>
      </c>
      <c r="H347" s="20" t="s">
        <v>468</v>
      </c>
      <c r="I347" s="19">
        <v>46308.82708333333</v>
      </c>
      <c r="J347" s="20" t="s">
        <v>481</v>
      </c>
    </row>
    <row r="348" spans="1:10" x14ac:dyDescent="0.35">
      <c r="A348" s="20" t="s">
        <v>447</v>
      </c>
      <c r="B348" s="20" t="s">
        <v>482</v>
      </c>
      <c r="C348" s="20" t="s">
        <v>1588</v>
      </c>
      <c r="D348" s="20" t="s">
        <v>1589</v>
      </c>
      <c r="E348" s="20" t="s">
        <v>1590</v>
      </c>
      <c r="F348" s="21" t="s">
        <v>1591</v>
      </c>
      <c r="G348" s="20" t="s">
        <v>1592</v>
      </c>
      <c r="H348" s="20" t="s">
        <v>468</v>
      </c>
      <c r="I348" s="19">
        <v>46308.82708333333</v>
      </c>
      <c r="J348" s="20" t="s">
        <v>469</v>
      </c>
    </row>
    <row r="349" spans="1:10" x14ac:dyDescent="0.35">
      <c r="A349" s="20" t="s">
        <v>197</v>
      </c>
      <c r="B349" s="20" t="s">
        <v>475</v>
      </c>
      <c r="C349" s="20" t="s">
        <v>545</v>
      </c>
      <c r="D349" s="20" t="s">
        <v>1593</v>
      </c>
      <c r="E349" s="20" t="s">
        <v>1594</v>
      </c>
      <c r="F349" s="21" t="s">
        <v>1595</v>
      </c>
      <c r="G349" s="20" t="s">
        <v>549</v>
      </c>
      <c r="H349" s="20" t="s">
        <v>468</v>
      </c>
      <c r="I349" s="19">
        <v>46308.82708333333</v>
      </c>
      <c r="J349" s="20" t="s">
        <v>469</v>
      </c>
    </row>
    <row r="350" spans="1:10" x14ac:dyDescent="0.35">
      <c r="A350" s="20" t="s">
        <v>194</v>
      </c>
      <c r="B350" s="20" t="s">
        <v>475</v>
      </c>
      <c r="C350" s="20" t="s">
        <v>917</v>
      </c>
      <c r="D350" s="20" t="s">
        <v>1596</v>
      </c>
      <c r="E350" s="20" t="s">
        <v>1597</v>
      </c>
      <c r="F350" s="21" t="s">
        <v>1598</v>
      </c>
      <c r="G350" s="20" t="s">
        <v>800</v>
      </c>
      <c r="H350" s="20" t="s">
        <v>468</v>
      </c>
      <c r="I350" s="19">
        <v>46308.82708333333</v>
      </c>
      <c r="J350" s="20" t="s">
        <v>469</v>
      </c>
    </row>
    <row r="351" spans="1:10" x14ac:dyDescent="0.35">
      <c r="A351" s="20" t="s">
        <v>189</v>
      </c>
      <c r="B351" s="20" t="s">
        <v>462</v>
      </c>
      <c r="C351" s="20" t="s">
        <v>497</v>
      </c>
      <c r="D351" s="20" t="s">
        <v>1599</v>
      </c>
      <c r="E351" s="20" t="s">
        <v>1600</v>
      </c>
      <c r="F351" s="21" t="s">
        <v>1601</v>
      </c>
      <c r="G351" s="20" t="s">
        <v>480</v>
      </c>
      <c r="H351" s="20" t="s">
        <v>468</v>
      </c>
      <c r="I351" s="19">
        <v>46308.82708333333</v>
      </c>
      <c r="J351" s="20" t="s">
        <v>469</v>
      </c>
    </row>
    <row r="352" spans="1:10" x14ac:dyDescent="0.35">
      <c r="A352" s="20" t="s">
        <v>216</v>
      </c>
      <c r="B352" s="20" t="s">
        <v>482</v>
      </c>
      <c r="C352" s="20" t="s">
        <v>649</v>
      </c>
      <c r="D352" s="20" t="s">
        <v>1602</v>
      </c>
      <c r="E352" s="20" t="s">
        <v>1603</v>
      </c>
      <c r="F352" s="21" t="s">
        <v>1604</v>
      </c>
      <c r="G352" s="20" t="s">
        <v>619</v>
      </c>
      <c r="H352" s="20" t="s">
        <v>468</v>
      </c>
      <c r="I352" s="19">
        <v>46308.82708333333</v>
      </c>
      <c r="J352" s="20" t="s">
        <v>509</v>
      </c>
    </row>
    <row r="353" spans="1:10" x14ac:dyDescent="0.35">
      <c r="A353" s="20" t="s">
        <v>201</v>
      </c>
      <c r="B353" s="20" t="s">
        <v>462</v>
      </c>
      <c r="C353" s="20" t="s">
        <v>635</v>
      </c>
      <c r="D353" s="20" t="s">
        <v>1287</v>
      </c>
      <c r="E353" s="20" t="s">
        <v>1288</v>
      </c>
      <c r="F353" s="21" t="s">
        <v>1289</v>
      </c>
      <c r="G353" s="20" t="s">
        <v>537</v>
      </c>
      <c r="H353" s="20" t="s">
        <v>468</v>
      </c>
      <c r="I353" s="19">
        <v>46308.82708333333</v>
      </c>
      <c r="J353" s="20" t="s">
        <v>509</v>
      </c>
    </row>
    <row r="354" spans="1:10" x14ac:dyDescent="0.35">
      <c r="A354" s="20" t="s">
        <v>189</v>
      </c>
      <c r="B354" s="20" t="s">
        <v>482</v>
      </c>
      <c r="C354" s="20" t="s">
        <v>483</v>
      </c>
      <c r="D354" s="20" t="s">
        <v>1605</v>
      </c>
      <c r="E354" s="20" t="s">
        <v>1606</v>
      </c>
      <c r="F354" s="21" t="s">
        <v>1607</v>
      </c>
      <c r="G354" s="20" t="s">
        <v>480</v>
      </c>
      <c r="H354" s="20" t="s">
        <v>468</v>
      </c>
      <c r="I354" s="19">
        <v>46308.82708333333</v>
      </c>
      <c r="J354" s="20" t="s">
        <v>481</v>
      </c>
    </row>
    <row r="355" spans="1:10" x14ac:dyDescent="0.35">
      <c r="A355" s="20" t="s">
        <v>201</v>
      </c>
      <c r="B355" s="20" t="s">
        <v>462</v>
      </c>
      <c r="C355" s="20" t="s">
        <v>635</v>
      </c>
      <c r="D355" s="20" t="s">
        <v>1608</v>
      </c>
      <c r="E355" s="20" t="s">
        <v>1609</v>
      </c>
      <c r="F355" s="21" t="s">
        <v>1610</v>
      </c>
      <c r="G355" s="20" t="s">
        <v>537</v>
      </c>
      <c r="H355" s="20" t="s">
        <v>468</v>
      </c>
      <c r="I355" s="19">
        <v>46308.82708333333</v>
      </c>
      <c r="J355" s="20" t="s">
        <v>469</v>
      </c>
    </row>
    <row r="356" spans="1:10" x14ac:dyDescent="0.35">
      <c r="A356" s="20" t="s">
        <v>324</v>
      </c>
      <c r="B356" s="20" t="s">
        <v>482</v>
      </c>
      <c r="C356" s="20" t="s">
        <v>1611</v>
      </c>
      <c r="D356" s="20" t="s">
        <v>1612</v>
      </c>
      <c r="E356" s="20" t="s">
        <v>1613</v>
      </c>
      <c r="F356" s="21" t="s">
        <v>1614</v>
      </c>
      <c r="G356" s="20" t="s">
        <v>861</v>
      </c>
      <c r="H356" s="20" t="s">
        <v>468</v>
      </c>
      <c r="I356" s="19">
        <v>46308.82708333333</v>
      </c>
      <c r="J356" s="20" t="s">
        <v>481</v>
      </c>
    </row>
    <row r="357" spans="1:10" x14ac:dyDescent="0.35">
      <c r="A357" s="20" t="s">
        <v>210</v>
      </c>
      <c r="B357" s="20" t="s">
        <v>475</v>
      </c>
      <c r="C357" s="20" t="s">
        <v>910</v>
      </c>
      <c r="D357" s="20" t="s">
        <v>1615</v>
      </c>
      <c r="E357" s="20" t="s">
        <v>1616</v>
      </c>
      <c r="F357" s="21" t="s">
        <v>1617</v>
      </c>
      <c r="G357" s="20" t="s">
        <v>672</v>
      </c>
      <c r="H357" s="20" t="s">
        <v>468</v>
      </c>
      <c r="I357" s="19">
        <v>46308.82708333333</v>
      </c>
      <c r="J357" s="20" t="s">
        <v>481</v>
      </c>
    </row>
    <row r="358" spans="1:10" x14ac:dyDescent="0.35">
      <c r="A358" s="20" t="s">
        <v>197</v>
      </c>
      <c r="B358" s="20" t="s">
        <v>482</v>
      </c>
      <c r="C358" s="20" t="s">
        <v>1167</v>
      </c>
      <c r="D358" s="20" t="s">
        <v>1618</v>
      </c>
      <c r="E358" s="20" t="s">
        <v>1619</v>
      </c>
      <c r="F358" s="21" t="s">
        <v>1620</v>
      </c>
      <c r="G358" s="20" t="s">
        <v>549</v>
      </c>
      <c r="H358" s="20" t="s">
        <v>468</v>
      </c>
      <c r="I358" s="19">
        <v>46308.82708333333</v>
      </c>
      <c r="J358" s="20" t="s">
        <v>481</v>
      </c>
    </row>
    <row r="359" spans="1:10" x14ac:dyDescent="0.35">
      <c r="A359" s="20" t="s">
        <v>228</v>
      </c>
      <c r="B359" s="20" t="s">
        <v>475</v>
      </c>
      <c r="C359" s="20" t="s">
        <v>1233</v>
      </c>
      <c r="D359" s="20" t="s">
        <v>1506</v>
      </c>
      <c r="E359" s="20" t="s">
        <v>1507</v>
      </c>
      <c r="F359" s="21" t="s">
        <v>1508</v>
      </c>
      <c r="G359" s="20" t="s">
        <v>1237</v>
      </c>
      <c r="H359" s="20" t="s">
        <v>468</v>
      </c>
      <c r="I359" s="19">
        <v>46308.828472222223</v>
      </c>
      <c r="J359" s="20" t="s">
        <v>469</v>
      </c>
    </row>
    <row r="360" spans="1:10" x14ac:dyDescent="0.35">
      <c r="A360" s="20" t="s">
        <v>225</v>
      </c>
      <c r="B360" s="20" t="s">
        <v>462</v>
      </c>
      <c r="C360" s="20" t="s">
        <v>1395</v>
      </c>
      <c r="D360" s="20" t="s">
        <v>1396</v>
      </c>
      <c r="E360" s="20" t="s">
        <v>1397</v>
      </c>
      <c r="F360" s="21" t="s">
        <v>1398</v>
      </c>
      <c r="G360" s="20" t="s">
        <v>643</v>
      </c>
      <c r="H360" s="20" t="s">
        <v>468</v>
      </c>
      <c r="I360" s="19">
        <v>46308.82916666667</v>
      </c>
      <c r="J360" s="20" t="s">
        <v>481</v>
      </c>
    </row>
    <row r="361" spans="1:10" x14ac:dyDescent="0.35">
      <c r="A361" s="20" t="s">
        <v>201</v>
      </c>
      <c r="B361" s="20" t="s">
        <v>482</v>
      </c>
      <c r="C361" s="20" t="s">
        <v>956</v>
      </c>
      <c r="D361" s="20" t="s">
        <v>1438</v>
      </c>
      <c r="E361" s="20" t="s">
        <v>1439</v>
      </c>
      <c r="F361" s="21" t="s">
        <v>1440</v>
      </c>
      <c r="G361" s="20" t="s">
        <v>537</v>
      </c>
      <c r="H361" s="20" t="s">
        <v>468</v>
      </c>
      <c r="I361" s="19">
        <v>46308.82708333333</v>
      </c>
      <c r="J361" s="20" t="s">
        <v>469</v>
      </c>
    </row>
    <row r="362" spans="1:10" x14ac:dyDescent="0.35">
      <c r="A362" s="20" t="s">
        <v>279</v>
      </c>
      <c r="B362" s="20" t="s">
        <v>482</v>
      </c>
      <c r="C362" s="20" t="s">
        <v>1120</v>
      </c>
      <c r="D362" s="20" t="s">
        <v>1621</v>
      </c>
      <c r="E362" s="20" t="s">
        <v>1622</v>
      </c>
      <c r="F362" s="21" t="s">
        <v>1623</v>
      </c>
      <c r="G362" s="20" t="s">
        <v>1124</v>
      </c>
      <c r="H362" s="20" t="s">
        <v>468</v>
      </c>
      <c r="I362" s="19">
        <v>46308.82708333333</v>
      </c>
      <c r="J362" s="20" t="s">
        <v>481</v>
      </c>
    </row>
    <row r="363" spans="1:10" x14ac:dyDescent="0.35">
      <c r="A363" s="20" t="s">
        <v>210</v>
      </c>
      <c r="B363" s="20" t="s">
        <v>462</v>
      </c>
      <c r="C363" s="20" t="s">
        <v>668</v>
      </c>
      <c r="D363" s="20" t="s">
        <v>1154</v>
      </c>
      <c r="E363" s="20" t="s">
        <v>1155</v>
      </c>
      <c r="F363" s="21" t="s">
        <v>1156</v>
      </c>
      <c r="G363" s="20" t="s">
        <v>672</v>
      </c>
      <c r="H363" s="20" t="s">
        <v>468</v>
      </c>
      <c r="I363" s="19">
        <v>46308.82708333333</v>
      </c>
      <c r="J363" s="20" t="s">
        <v>481</v>
      </c>
    </row>
    <row r="364" spans="1:10" x14ac:dyDescent="0.35">
      <c r="A364" s="20" t="s">
        <v>201</v>
      </c>
      <c r="B364" s="20" t="s">
        <v>462</v>
      </c>
      <c r="C364" s="20" t="s">
        <v>635</v>
      </c>
      <c r="D364" s="20" t="s">
        <v>683</v>
      </c>
      <c r="E364" s="20" t="s">
        <v>684</v>
      </c>
      <c r="F364" s="21" t="s">
        <v>685</v>
      </c>
      <c r="G364" s="20" t="s">
        <v>537</v>
      </c>
      <c r="H364" s="20" t="s">
        <v>468</v>
      </c>
      <c r="I364" s="19">
        <v>46308.82708333333</v>
      </c>
      <c r="J364" s="20" t="s">
        <v>469</v>
      </c>
    </row>
    <row r="365" spans="1:10" x14ac:dyDescent="0.35">
      <c r="A365" s="20" t="s">
        <v>231</v>
      </c>
      <c r="B365" s="20" t="s">
        <v>475</v>
      </c>
      <c r="C365" s="20" t="s">
        <v>564</v>
      </c>
      <c r="D365" s="20" t="s">
        <v>1624</v>
      </c>
      <c r="E365" s="20" t="s">
        <v>1625</v>
      </c>
      <c r="F365" s="21" t="s">
        <v>1626</v>
      </c>
      <c r="G365" s="20" t="s">
        <v>568</v>
      </c>
      <c r="H365" s="20" t="s">
        <v>468</v>
      </c>
      <c r="I365" s="19">
        <v>46308.82708333333</v>
      </c>
      <c r="J365" s="20" t="s">
        <v>481</v>
      </c>
    </row>
    <row r="366" spans="1:10" x14ac:dyDescent="0.35">
      <c r="A366" s="20" t="s">
        <v>357</v>
      </c>
      <c r="B366" s="20" t="s">
        <v>482</v>
      </c>
      <c r="C366" s="20" t="s">
        <v>1627</v>
      </c>
      <c r="D366" s="20" t="s">
        <v>1628</v>
      </c>
      <c r="E366" s="20" t="s">
        <v>1629</v>
      </c>
      <c r="F366" s="21" t="s">
        <v>1630</v>
      </c>
      <c r="G366" s="20" t="s">
        <v>1096</v>
      </c>
      <c r="H366" s="20" t="s">
        <v>468</v>
      </c>
      <c r="I366" s="19">
        <v>46308.82708333333</v>
      </c>
      <c r="J366" s="20" t="s">
        <v>469</v>
      </c>
    </row>
    <row r="367" spans="1:10" x14ac:dyDescent="0.35">
      <c r="A367" s="20" t="s">
        <v>197</v>
      </c>
      <c r="B367" s="20" t="s">
        <v>482</v>
      </c>
      <c r="C367" s="20" t="s">
        <v>1167</v>
      </c>
      <c r="D367" s="20" t="s">
        <v>1631</v>
      </c>
      <c r="E367" s="20" t="s">
        <v>1632</v>
      </c>
      <c r="F367" s="21" t="s">
        <v>1633</v>
      </c>
      <c r="G367" s="20" t="s">
        <v>549</v>
      </c>
      <c r="H367" s="20" t="s">
        <v>468</v>
      </c>
      <c r="I367" s="19">
        <v>46308.82708333333</v>
      </c>
      <c r="J367" s="20" t="s">
        <v>509</v>
      </c>
    </row>
    <row r="368" spans="1:10" x14ac:dyDescent="0.35">
      <c r="A368" s="20" t="s">
        <v>207</v>
      </c>
      <c r="B368" s="20" t="s">
        <v>475</v>
      </c>
      <c r="C368" s="20" t="s">
        <v>754</v>
      </c>
      <c r="D368" s="20" t="s">
        <v>1634</v>
      </c>
      <c r="E368" s="20" t="s">
        <v>1635</v>
      </c>
      <c r="F368" s="21" t="s">
        <v>1636</v>
      </c>
      <c r="G368" s="20" t="s">
        <v>592</v>
      </c>
      <c r="H368" s="20" t="s">
        <v>468</v>
      </c>
      <c r="I368" s="19">
        <v>46308.82708333333</v>
      </c>
      <c r="J368" s="20" t="s">
        <v>469</v>
      </c>
    </row>
    <row r="369" spans="1:10" x14ac:dyDescent="0.35">
      <c r="A369" s="20" t="s">
        <v>249</v>
      </c>
      <c r="B369" s="20" t="s">
        <v>482</v>
      </c>
      <c r="C369" s="20" t="s">
        <v>1153</v>
      </c>
      <c r="D369" s="20" t="s">
        <v>1154</v>
      </c>
      <c r="E369" s="20" t="s">
        <v>1155</v>
      </c>
      <c r="F369" s="21" t="s">
        <v>1156</v>
      </c>
      <c r="G369" s="20" t="s">
        <v>1157</v>
      </c>
      <c r="H369" s="20" t="s">
        <v>468</v>
      </c>
      <c r="I369" s="19">
        <v>46308.827777777777</v>
      </c>
      <c r="J369" s="20" t="s">
        <v>481</v>
      </c>
    </row>
    <row r="370" spans="1:10" x14ac:dyDescent="0.35">
      <c r="A370" s="20" t="s">
        <v>201</v>
      </c>
      <c r="B370" s="20" t="s">
        <v>475</v>
      </c>
      <c r="C370" s="20" t="s">
        <v>533</v>
      </c>
      <c r="D370" s="20" t="s">
        <v>1637</v>
      </c>
      <c r="E370" s="20" t="s">
        <v>1638</v>
      </c>
      <c r="F370" s="21" t="s">
        <v>1639</v>
      </c>
      <c r="G370" s="20" t="s">
        <v>537</v>
      </c>
      <c r="H370" s="20" t="s">
        <v>468</v>
      </c>
      <c r="I370" s="19">
        <v>46308.82708333333</v>
      </c>
      <c r="J370" s="20" t="s">
        <v>469</v>
      </c>
    </row>
    <row r="371" spans="1:10" x14ac:dyDescent="0.35">
      <c r="A371" s="20" t="s">
        <v>189</v>
      </c>
      <c r="B371" s="20" t="s">
        <v>475</v>
      </c>
      <c r="C371" s="20" t="s">
        <v>476</v>
      </c>
      <c r="D371" s="20" t="s">
        <v>1640</v>
      </c>
      <c r="E371" s="20" t="s">
        <v>1641</v>
      </c>
      <c r="F371" s="21" t="s">
        <v>1642</v>
      </c>
      <c r="G371" s="20" t="s">
        <v>480</v>
      </c>
      <c r="H371" s="20" t="s">
        <v>468</v>
      </c>
      <c r="I371" s="19">
        <v>46308.82708333333</v>
      </c>
      <c r="J371" s="20" t="s">
        <v>469</v>
      </c>
    </row>
    <row r="372" spans="1:10" x14ac:dyDescent="0.35">
      <c r="A372" s="20" t="s">
        <v>444</v>
      </c>
      <c r="B372" s="20" t="s">
        <v>462</v>
      </c>
      <c r="C372" s="20" t="s">
        <v>1643</v>
      </c>
      <c r="D372" s="20" t="s">
        <v>1416</v>
      </c>
      <c r="E372" s="20" t="s">
        <v>1417</v>
      </c>
      <c r="F372" s="21" t="s">
        <v>1418</v>
      </c>
      <c r="G372" s="20" t="s">
        <v>1644</v>
      </c>
      <c r="H372" s="20" t="s">
        <v>468</v>
      </c>
      <c r="I372" s="19">
        <v>46308.82708333333</v>
      </c>
      <c r="J372" s="20" t="s">
        <v>469</v>
      </c>
    </row>
    <row r="373" spans="1:10" x14ac:dyDescent="0.35">
      <c r="A373" s="20" t="s">
        <v>201</v>
      </c>
      <c r="B373" s="20" t="s">
        <v>475</v>
      </c>
      <c r="C373" s="20" t="s">
        <v>533</v>
      </c>
      <c r="D373" s="20" t="s">
        <v>934</v>
      </c>
      <c r="E373" s="20" t="s">
        <v>935</v>
      </c>
      <c r="F373" s="21" t="s">
        <v>936</v>
      </c>
      <c r="G373" s="20" t="s">
        <v>537</v>
      </c>
      <c r="H373" s="20" t="s">
        <v>468</v>
      </c>
      <c r="I373" s="19">
        <v>46308.830555555563</v>
      </c>
      <c r="J373" s="20" t="s">
        <v>469</v>
      </c>
    </row>
    <row r="374" spans="1:10" x14ac:dyDescent="0.35">
      <c r="A374" s="20" t="s">
        <v>197</v>
      </c>
      <c r="B374" s="20" t="s">
        <v>482</v>
      </c>
      <c r="C374" s="20" t="s">
        <v>1167</v>
      </c>
      <c r="D374" s="20" t="s">
        <v>1645</v>
      </c>
      <c r="E374" s="20" t="s">
        <v>1646</v>
      </c>
      <c r="F374" s="21" t="s">
        <v>1647</v>
      </c>
      <c r="G374" s="20" t="s">
        <v>549</v>
      </c>
      <c r="H374" s="20" t="s">
        <v>468</v>
      </c>
      <c r="I374" s="19">
        <v>46308.82708333333</v>
      </c>
      <c r="J374" s="20" t="s">
        <v>481</v>
      </c>
    </row>
    <row r="375" spans="1:10" x14ac:dyDescent="0.35">
      <c r="A375" s="20" t="s">
        <v>197</v>
      </c>
      <c r="B375" s="20" t="s">
        <v>475</v>
      </c>
      <c r="C375" s="20" t="s">
        <v>545</v>
      </c>
      <c r="D375" s="20" t="s">
        <v>1648</v>
      </c>
      <c r="E375" s="20" t="s">
        <v>1649</v>
      </c>
      <c r="F375" s="21" t="s">
        <v>1650</v>
      </c>
      <c r="G375" s="20" t="s">
        <v>549</v>
      </c>
      <c r="H375" s="20" t="s">
        <v>468</v>
      </c>
      <c r="I375" s="19">
        <v>46308.82708333333</v>
      </c>
      <c r="J375" s="20" t="s">
        <v>509</v>
      </c>
    </row>
    <row r="376" spans="1:10" x14ac:dyDescent="0.35">
      <c r="A376" s="20" t="s">
        <v>312</v>
      </c>
      <c r="B376" s="20" t="s">
        <v>475</v>
      </c>
      <c r="C376" s="20" t="s">
        <v>1651</v>
      </c>
      <c r="D376" s="20" t="s">
        <v>551</v>
      </c>
      <c r="E376" s="20" t="s">
        <v>552</v>
      </c>
      <c r="F376" s="21" t="s">
        <v>553</v>
      </c>
      <c r="G376" s="20" t="s">
        <v>1652</v>
      </c>
      <c r="H376" s="20" t="s">
        <v>468</v>
      </c>
      <c r="I376" s="19">
        <v>46308.82708333333</v>
      </c>
      <c r="J376" s="20" t="s">
        <v>481</v>
      </c>
    </row>
    <row r="377" spans="1:10" x14ac:dyDescent="0.35">
      <c r="A377" s="20" t="s">
        <v>282</v>
      </c>
      <c r="B377" s="20" t="s">
        <v>475</v>
      </c>
      <c r="C377" s="20" t="s">
        <v>1653</v>
      </c>
      <c r="D377" s="20" t="s">
        <v>1654</v>
      </c>
      <c r="E377" s="20" t="s">
        <v>1655</v>
      </c>
      <c r="F377" s="21" t="s">
        <v>1656</v>
      </c>
      <c r="G377" s="20" t="s">
        <v>1657</v>
      </c>
      <c r="H377" s="20" t="s">
        <v>468</v>
      </c>
      <c r="I377" s="19">
        <v>46308.82708333333</v>
      </c>
      <c r="J377" s="20" t="s">
        <v>509</v>
      </c>
    </row>
    <row r="378" spans="1:10" x14ac:dyDescent="0.35">
      <c r="A378" s="20" t="s">
        <v>372</v>
      </c>
      <c r="B378" s="20" t="s">
        <v>475</v>
      </c>
      <c r="C378" s="20" t="s">
        <v>1658</v>
      </c>
      <c r="D378" s="20" t="s">
        <v>1576</v>
      </c>
      <c r="E378" s="20" t="s">
        <v>1577</v>
      </c>
      <c r="F378" s="21" t="s">
        <v>1578</v>
      </c>
      <c r="G378" s="20" t="s">
        <v>1394</v>
      </c>
      <c r="H378" s="20" t="s">
        <v>468</v>
      </c>
      <c r="I378" s="19">
        <v>46308.82708333333</v>
      </c>
      <c r="J378" s="20" t="s">
        <v>469</v>
      </c>
    </row>
    <row r="379" spans="1:10" x14ac:dyDescent="0.35">
      <c r="A379" s="20" t="s">
        <v>194</v>
      </c>
      <c r="B379" s="20" t="s">
        <v>475</v>
      </c>
      <c r="C379" s="20" t="s">
        <v>917</v>
      </c>
      <c r="D379" s="20" t="s">
        <v>1659</v>
      </c>
      <c r="E379" s="20" t="s">
        <v>1660</v>
      </c>
      <c r="F379" s="21" t="s">
        <v>1661</v>
      </c>
      <c r="G379" s="20" t="s">
        <v>800</v>
      </c>
      <c r="H379" s="20" t="s">
        <v>468</v>
      </c>
      <c r="I379" s="19">
        <v>46308.82708333333</v>
      </c>
      <c r="J379" s="20" t="s">
        <v>509</v>
      </c>
    </row>
    <row r="380" spans="1:10" x14ac:dyDescent="0.35">
      <c r="A380" s="20" t="s">
        <v>189</v>
      </c>
      <c r="B380" s="20" t="s">
        <v>482</v>
      </c>
      <c r="C380" s="20" t="s">
        <v>483</v>
      </c>
      <c r="D380" s="20" t="s">
        <v>1662</v>
      </c>
      <c r="E380" s="20" t="s">
        <v>1663</v>
      </c>
      <c r="F380" s="21" t="s">
        <v>1664</v>
      </c>
      <c r="G380" s="20" t="s">
        <v>480</v>
      </c>
      <c r="H380" s="20" t="s">
        <v>468</v>
      </c>
      <c r="I380" s="19">
        <v>46308.82708333333</v>
      </c>
      <c r="J380" s="20" t="s">
        <v>481</v>
      </c>
    </row>
    <row r="381" spans="1:10" x14ac:dyDescent="0.35">
      <c r="A381" s="20" t="s">
        <v>189</v>
      </c>
      <c r="B381" s="20" t="s">
        <v>482</v>
      </c>
      <c r="C381" s="20" t="s">
        <v>483</v>
      </c>
      <c r="D381" s="20" t="s">
        <v>538</v>
      </c>
      <c r="E381" s="20" t="s">
        <v>539</v>
      </c>
      <c r="F381" s="21" t="s">
        <v>540</v>
      </c>
      <c r="G381" s="20" t="s">
        <v>480</v>
      </c>
      <c r="H381" s="20" t="s">
        <v>468</v>
      </c>
      <c r="I381" s="19">
        <v>46308.830555555563</v>
      </c>
      <c r="J381" s="20" t="s">
        <v>509</v>
      </c>
    </row>
    <row r="382" spans="1:10" x14ac:dyDescent="0.35">
      <c r="A382" s="20" t="s">
        <v>194</v>
      </c>
      <c r="B382" s="20" t="s">
        <v>475</v>
      </c>
      <c r="C382" s="20" t="s">
        <v>917</v>
      </c>
      <c r="D382" s="20" t="s">
        <v>1665</v>
      </c>
      <c r="E382" s="20" t="s">
        <v>1666</v>
      </c>
      <c r="F382" s="21" t="s">
        <v>1667</v>
      </c>
      <c r="G382" s="20" t="s">
        <v>800</v>
      </c>
      <c r="H382" s="20" t="s">
        <v>468</v>
      </c>
      <c r="I382" s="19">
        <v>46308.82708333333</v>
      </c>
      <c r="J382" s="20" t="s">
        <v>469</v>
      </c>
    </row>
    <row r="383" spans="1:10" x14ac:dyDescent="0.35">
      <c r="A383" s="20" t="s">
        <v>194</v>
      </c>
      <c r="B383" s="20" t="s">
        <v>482</v>
      </c>
      <c r="C383" s="20" t="s">
        <v>991</v>
      </c>
      <c r="D383" s="20" t="s">
        <v>1483</v>
      </c>
      <c r="E383" s="20" t="s">
        <v>1484</v>
      </c>
      <c r="F383" s="21" t="s">
        <v>1485</v>
      </c>
      <c r="G383" s="20" t="s">
        <v>800</v>
      </c>
      <c r="H383" s="20" t="s">
        <v>468</v>
      </c>
      <c r="I383" s="19">
        <v>46308.82708333333</v>
      </c>
      <c r="J383" s="20" t="s">
        <v>469</v>
      </c>
    </row>
    <row r="384" spans="1:10" x14ac:dyDescent="0.35">
      <c r="A384" s="20" t="s">
        <v>210</v>
      </c>
      <c r="B384" s="20" t="s">
        <v>475</v>
      </c>
      <c r="C384" s="20" t="s">
        <v>910</v>
      </c>
      <c r="D384" s="20" t="s">
        <v>1668</v>
      </c>
      <c r="E384" s="20" t="s">
        <v>1669</v>
      </c>
      <c r="F384" s="21" t="s">
        <v>1670</v>
      </c>
      <c r="G384" s="20" t="s">
        <v>672</v>
      </c>
      <c r="H384" s="20" t="s">
        <v>468</v>
      </c>
      <c r="I384" s="19">
        <v>46308.82708333333</v>
      </c>
      <c r="J384" s="20" t="s">
        <v>481</v>
      </c>
    </row>
    <row r="385" spans="1:10" x14ac:dyDescent="0.35">
      <c r="A385" s="20" t="s">
        <v>240</v>
      </c>
      <c r="B385" s="20" t="s">
        <v>482</v>
      </c>
      <c r="C385" s="20" t="s">
        <v>1671</v>
      </c>
      <c r="D385" s="20" t="s">
        <v>1126</v>
      </c>
      <c r="E385" s="20" t="s">
        <v>1127</v>
      </c>
      <c r="F385" s="21" t="s">
        <v>1128</v>
      </c>
      <c r="G385" s="20" t="s">
        <v>573</v>
      </c>
      <c r="H385" s="20" t="s">
        <v>468</v>
      </c>
      <c r="I385" s="19">
        <v>46308.82708333333</v>
      </c>
      <c r="J385" s="20" t="s">
        <v>509</v>
      </c>
    </row>
    <row r="386" spans="1:10" x14ac:dyDescent="0.35">
      <c r="A386" s="20" t="s">
        <v>189</v>
      </c>
      <c r="B386" s="20" t="s">
        <v>482</v>
      </c>
      <c r="C386" s="20" t="s">
        <v>483</v>
      </c>
      <c r="D386" s="20" t="s">
        <v>1672</v>
      </c>
      <c r="E386" s="20" t="s">
        <v>1673</v>
      </c>
      <c r="F386" s="21" t="s">
        <v>1674</v>
      </c>
      <c r="G386" s="20" t="s">
        <v>480</v>
      </c>
      <c r="H386" s="20" t="s">
        <v>468</v>
      </c>
      <c r="I386" s="19">
        <v>46308.829861111109</v>
      </c>
      <c r="J386" s="20" t="s">
        <v>509</v>
      </c>
    </row>
    <row r="387" spans="1:10" x14ac:dyDescent="0.35">
      <c r="A387" s="20" t="s">
        <v>351</v>
      </c>
      <c r="B387" s="20" t="s">
        <v>482</v>
      </c>
      <c r="C387" s="20" t="s">
        <v>1675</v>
      </c>
      <c r="D387" s="20" t="s">
        <v>1676</v>
      </c>
      <c r="E387" s="20" t="s">
        <v>1677</v>
      </c>
      <c r="F387" s="21" t="s">
        <v>1678</v>
      </c>
      <c r="G387" s="20" t="s">
        <v>1414</v>
      </c>
      <c r="H387" s="20" t="s">
        <v>468</v>
      </c>
      <c r="I387" s="19">
        <v>46308.82708333333</v>
      </c>
      <c r="J387" s="20" t="s">
        <v>469</v>
      </c>
    </row>
    <row r="388" spans="1:10" x14ac:dyDescent="0.35">
      <c r="A388" s="20" t="s">
        <v>267</v>
      </c>
      <c r="B388" s="20" t="s">
        <v>462</v>
      </c>
      <c r="C388" s="20" t="s">
        <v>723</v>
      </c>
      <c r="D388" s="20" t="s">
        <v>1679</v>
      </c>
      <c r="E388" s="20" t="s">
        <v>1680</v>
      </c>
      <c r="F388" s="21" t="s">
        <v>1681</v>
      </c>
      <c r="G388" s="20" t="s">
        <v>496</v>
      </c>
      <c r="H388" s="20" t="s">
        <v>468</v>
      </c>
      <c r="I388" s="19">
        <v>46308.82708333333</v>
      </c>
      <c r="J388" s="20" t="s">
        <v>509</v>
      </c>
    </row>
    <row r="389" spans="1:10" x14ac:dyDescent="0.35">
      <c r="A389" s="20" t="s">
        <v>231</v>
      </c>
      <c r="B389" s="20" t="s">
        <v>462</v>
      </c>
      <c r="C389" s="20" t="s">
        <v>601</v>
      </c>
      <c r="D389" s="20" t="s">
        <v>1682</v>
      </c>
      <c r="E389" s="20" t="s">
        <v>1683</v>
      </c>
      <c r="F389" s="21" t="s">
        <v>1684</v>
      </c>
      <c r="G389" s="20" t="s">
        <v>568</v>
      </c>
      <c r="H389" s="20" t="s">
        <v>468</v>
      </c>
      <c r="I389" s="19">
        <v>46308.82708333333</v>
      </c>
      <c r="J389" s="20" t="s">
        <v>481</v>
      </c>
    </row>
    <row r="390" spans="1:10" x14ac:dyDescent="0.35">
      <c r="A390" s="20" t="s">
        <v>216</v>
      </c>
      <c r="B390" s="20" t="s">
        <v>462</v>
      </c>
      <c r="C390" s="20" t="s">
        <v>615</v>
      </c>
      <c r="D390" s="20" t="s">
        <v>1685</v>
      </c>
      <c r="E390" s="20" t="s">
        <v>1686</v>
      </c>
      <c r="F390" s="21" t="s">
        <v>1687</v>
      </c>
      <c r="G390" s="20" t="s">
        <v>619</v>
      </c>
      <c r="H390" s="20" t="s">
        <v>468</v>
      </c>
      <c r="I390" s="19">
        <v>46308.82708333333</v>
      </c>
      <c r="J390" s="20" t="s">
        <v>469</v>
      </c>
    </row>
    <row r="391" spans="1:10" x14ac:dyDescent="0.35">
      <c r="A391" s="20" t="s">
        <v>267</v>
      </c>
      <c r="B391" s="20" t="s">
        <v>475</v>
      </c>
      <c r="C391" s="20" t="s">
        <v>492</v>
      </c>
      <c r="D391" s="20" t="s">
        <v>1688</v>
      </c>
      <c r="E391" s="20" t="s">
        <v>1689</v>
      </c>
      <c r="F391" s="21" t="s">
        <v>1690</v>
      </c>
      <c r="G391" s="20" t="s">
        <v>496</v>
      </c>
      <c r="H391" s="20" t="s">
        <v>468</v>
      </c>
      <c r="I391" s="19">
        <v>46308.82708333333</v>
      </c>
      <c r="J391" s="20" t="s">
        <v>481</v>
      </c>
    </row>
    <row r="392" spans="1:10" x14ac:dyDescent="0.35">
      <c r="A392" s="20" t="s">
        <v>189</v>
      </c>
      <c r="B392" s="20" t="s">
        <v>462</v>
      </c>
      <c r="C392" s="20" t="s">
        <v>497</v>
      </c>
      <c r="D392" s="20" t="s">
        <v>506</v>
      </c>
      <c r="E392" s="20" t="s">
        <v>507</v>
      </c>
      <c r="F392" s="21" t="s">
        <v>508</v>
      </c>
      <c r="G392" s="20" t="s">
        <v>480</v>
      </c>
      <c r="H392" s="20" t="s">
        <v>468</v>
      </c>
      <c r="I392" s="19">
        <v>46308.82708333333</v>
      </c>
      <c r="J392" s="20" t="s">
        <v>509</v>
      </c>
    </row>
    <row r="393" spans="1:10" x14ac:dyDescent="0.35">
      <c r="A393" s="20" t="s">
        <v>189</v>
      </c>
      <c r="B393" s="20" t="s">
        <v>482</v>
      </c>
      <c r="C393" s="20" t="s">
        <v>483</v>
      </c>
      <c r="D393" s="20" t="s">
        <v>1691</v>
      </c>
      <c r="E393" s="20" t="s">
        <v>1692</v>
      </c>
      <c r="F393" s="21" t="s">
        <v>1693</v>
      </c>
      <c r="G393" s="20" t="s">
        <v>480</v>
      </c>
      <c r="H393" s="20" t="s">
        <v>468</v>
      </c>
      <c r="I393" s="19">
        <v>46308.82708333333</v>
      </c>
      <c r="J393" s="20" t="s">
        <v>469</v>
      </c>
    </row>
    <row r="394" spans="1:10" x14ac:dyDescent="0.35">
      <c r="A394" s="20" t="s">
        <v>255</v>
      </c>
      <c r="B394" s="20" t="s">
        <v>482</v>
      </c>
      <c r="C394" s="20" t="s">
        <v>1065</v>
      </c>
      <c r="D394" s="20" t="s">
        <v>1694</v>
      </c>
      <c r="E394" s="20" t="s">
        <v>1695</v>
      </c>
      <c r="F394" s="21" t="s">
        <v>1696</v>
      </c>
      <c r="G394" s="20" t="s">
        <v>1069</v>
      </c>
      <c r="H394" s="20" t="s">
        <v>468</v>
      </c>
      <c r="I394" s="19">
        <v>46308.82708333333</v>
      </c>
      <c r="J394" s="20" t="s">
        <v>481</v>
      </c>
    </row>
    <row r="395" spans="1:10" x14ac:dyDescent="0.35">
      <c r="A395" s="20" t="s">
        <v>423</v>
      </c>
      <c r="B395" s="20" t="s">
        <v>475</v>
      </c>
      <c r="C395" s="20" t="s">
        <v>1697</v>
      </c>
      <c r="D395" s="20" t="s">
        <v>597</v>
      </c>
      <c r="E395" s="20" t="s">
        <v>598</v>
      </c>
      <c r="F395" s="21" t="s">
        <v>599</v>
      </c>
      <c r="G395" s="20" t="s">
        <v>947</v>
      </c>
      <c r="H395" s="20" t="s">
        <v>468</v>
      </c>
      <c r="I395" s="19">
        <v>46308.82708333333</v>
      </c>
      <c r="J395" s="20" t="s">
        <v>469</v>
      </c>
    </row>
    <row r="396" spans="1:10" x14ac:dyDescent="0.35">
      <c r="A396" s="20" t="s">
        <v>237</v>
      </c>
      <c r="B396" s="20" t="s">
        <v>482</v>
      </c>
      <c r="C396" s="20" t="s">
        <v>1183</v>
      </c>
      <c r="D396" s="20" t="s">
        <v>1698</v>
      </c>
      <c r="E396" s="20" t="s">
        <v>1699</v>
      </c>
      <c r="F396" s="21" t="s">
        <v>1700</v>
      </c>
      <c r="G396" s="20" t="s">
        <v>554</v>
      </c>
      <c r="H396" s="20" t="s">
        <v>468</v>
      </c>
      <c r="I396" s="19">
        <v>46308.82708333333</v>
      </c>
      <c r="J396" s="20" t="s">
        <v>481</v>
      </c>
    </row>
    <row r="397" spans="1:10" x14ac:dyDescent="0.35">
      <c r="A397" s="20" t="s">
        <v>435</v>
      </c>
      <c r="B397" s="20" t="s">
        <v>475</v>
      </c>
      <c r="C397" s="20" t="s">
        <v>1701</v>
      </c>
      <c r="D397" s="20" t="s">
        <v>1702</v>
      </c>
      <c r="E397" s="20" t="s">
        <v>1703</v>
      </c>
      <c r="F397" s="21" t="s">
        <v>1704</v>
      </c>
      <c r="G397" s="20" t="s">
        <v>1705</v>
      </c>
      <c r="H397" s="20" t="s">
        <v>468</v>
      </c>
      <c r="I397" s="19">
        <v>46308.82708333333</v>
      </c>
      <c r="J397" s="20" t="s">
        <v>481</v>
      </c>
    </row>
    <row r="398" spans="1:10" x14ac:dyDescent="0.35">
      <c r="A398" s="20" t="s">
        <v>197</v>
      </c>
      <c r="B398" s="20" t="s">
        <v>475</v>
      </c>
      <c r="C398" s="20" t="s">
        <v>545</v>
      </c>
      <c r="D398" s="20" t="s">
        <v>1706</v>
      </c>
      <c r="E398" s="20" t="s">
        <v>1707</v>
      </c>
      <c r="F398" s="21" t="s">
        <v>1708</v>
      </c>
      <c r="G398" s="20" t="s">
        <v>549</v>
      </c>
      <c r="H398" s="20" t="s">
        <v>468</v>
      </c>
      <c r="I398" s="19">
        <v>46308.82708333333</v>
      </c>
      <c r="J398" s="20" t="s">
        <v>481</v>
      </c>
    </row>
    <row r="399" spans="1:10" x14ac:dyDescent="0.35">
      <c r="A399" s="20" t="s">
        <v>261</v>
      </c>
      <c r="B399" s="20" t="s">
        <v>475</v>
      </c>
      <c r="C399" s="20" t="s">
        <v>1502</v>
      </c>
      <c r="D399" s="20" t="s">
        <v>1709</v>
      </c>
      <c r="E399" s="20" t="s">
        <v>1710</v>
      </c>
      <c r="F399" s="21" t="s">
        <v>1711</v>
      </c>
      <c r="G399" s="20" t="s">
        <v>1369</v>
      </c>
      <c r="H399" s="20" t="s">
        <v>468</v>
      </c>
      <c r="I399" s="19">
        <v>46308.82708333333</v>
      </c>
      <c r="J399" s="20" t="s">
        <v>509</v>
      </c>
    </row>
    <row r="400" spans="1:10" x14ac:dyDescent="0.35">
      <c r="A400" s="20" t="s">
        <v>189</v>
      </c>
      <c r="B400" s="20" t="s">
        <v>475</v>
      </c>
      <c r="C400" s="20" t="s">
        <v>476</v>
      </c>
      <c r="D400" s="20" t="s">
        <v>1712</v>
      </c>
      <c r="E400" s="20" t="s">
        <v>1713</v>
      </c>
      <c r="F400" s="21" t="s">
        <v>1714</v>
      </c>
      <c r="G400" s="20" t="s">
        <v>480</v>
      </c>
      <c r="H400" s="20" t="s">
        <v>468</v>
      </c>
      <c r="I400" s="19">
        <v>46308.82708333333</v>
      </c>
      <c r="J400" s="20" t="s">
        <v>509</v>
      </c>
    </row>
    <row r="401" spans="1:10" x14ac:dyDescent="0.35">
      <c r="A401" s="20" t="s">
        <v>216</v>
      </c>
      <c r="B401" s="20" t="s">
        <v>475</v>
      </c>
      <c r="C401" s="20" t="s">
        <v>758</v>
      </c>
      <c r="D401" s="20" t="s">
        <v>1404</v>
      </c>
      <c r="E401" s="20" t="s">
        <v>1405</v>
      </c>
      <c r="F401" s="21" t="s">
        <v>1406</v>
      </c>
      <c r="G401" s="20" t="s">
        <v>619</v>
      </c>
      <c r="H401" s="20" t="s">
        <v>468</v>
      </c>
      <c r="I401" s="19">
        <v>46308.82708333333</v>
      </c>
      <c r="J401" s="20" t="s">
        <v>481</v>
      </c>
    </row>
    <row r="402" spans="1:10" x14ac:dyDescent="0.35">
      <c r="A402" s="20" t="s">
        <v>194</v>
      </c>
      <c r="B402" s="20" t="s">
        <v>482</v>
      </c>
      <c r="C402" s="20" t="s">
        <v>991</v>
      </c>
      <c r="D402" s="20" t="s">
        <v>1715</v>
      </c>
      <c r="E402" s="20" t="s">
        <v>1716</v>
      </c>
      <c r="F402" s="21" t="s">
        <v>1717</v>
      </c>
      <c r="G402" s="20" t="s">
        <v>800</v>
      </c>
      <c r="H402" s="20" t="s">
        <v>468</v>
      </c>
      <c r="I402" s="19">
        <v>46308.82708333333</v>
      </c>
      <c r="J402" s="20" t="s">
        <v>481</v>
      </c>
    </row>
    <row r="403" spans="1:10" x14ac:dyDescent="0.35">
      <c r="A403" s="20" t="s">
        <v>189</v>
      </c>
      <c r="B403" s="20" t="s">
        <v>475</v>
      </c>
      <c r="C403" s="20" t="s">
        <v>476</v>
      </c>
      <c r="D403" s="20" t="s">
        <v>890</v>
      </c>
      <c r="E403" s="20" t="s">
        <v>891</v>
      </c>
      <c r="F403" s="21" t="s">
        <v>892</v>
      </c>
      <c r="G403" s="20" t="s">
        <v>480</v>
      </c>
      <c r="H403" s="20" t="s">
        <v>468</v>
      </c>
      <c r="I403" s="19">
        <v>46308.82708333333</v>
      </c>
      <c r="J403" s="20" t="s">
        <v>469</v>
      </c>
    </row>
    <row r="404" spans="1:10" x14ac:dyDescent="0.35">
      <c r="A404" s="20" t="s">
        <v>435</v>
      </c>
      <c r="B404" s="20" t="s">
        <v>462</v>
      </c>
      <c r="C404" s="20" t="s">
        <v>1718</v>
      </c>
      <c r="D404" s="20" t="s">
        <v>1719</v>
      </c>
      <c r="E404" s="20" t="s">
        <v>1720</v>
      </c>
      <c r="F404" s="21" t="s">
        <v>1721</v>
      </c>
      <c r="G404" s="20" t="s">
        <v>1705</v>
      </c>
      <c r="H404" s="20" t="s">
        <v>468</v>
      </c>
      <c r="I404" s="19">
        <v>46308.82708333333</v>
      </c>
      <c r="J404" s="20" t="s">
        <v>509</v>
      </c>
    </row>
    <row r="405" spans="1:10" x14ac:dyDescent="0.35">
      <c r="A405" s="20" t="s">
        <v>213</v>
      </c>
      <c r="B405" s="20" t="s">
        <v>462</v>
      </c>
      <c r="C405" s="20" t="s">
        <v>470</v>
      </c>
      <c r="D405" s="20" t="s">
        <v>1722</v>
      </c>
      <c r="E405" s="20" t="s">
        <v>1723</v>
      </c>
      <c r="F405" s="21" t="s">
        <v>1724</v>
      </c>
      <c r="G405" s="20" t="s">
        <v>474</v>
      </c>
      <c r="H405" s="20" t="s">
        <v>468</v>
      </c>
      <c r="I405" s="19">
        <v>46308.82708333333</v>
      </c>
      <c r="J405" s="20" t="s">
        <v>481</v>
      </c>
    </row>
    <row r="406" spans="1:10" x14ac:dyDescent="0.35">
      <c r="A406" s="20" t="s">
        <v>273</v>
      </c>
      <c r="B406" s="20" t="s">
        <v>462</v>
      </c>
      <c r="C406" s="20" t="s">
        <v>1129</v>
      </c>
      <c r="D406" s="20" t="s">
        <v>1353</v>
      </c>
      <c r="E406" s="20" t="s">
        <v>1354</v>
      </c>
      <c r="F406" s="21" t="s">
        <v>1355</v>
      </c>
      <c r="G406" s="20" t="s">
        <v>663</v>
      </c>
      <c r="H406" s="20" t="s">
        <v>468</v>
      </c>
      <c r="I406" s="19">
        <v>46308.82708333333</v>
      </c>
      <c r="J406" s="20" t="s">
        <v>481</v>
      </c>
    </row>
    <row r="407" spans="1:10" x14ac:dyDescent="0.35">
      <c r="A407" s="20" t="s">
        <v>207</v>
      </c>
      <c r="B407" s="20" t="s">
        <v>475</v>
      </c>
      <c r="C407" s="20" t="s">
        <v>754</v>
      </c>
      <c r="D407" s="20" t="s">
        <v>1552</v>
      </c>
      <c r="E407" s="20" t="s">
        <v>1553</v>
      </c>
      <c r="F407" s="21" t="s">
        <v>1554</v>
      </c>
      <c r="G407" s="20" t="s">
        <v>592</v>
      </c>
      <c r="H407" s="20" t="s">
        <v>468</v>
      </c>
      <c r="I407" s="19">
        <v>46308.82708333333</v>
      </c>
      <c r="J407" s="20" t="s">
        <v>481</v>
      </c>
    </row>
    <row r="408" spans="1:10" x14ac:dyDescent="0.35">
      <c r="A408" s="20" t="s">
        <v>330</v>
      </c>
      <c r="B408" s="20" t="s">
        <v>462</v>
      </c>
      <c r="C408" s="20" t="s">
        <v>1725</v>
      </c>
      <c r="D408" s="20" t="s">
        <v>1726</v>
      </c>
      <c r="E408" s="20" t="s">
        <v>1727</v>
      </c>
      <c r="F408" s="21" t="s">
        <v>1728</v>
      </c>
      <c r="G408" s="20" t="s">
        <v>1729</v>
      </c>
      <c r="H408" s="20" t="s">
        <v>468</v>
      </c>
      <c r="I408" s="19">
        <v>46308.82708333333</v>
      </c>
      <c r="J408" s="20" t="s">
        <v>469</v>
      </c>
    </row>
    <row r="409" spans="1:10" x14ac:dyDescent="0.35">
      <c r="A409" s="20" t="s">
        <v>189</v>
      </c>
      <c r="B409" s="20" t="s">
        <v>475</v>
      </c>
      <c r="C409" s="20" t="s">
        <v>476</v>
      </c>
      <c r="D409" s="20" t="s">
        <v>1730</v>
      </c>
      <c r="E409" s="20" t="s">
        <v>1731</v>
      </c>
      <c r="F409" s="21" t="s">
        <v>1732</v>
      </c>
      <c r="G409" s="20" t="s">
        <v>480</v>
      </c>
      <c r="H409" s="20" t="s">
        <v>468</v>
      </c>
      <c r="I409" s="19">
        <v>46308.82708333333</v>
      </c>
      <c r="J409" s="20" t="s">
        <v>481</v>
      </c>
    </row>
    <row r="410" spans="1:10" x14ac:dyDescent="0.35">
      <c r="A410" s="20" t="s">
        <v>216</v>
      </c>
      <c r="B410" s="20" t="s">
        <v>482</v>
      </c>
      <c r="C410" s="20" t="s">
        <v>649</v>
      </c>
      <c r="D410" s="20" t="s">
        <v>1733</v>
      </c>
      <c r="E410" s="20" t="s">
        <v>1734</v>
      </c>
      <c r="F410" s="21" t="s">
        <v>1735</v>
      </c>
      <c r="G410" s="20" t="s">
        <v>619</v>
      </c>
      <c r="H410" s="20" t="s">
        <v>468</v>
      </c>
      <c r="I410" s="19">
        <v>46308.82708333333</v>
      </c>
      <c r="J410" s="20" t="s">
        <v>481</v>
      </c>
    </row>
    <row r="411" spans="1:10" x14ac:dyDescent="0.35">
      <c r="A411" s="20" t="s">
        <v>285</v>
      </c>
      <c r="B411" s="20" t="s">
        <v>475</v>
      </c>
      <c r="C411" s="20" t="s">
        <v>555</v>
      </c>
      <c r="D411" s="20" t="s">
        <v>1736</v>
      </c>
      <c r="E411" s="20" t="s">
        <v>1737</v>
      </c>
      <c r="F411" s="21" t="s">
        <v>1738</v>
      </c>
      <c r="G411" s="20" t="s">
        <v>559</v>
      </c>
      <c r="H411" s="20" t="s">
        <v>468</v>
      </c>
      <c r="I411" s="19">
        <v>46308.82708333333</v>
      </c>
      <c r="J411" s="20" t="s">
        <v>481</v>
      </c>
    </row>
    <row r="412" spans="1:10" x14ac:dyDescent="0.35">
      <c r="A412" s="20" t="s">
        <v>234</v>
      </c>
      <c r="B412" s="20" t="s">
        <v>462</v>
      </c>
      <c r="C412" s="20" t="s">
        <v>1187</v>
      </c>
      <c r="D412" s="20" t="s">
        <v>1573</v>
      </c>
      <c r="E412" s="20" t="s">
        <v>1574</v>
      </c>
      <c r="F412" s="21" t="s">
        <v>1575</v>
      </c>
      <c r="G412" s="20" t="s">
        <v>715</v>
      </c>
      <c r="H412" s="20" t="s">
        <v>468</v>
      </c>
      <c r="I412" s="19">
        <v>46308.82708333333</v>
      </c>
      <c r="J412" s="20" t="s">
        <v>469</v>
      </c>
    </row>
    <row r="413" spans="1:10" x14ac:dyDescent="0.35">
      <c r="A413" s="20" t="s">
        <v>210</v>
      </c>
      <c r="B413" s="20" t="s">
        <v>462</v>
      </c>
      <c r="C413" s="20" t="s">
        <v>668</v>
      </c>
      <c r="D413" s="20" t="s">
        <v>1739</v>
      </c>
      <c r="E413" s="20" t="s">
        <v>1740</v>
      </c>
      <c r="F413" s="21" t="s">
        <v>1741</v>
      </c>
      <c r="G413" s="20" t="s">
        <v>672</v>
      </c>
      <c r="H413" s="20" t="s">
        <v>468</v>
      </c>
      <c r="I413" s="19">
        <v>46308.82708333333</v>
      </c>
      <c r="J413" s="20" t="s">
        <v>481</v>
      </c>
    </row>
    <row r="414" spans="1:10" x14ac:dyDescent="0.35">
      <c r="A414" s="20" t="s">
        <v>261</v>
      </c>
      <c r="B414" s="20" t="s">
        <v>462</v>
      </c>
      <c r="C414" s="20" t="s">
        <v>1742</v>
      </c>
      <c r="D414" s="20" t="s">
        <v>1743</v>
      </c>
      <c r="E414" s="20" t="s">
        <v>1744</v>
      </c>
      <c r="F414" s="21" t="s">
        <v>1745</v>
      </c>
      <c r="G414" s="20" t="s">
        <v>1369</v>
      </c>
      <c r="H414" s="20" t="s">
        <v>468</v>
      </c>
      <c r="I414" s="19">
        <v>46308.82708333333</v>
      </c>
      <c r="J414" s="20" t="s">
        <v>509</v>
      </c>
    </row>
    <row r="415" spans="1:10" x14ac:dyDescent="0.35">
      <c r="A415" s="20" t="s">
        <v>264</v>
      </c>
      <c r="B415" s="20" t="s">
        <v>462</v>
      </c>
      <c r="C415" s="20" t="s">
        <v>541</v>
      </c>
      <c r="D415" s="20" t="s">
        <v>1746</v>
      </c>
      <c r="E415" s="20" t="s">
        <v>1747</v>
      </c>
      <c r="F415" s="21" t="s">
        <v>1748</v>
      </c>
      <c r="G415" s="20" t="s">
        <v>491</v>
      </c>
      <c r="H415" s="20" t="s">
        <v>468</v>
      </c>
      <c r="I415" s="19">
        <v>46308.82708333333</v>
      </c>
      <c r="J415" s="20" t="s">
        <v>509</v>
      </c>
    </row>
    <row r="416" spans="1:10" x14ac:dyDescent="0.35">
      <c r="A416" s="20" t="s">
        <v>207</v>
      </c>
      <c r="B416" s="20" t="s">
        <v>462</v>
      </c>
      <c r="C416" s="20" t="s">
        <v>588</v>
      </c>
      <c r="D416" s="20" t="s">
        <v>1335</v>
      </c>
      <c r="E416" s="20" t="s">
        <v>1336</v>
      </c>
      <c r="F416" s="21" t="s">
        <v>1337</v>
      </c>
      <c r="G416" s="20" t="s">
        <v>592</v>
      </c>
      <c r="H416" s="20" t="s">
        <v>468</v>
      </c>
      <c r="I416" s="19">
        <v>46308.82708333333</v>
      </c>
      <c r="J416" s="20" t="s">
        <v>509</v>
      </c>
    </row>
    <row r="417" spans="1:10" x14ac:dyDescent="0.35">
      <c r="A417" s="20" t="s">
        <v>194</v>
      </c>
      <c r="B417" s="20" t="s">
        <v>475</v>
      </c>
      <c r="C417" s="20" t="s">
        <v>917</v>
      </c>
      <c r="D417" s="20" t="s">
        <v>1749</v>
      </c>
      <c r="E417" s="20" t="s">
        <v>1750</v>
      </c>
      <c r="F417" s="21" t="s">
        <v>1751</v>
      </c>
      <c r="G417" s="20" t="s">
        <v>800</v>
      </c>
      <c r="H417" s="20" t="s">
        <v>468</v>
      </c>
      <c r="I417" s="19">
        <v>46308.82708333333</v>
      </c>
      <c r="J417" s="20" t="s">
        <v>469</v>
      </c>
    </row>
    <row r="418" spans="1:10" x14ac:dyDescent="0.35">
      <c r="A418" s="20" t="s">
        <v>189</v>
      </c>
      <c r="B418" s="20" t="s">
        <v>475</v>
      </c>
      <c r="C418" s="20" t="s">
        <v>476</v>
      </c>
      <c r="D418" s="20" t="s">
        <v>1752</v>
      </c>
      <c r="E418" s="20" t="s">
        <v>1753</v>
      </c>
      <c r="F418" s="21" t="s">
        <v>1754</v>
      </c>
      <c r="G418" s="20" t="s">
        <v>480</v>
      </c>
      <c r="H418" s="20" t="s">
        <v>468</v>
      </c>
      <c r="I418" s="19">
        <v>46308.82708333333</v>
      </c>
      <c r="J418" s="20" t="s">
        <v>481</v>
      </c>
    </row>
    <row r="419" spans="1:10" x14ac:dyDescent="0.35">
      <c r="A419" s="20" t="s">
        <v>207</v>
      </c>
      <c r="B419" s="20" t="s">
        <v>482</v>
      </c>
      <c r="C419" s="20" t="s">
        <v>921</v>
      </c>
      <c r="D419" s="20" t="s">
        <v>1755</v>
      </c>
      <c r="E419" s="20" t="s">
        <v>1756</v>
      </c>
      <c r="F419" s="21" t="s">
        <v>1757</v>
      </c>
      <c r="G419" s="20" t="s">
        <v>592</v>
      </c>
      <c r="H419" s="20" t="s">
        <v>468</v>
      </c>
      <c r="I419" s="19">
        <v>46308.82708333333</v>
      </c>
      <c r="J419" s="20" t="s">
        <v>481</v>
      </c>
    </row>
    <row r="420" spans="1:10" x14ac:dyDescent="0.35">
      <c r="A420" s="20" t="s">
        <v>194</v>
      </c>
      <c r="B420" s="20" t="s">
        <v>462</v>
      </c>
      <c r="C420" s="20" t="s">
        <v>799</v>
      </c>
      <c r="D420" s="20" t="s">
        <v>1758</v>
      </c>
      <c r="E420" s="20" t="s">
        <v>1759</v>
      </c>
      <c r="F420" s="21" t="s">
        <v>1760</v>
      </c>
      <c r="G420" s="20" t="s">
        <v>800</v>
      </c>
      <c r="H420" s="20" t="s">
        <v>468</v>
      </c>
      <c r="I420" s="19">
        <v>46308.82708333333</v>
      </c>
      <c r="J420" s="20" t="s">
        <v>481</v>
      </c>
    </row>
    <row r="421" spans="1:10" x14ac:dyDescent="0.35">
      <c r="A421" s="20" t="s">
        <v>216</v>
      </c>
      <c r="B421" s="20" t="s">
        <v>482</v>
      </c>
      <c r="C421" s="20" t="s">
        <v>649</v>
      </c>
      <c r="D421" s="20" t="s">
        <v>1761</v>
      </c>
      <c r="E421" s="20" t="s">
        <v>1762</v>
      </c>
      <c r="F421" s="21" t="s">
        <v>1763</v>
      </c>
      <c r="G421" s="20" t="s">
        <v>619</v>
      </c>
      <c r="H421" s="20" t="s">
        <v>468</v>
      </c>
      <c r="I421" s="19">
        <v>46308.82708333333</v>
      </c>
      <c r="J421" s="20" t="s">
        <v>481</v>
      </c>
    </row>
    <row r="422" spans="1:10" x14ac:dyDescent="0.35">
      <c r="A422" s="20" t="s">
        <v>189</v>
      </c>
      <c r="B422" s="20" t="s">
        <v>462</v>
      </c>
      <c r="C422" s="20" t="s">
        <v>497</v>
      </c>
      <c r="D422" s="20" t="s">
        <v>1764</v>
      </c>
      <c r="E422" s="20" t="s">
        <v>1765</v>
      </c>
      <c r="F422" s="21" t="s">
        <v>1766</v>
      </c>
      <c r="G422" s="20" t="s">
        <v>480</v>
      </c>
      <c r="H422" s="20" t="s">
        <v>468</v>
      </c>
      <c r="I422" s="19">
        <v>46308.82708333333</v>
      </c>
      <c r="J422" s="20" t="s">
        <v>481</v>
      </c>
    </row>
    <row r="423" spans="1:10" x14ac:dyDescent="0.35">
      <c r="A423" s="20" t="s">
        <v>213</v>
      </c>
      <c r="B423" s="20" t="s">
        <v>475</v>
      </c>
      <c r="C423" s="20" t="s">
        <v>1334</v>
      </c>
      <c r="D423" s="20" t="s">
        <v>1767</v>
      </c>
      <c r="E423" s="20" t="s">
        <v>1768</v>
      </c>
      <c r="F423" s="21" t="s">
        <v>1769</v>
      </c>
      <c r="G423" s="20" t="s">
        <v>474</v>
      </c>
      <c r="H423" s="20" t="s">
        <v>468</v>
      </c>
      <c r="I423" s="19">
        <v>46308.82708333333</v>
      </c>
      <c r="J423" s="20" t="s">
        <v>469</v>
      </c>
    </row>
    <row r="424" spans="1:10" x14ac:dyDescent="0.35">
      <c r="A424" s="20" t="s">
        <v>237</v>
      </c>
      <c r="B424" s="20" t="s">
        <v>475</v>
      </c>
      <c r="C424" s="20" t="s">
        <v>787</v>
      </c>
      <c r="D424" s="20" t="s">
        <v>1770</v>
      </c>
      <c r="E424" s="20" t="s">
        <v>1771</v>
      </c>
      <c r="F424" s="21" t="s">
        <v>1772</v>
      </c>
      <c r="G424" s="20" t="s">
        <v>554</v>
      </c>
      <c r="H424" s="20" t="s">
        <v>468</v>
      </c>
      <c r="I424" s="19">
        <v>46308.82708333333</v>
      </c>
      <c r="J424" s="20" t="s">
        <v>509</v>
      </c>
    </row>
    <row r="425" spans="1:10" x14ac:dyDescent="0.35">
      <c r="A425" s="20" t="s">
        <v>270</v>
      </c>
      <c r="B425" s="20" t="s">
        <v>462</v>
      </c>
      <c r="C425" s="20" t="s">
        <v>1773</v>
      </c>
      <c r="D425" s="20" t="s">
        <v>1774</v>
      </c>
      <c r="E425" s="20" t="s">
        <v>1775</v>
      </c>
      <c r="F425" s="21" t="s">
        <v>1776</v>
      </c>
      <c r="G425" s="20" t="s">
        <v>609</v>
      </c>
      <c r="H425" s="20" t="s">
        <v>468</v>
      </c>
      <c r="I425" s="19">
        <v>46308.82708333333</v>
      </c>
      <c r="J425" s="20" t="s">
        <v>469</v>
      </c>
    </row>
    <row r="426" spans="1:10" x14ac:dyDescent="0.35">
      <c r="A426" s="20" t="s">
        <v>216</v>
      </c>
      <c r="B426" s="20" t="s">
        <v>462</v>
      </c>
      <c r="C426" s="20" t="s">
        <v>615</v>
      </c>
      <c r="D426" s="20" t="s">
        <v>1777</v>
      </c>
      <c r="E426" s="20" t="s">
        <v>1778</v>
      </c>
      <c r="F426" s="21" t="s">
        <v>1779</v>
      </c>
      <c r="G426" s="20" t="s">
        <v>619</v>
      </c>
      <c r="H426" s="20" t="s">
        <v>468</v>
      </c>
      <c r="I426" s="19">
        <v>46308.82708333333</v>
      </c>
      <c r="J426" s="20" t="s">
        <v>509</v>
      </c>
    </row>
    <row r="427" spans="1:10" x14ac:dyDescent="0.35">
      <c r="A427" s="20" t="s">
        <v>261</v>
      </c>
      <c r="B427" s="20" t="s">
        <v>462</v>
      </c>
      <c r="C427" s="20" t="s">
        <v>1742</v>
      </c>
      <c r="D427" s="20" t="s">
        <v>931</v>
      </c>
      <c r="E427" s="20" t="s">
        <v>932</v>
      </c>
      <c r="F427" s="21" t="s">
        <v>933</v>
      </c>
      <c r="G427" s="20" t="s">
        <v>1369</v>
      </c>
      <c r="H427" s="20" t="s">
        <v>468</v>
      </c>
      <c r="I427" s="19">
        <v>46308.82708333333</v>
      </c>
      <c r="J427" s="20" t="s">
        <v>509</v>
      </c>
    </row>
    <row r="428" spans="1:10" x14ac:dyDescent="0.35">
      <c r="A428" s="20" t="s">
        <v>231</v>
      </c>
      <c r="B428" s="20" t="s">
        <v>462</v>
      </c>
      <c r="C428" s="20" t="s">
        <v>601</v>
      </c>
      <c r="D428" s="20" t="s">
        <v>1780</v>
      </c>
      <c r="E428" s="20" t="s">
        <v>1781</v>
      </c>
      <c r="F428" s="21" t="s">
        <v>1782</v>
      </c>
      <c r="G428" s="20" t="s">
        <v>568</v>
      </c>
      <c r="H428" s="20" t="s">
        <v>468</v>
      </c>
      <c r="I428" s="19">
        <v>46308.82708333333</v>
      </c>
      <c r="J428" s="20" t="s">
        <v>469</v>
      </c>
    </row>
    <row r="429" spans="1:10" x14ac:dyDescent="0.35">
      <c r="A429" s="20" t="s">
        <v>204</v>
      </c>
      <c r="B429" s="20" t="s">
        <v>475</v>
      </c>
      <c r="C429" s="20" t="s">
        <v>828</v>
      </c>
      <c r="D429" s="20" t="s">
        <v>1783</v>
      </c>
      <c r="E429" s="20" t="s">
        <v>1784</v>
      </c>
      <c r="F429" s="21" t="s">
        <v>1785</v>
      </c>
      <c r="G429" s="20" t="s">
        <v>686</v>
      </c>
      <c r="H429" s="20" t="s">
        <v>468</v>
      </c>
      <c r="I429" s="19">
        <v>46308.82708333333</v>
      </c>
      <c r="J429" s="20" t="s">
        <v>509</v>
      </c>
    </row>
    <row r="430" spans="1:10" x14ac:dyDescent="0.35">
      <c r="A430" s="20" t="s">
        <v>197</v>
      </c>
      <c r="B430" s="20" t="s">
        <v>482</v>
      </c>
      <c r="C430" s="20" t="s">
        <v>1167</v>
      </c>
      <c r="D430" s="20" t="s">
        <v>1786</v>
      </c>
      <c r="E430" s="20" t="s">
        <v>1787</v>
      </c>
      <c r="F430" s="21" t="s">
        <v>1788</v>
      </c>
      <c r="G430" s="20" t="s">
        <v>549</v>
      </c>
      <c r="H430" s="20" t="s">
        <v>468</v>
      </c>
      <c r="I430" s="19">
        <v>46308.82708333333</v>
      </c>
      <c r="J430" s="20" t="s">
        <v>509</v>
      </c>
    </row>
    <row r="431" spans="1:10" x14ac:dyDescent="0.35">
      <c r="A431" s="20" t="s">
        <v>438</v>
      </c>
      <c r="B431" s="20" t="s">
        <v>462</v>
      </c>
      <c r="C431" s="20" t="s">
        <v>1789</v>
      </c>
      <c r="D431" s="20" t="s">
        <v>1790</v>
      </c>
      <c r="E431" s="20" t="s">
        <v>1791</v>
      </c>
      <c r="F431" s="21" t="s">
        <v>1792</v>
      </c>
      <c r="G431" s="20" t="s">
        <v>1248</v>
      </c>
      <c r="H431" s="20" t="s">
        <v>468</v>
      </c>
      <c r="I431" s="19">
        <v>46308.82708333333</v>
      </c>
      <c r="J431" s="20" t="s">
        <v>469</v>
      </c>
    </row>
    <row r="432" spans="1:10" x14ac:dyDescent="0.35">
      <c r="A432" s="20" t="s">
        <v>354</v>
      </c>
      <c r="B432" s="20" t="s">
        <v>482</v>
      </c>
      <c r="C432" s="20" t="s">
        <v>1793</v>
      </c>
      <c r="D432" s="20" t="s">
        <v>1794</v>
      </c>
      <c r="E432" s="20" t="s">
        <v>1795</v>
      </c>
      <c r="F432" s="21" t="s">
        <v>1796</v>
      </c>
      <c r="G432" s="20" t="s">
        <v>1797</v>
      </c>
      <c r="H432" s="20" t="s">
        <v>468</v>
      </c>
      <c r="I432" s="19">
        <v>46308.82708333333</v>
      </c>
      <c r="J432" s="20" t="s">
        <v>469</v>
      </c>
    </row>
    <row r="433" spans="1:10" x14ac:dyDescent="0.35">
      <c r="A433" s="20" t="s">
        <v>450</v>
      </c>
      <c r="B433" s="20" t="s">
        <v>482</v>
      </c>
      <c r="C433" s="20" t="s">
        <v>1798</v>
      </c>
      <c r="D433" s="20" t="s">
        <v>1783</v>
      </c>
      <c r="E433" s="20" t="s">
        <v>1784</v>
      </c>
      <c r="F433" s="21" t="s">
        <v>1785</v>
      </c>
      <c r="G433" s="20" t="s">
        <v>1074</v>
      </c>
      <c r="H433" s="20" t="s">
        <v>468</v>
      </c>
      <c r="I433" s="19">
        <v>46308.82708333333</v>
      </c>
      <c r="J433" s="20" t="s">
        <v>509</v>
      </c>
    </row>
    <row r="434" spans="1:10" x14ac:dyDescent="0.35">
      <c r="A434" s="20" t="s">
        <v>210</v>
      </c>
      <c r="B434" s="20" t="s">
        <v>462</v>
      </c>
      <c r="C434" s="20" t="s">
        <v>668</v>
      </c>
      <c r="D434" s="20" t="s">
        <v>1799</v>
      </c>
      <c r="E434" s="20" t="s">
        <v>1800</v>
      </c>
      <c r="F434" s="21" t="s">
        <v>1801</v>
      </c>
      <c r="G434" s="20" t="s">
        <v>672</v>
      </c>
      <c r="H434" s="20" t="s">
        <v>468</v>
      </c>
      <c r="I434" s="19">
        <v>46308.82708333333</v>
      </c>
      <c r="J434" s="20" t="s">
        <v>481</v>
      </c>
    </row>
    <row r="435" spans="1:10" x14ac:dyDescent="0.35">
      <c r="A435" s="20" t="s">
        <v>194</v>
      </c>
      <c r="B435" s="20" t="s">
        <v>462</v>
      </c>
      <c r="C435" s="20" t="s">
        <v>799</v>
      </c>
      <c r="D435" s="20" t="s">
        <v>1802</v>
      </c>
      <c r="E435" s="20" t="s">
        <v>1803</v>
      </c>
      <c r="F435" s="21" t="s">
        <v>1804</v>
      </c>
      <c r="G435" s="20" t="s">
        <v>800</v>
      </c>
      <c r="H435" s="20" t="s">
        <v>468</v>
      </c>
      <c r="I435" s="19">
        <v>46308.82708333333</v>
      </c>
      <c r="J435" s="20" t="s">
        <v>469</v>
      </c>
    </row>
    <row r="436" spans="1:10" x14ac:dyDescent="0.35">
      <c r="A436" s="20" t="s">
        <v>216</v>
      </c>
      <c r="B436" s="20" t="s">
        <v>475</v>
      </c>
      <c r="C436" s="20" t="s">
        <v>758</v>
      </c>
      <c r="D436" s="20" t="s">
        <v>1805</v>
      </c>
      <c r="E436" s="20" t="s">
        <v>1806</v>
      </c>
      <c r="F436" s="21" t="s">
        <v>1807</v>
      </c>
      <c r="G436" s="20" t="s">
        <v>619</v>
      </c>
      <c r="H436" s="20" t="s">
        <v>468</v>
      </c>
      <c r="I436" s="19">
        <v>46308.82708333333</v>
      </c>
      <c r="J436" s="20" t="s">
        <v>469</v>
      </c>
    </row>
    <row r="437" spans="1:10" x14ac:dyDescent="0.35">
      <c r="A437" s="20" t="s">
        <v>309</v>
      </c>
      <c r="B437" s="20" t="s">
        <v>475</v>
      </c>
      <c r="C437" s="20" t="s">
        <v>1555</v>
      </c>
      <c r="D437" s="20" t="s">
        <v>1808</v>
      </c>
      <c r="E437" s="20" t="s">
        <v>1809</v>
      </c>
      <c r="F437" s="21" t="s">
        <v>1810</v>
      </c>
      <c r="G437" s="20" t="s">
        <v>517</v>
      </c>
      <c r="H437" s="20" t="s">
        <v>468</v>
      </c>
      <c r="I437" s="19">
        <v>46308.82708333333</v>
      </c>
      <c r="J437" s="20" t="s">
        <v>481</v>
      </c>
    </row>
    <row r="438" spans="1:10" x14ac:dyDescent="0.35">
      <c r="A438" s="20" t="s">
        <v>204</v>
      </c>
      <c r="B438" s="20" t="s">
        <v>482</v>
      </c>
      <c r="C438" s="20" t="s">
        <v>682</v>
      </c>
      <c r="D438" s="20" t="s">
        <v>1811</v>
      </c>
      <c r="E438" s="20" t="s">
        <v>1812</v>
      </c>
      <c r="F438" s="21" t="s">
        <v>1813</v>
      </c>
      <c r="G438" s="20" t="s">
        <v>686</v>
      </c>
      <c r="H438" s="20" t="s">
        <v>468</v>
      </c>
      <c r="I438" s="19">
        <v>46308.82708333333</v>
      </c>
      <c r="J438" s="20" t="s">
        <v>469</v>
      </c>
    </row>
    <row r="439" spans="1:10" x14ac:dyDescent="0.35">
      <c r="A439" s="20" t="s">
        <v>246</v>
      </c>
      <c r="B439" s="20" t="s">
        <v>475</v>
      </c>
      <c r="C439" s="20" t="s">
        <v>1814</v>
      </c>
      <c r="D439" s="20" t="s">
        <v>502</v>
      </c>
      <c r="E439" s="20" t="s">
        <v>503</v>
      </c>
      <c r="F439" s="21" t="s">
        <v>504</v>
      </c>
      <c r="G439" s="20" t="s">
        <v>964</v>
      </c>
      <c r="H439" s="20" t="s">
        <v>468</v>
      </c>
      <c r="I439" s="19">
        <v>46308.82708333333</v>
      </c>
      <c r="J439" s="20" t="s">
        <v>481</v>
      </c>
    </row>
    <row r="440" spans="1:10" x14ac:dyDescent="0.35">
      <c r="A440" s="20" t="s">
        <v>441</v>
      </c>
      <c r="B440" s="20" t="s">
        <v>482</v>
      </c>
      <c r="C440" s="20" t="s">
        <v>1815</v>
      </c>
      <c r="D440" s="20" t="s">
        <v>1816</v>
      </c>
      <c r="E440" s="20" t="s">
        <v>1817</v>
      </c>
      <c r="F440" s="21" t="s">
        <v>1818</v>
      </c>
      <c r="G440" s="20" t="s">
        <v>1819</v>
      </c>
      <c r="H440" s="20" t="s">
        <v>468</v>
      </c>
      <c r="I440" s="19">
        <v>46308.82708333333</v>
      </c>
      <c r="J440" s="20" t="s">
        <v>469</v>
      </c>
    </row>
    <row r="441" spans="1:10" x14ac:dyDescent="0.35">
      <c r="A441" s="20" t="s">
        <v>213</v>
      </c>
      <c r="B441" s="20" t="s">
        <v>462</v>
      </c>
      <c r="C441" s="20" t="s">
        <v>470</v>
      </c>
      <c r="D441" s="20" t="s">
        <v>1820</v>
      </c>
      <c r="E441" s="20" t="s">
        <v>1821</v>
      </c>
      <c r="F441" s="21" t="s">
        <v>1822</v>
      </c>
      <c r="G441" s="20" t="s">
        <v>474</v>
      </c>
      <c r="H441" s="20" t="s">
        <v>468</v>
      </c>
      <c r="I441" s="19">
        <v>46308.82708333333</v>
      </c>
      <c r="J441" s="20" t="s">
        <v>469</v>
      </c>
    </row>
    <row r="442" spans="1:10" x14ac:dyDescent="0.35">
      <c r="A442" s="20" t="s">
        <v>189</v>
      </c>
      <c r="B442" s="20" t="s">
        <v>482</v>
      </c>
      <c r="C442" s="20" t="s">
        <v>483</v>
      </c>
      <c r="D442" s="20" t="s">
        <v>1823</v>
      </c>
      <c r="E442" s="20" t="s">
        <v>1824</v>
      </c>
      <c r="F442" s="21" t="s">
        <v>1825</v>
      </c>
      <c r="G442" s="20" t="s">
        <v>480</v>
      </c>
      <c r="H442" s="20" t="s">
        <v>468</v>
      </c>
      <c r="I442" s="19">
        <v>46308.82708333333</v>
      </c>
      <c r="J442" s="20" t="s">
        <v>469</v>
      </c>
    </row>
    <row r="443" spans="1:10" x14ac:dyDescent="0.35">
      <c r="A443" s="20" t="s">
        <v>189</v>
      </c>
      <c r="B443" s="20" t="s">
        <v>482</v>
      </c>
      <c r="C443" s="20" t="s">
        <v>483</v>
      </c>
      <c r="D443" s="20" t="s">
        <v>1826</v>
      </c>
      <c r="E443" s="20" t="s">
        <v>1827</v>
      </c>
      <c r="F443" s="21" t="s">
        <v>1828</v>
      </c>
      <c r="G443" s="20" t="s">
        <v>480</v>
      </c>
      <c r="H443" s="20" t="s">
        <v>468</v>
      </c>
      <c r="I443" s="19">
        <v>46308.82708333333</v>
      </c>
      <c r="J443" s="20" t="s">
        <v>509</v>
      </c>
    </row>
    <row r="444" spans="1:10" x14ac:dyDescent="0.35">
      <c r="A444" s="20" t="s">
        <v>189</v>
      </c>
      <c r="B444" s="20" t="s">
        <v>475</v>
      </c>
      <c r="C444" s="20" t="s">
        <v>476</v>
      </c>
      <c r="D444" s="20" t="s">
        <v>1829</v>
      </c>
      <c r="E444" s="20" t="s">
        <v>1830</v>
      </c>
      <c r="F444" s="21" t="s">
        <v>1831</v>
      </c>
      <c r="G444" s="20" t="s">
        <v>480</v>
      </c>
      <c r="H444" s="20" t="s">
        <v>468</v>
      </c>
      <c r="I444" s="19">
        <v>46308.82708333333</v>
      </c>
      <c r="J444" s="20" t="s">
        <v>481</v>
      </c>
    </row>
    <row r="445" spans="1:10" x14ac:dyDescent="0.35">
      <c r="A445" s="20" t="s">
        <v>189</v>
      </c>
      <c r="B445" s="20" t="s">
        <v>462</v>
      </c>
      <c r="C445" s="20" t="s">
        <v>497</v>
      </c>
      <c r="D445" s="20" t="s">
        <v>1832</v>
      </c>
      <c r="E445" s="20" t="s">
        <v>1833</v>
      </c>
      <c r="F445" s="21" t="s">
        <v>1834</v>
      </c>
      <c r="G445" s="20" t="s">
        <v>480</v>
      </c>
      <c r="H445" s="20" t="s">
        <v>468</v>
      </c>
      <c r="I445" s="19">
        <v>46308.82708333333</v>
      </c>
      <c r="J445" s="20" t="s">
        <v>509</v>
      </c>
    </row>
    <row r="446" spans="1:10" x14ac:dyDescent="0.35">
      <c r="A446" s="20" t="s">
        <v>207</v>
      </c>
      <c r="B446" s="20" t="s">
        <v>475</v>
      </c>
      <c r="C446" s="20" t="s">
        <v>754</v>
      </c>
      <c r="D446" s="20" t="s">
        <v>1034</v>
      </c>
      <c r="E446" s="20" t="s">
        <v>1035</v>
      </c>
      <c r="F446" s="21" t="s">
        <v>1036</v>
      </c>
      <c r="G446" s="20" t="s">
        <v>592</v>
      </c>
      <c r="H446" s="20" t="s">
        <v>468</v>
      </c>
      <c r="I446" s="19">
        <v>46308.82916666667</v>
      </c>
      <c r="J446" s="20" t="s">
        <v>509</v>
      </c>
    </row>
    <row r="447" spans="1:10" x14ac:dyDescent="0.35">
      <c r="A447" s="20" t="s">
        <v>189</v>
      </c>
      <c r="B447" s="20" t="s">
        <v>462</v>
      </c>
      <c r="C447" s="20" t="s">
        <v>497</v>
      </c>
      <c r="D447" s="20" t="s">
        <v>1081</v>
      </c>
      <c r="E447" s="20" t="s">
        <v>1082</v>
      </c>
      <c r="F447" s="21" t="s">
        <v>1083</v>
      </c>
      <c r="G447" s="20" t="s">
        <v>480</v>
      </c>
      <c r="H447" s="20" t="s">
        <v>468</v>
      </c>
      <c r="I447" s="19">
        <v>46308.830555555563</v>
      </c>
      <c r="J447" s="20" t="s">
        <v>509</v>
      </c>
    </row>
    <row r="448" spans="1:10" x14ac:dyDescent="0.35">
      <c r="A448" s="20" t="s">
        <v>300</v>
      </c>
      <c r="B448" s="20" t="s">
        <v>462</v>
      </c>
      <c r="C448" s="20" t="s">
        <v>745</v>
      </c>
      <c r="D448" s="20" t="s">
        <v>1835</v>
      </c>
      <c r="E448" s="20" t="s">
        <v>1836</v>
      </c>
      <c r="F448" s="21" t="s">
        <v>1837</v>
      </c>
      <c r="G448" s="20" t="s">
        <v>749</v>
      </c>
      <c r="H448" s="20" t="s">
        <v>468</v>
      </c>
      <c r="I448" s="19">
        <v>46308.82708333333</v>
      </c>
      <c r="J448" s="20" t="s">
        <v>509</v>
      </c>
    </row>
    <row r="449" spans="1:10" x14ac:dyDescent="0.35">
      <c r="A449" s="20" t="s">
        <v>201</v>
      </c>
      <c r="B449" s="20" t="s">
        <v>475</v>
      </c>
      <c r="C449" s="20" t="s">
        <v>533</v>
      </c>
      <c r="D449" s="20" t="s">
        <v>1615</v>
      </c>
      <c r="E449" s="20" t="s">
        <v>1616</v>
      </c>
      <c r="F449" s="21" t="s">
        <v>1617</v>
      </c>
      <c r="G449" s="20" t="s">
        <v>1838</v>
      </c>
      <c r="H449" s="20" t="s">
        <v>634</v>
      </c>
      <c r="I449" s="19">
        <v>46308.82708333333</v>
      </c>
      <c r="J449" s="20" t="s">
        <v>481</v>
      </c>
    </row>
    <row r="450" spans="1:10" x14ac:dyDescent="0.35">
      <c r="A450" s="20" t="s">
        <v>197</v>
      </c>
      <c r="B450" s="20" t="s">
        <v>462</v>
      </c>
      <c r="C450" s="20" t="s">
        <v>560</v>
      </c>
      <c r="D450" s="20" t="s">
        <v>1839</v>
      </c>
      <c r="E450" s="20" t="s">
        <v>1840</v>
      </c>
      <c r="F450" s="21" t="s">
        <v>1841</v>
      </c>
      <c r="G450" s="20" t="s">
        <v>549</v>
      </c>
      <c r="H450" s="20" t="s">
        <v>468</v>
      </c>
      <c r="I450" s="19">
        <v>46308.82708333333</v>
      </c>
      <c r="J450" s="20" t="s">
        <v>469</v>
      </c>
    </row>
    <row r="451" spans="1:10" x14ac:dyDescent="0.35">
      <c r="A451" s="20" t="s">
        <v>189</v>
      </c>
      <c r="B451" s="20" t="s">
        <v>475</v>
      </c>
      <c r="C451" s="20" t="s">
        <v>476</v>
      </c>
      <c r="D451" s="20" t="s">
        <v>1842</v>
      </c>
      <c r="E451" s="20" t="s">
        <v>1843</v>
      </c>
      <c r="F451" s="21" t="s">
        <v>1844</v>
      </c>
      <c r="G451" s="20" t="s">
        <v>480</v>
      </c>
      <c r="H451" s="20" t="s">
        <v>468</v>
      </c>
      <c r="I451" s="19">
        <v>46308.82708333333</v>
      </c>
      <c r="J451" s="20" t="s">
        <v>469</v>
      </c>
    </row>
    <row r="452" spans="1:10" x14ac:dyDescent="0.35">
      <c r="A452" s="20" t="s">
        <v>189</v>
      </c>
      <c r="B452" s="20" t="s">
        <v>482</v>
      </c>
      <c r="C452" s="20" t="s">
        <v>483</v>
      </c>
      <c r="D452" s="20" t="s">
        <v>1845</v>
      </c>
      <c r="E452" s="20" t="s">
        <v>1846</v>
      </c>
      <c r="F452" s="21" t="s">
        <v>1847</v>
      </c>
      <c r="G452" s="20" t="s">
        <v>480</v>
      </c>
      <c r="H452" s="20" t="s">
        <v>468</v>
      </c>
      <c r="I452" s="19">
        <v>46308.82708333333</v>
      </c>
      <c r="J452" s="20" t="s">
        <v>469</v>
      </c>
    </row>
    <row r="453" spans="1:10" x14ac:dyDescent="0.35">
      <c r="A453" s="20" t="s">
        <v>291</v>
      </c>
      <c r="B453" s="20" t="s">
        <v>475</v>
      </c>
      <c r="C453" s="20" t="s">
        <v>1848</v>
      </c>
      <c r="D453" s="20" t="s">
        <v>1849</v>
      </c>
      <c r="E453" s="20" t="s">
        <v>1850</v>
      </c>
      <c r="F453" s="21" t="s">
        <v>1851</v>
      </c>
      <c r="G453" s="20" t="s">
        <v>780</v>
      </c>
      <c r="H453" s="20" t="s">
        <v>468</v>
      </c>
      <c r="I453" s="19">
        <v>46308.82708333333</v>
      </c>
      <c r="J453" s="20" t="s">
        <v>509</v>
      </c>
    </row>
    <row r="454" spans="1:10" x14ac:dyDescent="0.35">
      <c r="A454" s="20" t="s">
        <v>399</v>
      </c>
      <c r="B454" s="20" t="s">
        <v>475</v>
      </c>
      <c r="C454" s="20" t="s">
        <v>1087</v>
      </c>
      <c r="D454" s="20" t="s">
        <v>835</v>
      </c>
      <c r="E454" s="20" t="s">
        <v>836</v>
      </c>
      <c r="F454" s="21" t="s">
        <v>837</v>
      </c>
      <c r="G454" s="20" t="s">
        <v>1091</v>
      </c>
      <c r="H454" s="20" t="s">
        <v>468</v>
      </c>
      <c r="I454" s="19">
        <v>46308.82708333333</v>
      </c>
      <c r="J454" s="20" t="s">
        <v>509</v>
      </c>
    </row>
    <row r="455" spans="1:10" x14ac:dyDescent="0.35">
      <c r="A455" s="20" t="s">
        <v>246</v>
      </c>
      <c r="B455" s="20" t="s">
        <v>462</v>
      </c>
      <c r="C455" s="20" t="s">
        <v>1852</v>
      </c>
      <c r="D455" s="20" t="s">
        <v>1362</v>
      </c>
      <c r="E455" s="20" t="s">
        <v>1363</v>
      </c>
      <c r="F455" s="21" t="s">
        <v>1364</v>
      </c>
      <c r="G455" s="20" t="s">
        <v>964</v>
      </c>
      <c r="H455" s="20" t="s">
        <v>468</v>
      </c>
      <c r="I455" s="19">
        <v>46308.82708333333</v>
      </c>
      <c r="J455" s="20" t="s">
        <v>481</v>
      </c>
    </row>
    <row r="456" spans="1:10" x14ac:dyDescent="0.35">
      <c r="A456" s="20" t="s">
        <v>189</v>
      </c>
      <c r="B456" s="20" t="s">
        <v>482</v>
      </c>
      <c r="C456" s="20" t="s">
        <v>483</v>
      </c>
      <c r="D456" s="20" t="s">
        <v>1853</v>
      </c>
      <c r="E456" s="20" t="s">
        <v>1854</v>
      </c>
      <c r="F456" s="21" t="s">
        <v>1855</v>
      </c>
      <c r="G456" s="20" t="s">
        <v>480</v>
      </c>
      <c r="H456" s="20" t="s">
        <v>468</v>
      </c>
      <c r="I456" s="19">
        <v>46308.82708333333</v>
      </c>
      <c r="J456" s="20" t="s">
        <v>469</v>
      </c>
    </row>
    <row r="457" spans="1:10" x14ac:dyDescent="0.35">
      <c r="A457" s="20" t="s">
        <v>189</v>
      </c>
      <c r="B457" s="20" t="s">
        <v>462</v>
      </c>
      <c r="C457" s="20" t="s">
        <v>497</v>
      </c>
      <c r="D457" s="20" t="s">
        <v>1856</v>
      </c>
      <c r="E457" s="20" t="s">
        <v>1857</v>
      </c>
      <c r="F457" s="21" t="s">
        <v>1858</v>
      </c>
      <c r="G457" s="20" t="s">
        <v>480</v>
      </c>
      <c r="H457" s="20" t="s">
        <v>468</v>
      </c>
      <c r="I457" s="19">
        <v>46308.82708333333</v>
      </c>
      <c r="J457" s="20" t="s">
        <v>481</v>
      </c>
    </row>
    <row r="458" spans="1:10" x14ac:dyDescent="0.35">
      <c r="A458" s="20" t="s">
        <v>201</v>
      </c>
      <c r="B458" s="20" t="s">
        <v>482</v>
      </c>
      <c r="C458" s="20" t="s">
        <v>956</v>
      </c>
      <c r="D458" s="20" t="s">
        <v>1859</v>
      </c>
      <c r="E458" s="20" t="s">
        <v>1860</v>
      </c>
      <c r="F458" s="21" t="s">
        <v>1861</v>
      </c>
      <c r="G458" s="20" t="s">
        <v>537</v>
      </c>
      <c r="H458" s="20" t="s">
        <v>468</v>
      </c>
      <c r="I458" s="19">
        <v>46308.82708333333</v>
      </c>
      <c r="J458" s="20" t="s">
        <v>481</v>
      </c>
    </row>
    <row r="459" spans="1:10" x14ac:dyDescent="0.35">
      <c r="A459" s="20" t="s">
        <v>204</v>
      </c>
      <c r="B459" s="20" t="s">
        <v>475</v>
      </c>
      <c r="C459" s="20" t="s">
        <v>828</v>
      </c>
      <c r="D459" s="20" t="s">
        <v>1862</v>
      </c>
      <c r="E459" s="20" t="s">
        <v>1863</v>
      </c>
      <c r="F459" s="21" t="s">
        <v>1864</v>
      </c>
      <c r="G459" s="20" t="s">
        <v>686</v>
      </c>
      <c r="H459" s="20" t="s">
        <v>468</v>
      </c>
      <c r="I459" s="19">
        <v>46308.82708333333</v>
      </c>
      <c r="J459" s="20" t="s">
        <v>469</v>
      </c>
    </row>
    <row r="460" spans="1:10" x14ac:dyDescent="0.35">
      <c r="A460" s="20" t="s">
        <v>396</v>
      </c>
      <c r="B460" s="20" t="s">
        <v>482</v>
      </c>
      <c r="C460" s="20" t="s">
        <v>1865</v>
      </c>
      <c r="D460" s="20" t="s">
        <v>1866</v>
      </c>
      <c r="E460" s="20" t="s">
        <v>1867</v>
      </c>
      <c r="F460" s="21" t="s">
        <v>1868</v>
      </c>
      <c r="G460" s="20" t="s">
        <v>1179</v>
      </c>
      <c r="H460" s="20" t="s">
        <v>468</v>
      </c>
      <c r="I460" s="19">
        <v>46308.82708333333</v>
      </c>
      <c r="J460" s="20" t="s">
        <v>481</v>
      </c>
    </row>
    <row r="461" spans="1:10" x14ac:dyDescent="0.35">
      <c r="A461" s="20" t="s">
        <v>207</v>
      </c>
      <c r="B461" s="20" t="s">
        <v>475</v>
      </c>
      <c r="C461" s="20" t="s">
        <v>754</v>
      </c>
      <c r="D461" s="20" t="s">
        <v>802</v>
      </c>
      <c r="E461" s="20" t="s">
        <v>803</v>
      </c>
      <c r="F461" s="21" t="s">
        <v>804</v>
      </c>
      <c r="G461" s="20" t="s">
        <v>592</v>
      </c>
      <c r="H461" s="20" t="s">
        <v>468</v>
      </c>
      <c r="I461" s="19">
        <v>46308.82708333333</v>
      </c>
      <c r="J461" s="20" t="s">
        <v>481</v>
      </c>
    </row>
    <row r="462" spans="1:10" x14ac:dyDescent="0.35">
      <c r="A462" s="20" t="s">
        <v>303</v>
      </c>
      <c r="B462" s="20" t="s">
        <v>462</v>
      </c>
      <c r="C462" s="20" t="s">
        <v>1869</v>
      </c>
      <c r="D462" s="20" t="s">
        <v>896</v>
      </c>
      <c r="E462" s="20" t="s">
        <v>897</v>
      </c>
      <c r="F462" s="21" t="s">
        <v>898</v>
      </c>
      <c r="G462" s="20" t="s">
        <v>1216</v>
      </c>
      <c r="H462" s="20" t="s">
        <v>468</v>
      </c>
      <c r="I462" s="19">
        <v>46308.82708333333</v>
      </c>
      <c r="J462" s="20" t="s">
        <v>481</v>
      </c>
    </row>
    <row r="463" spans="1:10" x14ac:dyDescent="0.35">
      <c r="A463" s="20" t="s">
        <v>252</v>
      </c>
      <c r="B463" s="20" t="s">
        <v>462</v>
      </c>
      <c r="C463" s="20" t="s">
        <v>596</v>
      </c>
      <c r="D463" s="20" t="s">
        <v>1870</v>
      </c>
      <c r="E463" s="20" t="s">
        <v>1871</v>
      </c>
      <c r="F463" s="21" t="s">
        <v>1872</v>
      </c>
      <c r="G463" s="20" t="s">
        <v>600</v>
      </c>
      <c r="H463" s="20" t="s">
        <v>468</v>
      </c>
      <c r="I463" s="19">
        <v>46308.82708333333</v>
      </c>
      <c r="J463" s="20" t="s">
        <v>469</v>
      </c>
    </row>
    <row r="464" spans="1:10" x14ac:dyDescent="0.35">
      <c r="A464" s="20" t="s">
        <v>189</v>
      </c>
      <c r="B464" s="20" t="s">
        <v>475</v>
      </c>
      <c r="C464" s="20" t="s">
        <v>476</v>
      </c>
      <c r="D464" s="20" t="s">
        <v>1873</v>
      </c>
      <c r="E464" s="20" t="s">
        <v>1874</v>
      </c>
      <c r="F464" s="21" t="s">
        <v>1875</v>
      </c>
      <c r="G464" s="20" t="s">
        <v>480</v>
      </c>
      <c r="H464" s="20" t="s">
        <v>468</v>
      </c>
      <c r="I464" s="19">
        <v>46308.82708333333</v>
      </c>
      <c r="J464" s="20" t="s">
        <v>509</v>
      </c>
    </row>
    <row r="465" spans="1:10" x14ac:dyDescent="0.35">
      <c r="A465" s="20" t="s">
        <v>189</v>
      </c>
      <c r="B465" s="20" t="s">
        <v>482</v>
      </c>
      <c r="C465" s="20" t="s">
        <v>483</v>
      </c>
      <c r="D465" s="20" t="s">
        <v>1876</v>
      </c>
      <c r="E465" s="20" t="s">
        <v>1877</v>
      </c>
      <c r="F465" s="21" t="s">
        <v>1878</v>
      </c>
      <c r="G465" s="20" t="s">
        <v>480</v>
      </c>
      <c r="H465" s="20" t="s">
        <v>468</v>
      </c>
      <c r="I465" s="19">
        <v>46308.82708333333</v>
      </c>
      <c r="J465" s="20" t="s">
        <v>509</v>
      </c>
    </row>
    <row r="466" spans="1:10" x14ac:dyDescent="0.35">
      <c r="A466" s="20" t="s">
        <v>216</v>
      </c>
      <c r="B466" s="20" t="s">
        <v>475</v>
      </c>
      <c r="C466" s="20" t="s">
        <v>758</v>
      </c>
      <c r="D466" s="20" t="s">
        <v>1879</v>
      </c>
      <c r="E466" s="20" t="s">
        <v>1880</v>
      </c>
      <c r="F466" s="21" t="s">
        <v>1881</v>
      </c>
      <c r="G466" s="20" t="s">
        <v>619</v>
      </c>
      <c r="H466" s="20" t="s">
        <v>468</v>
      </c>
      <c r="I466" s="19">
        <v>46308.82708333333</v>
      </c>
      <c r="J466" s="20" t="s">
        <v>509</v>
      </c>
    </row>
    <row r="467" spans="1:10" x14ac:dyDescent="0.35">
      <c r="A467" s="20" t="s">
        <v>429</v>
      </c>
      <c r="B467" s="20" t="s">
        <v>482</v>
      </c>
      <c r="C467" s="20" t="s">
        <v>1882</v>
      </c>
      <c r="D467" s="20" t="s">
        <v>1883</v>
      </c>
      <c r="E467" s="20" t="s">
        <v>1884</v>
      </c>
      <c r="F467" s="21" t="s">
        <v>1885</v>
      </c>
      <c r="G467" s="20" t="s">
        <v>795</v>
      </c>
      <c r="H467" s="20" t="s">
        <v>468</v>
      </c>
      <c r="I467" s="19">
        <v>46308.82708333333</v>
      </c>
      <c r="J467" s="20" t="s">
        <v>481</v>
      </c>
    </row>
    <row r="468" spans="1:10" x14ac:dyDescent="0.35">
      <c r="A468" s="20" t="s">
        <v>189</v>
      </c>
      <c r="B468" s="20" t="s">
        <v>482</v>
      </c>
      <c r="C468" s="20" t="s">
        <v>483</v>
      </c>
      <c r="D468" s="20" t="s">
        <v>1672</v>
      </c>
      <c r="E468" s="20" t="s">
        <v>1673</v>
      </c>
      <c r="F468" s="21" t="s">
        <v>1674</v>
      </c>
      <c r="G468" s="20" t="s">
        <v>480</v>
      </c>
      <c r="H468" s="20" t="s">
        <v>468</v>
      </c>
      <c r="I468" s="19">
        <v>46308.82708333333</v>
      </c>
      <c r="J468" s="20" t="s">
        <v>509</v>
      </c>
    </row>
    <row r="469" spans="1:10" x14ac:dyDescent="0.35">
      <c r="A469" s="20" t="s">
        <v>189</v>
      </c>
      <c r="B469" s="20" t="s">
        <v>482</v>
      </c>
      <c r="C469" s="20" t="s">
        <v>483</v>
      </c>
      <c r="D469" s="20" t="s">
        <v>1342</v>
      </c>
      <c r="E469" s="20" t="s">
        <v>1343</v>
      </c>
      <c r="F469" s="21" t="s">
        <v>1344</v>
      </c>
      <c r="G469" s="20" t="s">
        <v>480</v>
      </c>
      <c r="H469" s="20" t="s">
        <v>468</v>
      </c>
      <c r="I469" s="19">
        <v>46308.82708333333</v>
      </c>
      <c r="J469" s="20" t="s">
        <v>469</v>
      </c>
    </row>
    <row r="470" spans="1:10" x14ac:dyDescent="0.35">
      <c r="A470" s="20" t="s">
        <v>279</v>
      </c>
      <c r="B470" s="20" t="s">
        <v>462</v>
      </c>
      <c r="C470" s="20" t="s">
        <v>1373</v>
      </c>
      <c r="D470" s="20" t="s">
        <v>1886</v>
      </c>
      <c r="E470" s="20" t="s">
        <v>1887</v>
      </c>
      <c r="F470" s="21" t="s">
        <v>1888</v>
      </c>
      <c r="G470" s="20" t="s">
        <v>1124</v>
      </c>
      <c r="H470" s="20" t="s">
        <v>468</v>
      </c>
      <c r="I470" s="19">
        <v>46308.82708333333</v>
      </c>
      <c r="J470" s="20" t="s">
        <v>469</v>
      </c>
    </row>
    <row r="471" spans="1:10" x14ac:dyDescent="0.35">
      <c r="A471" s="20" t="s">
        <v>270</v>
      </c>
      <c r="B471" s="20" t="s">
        <v>462</v>
      </c>
      <c r="C471" s="20" t="s">
        <v>1773</v>
      </c>
      <c r="D471" s="20" t="s">
        <v>1889</v>
      </c>
      <c r="E471" s="20" t="s">
        <v>1890</v>
      </c>
      <c r="F471" s="21" t="s">
        <v>1891</v>
      </c>
      <c r="G471" s="20" t="s">
        <v>609</v>
      </c>
      <c r="H471" s="20" t="s">
        <v>468</v>
      </c>
      <c r="I471" s="19">
        <v>46308.82708333333</v>
      </c>
      <c r="J471" s="20" t="s">
        <v>469</v>
      </c>
    </row>
    <row r="472" spans="1:10" x14ac:dyDescent="0.35">
      <c r="A472" s="20" t="s">
        <v>189</v>
      </c>
      <c r="B472" s="20" t="s">
        <v>482</v>
      </c>
      <c r="C472" s="20" t="s">
        <v>483</v>
      </c>
      <c r="D472" s="20" t="s">
        <v>1892</v>
      </c>
      <c r="E472" s="20" t="s">
        <v>1893</v>
      </c>
      <c r="F472" s="21" t="s">
        <v>1894</v>
      </c>
      <c r="G472" s="20" t="s">
        <v>480</v>
      </c>
      <c r="H472" s="20" t="s">
        <v>468</v>
      </c>
      <c r="I472" s="19">
        <v>46308.82708333333</v>
      </c>
      <c r="J472" s="20" t="s">
        <v>481</v>
      </c>
    </row>
    <row r="473" spans="1:10" x14ac:dyDescent="0.35">
      <c r="A473" s="20" t="s">
        <v>429</v>
      </c>
      <c r="B473" s="20" t="s">
        <v>475</v>
      </c>
      <c r="C473" s="20" t="s">
        <v>791</v>
      </c>
      <c r="D473" s="20" t="s">
        <v>914</v>
      </c>
      <c r="E473" s="20" t="s">
        <v>915</v>
      </c>
      <c r="F473" s="21" t="s">
        <v>916</v>
      </c>
      <c r="G473" s="20" t="s">
        <v>795</v>
      </c>
      <c r="H473" s="20" t="s">
        <v>468</v>
      </c>
      <c r="I473" s="19">
        <v>46308.82708333333</v>
      </c>
      <c r="J473" s="20" t="s">
        <v>509</v>
      </c>
    </row>
    <row r="474" spans="1:10" x14ac:dyDescent="0.35">
      <c r="A474" s="20" t="s">
        <v>255</v>
      </c>
      <c r="B474" s="20" t="s">
        <v>475</v>
      </c>
      <c r="C474" s="20" t="s">
        <v>1431</v>
      </c>
      <c r="D474" s="20" t="s">
        <v>1895</v>
      </c>
      <c r="E474" s="20" t="s">
        <v>1896</v>
      </c>
      <c r="F474" s="21" t="s">
        <v>1897</v>
      </c>
      <c r="G474" s="20" t="s">
        <v>1069</v>
      </c>
      <c r="H474" s="20" t="s">
        <v>468</v>
      </c>
      <c r="I474" s="19">
        <v>46308.82708333333</v>
      </c>
      <c r="J474" s="20" t="s">
        <v>481</v>
      </c>
    </row>
    <row r="475" spans="1:10" x14ac:dyDescent="0.35">
      <c r="A475" s="20" t="s">
        <v>327</v>
      </c>
      <c r="B475" s="20" t="s">
        <v>475</v>
      </c>
      <c r="C475" s="20" t="s">
        <v>629</v>
      </c>
      <c r="D475" s="20" t="s">
        <v>1898</v>
      </c>
      <c r="E475" s="20" t="s">
        <v>1899</v>
      </c>
      <c r="F475" s="21" t="s">
        <v>1900</v>
      </c>
      <c r="G475" s="20" t="s">
        <v>1566</v>
      </c>
      <c r="H475" s="20" t="s">
        <v>468</v>
      </c>
      <c r="I475" s="19">
        <v>46308.82708333333</v>
      </c>
      <c r="J475" s="20" t="s">
        <v>509</v>
      </c>
    </row>
    <row r="476" spans="1:10" x14ac:dyDescent="0.35">
      <c r="A476" s="20" t="s">
        <v>369</v>
      </c>
      <c r="B476" s="20" t="s">
        <v>462</v>
      </c>
      <c r="C476" s="20" t="s">
        <v>1901</v>
      </c>
      <c r="D476" s="20" t="s">
        <v>1767</v>
      </c>
      <c r="E476" s="20" t="s">
        <v>1768</v>
      </c>
      <c r="F476" s="21" t="s">
        <v>1769</v>
      </c>
      <c r="G476" s="20" t="s">
        <v>1902</v>
      </c>
      <c r="H476" s="20" t="s">
        <v>468</v>
      </c>
      <c r="I476" s="19">
        <v>46308.82708333333</v>
      </c>
      <c r="J476" s="20" t="s">
        <v>469</v>
      </c>
    </row>
    <row r="477" spans="1:10" x14ac:dyDescent="0.35">
      <c r="A477" s="20" t="s">
        <v>189</v>
      </c>
      <c r="B477" s="20" t="s">
        <v>475</v>
      </c>
      <c r="C477" s="20" t="s">
        <v>476</v>
      </c>
      <c r="D477" s="20" t="s">
        <v>1903</v>
      </c>
      <c r="E477" s="20" t="s">
        <v>1904</v>
      </c>
      <c r="F477" s="21" t="s">
        <v>1905</v>
      </c>
      <c r="G477" s="20" t="s">
        <v>480</v>
      </c>
      <c r="H477" s="20" t="s">
        <v>468</v>
      </c>
      <c r="I477" s="19">
        <v>46308.82708333333</v>
      </c>
      <c r="J477" s="20" t="s">
        <v>509</v>
      </c>
    </row>
    <row r="478" spans="1:10" x14ac:dyDescent="0.35">
      <c r="A478" s="20" t="s">
        <v>189</v>
      </c>
      <c r="B478" s="20" t="s">
        <v>475</v>
      </c>
      <c r="C478" s="20" t="s">
        <v>476</v>
      </c>
      <c r="D478" s="20" t="s">
        <v>1059</v>
      </c>
      <c r="E478" s="20" t="s">
        <v>1060</v>
      </c>
      <c r="F478" s="21" t="s">
        <v>1061</v>
      </c>
      <c r="G478" s="20" t="s">
        <v>480</v>
      </c>
      <c r="H478" s="20" t="s">
        <v>468</v>
      </c>
      <c r="I478" s="19">
        <v>46308.82708333333</v>
      </c>
      <c r="J478" s="20" t="s">
        <v>481</v>
      </c>
    </row>
    <row r="479" spans="1:10" x14ac:dyDescent="0.35">
      <c r="A479" s="20" t="s">
        <v>189</v>
      </c>
      <c r="B479" s="20" t="s">
        <v>482</v>
      </c>
      <c r="C479" s="20" t="s">
        <v>483</v>
      </c>
      <c r="D479" s="20" t="s">
        <v>1427</v>
      </c>
      <c r="E479" s="20" t="s">
        <v>1428</v>
      </c>
      <c r="F479" s="21" t="s">
        <v>1429</v>
      </c>
      <c r="G479" s="20" t="s">
        <v>480</v>
      </c>
      <c r="H479" s="20" t="s">
        <v>468</v>
      </c>
      <c r="I479" s="19">
        <v>46308.82708333333</v>
      </c>
      <c r="J479" s="20" t="s">
        <v>509</v>
      </c>
    </row>
    <row r="480" spans="1:10" x14ac:dyDescent="0.35">
      <c r="A480" s="20" t="s">
        <v>348</v>
      </c>
      <c r="B480" s="20" t="s">
        <v>482</v>
      </c>
      <c r="C480" s="20" t="s">
        <v>1540</v>
      </c>
      <c r="D480" s="20" t="s">
        <v>1906</v>
      </c>
      <c r="E480" s="20" t="s">
        <v>1907</v>
      </c>
      <c r="F480" s="21" t="s">
        <v>1908</v>
      </c>
      <c r="G480" s="20" t="s">
        <v>1544</v>
      </c>
      <c r="H480" s="20" t="s">
        <v>468</v>
      </c>
      <c r="I480" s="19">
        <v>46308.82708333333</v>
      </c>
      <c r="J480" s="20" t="s">
        <v>469</v>
      </c>
    </row>
    <row r="481" spans="1:10" x14ac:dyDescent="0.35">
      <c r="A481" s="20" t="s">
        <v>243</v>
      </c>
      <c r="B481" s="20" t="s">
        <v>462</v>
      </c>
      <c r="C481" s="20" t="s">
        <v>610</v>
      </c>
      <c r="D481" s="20" t="s">
        <v>1909</v>
      </c>
      <c r="E481" s="20" t="s">
        <v>1910</v>
      </c>
      <c r="F481" s="21" t="s">
        <v>1911</v>
      </c>
      <c r="G481" s="20" t="s">
        <v>614</v>
      </c>
      <c r="H481" s="20" t="s">
        <v>468</v>
      </c>
      <c r="I481" s="19">
        <v>46308.82708333333</v>
      </c>
      <c r="J481" s="20" t="s">
        <v>509</v>
      </c>
    </row>
    <row r="482" spans="1:10" x14ac:dyDescent="0.35">
      <c r="A482" s="20" t="s">
        <v>405</v>
      </c>
      <c r="B482" s="20" t="s">
        <v>475</v>
      </c>
      <c r="C482" s="20" t="s">
        <v>1912</v>
      </c>
      <c r="D482" s="20" t="s">
        <v>1913</v>
      </c>
      <c r="E482" s="20" t="s">
        <v>1914</v>
      </c>
      <c r="F482" s="21" t="s">
        <v>1915</v>
      </c>
      <c r="G482" s="20" t="s">
        <v>1916</v>
      </c>
      <c r="H482" s="20" t="s">
        <v>906</v>
      </c>
      <c r="I482" s="19">
        <v>46308.82708333333</v>
      </c>
      <c r="J482" s="20" t="s">
        <v>469</v>
      </c>
    </row>
    <row r="483" spans="1:10" x14ac:dyDescent="0.35">
      <c r="A483" s="20" t="s">
        <v>228</v>
      </c>
      <c r="B483" s="20" t="s">
        <v>462</v>
      </c>
      <c r="C483" s="20" t="s">
        <v>1917</v>
      </c>
      <c r="D483" s="20" t="s">
        <v>1918</v>
      </c>
      <c r="E483" s="20" t="s">
        <v>1919</v>
      </c>
      <c r="F483" s="21" t="s">
        <v>1920</v>
      </c>
      <c r="G483" s="20" t="s">
        <v>1237</v>
      </c>
      <c r="H483" s="20" t="s">
        <v>468</v>
      </c>
      <c r="I483" s="19">
        <v>46308.82708333333</v>
      </c>
      <c r="J483" s="20" t="s">
        <v>469</v>
      </c>
    </row>
    <row r="484" spans="1:10" x14ac:dyDescent="0.35">
      <c r="A484" s="20" t="s">
        <v>189</v>
      </c>
      <c r="B484" s="20" t="s">
        <v>462</v>
      </c>
      <c r="C484" s="20" t="s">
        <v>497</v>
      </c>
      <c r="D484" s="20" t="s">
        <v>1537</v>
      </c>
      <c r="E484" s="20" t="s">
        <v>1538</v>
      </c>
      <c r="F484" s="21" t="s">
        <v>1539</v>
      </c>
      <c r="G484" s="20" t="s">
        <v>480</v>
      </c>
      <c r="H484" s="20" t="s">
        <v>468</v>
      </c>
      <c r="I484" s="19">
        <v>46308.82708333333</v>
      </c>
      <c r="J484" s="20" t="s">
        <v>481</v>
      </c>
    </row>
    <row r="485" spans="1:10" x14ac:dyDescent="0.35">
      <c r="A485" s="20" t="s">
        <v>189</v>
      </c>
      <c r="B485" s="20" t="s">
        <v>462</v>
      </c>
      <c r="C485" s="20" t="s">
        <v>497</v>
      </c>
      <c r="D485" s="20" t="s">
        <v>1921</v>
      </c>
      <c r="E485" s="20" t="s">
        <v>1922</v>
      </c>
      <c r="F485" s="21" t="s">
        <v>1923</v>
      </c>
      <c r="G485" s="20" t="s">
        <v>480</v>
      </c>
      <c r="H485" s="20" t="s">
        <v>468</v>
      </c>
      <c r="I485" s="19">
        <v>46308.82708333333</v>
      </c>
      <c r="J485" s="20" t="s">
        <v>469</v>
      </c>
    </row>
    <row r="486" spans="1:10" x14ac:dyDescent="0.35">
      <c r="A486" s="20" t="s">
        <v>414</v>
      </c>
      <c r="B486" s="20" t="s">
        <v>482</v>
      </c>
      <c r="C486" s="20" t="s">
        <v>1924</v>
      </c>
      <c r="D486" s="20" t="s">
        <v>1925</v>
      </c>
      <c r="E486" s="20" t="s">
        <v>1926</v>
      </c>
      <c r="F486" s="21" t="s">
        <v>1927</v>
      </c>
      <c r="G486" s="20" t="s">
        <v>1928</v>
      </c>
      <c r="H486" s="20" t="s">
        <v>468</v>
      </c>
      <c r="I486" s="19">
        <v>46308.82708333333</v>
      </c>
      <c r="J486" s="20" t="s">
        <v>481</v>
      </c>
    </row>
    <row r="487" spans="1:10" x14ac:dyDescent="0.35">
      <c r="A487" s="20" t="s">
        <v>267</v>
      </c>
      <c r="B487" s="20" t="s">
        <v>462</v>
      </c>
      <c r="C487" s="20" t="s">
        <v>723</v>
      </c>
      <c r="D487" s="20" t="s">
        <v>1929</v>
      </c>
      <c r="E487" s="20" t="s">
        <v>1930</v>
      </c>
      <c r="F487" s="21" t="s">
        <v>1931</v>
      </c>
      <c r="G487" s="20" t="s">
        <v>496</v>
      </c>
      <c r="H487" s="20" t="s">
        <v>468</v>
      </c>
      <c r="I487" s="19">
        <v>46308.82708333333</v>
      </c>
      <c r="J487" s="20" t="s">
        <v>469</v>
      </c>
    </row>
    <row r="488" spans="1:10" x14ac:dyDescent="0.35">
      <c r="A488" s="20" t="s">
        <v>189</v>
      </c>
      <c r="B488" s="20" t="s">
        <v>462</v>
      </c>
      <c r="C488" s="20" t="s">
        <v>497</v>
      </c>
      <c r="D488" s="20" t="s">
        <v>1932</v>
      </c>
      <c r="E488" s="20" t="s">
        <v>1933</v>
      </c>
      <c r="F488" s="21" t="s">
        <v>1934</v>
      </c>
      <c r="G488" s="20" t="s">
        <v>480</v>
      </c>
      <c r="H488" s="20" t="s">
        <v>468</v>
      </c>
      <c r="I488" s="19">
        <v>46308.82708333333</v>
      </c>
      <c r="J488" s="20" t="s">
        <v>469</v>
      </c>
    </row>
    <row r="489" spans="1:10" x14ac:dyDescent="0.35">
      <c r="A489" s="20" t="s">
        <v>369</v>
      </c>
      <c r="B489" s="20" t="s">
        <v>462</v>
      </c>
      <c r="C489" s="20" t="s">
        <v>1901</v>
      </c>
      <c r="D489" s="20" t="s">
        <v>1935</v>
      </c>
      <c r="E489" s="20" t="s">
        <v>1936</v>
      </c>
      <c r="F489" s="21" t="s">
        <v>1937</v>
      </c>
      <c r="G489" s="20" t="s">
        <v>1902</v>
      </c>
      <c r="H489" s="20" t="s">
        <v>468</v>
      </c>
      <c r="I489" s="19">
        <v>46308.82708333333</v>
      </c>
      <c r="J489" s="20" t="s">
        <v>509</v>
      </c>
    </row>
    <row r="490" spans="1:10" x14ac:dyDescent="0.35">
      <c r="A490" s="20" t="s">
        <v>204</v>
      </c>
      <c r="B490" s="20" t="s">
        <v>462</v>
      </c>
      <c r="C490" s="20" t="s">
        <v>699</v>
      </c>
      <c r="D490" s="20" t="s">
        <v>1938</v>
      </c>
      <c r="E490" s="20" t="s">
        <v>1939</v>
      </c>
      <c r="F490" s="21" t="s">
        <v>1940</v>
      </c>
      <c r="G490" s="20" t="s">
        <v>686</v>
      </c>
      <c r="H490" s="20" t="s">
        <v>468</v>
      </c>
      <c r="I490" s="19">
        <v>46308.82708333333</v>
      </c>
      <c r="J490" s="20" t="s">
        <v>481</v>
      </c>
    </row>
    <row r="491" spans="1:10" x14ac:dyDescent="0.35">
      <c r="A491" s="20" t="s">
        <v>194</v>
      </c>
      <c r="B491" s="20" t="s">
        <v>475</v>
      </c>
      <c r="C491" s="20" t="s">
        <v>917</v>
      </c>
      <c r="D491" s="20" t="s">
        <v>1941</v>
      </c>
      <c r="E491" s="20" t="s">
        <v>1942</v>
      </c>
      <c r="F491" s="21" t="s">
        <v>1943</v>
      </c>
      <c r="G491" s="20" t="s">
        <v>800</v>
      </c>
      <c r="H491" s="20" t="s">
        <v>468</v>
      </c>
      <c r="I491" s="19">
        <v>46308.82708333333</v>
      </c>
      <c r="J491" s="20" t="s">
        <v>481</v>
      </c>
    </row>
    <row r="492" spans="1:10" x14ac:dyDescent="0.35">
      <c r="A492" s="20" t="s">
        <v>399</v>
      </c>
      <c r="B492" s="20" t="s">
        <v>462</v>
      </c>
      <c r="C492" s="20" t="s">
        <v>1944</v>
      </c>
      <c r="D492" s="20" t="s">
        <v>1945</v>
      </c>
      <c r="E492" s="20" t="s">
        <v>1946</v>
      </c>
      <c r="F492" s="21" t="s">
        <v>1947</v>
      </c>
      <c r="G492" s="20" t="s">
        <v>1091</v>
      </c>
      <c r="H492" s="20" t="s">
        <v>468</v>
      </c>
      <c r="I492" s="19">
        <v>46308.82708333333</v>
      </c>
      <c r="J492" s="20" t="s">
        <v>481</v>
      </c>
    </row>
    <row r="493" spans="1:10" x14ac:dyDescent="0.35">
      <c r="A493" s="20" t="s">
        <v>189</v>
      </c>
      <c r="B493" s="20" t="s">
        <v>462</v>
      </c>
      <c r="C493" s="20" t="s">
        <v>497</v>
      </c>
      <c r="D493" s="20" t="s">
        <v>1948</v>
      </c>
      <c r="E493" s="20" t="s">
        <v>1949</v>
      </c>
      <c r="F493" s="21" t="s">
        <v>1950</v>
      </c>
      <c r="G493" s="20" t="s">
        <v>480</v>
      </c>
      <c r="H493" s="20" t="s">
        <v>468</v>
      </c>
      <c r="I493" s="19">
        <v>46308.82708333333</v>
      </c>
      <c r="J493" s="20" t="s">
        <v>469</v>
      </c>
    </row>
    <row r="494" spans="1:10" x14ac:dyDescent="0.35">
      <c r="A494" s="20" t="s">
        <v>210</v>
      </c>
      <c r="B494" s="20" t="s">
        <v>475</v>
      </c>
      <c r="C494" s="20" t="s">
        <v>910</v>
      </c>
      <c r="D494" s="20" t="s">
        <v>1951</v>
      </c>
      <c r="E494" s="20" t="s">
        <v>1952</v>
      </c>
      <c r="F494" s="21" t="s">
        <v>1953</v>
      </c>
      <c r="G494" s="20" t="s">
        <v>672</v>
      </c>
      <c r="H494" s="20" t="s">
        <v>468</v>
      </c>
      <c r="I494" s="19">
        <v>46308.82708333333</v>
      </c>
      <c r="J494" s="20" t="s">
        <v>481</v>
      </c>
    </row>
    <row r="495" spans="1:10" x14ac:dyDescent="0.35">
      <c r="A495" s="20" t="s">
        <v>197</v>
      </c>
      <c r="B495" s="20" t="s">
        <v>462</v>
      </c>
      <c r="C495" s="20" t="s">
        <v>560</v>
      </c>
      <c r="D495" s="20" t="s">
        <v>1954</v>
      </c>
      <c r="E495" s="20" t="s">
        <v>1955</v>
      </c>
      <c r="F495" s="21" t="s">
        <v>1956</v>
      </c>
      <c r="G495" s="20" t="s">
        <v>549</v>
      </c>
      <c r="H495" s="20" t="s">
        <v>468</v>
      </c>
      <c r="I495" s="19">
        <v>46308.82708333333</v>
      </c>
      <c r="J495" s="20" t="s">
        <v>469</v>
      </c>
    </row>
    <row r="496" spans="1:10" x14ac:dyDescent="0.35">
      <c r="A496" s="20" t="s">
        <v>189</v>
      </c>
      <c r="B496" s="20" t="s">
        <v>462</v>
      </c>
      <c r="C496" s="20" t="s">
        <v>497</v>
      </c>
      <c r="D496" s="20" t="s">
        <v>1022</v>
      </c>
      <c r="E496" s="20" t="s">
        <v>1023</v>
      </c>
      <c r="F496" s="21" t="s">
        <v>1024</v>
      </c>
      <c r="G496" s="20" t="s">
        <v>480</v>
      </c>
      <c r="H496" s="20" t="s">
        <v>468</v>
      </c>
      <c r="I496" s="19">
        <v>46308.827777777777</v>
      </c>
      <c r="J496" s="20" t="s">
        <v>469</v>
      </c>
    </row>
    <row r="497" spans="1:10" x14ac:dyDescent="0.35">
      <c r="A497" s="20" t="s">
        <v>189</v>
      </c>
      <c r="B497" s="20" t="s">
        <v>462</v>
      </c>
      <c r="C497" s="20" t="s">
        <v>497</v>
      </c>
      <c r="D497" s="20" t="s">
        <v>1957</v>
      </c>
      <c r="E497" s="20" t="s">
        <v>1958</v>
      </c>
      <c r="F497" s="21" t="s">
        <v>1959</v>
      </c>
      <c r="G497" s="20" t="s">
        <v>480</v>
      </c>
      <c r="H497" s="20" t="s">
        <v>468</v>
      </c>
      <c r="I497" s="19">
        <v>46308.82708333333</v>
      </c>
      <c r="J497" s="20" t="s">
        <v>481</v>
      </c>
    </row>
    <row r="498" spans="1:10" x14ac:dyDescent="0.35">
      <c r="A498" s="20" t="s">
        <v>216</v>
      </c>
      <c r="B498" s="20" t="s">
        <v>462</v>
      </c>
      <c r="C498" s="20" t="s">
        <v>615</v>
      </c>
      <c r="D498" s="20" t="s">
        <v>1308</v>
      </c>
      <c r="E498" s="20" t="s">
        <v>1309</v>
      </c>
      <c r="F498" s="21" t="s">
        <v>1310</v>
      </c>
      <c r="G498" s="20" t="s">
        <v>619</v>
      </c>
      <c r="H498" s="20" t="s">
        <v>468</v>
      </c>
      <c r="I498" s="19">
        <v>46308.82708333333</v>
      </c>
      <c r="J498" s="20" t="s">
        <v>469</v>
      </c>
    </row>
    <row r="499" spans="1:10" x14ac:dyDescent="0.35">
      <c r="A499" s="20" t="s">
        <v>219</v>
      </c>
      <c r="B499" s="20" t="s">
        <v>482</v>
      </c>
      <c r="C499" s="20" t="s">
        <v>1136</v>
      </c>
      <c r="D499" s="20" t="s">
        <v>1227</v>
      </c>
      <c r="E499" s="20" t="s">
        <v>1228</v>
      </c>
      <c r="F499" s="21" t="s">
        <v>1229</v>
      </c>
      <c r="G499" s="20" t="s">
        <v>805</v>
      </c>
      <c r="H499" s="20" t="s">
        <v>468</v>
      </c>
      <c r="I499" s="19">
        <v>46308.82708333333</v>
      </c>
      <c r="J499" s="20" t="s">
        <v>509</v>
      </c>
    </row>
    <row r="500" spans="1:10" x14ac:dyDescent="0.35">
      <c r="A500" s="20" t="s">
        <v>354</v>
      </c>
      <c r="B500" s="20" t="s">
        <v>475</v>
      </c>
      <c r="C500" s="20" t="s">
        <v>1960</v>
      </c>
      <c r="D500" s="20" t="s">
        <v>1961</v>
      </c>
      <c r="E500" s="20" t="s">
        <v>1962</v>
      </c>
      <c r="F500" s="21" t="s">
        <v>1963</v>
      </c>
      <c r="G500" s="20" t="s">
        <v>1797</v>
      </c>
      <c r="H500" s="20" t="s">
        <v>468</v>
      </c>
      <c r="I500" s="19">
        <v>46308.82708333333</v>
      </c>
      <c r="J500" s="20" t="s">
        <v>481</v>
      </c>
    </row>
    <row r="501" spans="1:10" x14ac:dyDescent="0.35">
      <c r="A501" s="20" t="s">
        <v>252</v>
      </c>
      <c r="B501" s="20" t="s">
        <v>475</v>
      </c>
      <c r="C501" s="20" t="s">
        <v>878</v>
      </c>
      <c r="D501" s="20" t="s">
        <v>1964</v>
      </c>
      <c r="E501" s="20" t="s">
        <v>1965</v>
      </c>
      <c r="F501" s="21" t="s">
        <v>1966</v>
      </c>
      <c r="G501" s="20" t="s">
        <v>600</v>
      </c>
      <c r="H501" s="20" t="s">
        <v>468</v>
      </c>
      <c r="I501" s="19">
        <v>46308.82708333333</v>
      </c>
      <c r="J501" s="20" t="s">
        <v>469</v>
      </c>
    </row>
    <row r="502" spans="1:10" x14ac:dyDescent="0.35">
      <c r="A502" s="20" t="s">
        <v>194</v>
      </c>
      <c r="B502" s="20" t="s">
        <v>475</v>
      </c>
      <c r="C502" s="20" t="s">
        <v>917</v>
      </c>
      <c r="D502" s="20" t="s">
        <v>1427</v>
      </c>
      <c r="E502" s="20" t="s">
        <v>1428</v>
      </c>
      <c r="F502" s="21" t="s">
        <v>1429</v>
      </c>
      <c r="G502" s="20" t="s">
        <v>800</v>
      </c>
      <c r="H502" s="20" t="s">
        <v>468</v>
      </c>
      <c r="I502" s="19">
        <v>46308.82708333333</v>
      </c>
      <c r="J502" s="20" t="s">
        <v>509</v>
      </c>
    </row>
    <row r="503" spans="1:10" x14ac:dyDescent="0.35">
      <c r="A503" s="20" t="s">
        <v>450</v>
      </c>
      <c r="B503" s="20" t="s">
        <v>475</v>
      </c>
      <c r="C503" s="20" t="s">
        <v>1967</v>
      </c>
      <c r="D503" s="20" t="s">
        <v>1968</v>
      </c>
      <c r="E503" s="20" t="s">
        <v>1969</v>
      </c>
      <c r="F503" s="21" t="s">
        <v>1970</v>
      </c>
      <c r="G503" s="20" t="s">
        <v>1074</v>
      </c>
      <c r="H503" s="20" t="s">
        <v>468</v>
      </c>
      <c r="I503" s="19">
        <v>46308.82708333333</v>
      </c>
      <c r="J503" s="20" t="s">
        <v>481</v>
      </c>
    </row>
    <row r="504" spans="1:10" x14ac:dyDescent="0.35">
      <c r="A504" s="20" t="s">
        <v>189</v>
      </c>
      <c r="B504" s="20" t="s">
        <v>482</v>
      </c>
      <c r="C504" s="20" t="s">
        <v>483</v>
      </c>
      <c r="D504" s="20" t="s">
        <v>1898</v>
      </c>
      <c r="E504" s="20" t="s">
        <v>1899</v>
      </c>
      <c r="F504" s="21" t="s">
        <v>1900</v>
      </c>
      <c r="G504" s="20" t="s">
        <v>480</v>
      </c>
      <c r="H504" s="20" t="s">
        <v>468</v>
      </c>
      <c r="I504" s="19">
        <v>46308.82708333333</v>
      </c>
      <c r="J504" s="20" t="s">
        <v>509</v>
      </c>
    </row>
    <row r="505" spans="1:10" x14ac:dyDescent="0.35">
      <c r="A505" s="20" t="s">
        <v>219</v>
      </c>
      <c r="B505" s="20" t="s">
        <v>462</v>
      </c>
      <c r="C505" s="20" t="s">
        <v>801</v>
      </c>
      <c r="D505" s="20" t="s">
        <v>1971</v>
      </c>
      <c r="E505" s="20" t="s">
        <v>1972</v>
      </c>
      <c r="F505" s="21" t="s">
        <v>1973</v>
      </c>
      <c r="G505" s="20" t="s">
        <v>805</v>
      </c>
      <c r="H505" s="20" t="s">
        <v>468</v>
      </c>
      <c r="I505" s="19">
        <v>46308.82708333333</v>
      </c>
      <c r="J505" s="20" t="s">
        <v>509</v>
      </c>
    </row>
    <row r="506" spans="1:10" x14ac:dyDescent="0.35">
      <c r="A506" s="20" t="s">
        <v>249</v>
      </c>
      <c r="B506" s="20" t="s">
        <v>475</v>
      </c>
      <c r="C506" s="20" t="s">
        <v>1974</v>
      </c>
      <c r="D506" s="20" t="s">
        <v>1767</v>
      </c>
      <c r="E506" s="20" t="s">
        <v>1768</v>
      </c>
      <c r="F506" s="21" t="s">
        <v>1769</v>
      </c>
      <c r="G506" s="20" t="s">
        <v>1157</v>
      </c>
      <c r="H506" s="20" t="s">
        <v>468</v>
      </c>
      <c r="I506" s="19">
        <v>46308.82708333333</v>
      </c>
      <c r="J506" s="20" t="s">
        <v>469</v>
      </c>
    </row>
    <row r="507" spans="1:10" x14ac:dyDescent="0.35">
      <c r="A507" s="20" t="s">
        <v>194</v>
      </c>
      <c r="B507" s="20" t="s">
        <v>475</v>
      </c>
      <c r="C507" s="20" t="s">
        <v>917</v>
      </c>
      <c r="D507" s="20" t="s">
        <v>1726</v>
      </c>
      <c r="E507" s="20" t="s">
        <v>1727</v>
      </c>
      <c r="F507" s="21" t="s">
        <v>1728</v>
      </c>
      <c r="G507" s="20" t="s">
        <v>800</v>
      </c>
      <c r="H507" s="20" t="s">
        <v>468</v>
      </c>
      <c r="I507" s="19">
        <v>46308.82708333333</v>
      </c>
      <c r="J507" s="20" t="s">
        <v>469</v>
      </c>
    </row>
    <row r="508" spans="1:10" x14ac:dyDescent="0.35">
      <c r="A508" s="20" t="s">
        <v>204</v>
      </c>
      <c r="B508" s="20" t="s">
        <v>475</v>
      </c>
      <c r="C508" s="20" t="s">
        <v>828</v>
      </c>
      <c r="D508" s="20" t="s">
        <v>1975</v>
      </c>
      <c r="E508" s="20" t="s">
        <v>1976</v>
      </c>
      <c r="F508" s="21" t="s">
        <v>1977</v>
      </c>
      <c r="G508" s="20" t="s">
        <v>686</v>
      </c>
      <c r="H508" s="20" t="s">
        <v>468</v>
      </c>
      <c r="I508" s="19">
        <v>46308.82708333333</v>
      </c>
      <c r="J508" s="20" t="s">
        <v>481</v>
      </c>
    </row>
    <row r="509" spans="1:10" x14ac:dyDescent="0.35">
      <c r="A509" s="20" t="s">
        <v>369</v>
      </c>
      <c r="B509" s="20" t="s">
        <v>462</v>
      </c>
      <c r="C509" s="20" t="s">
        <v>1901</v>
      </c>
      <c r="D509" s="20" t="s">
        <v>1866</v>
      </c>
      <c r="E509" s="20" t="s">
        <v>1867</v>
      </c>
      <c r="F509" s="21" t="s">
        <v>1868</v>
      </c>
      <c r="G509" s="20" t="s">
        <v>1902</v>
      </c>
      <c r="H509" s="20" t="s">
        <v>468</v>
      </c>
      <c r="I509" s="19">
        <v>46308.82708333333</v>
      </c>
      <c r="J509" s="20" t="s">
        <v>481</v>
      </c>
    </row>
    <row r="510" spans="1:10" x14ac:dyDescent="0.35">
      <c r="A510" s="20" t="s">
        <v>294</v>
      </c>
      <c r="B510" s="20" t="s">
        <v>482</v>
      </c>
      <c r="C510" s="20" t="s">
        <v>1978</v>
      </c>
      <c r="D510" s="20" t="s">
        <v>1979</v>
      </c>
      <c r="E510" s="20" t="s">
        <v>1980</v>
      </c>
      <c r="F510" s="21" t="s">
        <v>1981</v>
      </c>
      <c r="G510" s="20" t="s">
        <v>1162</v>
      </c>
      <c r="H510" s="20" t="s">
        <v>468</v>
      </c>
      <c r="I510" s="19">
        <v>46308.82708333333</v>
      </c>
      <c r="J510" s="20" t="s">
        <v>469</v>
      </c>
    </row>
    <row r="511" spans="1:10" x14ac:dyDescent="0.35">
      <c r="A511" s="20" t="s">
        <v>378</v>
      </c>
      <c r="B511" s="20" t="s">
        <v>462</v>
      </c>
      <c r="C511" s="20" t="s">
        <v>1982</v>
      </c>
      <c r="D511" s="20" t="s">
        <v>1665</v>
      </c>
      <c r="E511" s="20" t="s">
        <v>1666</v>
      </c>
      <c r="F511" s="21" t="s">
        <v>1667</v>
      </c>
      <c r="G511" s="20" t="s">
        <v>1983</v>
      </c>
      <c r="H511" s="20" t="s">
        <v>634</v>
      </c>
      <c r="I511" s="19">
        <v>46308.82708333333</v>
      </c>
      <c r="J511" s="20" t="s">
        <v>469</v>
      </c>
    </row>
    <row r="512" spans="1:10" x14ac:dyDescent="0.35">
      <c r="A512" s="20" t="s">
        <v>197</v>
      </c>
      <c r="B512" s="20" t="s">
        <v>462</v>
      </c>
      <c r="C512" s="20" t="s">
        <v>560</v>
      </c>
      <c r="D512" s="20" t="s">
        <v>1984</v>
      </c>
      <c r="E512" s="20" t="s">
        <v>1985</v>
      </c>
      <c r="F512" s="21" t="s">
        <v>1986</v>
      </c>
      <c r="G512" s="20" t="s">
        <v>549</v>
      </c>
      <c r="H512" s="20" t="s">
        <v>468</v>
      </c>
      <c r="I512" s="19">
        <v>46308.82708333333</v>
      </c>
      <c r="J512" s="20" t="s">
        <v>469</v>
      </c>
    </row>
    <row r="513" spans="1:10" x14ac:dyDescent="0.35">
      <c r="A513" s="20" t="s">
        <v>189</v>
      </c>
      <c r="B513" s="20" t="s">
        <v>482</v>
      </c>
      <c r="C513" s="20" t="s">
        <v>483</v>
      </c>
      <c r="D513" s="20" t="s">
        <v>931</v>
      </c>
      <c r="E513" s="20" t="s">
        <v>932</v>
      </c>
      <c r="F513" s="21" t="s">
        <v>933</v>
      </c>
      <c r="G513" s="20" t="s">
        <v>480</v>
      </c>
      <c r="H513" s="20" t="s">
        <v>468</v>
      </c>
      <c r="I513" s="19">
        <v>46308.82708333333</v>
      </c>
      <c r="J513" s="20" t="s">
        <v>509</v>
      </c>
    </row>
    <row r="514" spans="1:10" x14ac:dyDescent="0.35">
      <c r="A514" s="20" t="s">
        <v>339</v>
      </c>
      <c r="B514" s="20" t="s">
        <v>482</v>
      </c>
      <c r="C514" s="20" t="s">
        <v>1987</v>
      </c>
      <c r="D514" s="20" t="s">
        <v>1988</v>
      </c>
      <c r="E514" s="20" t="s">
        <v>1989</v>
      </c>
      <c r="F514" s="21" t="s">
        <v>1990</v>
      </c>
      <c r="G514" s="20" t="s">
        <v>1991</v>
      </c>
      <c r="H514" s="20" t="s">
        <v>468</v>
      </c>
      <c r="I514" s="19">
        <v>46308.82708333333</v>
      </c>
      <c r="J514" s="20" t="s">
        <v>469</v>
      </c>
    </row>
    <row r="515" spans="1:10" x14ac:dyDescent="0.35">
      <c r="A515" s="20" t="s">
        <v>255</v>
      </c>
      <c r="B515" s="20" t="s">
        <v>482</v>
      </c>
      <c r="C515" s="20" t="s">
        <v>1065</v>
      </c>
      <c r="D515" s="20" t="s">
        <v>1992</v>
      </c>
      <c r="E515" s="20" t="s">
        <v>1993</v>
      </c>
      <c r="F515" s="21" t="s">
        <v>1994</v>
      </c>
      <c r="G515" s="20" t="s">
        <v>1069</v>
      </c>
      <c r="H515" s="20" t="s">
        <v>468</v>
      </c>
      <c r="I515" s="19">
        <v>46308.82708333333</v>
      </c>
      <c r="J515" s="20" t="s">
        <v>469</v>
      </c>
    </row>
    <row r="516" spans="1:10" x14ac:dyDescent="0.35">
      <c r="A516" s="20" t="s">
        <v>194</v>
      </c>
      <c r="B516" s="20" t="s">
        <v>482</v>
      </c>
      <c r="C516" s="20" t="s">
        <v>991</v>
      </c>
      <c r="D516" s="20" t="s">
        <v>1995</v>
      </c>
      <c r="E516" s="20" t="s">
        <v>1996</v>
      </c>
      <c r="F516" s="21" t="s">
        <v>1997</v>
      </c>
      <c r="G516" s="20" t="s">
        <v>800</v>
      </c>
      <c r="H516" s="20" t="s">
        <v>468</v>
      </c>
      <c r="I516" s="19">
        <v>46308.82708333333</v>
      </c>
      <c r="J516" s="20" t="s">
        <v>481</v>
      </c>
    </row>
    <row r="517" spans="1:10" x14ac:dyDescent="0.35">
      <c r="A517" s="20" t="s">
        <v>252</v>
      </c>
      <c r="B517" s="20" t="s">
        <v>462</v>
      </c>
      <c r="C517" s="20" t="s">
        <v>596</v>
      </c>
      <c r="D517" s="20" t="s">
        <v>1998</v>
      </c>
      <c r="E517" s="20" t="s">
        <v>1999</v>
      </c>
      <c r="F517" s="21" t="s">
        <v>2000</v>
      </c>
      <c r="G517" s="20" t="s">
        <v>600</v>
      </c>
      <c r="H517" s="20" t="s">
        <v>468</v>
      </c>
      <c r="I517" s="19">
        <v>46308.82708333333</v>
      </c>
      <c r="J517" s="20" t="s">
        <v>481</v>
      </c>
    </row>
    <row r="518" spans="1:10" x14ac:dyDescent="0.35">
      <c r="A518" s="20" t="s">
        <v>234</v>
      </c>
      <c r="B518" s="20" t="s">
        <v>462</v>
      </c>
      <c r="C518" s="20" t="s">
        <v>1187</v>
      </c>
      <c r="D518" s="20" t="s">
        <v>1688</v>
      </c>
      <c r="E518" s="20" t="s">
        <v>1689</v>
      </c>
      <c r="F518" s="21" t="s">
        <v>1690</v>
      </c>
      <c r="G518" s="20" t="s">
        <v>715</v>
      </c>
      <c r="H518" s="20" t="s">
        <v>468</v>
      </c>
      <c r="I518" s="19">
        <v>46308.82708333333</v>
      </c>
      <c r="J518" s="20" t="s">
        <v>481</v>
      </c>
    </row>
    <row r="519" spans="1:10" x14ac:dyDescent="0.35">
      <c r="A519" s="20" t="s">
        <v>246</v>
      </c>
      <c r="B519" s="20" t="s">
        <v>462</v>
      </c>
      <c r="C519" s="20" t="s">
        <v>1852</v>
      </c>
      <c r="D519" s="20" t="s">
        <v>2001</v>
      </c>
      <c r="E519" s="20" t="s">
        <v>2002</v>
      </c>
      <c r="F519" s="21" t="s">
        <v>2003</v>
      </c>
      <c r="G519" s="20" t="s">
        <v>964</v>
      </c>
      <c r="H519" s="20" t="s">
        <v>468</v>
      </c>
      <c r="I519" s="19">
        <v>46308.82708333333</v>
      </c>
      <c r="J519" s="20" t="s">
        <v>509</v>
      </c>
    </row>
    <row r="520" spans="1:10" x14ac:dyDescent="0.35">
      <c r="A520" s="20" t="s">
        <v>285</v>
      </c>
      <c r="B520" s="20" t="s">
        <v>475</v>
      </c>
      <c r="C520" s="20" t="s">
        <v>555</v>
      </c>
      <c r="D520" s="20" t="s">
        <v>2004</v>
      </c>
      <c r="E520" s="20" t="s">
        <v>2005</v>
      </c>
      <c r="F520" s="21" t="s">
        <v>2006</v>
      </c>
      <c r="G520" s="20" t="s">
        <v>559</v>
      </c>
      <c r="H520" s="20" t="s">
        <v>468</v>
      </c>
      <c r="I520" s="19">
        <v>46308.82708333333</v>
      </c>
      <c r="J520" s="20" t="s">
        <v>509</v>
      </c>
    </row>
    <row r="521" spans="1:10" x14ac:dyDescent="0.35">
      <c r="A521" s="20" t="s">
        <v>336</v>
      </c>
      <c r="B521" s="20" t="s">
        <v>475</v>
      </c>
      <c r="C521" s="20" t="s">
        <v>2007</v>
      </c>
      <c r="D521" s="20" t="s">
        <v>2008</v>
      </c>
      <c r="E521" s="20" t="s">
        <v>2009</v>
      </c>
      <c r="F521" s="21" t="s">
        <v>2010</v>
      </c>
      <c r="G521" s="20" t="s">
        <v>739</v>
      </c>
      <c r="H521" s="20" t="s">
        <v>468</v>
      </c>
      <c r="I521" s="19">
        <v>46308.82708333333</v>
      </c>
      <c r="J521" s="20" t="s">
        <v>481</v>
      </c>
    </row>
  </sheetData>
  <dataValidations count="1">
    <dataValidation type="list" allowBlank="1" sqref="J2:J601" xr:uid="{00000000-0002-0000-0700-000000000000}">
      <formula1>"Clicked,Opened,None"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D37"/>
  <sheetViews>
    <sheetView workbookViewId="0"/>
  </sheetViews>
  <sheetFormatPr defaultRowHeight="14.5" x14ac:dyDescent="0.35"/>
  <cols>
    <col min="1" max="1" width="52" customWidth="1"/>
    <col min="2" max="2" width="18" customWidth="1"/>
    <col min="3" max="3" width="96" customWidth="1"/>
    <col min="4" max="4" width="10" customWidth="1"/>
  </cols>
  <sheetData>
    <row r="1" spans="1:3" ht="18" x14ac:dyDescent="0.4">
      <c r="A1" s="1" t="s">
        <v>2011</v>
      </c>
    </row>
    <row r="2" spans="1:3" x14ac:dyDescent="0.35">
      <c r="A2" s="5" t="s">
        <v>2012</v>
      </c>
      <c r="B2" s="5" t="s">
        <v>2013</v>
      </c>
      <c r="C2" s="5" t="s">
        <v>73</v>
      </c>
    </row>
    <row r="3" spans="1:3" x14ac:dyDescent="0.35">
      <c r="A3" s="28" t="s">
        <v>2014</v>
      </c>
      <c r="B3" s="45">
        <v>46309.827777777777</v>
      </c>
      <c r="C3" s="9" t="s">
        <v>2015</v>
      </c>
    </row>
    <row r="4" spans="1:3" x14ac:dyDescent="0.35">
      <c r="A4" s="28" t="s">
        <v>2016</v>
      </c>
      <c r="B4" s="46">
        <f ca="1">IF(B3&lt;&gt;"",B3,NOW())</f>
        <v>46309.827777777777</v>
      </c>
      <c r="C4" s="9" t="s">
        <v>2017</v>
      </c>
    </row>
    <row r="5" spans="1:3" x14ac:dyDescent="0.35">
      <c r="A5" s="28" t="s">
        <v>2018</v>
      </c>
      <c r="B5" s="47">
        <v>24</v>
      </c>
      <c r="C5" s="9" t="s">
        <v>2019</v>
      </c>
    </row>
    <row r="6" spans="1:3" x14ac:dyDescent="0.35">
      <c r="A6" s="28" t="s">
        <v>2020</v>
      </c>
      <c r="B6" s="47">
        <v>3</v>
      </c>
      <c r="C6" s="9" t="s">
        <v>2021</v>
      </c>
    </row>
    <row r="7" spans="1:3" x14ac:dyDescent="0.35">
      <c r="A7" s="28" t="s">
        <v>2022</v>
      </c>
      <c r="B7" s="48">
        <v>0.41666666666666669</v>
      </c>
      <c r="C7" s="9"/>
    </row>
    <row r="8" spans="1:3" x14ac:dyDescent="0.35">
      <c r="A8" s="28" t="s">
        <v>2023</v>
      </c>
      <c r="B8" s="48">
        <v>0.875</v>
      </c>
      <c r="C8" s="9"/>
    </row>
    <row r="9" spans="1:3" x14ac:dyDescent="0.35">
      <c r="A9" s="28" t="s">
        <v>2024</v>
      </c>
      <c r="B9" s="48">
        <v>0.41666666666666669</v>
      </c>
      <c r="C9" s="9" t="s">
        <v>2025</v>
      </c>
    </row>
    <row r="10" spans="1:3" x14ac:dyDescent="0.35">
      <c r="A10" s="28" t="s">
        <v>2026</v>
      </c>
      <c r="B10" s="48">
        <v>0.75</v>
      </c>
      <c r="C10" s="9"/>
    </row>
    <row r="11" spans="1:3" x14ac:dyDescent="0.35">
      <c r="A11" s="28" t="s">
        <v>2027</v>
      </c>
      <c r="B11" s="48">
        <v>0.5</v>
      </c>
      <c r="C11" s="9" t="s">
        <v>2028</v>
      </c>
    </row>
    <row r="12" spans="1:3" x14ac:dyDescent="0.35">
      <c r="A12" s="28" t="s">
        <v>2029</v>
      </c>
      <c r="B12" s="48">
        <v>0.83333333333333337</v>
      </c>
      <c r="C12" s="9"/>
    </row>
    <row r="13" spans="1:3" x14ac:dyDescent="0.35">
      <c r="A13" s="28" t="s">
        <v>2030</v>
      </c>
      <c r="B13" s="49">
        <v>4.5</v>
      </c>
      <c r="C13" s="9" t="s">
        <v>2031</v>
      </c>
    </row>
    <row r="14" spans="1:3" x14ac:dyDescent="0.35">
      <c r="A14" s="28" t="s">
        <v>2032</v>
      </c>
      <c r="B14" s="47">
        <v>4</v>
      </c>
      <c r="C14" s="9" t="s">
        <v>2033</v>
      </c>
    </row>
    <row r="15" spans="1:3" x14ac:dyDescent="0.35">
      <c r="A15" s="28" t="s">
        <v>2034</v>
      </c>
      <c r="B15" s="49">
        <v>2</v>
      </c>
      <c r="C15" s="9"/>
    </row>
    <row r="16" spans="1:3" x14ac:dyDescent="0.35">
      <c r="A16" s="28" t="s">
        <v>2035</v>
      </c>
      <c r="B16" s="49">
        <v>1.3</v>
      </c>
      <c r="C16" s="9" t="s">
        <v>2036</v>
      </c>
    </row>
    <row r="17" spans="1:3" x14ac:dyDescent="0.35">
      <c r="A17" s="28" t="s">
        <v>2037</v>
      </c>
      <c r="B17" s="50">
        <v>0.8</v>
      </c>
      <c r="C17" s="9" t="s">
        <v>2038</v>
      </c>
    </row>
    <row r="18" spans="1:3" x14ac:dyDescent="0.35">
      <c r="A18" s="28" t="s">
        <v>2039</v>
      </c>
      <c r="B18" s="50">
        <v>0.45</v>
      </c>
      <c r="C18" s="9" t="s">
        <v>2040</v>
      </c>
    </row>
    <row r="19" spans="1:3" ht="25" x14ac:dyDescent="0.35">
      <c r="A19" s="28" t="s">
        <v>2041</v>
      </c>
      <c r="B19" s="51">
        <v>0.7</v>
      </c>
      <c r="C19" s="9" t="s">
        <v>2042</v>
      </c>
    </row>
    <row r="20" spans="1:3" x14ac:dyDescent="0.35">
      <c r="A20" s="28" t="s">
        <v>2043</v>
      </c>
      <c r="B20" s="50">
        <v>0.25</v>
      </c>
      <c r="C20" s="9" t="s">
        <v>2044</v>
      </c>
    </row>
    <row r="21" spans="1:3" x14ac:dyDescent="0.35">
      <c r="A21" s="28" t="s">
        <v>2045</v>
      </c>
      <c r="B21" s="47">
        <v>5</v>
      </c>
      <c r="C21" s="9" t="s">
        <v>2046</v>
      </c>
    </row>
    <row r="22" spans="1:3" ht="25" x14ac:dyDescent="0.35">
      <c r="A22" s="28" t="s">
        <v>2047</v>
      </c>
      <c r="B22" s="52" t="s">
        <v>191</v>
      </c>
      <c r="C22" s="9" t="s">
        <v>2048</v>
      </c>
    </row>
    <row r="23" spans="1:3" x14ac:dyDescent="0.35">
      <c r="A23" s="26" t="s">
        <v>2049</v>
      </c>
      <c r="B23" s="27"/>
      <c r="C23" s="27"/>
    </row>
    <row r="24" spans="1:3" x14ac:dyDescent="0.35">
      <c r="A24" s="28" t="s">
        <v>2050</v>
      </c>
      <c r="B24" s="53">
        <v>20000</v>
      </c>
      <c r="C24" s="9" t="s">
        <v>2051</v>
      </c>
    </row>
    <row r="25" spans="1:3" x14ac:dyDescent="0.35">
      <c r="A25" s="28" t="s">
        <v>2052</v>
      </c>
      <c r="B25" s="47">
        <v>22</v>
      </c>
      <c r="C25" s="9"/>
    </row>
    <row r="26" spans="1:3" x14ac:dyDescent="0.35">
      <c r="A26" s="28" t="s">
        <v>2053</v>
      </c>
      <c r="B26" s="50">
        <v>0.15</v>
      </c>
      <c r="C26" s="9" t="s">
        <v>2054</v>
      </c>
    </row>
    <row r="27" spans="1:3" x14ac:dyDescent="0.35">
      <c r="A27" s="28" t="s">
        <v>2055</v>
      </c>
      <c r="B27" s="53">
        <v>1800000</v>
      </c>
      <c r="C27" s="9" t="s">
        <v>2056</v>
      </c>
    </row>
    <row r="28" spans="1:3" x14ac:dyDescent="0.35">
      <c r="A28" s="28" t="s">
        <v>2057</v>
      </c>
      <c r="B28" s="54">
        <v>0.03</v>
      </c>
      <c r="C28" s="9" t="s">
        <v>2058</v>
      </c>
    </row>
    <row r="29" spans="1:3" x14ac:dyDescent="0.35">
      <c r="A29" s="28" t="s">
        <v>2059</v>
      </c>
      <c r="B29" s="50">
        <v>0.25</v>
      </c>
      <c r="C29" s="9" t="s">
        <v>2060</v>
      </c>
    </row>
    <row r="30" spans="1:3" x14ac:dyDescent="0.35">
      <c r="A30" s="28" t="s">
        <v>2061</v>
      </c>
      <c r="B30" s="51">
        <v>0.86</v>
      </c>
      <c r="C30" s="9" t="s">
        <v>2062</v>
      </c>
    </row>
    <row r="31" spans="1:3" ht="25" x14ac:dyDescent="0.35">
      <c r="A31" s="28" t="s">
        <v>2063</v>
      </c>
      <c r="B31" s="51">
        <v>0.12</v>
      </c>
      <c r="C31" s="9" t="s">
        <v>2064</v>
      </c>
    </row>
    <row r="33" spans="1:4" ht="26" x14ac:dyDescent="0.35">
      <c r="A33" s="5" t="s">
        <v>2065</v>
      </c>
      <c r="B33" s="5" t="s">
        <v>127</v>
      </c>
      <c r="C33" s="5" t="s">
        <v>128</v>
      </c>
      <c r="D33" s="5" t="s">
        <v>129</v>
      </c>
    </row>
    <row r="34" spans="1:4" x14ac:dyDescent="0.35">
      <c r="A34" s="28" t="s">
        <v>509</v>
      </c>
      <c r="B34" s="51">
        <v>0.5</v>
      </c>
      <c r="C34" s="51">
        <v>0.48</v>
      </c>
      <c r="D34" s="51">
        <v>0.45</v>
      </c>
    </row>
    <row r="35" spans="1:4" x14ac:dyDescent="0.35">
      <c r="A35" s="28" t="s">
        <v>481</v>
      </c>
      <c r="B35" s="51">
        <v>0.36</v>
      </c>
      <c r="C35" s="51">
        <v>0.31</v>
      </c>
      <c r="D35" s="51">
        <v>0.27</v>
      </c>
    </row>
    <row r="36" spans="1:4" x14ac:dyDescent="0.35">
      <c r="A36" s="28" t="s">
        <v>469</v>
      </c>
      <c r="B36" s="51">
        <v>0.23</v>
      </c>
      <c r="C36" s="51">
        <v>0.19</v>
      </c>
      <c r="D36" s="51">
        <v>0.15</v>
      </c>
    </row>
    <row r="37" spans="1:4" ht="30" customHeight="1" x14ac:dyDescent="0.35">
      <c r="A37" s="60" t="s">
        <v>2066</v>
      </c>
      <c r="B37" s="57"/>
      <c r="C37" s="57"/>
    </row>
  </sheetData>
  <mergeCells count="1">
    <mergeCell ref="A37:C37"/>
  </mergeCells>
  <dataValidations count="1">
    <dataValidation type="list" sqref="B22"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V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48" width="13" customWidth="1"/>
  </cols>
  <sheetData>
    <row r="1" spans="1:48" ht="39" x14ac:dyDescent="0.35">
      <c r="A1" s="5" t="s">
        <v>51</v>
      </c>
      <c r="B1" s="5" t="s">
        <v>181</v>
      </c>
      <c r="C1" s="5" t="s">
        <v>2067</v>
      </c>
      <c r="D1" s="5" t="s">
        <v>52</v>
      </c>
      <c r="E1" s="5" t="s">
        <v>2068</v>
      </c>
      <c r="F1" s="5" t="s">
        <v>53</v>
      </c>
      <c r="G1" s="5" t="s">
        <v>122</v>
      </c>
      <c r="H1" s="5" t="s">
        <v>2069</v>
      </c>
      <c r="I1" s="5" t="s">
        <v>2070</v>
      </c>
      <c r="J1" s="5" t="s">
        <v>2071</v>
      </c>
      <c r="K1" s="5" t="s">
        <v>2072</v>
      </c>
      <c r="L1" s="5" t="s">
        <v>2073</v>
      </c>
      <c r="M1" s="5" t="s">
        <v>2074</v>
      </c>
      <c r="N1" s="5" t="s">
        <v>2075</v>
      </c>
      <c r="O1" s="5" t="s">
        <v>2076</v>
      </c>
      <c r="P1" s="5" t="s">
        <v>2077</v>
      </c>
      <c r="Q1" s="5" t="s">
        <v>2078</v>
      </c>
      <c r="R1" s="5" t="s">
        <v>2079</v>
      </c>
      <c r="S1" s="5" t="s">
        <v>2080</v>
      </c>
      <c r="T1" s="5" t="s">
        <v>2081</v>
      </c>
      <c r="U1" s="5" t="s">
        <v>2082</v>
      </c>
      <c r="V1" s="5" t="s">
        <v>2083</v>
      </c>
      <c r="W1" s="5" t="s">
        <v>55</v>
      </c>
      <c r="X1" s="5" t="s">
        <v>2084</v>
      </c>
      <c r="Y1" s="5" t="s">
        <v>2085</v>
      </c>
      <c r="Z1" s="5" t="s">
        <v>2086</v>
      </c>
      <c r="AA1" s="5" t="s">
        <v>2087</v>
      </c>
      <c r="AB1" s="5" t="s">
        <v>2088</v>
      </c>
      <c r="AC1" s="5" t="s">
        <v>2089</v>
      </c>
      <c r="AD1" s="5" t="s">
        <v>2090</v>
      </c>
      <c r="AE1" s="5" t="s">
        <v>2091</v>
      </c>
      <c r="AF1" s="5" t="s">
        <v>2092</v>
      </c>
      <c r="AG1" s="5" t="s">
        <v>2093</v>
      </c>
      <c r="AH1" s="5" t="s">
        <v>2094</v>
      </c>
      <c r="AI1" s="5" t="s">
        <v>2095</v>
      </c>
      <c r="AJ1" s="5" t="s">
        <v>2096</v>
      </c>
      <c r="AK1" s="5" t="s">
        <v>2097</v>
      </c>
      <c r="AL1" s="5" t="s">
        <v>2098</v>
      </c>
      <c r="AM1" s="5" t="s">
        <v>2099</v>
      </c>
      <c r="AN1" s="5" t="s">
        <v>2100</v>
      </c>
      <c r="AO1" s="5" t="s">
        <v>2101</v>
      </c>
      <c r="AP1" s="5" t="s">
        <v>2102</v>
      </c>
      <c r="AQ1" s="5" t="s">
        <v>2103</v>
      </c>
      <c r="AR1" s="5" t="s">
        <v>2104</v>
      </c>
      <c r="AS1" s="5" t="s">
        <v>2105</v>
      </c>
      <c r="AT1" s="5" t="s">
        <v>2106</v>
      </c>
      <c r="AU1" s="5" t="s">
        <v>2107</v>
      </c>
      <c r="AV1" s="5" t="s">
        <v>2108</v>
      </c>
    </row>
    <row r="2" spans="1:48" x14ac:dyDescent="0.35">
      <c r="A2" s="28">
        <v>1</v>
      </c>
      <c r="B2" s="28" t="str">
        <f>IF(INPUT!A2="","",TRIM(INPUT!A2))</f>
        <v>Partner 039</v>
      </c>
      <c r="C2" s="28" t="str">
        <f>IF(B2="","",INPUT!C2)</f>
        <v>interviewer1@partner039.example.com</v>
      </c>
      <c r="D2" s="28" t="str">
        <f>IF(B2="","",INPUT!D2)</f>
        <v>Yash D.</v>
      </c>
      <c r="E2" s="28" t="str">
        <f>IF(B2="","",INPUT!E2)</f>
        <v>yash.d106@example.com</v>
      </c>
      <c r="F2" s="43" t="str">
        <f>IF(B2="","",TRIM(INPUT!F2&amp;""))</f>
        <v>9000001385</v>
      </c>
      <c r="G2" s="28" t="str">
        <f>IF(B2="","",INPUT!H2)</f>
        <v>Round1</v>
      </c>
      <c r="H2" s="46">
        <f>IF(B2="","",INPUT!I2)</f>
        <v>46308.82708333333</v>
      </c>
      <c r="I2" s="28" t="str">
        <f>IF(B2="","",IF(INPUT!J2="","None",INPUT!J2))</f>
        <v>None</v>
      </c>
      <c r="J2" s="28" t="str">
        <f t="shared" ref="J2:J65" si="0">IF(B2="","",LOWER(E2)&amp;"|"&amp;LOWER(B2)&amp;"|"&amp;G2&amp;"|"&amp;LOWER(C2))</f>
        <v>yash.d106@example.com|partner 039|Round1|interviewer1@partner039.example.com</v>
      </c>
      <c r="K2" s="28" t="str">
        <f>IF(B2="","",IF(SUMPRODUCT(($J$2:$J$601=J2)*($H$2:$H$601&lt;H2))+SUMPRODUCT(($J$2:J2=J2)*($H$2:H2=H2))-1&gt;0,"DUPLICATE",IF(AND(ISNUMBER(SEARCH("@",E2)),ISNUMBER(SEARCH(".",E2)),LEN(F2)=10,ISNUMBER(VALUE(F2))),"OK","BAD CONTACT")))</f>
        <v>OK</v>
      </c>
      <c r="L2" s="28">
        <f t="shared" ref="L2:L65" si="1">IF(B2="",0,IF(K2="DUPLICATE",0,1))</f>
        <v>1</v>
      </c>
      <c r="M2" s="28">
        <f>IF(L2=1,IF(COUNTIFS(LOG!$C$2:$C$2001,F2,LOG!$E$2:$E$2001,B2,LOG!$D$2:$D$2001,"*BOOKED")+COUNTIFS(LOG!$C$2:$C$2001,F2,LOG!$E$2:$E$2001,"",LOG!$D$2:$D$2001,"*BOOKED")&gt;0,1,0),0)</f>
        <v>0</v>
      </c>
      <c r="N2" s="28">
        <f>IF(L2=1,IF(COUNTIFS(LOG!$C$2:$C$2001,F2,LOG!$E$2:$E$2001,B2,LOG!$D$2:$D$2001,"NOT_INTERESTED")+COUNTIFS(LOG!$C$2:$C$2001,F2,LOG!$E$2:$E$2001,"",LOG!$D$2:$D$2001,"NOT_INTERESTED")&gt;0,1,0),0)</f>
        <v>0</v>
      </c>
      <c r="O2" s="28">
        <f>IF(L2=1,IF(COUNTIFS(LOG!$C$2:$C$2001,F2,LOG!$D$2:$D$2001,"STOP")+COUNTIFS(LOG!$C$2:$C$2001,F2,LOG!$D$2:$D$2001,"WRONG_NUMBER")&gt;0,1,IF(ISNUMBER(SEARCH("STOP",AT2)),1,0)),0)</f>
        <v>0</v>
      </c>
      <c r="P2" s="28">
        <f>IF(L2=1,IF(IFERROR(INDEX(PARTNERS!$D$2:$D$88,MATCH(B2,PARTNERS!$A$2:$A$88,0)),"")="NO SLOTS",1,IF(AND(IFERROR(INDEX(PARTNERS!$D$2:$D$88,MATCH(B2,PARTNERS!$A$2:$A$88,0)),"")&lt;&gt;"REOPENED",COUNTIFS(LOG!$E$2:$E$2001,B2,LOG!$D$2:$D$2001,"NO_SLOTS")&gt;0),1,0)),0)</f>
        <v>0</v>
      </c>
      <c r="Q2" s="28">
        <f>IF(L2=1,COUNTIFS(LOG!$C$2:$C$2001,F2,LOG!$H$2:$H$2001,1),0)</f>
        <v>0</v>
      </c>
      <c r="R2" s="46">
        <f>IF(Q2&gt;0,_xlfn.MAXIFS(LOG!$G$2:$G$2001,LOG!$C$2:$C$2001,F2,LOG!$H$2:$H$2001,1),0)</f>
        <v>0</v>
      </c>
      <c r="S2" s="28" t="str">
        <f>IF(Q2&gt;0,IFERROR(INDEX(LOG!$D$2:$D$2001,MATCH(F2&amp;"|"&amp;Q2,LOG!$I$2:$I$2001,0)),""),"")</f>
        <v/>
      </c>
      <c r="T2" s="28">
        <f>IF(S2="",0,IFERROR(VLOOKUP(S2,LISTS!$A$2:$E$10,4,FALSE),0))</f>
        <v>0</v>
      </c>
      <c r="U2" s="46">
        <f t="shared" ref="U2:U65" si="2">IF(Q2=0,0,R2+T2/1440)</f>
        <v>0</v>
      </c>
      <c r="V2" s="46">
        <f>IF(L2=1,H2+SETTINGS!$B$5/24,"")</f>
        <v>46309.82708333333</v>
      </c>
      <c r="W2" s="28">
        <f ca="1">IF(L2=1,(V2-SETTINGS!$B$4)*24,"")</f>
        <v>-1.6666666720993817E-2</v>
      </c>
      <c r="X2" s="28">
        <f ca="1">IF(AND(L2=1,K2="OK",M2=0,N2=0,O2=0,P2=0,SETTINGS!$B$4&lt;V2,Q2&lt;SETTINGS!$B$6),1,0)</f>
        <v>0</v>
      </c>
      <c r="Y2" s="28">
        <f ca="1">IF(AND(X2=1,SETTINGS!$B$4&gt;=H2,SETTINGS!$B$4&gt;=U2,ROUND(MOD(SETTINGS!$B$4,1)*1440,0)&gt;=ROUND(SETTINGS!$B$7*1440,0),ROUND(MOD(SETTINGS!$B$4,1)*1440,0)&lt;ROUND(SETTINGS!$B$8*1440,0)),1,0)</f>
        <v>0</v>
      </c>
      <c r="Z2" s="28" t="str">
        <f ca="1">IF(B2="","",IF(ROUND(MOD(SETTINGS!$B$4,1)*1440,0)&lt;ROUND(SETTINGS!$B$11*1440,0),"Ram",IF(ROUND(MOD(SETTINGS!$B$4,1)*1440,0)&gt;=ROUND(SETTINGS!$B$10*1440,0),"Shyam",IF(MOD(IFERROR(VALUE(RIGHT(F2,2)),0),2)=0,"Ram","Shyam"))))</f>
        <v>Shyam</v>
      </c>
      <c r="AA2" s="28">
        <f t="shared" ref="AA2:AA65" ca="1" si="3">IF(X2=1,COUNTIFS($F$2:$F$601,F2,$X$2:$X$601,1),0)</f>
        <v>0</v>
      </c>
      <c r="AB2" s="28">
        <f ca="1">IF(X2=1,COUNTIFS($F$2:F2,F2,$X$2:X2,1),0)</f>
        <v>0</v>
      </c>
      <c r="AC2" s="28" t="str">
        <f>IF(L2=1,IF(IFERROR(INDEX(PARTNERS!$C$2:$C$88,MATCH(B2,PARTNERS!$A$2:$A$88,0)),"")="YES","YES","NO"),"")</f>
        <v>NO</v>
      </c>
      <c r="AD2" s="28" t="str">
        <f>IF(L2=1,IFERROR(INDEX(PARTNERS!$B$2:$B$88,MATCH(B2,PARTNERS!$A$2:$A$88,0)),""),"")</f>
        <v>https://calendly.com/partner039/interview</v>
      </c>
      <c r="AE2" s="28">
        <f ca="1">IF(X2=1,IFERROR(INDEX(SETTINGS!$B$34:$D$36,MATCH(I2,SETTINGS!$A$34:$A$36,0),MIN(Q2,2)+1),SETTINGS!$B$36),0)</f>
        <v>0</v>
      </c>
      <c r="AF2" s="28">
        <f t="shared" ref="AF2:AF65" si="4">IF(L2=1,IFERROR(VALUE(RIGHT(G2,1)),1),0)</f>
        <v>1</v>
      </c>
      <c r="AG2" s="28">
        <f ca="1">IF(AND(Y2=1,AB2=1),ROUND(AA2*AE2*IF(AF2&gt;1,SETTINGS!$B$16,1)*IF(W2&lt;=SETTINGS!$B$14,SETTINGS!$B$15,1)*IF(AU2=1,SETTINGS!$B$21,1),6),0)</f>
        <v>0</v>
      </c>
      <c r="AH2" s="28" t="str">
        <f ca="1">IF(AG2&gt;0,COUNTIFS($Z$2:$Z$601,Z2,$AG$2:$AG$601,"&gt;"&amp;AG2)+COUNTIFS($Z$2:Z2,Z2,$AG$2:AG2,AG2),"")</f>
        <v/>
      </c>
      <c r="AI2" s="28" t="str">
        <f t="shared" ref="AI2:AI65" ca="1" si="5">IF(AH2&lt;&gt;"",Z2&amp;"|"&amp;AH2,"")</f>
        <v/>
      </c>
      <c r="AJ2" s="28" t="str">
        <f t="shared" ref="AJ2:AJ65" ca="1" si="6">IF(X2=1,F2&amp;"|"&amp;AB2,"")</f>
        <v/>
      </c>
      <c r="AK2" s="28">
        <f>IF(L2=1,IF(COUNTIFS($F$2:F2,F2,$L$2:L2,1)=1,1,0),0)</f>
        <v>1</v>
      </c>
      <c r="AL2" s="28" t="str">
        <f ca="1">IF(B2="","",IF(K2="DUPLICATE","Duplicate (removed)",IF(AO2=1,"Scheduled within 24h",IF(M2=1,"Scheduled late",IF(K2="BAD CONTACT","Bad contact details",IF(O2=1,"Stopped / wrong number",IF(N2=1,"Not interested",IF(P2=1,"Partner has no slots",IF(SETTINGS!$B$4&gt;=V2,IF(Q2=0,"Missed deadline: never tried","Missed deadline: tried, not booked"),IF(Q2&gt;=SETTINGS!$B$6,"No reply after max tries","Open"))))))))))</f>
        <v>Missed deadline: never tried</v>
      </c>
      <c r="AM2" s="46" t="str">
        <f>IF(M2=1,IF(_xlfn.MINIFS(LOG!$G$2:$G$2001,LOG!$C$2:$C$2001,F2,LOG!$E$2:$E$2001,B2,LOG!$D$2:$D$2001,"*BOOKED")=0,_xlfn.MINIFS(LOG!$G$2:$G$2001,LOG!$C$2:$C$2001,F2,LOG!$E$2:$E$2001,"",LOG!$D$2:$D$2001,"*BOOKED"),IF(_xlfn.MINIFS(LOG!$G$2:$G$2001,LOG!$C$2:$C$2001,F2,LOG!$E$2:$E$2001,"",LOG!$D$2:$D$2001,"*BOOKED")=0,_xlfn.MINIFS(LOG!$G$2:$G$2001,LOG!$C$2:$C$2001,F2,LOG!$E$2:$E$2001,B2,LOG!$D$2:$D$2001,"*BOOKED"),MIN(_xlfn.MINIFS(LOG!$G$2:$G$2001,LOG!$C$2:$C$2001,F2,LOG!$E$2:$E$2001,B2,LOG!$D$2:$D$2001,"*BOOKED"),_xlfn.MINIFS(LOG!$G$2:$G$2001,LOG!$C$2:$C$2001,F2,LOG!$E$2:$E$2001,"",LOG!$D$2:$D$2001,"*BOOKED")))),"")</f>
        <v/>
      </c>
      <c r="AN2" s="28" t="str">
        <f t="shared" ref="AN2:AN65" si="7">IF(M2=1,(AM2-H2)*24,"")</f>
        <v/>
      </c>
      <c r="AO2" s="28">
        <f>IF(AND(M2=1,AN2&lt;&gt;""),IF(AN2&lt;=SETTINGS!$B$5,1,0),0)</f>
        <v>0</v>
      </c>
      <c r="AP2" s="28">
        <f>IF(M2=1,IF(COUNTIFS(LOG!$C$2:$C$2001,F2,LOG!$E$2:$E$2001,B2,LOG!$D$2:$D$2001,"BOOKED")+COUNTIFS(LOG!$C$2:$C$2001,F2,LOG!$E$2:$E$2001,"",LOG!$D$2:$D$2001,"BOOKED")&gt;0,1,0),0)</f>
        <v>0</v>
      </c>
      <c r="AQ2" s="28" t="str">
        <f t="shared" ref="AQ2:AQ65" si="8">IF(B2="","",LEFT(D2,FIND(" ",D2&amp;" ")-1))</f>
        <v>Yash</v>
      </c>
      <c r="AR2" s="28">
        <f>IF(AND(AK2=1,K2="OK"),COUNTIFS($AK$2:AK2,1,$K$2:K2,"OK"),"")</f>
        <v>1</v>
      </c>
      <c r="AS2" s="28" t="str">
        <f>IF(L2=1,IFERROR(INDEX(MESSAGES!$J$9:$J$1008,MATCH(F2,MESSAGES!$M$9:$M$1008,0))&amp;"",""),"")</f>
        <v/>
      </c>
      <c r="AT2" s="28" t="str">
        <f>IF(L2=1,IFERROR(INDEX(MESSAGES!$K$9:$K$1008,MATCH(F2,MESSAGES!$M$9:$M$1008,0))&amp;"",""),"")</f>
        <v/>
      </c>
      <c r="AU2" s="28">
        <f t="shared" ref="AU2:AU65" ca="1" si="9">IF(AND(X2=1,ISNUMBER(SEARCH("YES",AT2))),1,0)</f>
        <v>0</v>
      </c>
      <c r="AV2" s="28" t="str">
        <f t="shared" ref="AV2:AV65" si="10">IF(L2=1,IF(MOD(IFERROR(VALUE(MID(F2,9,1)),0),2)=0,"SEND","HOLD"),"")</f>
        <v>SEND</v>
      </c>
    </row>
    <row r="3" spans="1:48" x14ac:dyDescent="0.35">
      <c r="A3" s="28">
        <v>2</v>
      </c>
      <c r="B3" s="28" t="str">
        <f>IF(INPUT!A3="","",TRIM(INPUT!A3))</f>
        <v>Partner 007</v>
      </c>
      <c r="C3" s="28" t="str">
        <f>IF(B3="","",INPUT!C3)</f>
        <v>interviewer1@partner007.example.com</v>
      </c>
      <c r="D3" s="28" t="str">
        <f>IF(B3="","",INPUT!D3)</f>
        <v>Saanvi G.</v>
      </c>
      <c r="E3" s="28" t="str">
        <f>IF(B3="","",INPUT!E3)</f>
        <v>saanvi.g189@example.com</v>
      </c>
      <c r="F3" s="43" t="str">
        <f>IF(B3="","",TRIM(INPUT!F3&amp;""))</f>
        <v>9000002464</v>
      </c>
      <c r="G3" s="28" t="str">
        <f>IF(B3="","",INPUT!H3)</f>
        <v>Round1</v>
      </c>
      <c r="H3" s="46">
        <f>IF(B3="","",INPUT!I3)</f>
        <v>46308.82708333333</v>
      </c>
      <c r="I3" s="28" t="str">
        <f>IF(B3="","",IF(INPUT!J3="","None",INPUT!J3))</f>
        <v>None</v>
      </c>
      <c r="J3" s="28" t="str">
        <f t="shared" si="0"/>
        <v>saanvi.g189@example.com|partner 007|Round1|interviewer1@partner007.example.com</v>
      </c>
      <c r="K3" s="28" t="str">
        <f>IF(B3="","",IF(SUMPRODUCT(($J$2:$J$601=J3)*($H$2:$H$601&lt;H3))+SUMPRODUCT(($J$2:J3=J3)*($H$2:H3=H3))-1&gt;0,"DUPLICATE",IF(AND(ISNUMBER(SEARCH("@",E3)),ISNUMBER(SEARCH(".",E3)),LEN(F3)=10,ISNUMBER(VALUE(F3))),"OK","BAD CONTACT")))</f>
        <v>OK</v>
      </c>
      <c r="L3" s="28">
        <f t="shared" si="1"/>
        <v>1</v>
      </c>
      <c r="M3" s="28">
        <f>IF(L3=1,IF(COUNTIFS(LOG!$C$2:$C$2001,F3,LOG!$E$2:$E$2001,B3,LOG!$D$2:$D$2001,"*BOOKED")+COUNTIFS(LOG!$C$2:$C$2001,F3,LOG!$E$2:$E$2001,"",LOG!$D$2:$D$2001,"*BOOKED")&gt;0,1,0),0)</f>
        <v>0</v>
      </c>
      <c r="N3" s="28">
        <f>IF(L3=1,IF(COUNTIFS(LOG!$C$2:$C$2001,F3,LOG!$E$2:$E$2001,B3,LOG!$D$2:$D$2001,"NOT_INTERESTED")+COUNTIFS(LOG!$C$2:$C$2001,F3,LOG!$E$2:$E$2001,"",LOG!$D$2:$D$2001,"NOT_INTERESTED")&gt;0,1,0),0)</f>
        <v>0</v>
      </c>
      <c r="O3" s="28">
        <f>IF(L3=1,IF(COUNTIFS(LOG!$C$2:$C$2001,F3,LOG!$D$2:$D$2001,"STOP")+COUNTIFS(LOG!$C$2:$C$2001,F3,LOG!$D$2:$D$2001,"WRONG_NUMBER")&gt;0,1,IF(ISNUMBER(SEARCH("STOP",AT3)),1,0)),0)</f>
        <v>0</v>
      </c>
      <c r="P3" s="28">
        <f>IF(L3=1,IF(IFERROR(INDEX(PARTNERS!$D$2:$D$88,MATCH(B3,PARTNERS!$A$2:$A$88,0)),"")="NO SLOTS",1,IF(AND(IFERROR(INDEX(PARTNERS!$D$2:$D$88,MATCH(B3,PARTNERS!$A$2:$A$88,0)),"")&lt;&gt;"REOPENED",COUNTIFS(LOG!$E$2:$E$2001,B3,LOG!$D$2:$D$2001,"NO_SLOTS")&gt;0),1,0)),0)</f>
        <v>0</v>
      </c>
      <c r="Q3" s="28">
        <f>IF(L3=1,COUNTIFS(LOG!$C$2:$C$2001,F3,LOG!$H$2:$H$2001,1),0)</f>
        <v>0</v>
      </c>
      <c r="R3" s="46">
        <f>IF(Q3&gt;0,_xlfn.MAXIFS(LOG!$G$2:$G$2001,LOG!$C$2:$C$2001,F3,LOG!$H$2:$H$2001,1),0)</f>
        <v>0</v>
      </c>
      <c r="S3" s="28" t="str">
        <f>IF(Q3&gt;0,IFERROR(INDEX(LOG!$D$2:$D$2001,MATCH(F3&amp;"|"&amp;Q3,LOG!$I$2:$I$2001,0)),""),"")</f>
        <v/>
      </c>
      <c r="T3" s="28">
        <f>IF(S3="",0,IFERROR(VLOOKUP(S3,LISTS!$A$2:$E$10,4,FALSE),0))</f>
        <v>0</v>
      </c>
      <c r="U3" s="46">
        <f t="shared" si="2"/>
        <v>0</v>
      </c>
      <c r="V3" s="46">
        <f>IF(L3=1,H3+SETTINGS!$B$5/24,"")</f>
        <v>46309.82708333333</v>
      </c>
      <c r="W3" s="28">
        <f ca="1">IF(L3=1,(V3-SETTINGS!$B$4)*24,"")</f>
        <v>-1.6666666720993817E-2</v>
      </c>
      <c r="X3" s="28">
        <f ca="1">IF(AND(L3=1,K3="OK",M3=0,N3=0,O3=0,P3=0,SETTINGS!$B$4&lt;V3,Q3&lt;SETTINGS!$B$6),1,0)</f>
        <v>0</v>
      </c>
      <c r="Y3" s="28">
        <f ca="1">IF(AND(X3=1,SETTINGS!$B$4&gt;=H3,SETTINGS!$B$4&gt;=U3,ROUND(MOD(SETTINGS!$B$4,1)*1440,0)&gt;=ROUND(SETTINGS!$B$7*1440,0),ROUND(MOD(SETTINGS!$B$4,1)*1440,0)&lt;ROUND(SETTINGS!$B$8*1440,0)),1,0)</f>
        <v>0</v>
      </c>
      <c r="Z3" s="28" t="str">
        <f ca="1">IF(B3="","",IF(ROUND(MOD(SETTINGS!$B$4,1)*1440,0)&lt;ROUND(SETTINGS!$B$11*1440,0),"Ram",IF(ROUND(MOD(SETTINGS!$B$4,1)*1440,0)&gt;=ROUND(SETTINGS!$B$10*1440,0),"Shyam",IF(MOD(IFERROR(VALUE(RIGHT(F3,2)),0),2)=0,"Ram","Shyam"))))</f>
        <v>Shyam</v>
      </c>
      <c r="AA3" s="28">
        <f t="shared" ca="1" si="3"/>
        <v>0</v>
      </c>
      <c r="AB3" s="28">
        <f ca="1">IF(X3=1,COUNTIFS($F$2:F3,F3,$X$2:X3,1),0)</f>
        <v>0</v>
      </c>
      <c r="AC3" s="28" t="str">
        <f>IF(L3=1,IF(IFERROR(INDEX(PARTNERS!$C$2:$C$88,MATCH(B3,PARTNERS!$A$2:$A$88,0)),"")="YES","YES","NO"),"")</f>
        <v>NO</v>
      </c>
      <c r="AD3" s="28" t="str">
        <f>IF(L3=1,IFERROR(INDEX(PARTNERS!$B$2:$B$88,MATCH(B3,PARTNERS!$A$2:$A$88,0)),""),"")</f>
        <v>https://calendly.com/partner007/interview</v>
      </c>
      <c r="AE3" s="28">
        <f ca="1">IF(X3=1,IFERROR(INDEX(SETTINGS!$B$34:$D$36,MATCH(I3,SETTINGS!$A$34:$A$36,0),MIN(Q3,2)+1),SETTINGS!$B$36),0)</f>
        <v>0</v>
      </c>
      <c r="AF3" s="28">
        <f t="shared" si="4"/>
        <v>1</v>
      </c>
      <c r="AG3" s="28">
        <f ca="1">IF(AND(Y3=1,AB3=1),ROUND(AA3*AE3*IF(AF3&gt;1,SETTINGS!$B$16,1)*IF(W3&lt;=SETTINGS!$B$14,SETTINGS!$B$15,1)*IF(AU3=1,SETTINGS!$B$21,1),6),0)</f>
        <v>0</v>
      </c>
      <c r="AH3" s="28" t="str">
        <f ca="1">IF(AG3&gt;0,COUNTIFS($Z$2:$Z$601,Z3,$AG$2:$AG$601,"&gt;"&amp;AG3)+COUNTIFS($Z$2:Z3,Z3,$AG$2:AG3,AG3),"")</f>
        <v/>
      </c>
      <c r="AI3" s="28" t="str">
        <f t="shared" ca="1" si="5"/>
        <v/>
      </c>
      <c r="AJ3" s="28" t="str">
        <f t="shared" ca="1" si="6"/>
        <v/>
      </c>
      <c r="AK3" s="28">
        <f>IF(L3=1,IF(COUNTIFS($F$2:F3,F3,$L$2:L3,1)=1,1,0),0)</f>
        <v>1</v>
      </c>
      <c r="AL3" s="28" t="str">
        <f ca="1">IF(B3="","",IF(K3="DUPLICATE","Duplicate (removed)",IF(AO3=1,"Scheduled within 24h",IF(M3=1,"Scheduled late",IF(K3="BAD CONTACT","Bad contact details",IF(O3=1,"Stopped / wrong number",IF(N3=1,"Not interested",IF(P3=1,"Partner has no slots",IF(SETTINGS!$B$4&gt;=V3,IF(Q3=0,"Missed deadline: never tried","Missed deadline: tried, not booked"),IF(Q3&gt;=SETTINGS!$B$6,"No reply after max tries","Open"))))))))))</f>
        <v>Missed deadline: never tried</v>
      </c>
      <c r="AM3" s="46" t="str">
        <f>IF(M3=1,IF(_xlfn.MINIFS(LOG!$G$2:$G$2001,LOG!$C$2:$C$2001,F3,LOG!$E$2:$E$2001,B3,LOG!$D$2:$D$2001,"*BOOKED")=0,_xlfn.MINIFS(LOG!$G$2:$G$2001,LOG!$C$2:$C$2001,F3,LOG!$E$2:$E$2001,"",LOG!$D$2:$D$2001,"*BOOKED"),IF(_xlfn.MINIFS(LOG!$G$2:$G$2001,LOG!$C$2:$C$2001,F3,LOG!$E$2:$E$2001,"",LOG!$D$2:$D$2001,"*BOOKED")=0,_xlfn.MINIFS(LOG!$G$2:$G$2001,LOG!$C$2:$C$2001,F3,LOG!$E$2:$E$2001,B3,LOG!$D$2:$D$2001,"*BOOKED"),MIN(_xlfn.MINIFS(LOG!$G$2:$G$2001,LOG!$C$2:$C$2001,F3,LOG!$E$2:$E$2001,B3,LOG!$D$2:$D$2001,"*BOOKED"),_xlfn.MINIFS(LOG!$G$2:$G$2001,LOG!$C$2:$C$2001,F3,LOG!$E$2:$E$2001,"",LOG!$D$2:$D$2001,"*BOOKED")))),"")</f>
        <v/>
      </c>
      <c r="AN3" s="28" t="str">
        <f t="shared" si="7"/>
        <v/>
      </c>
      <c r="AO3" s="28">
        <f>IF(AND(M3=1,AN3&lt;&gt;""),IF(AN3&lt;=SETTINGS!$B$5,1,0),0)</f>
        <v>0</v>
      </c>
      <c r="AP3" s="28">
        <f>IF(M3=1,IF(COUNTIFS(LOG!$C$2:$C$2001,F3,LOG!$E$2:$E$2001,B3,LOG!$D$2:$D$2001,"BOOKED")+COUNTIFS(LOG!$C$2:$C$2001,F3,LOG!$E$2:$E$2001,"",LOG!$D$2:$D$2001,"BOOKED")&gt;0,1,0),0)</f>
        <v>0</v>
      </c>
      <c r="AQ3" s="28" t="str">
        <f t="shared" si="8"/>
        <v>Saanvi</v>
      </c>
      <c r="AR3" s="28">
        <f>IF(AND(AK3=1,K3="OK"),COUNTIFS($AK$2:AK3,1,$K$2:K3,"OK"),"")</f>
        <v>2</v>
      </c>
      <c r="AS3" s="28" t="str">
        <f>IF(L3=1,IFERROR(INDEX(MESSAGES!$J$9:$J$1008,MATCH(F3,MESSAGES!$M$9:$M$1008,0))&amp;"",""),"")</f>
        <v/>
      </c>
      <c r="AT3" s="28" t="str">
        <f>IF(L3=1,IFERROR(INDEX(MESSAGES!$K$9:$K$1008,MATCH(F3,MESSAGES!$M$9:$M$1008,0))&amp;"",""),"")</f>
        <v/>
      </c>
      <c r="AU3" s="28">
        <f t="shared" ca="1" si="9"/>
        <v>0</v>
      </c>
      <c r="AV3" s="28" t="str">
        <f t="shared" si="10"/>
        <v>SEND</v>
      </c>
    </row>
    <row r="4" spans="1:48" x14ac:dyDescent="0.35">
      <c r="A4" s="28">
        <v>3</v>
      </c>
      <c r="B4" s="28" t="str">
        <f>IF(INPUT!A4="","",TRIM(INPUT!A4))</f>
        <v>Partner 000</v>
      </c>
      <c r="C4" s="28" t="str">
        <f>IF(B4="","",INPUT!C4)</f>
        <v>interviewer0@partner000.example.com</v>
      </c>
      <c r="D4" s="28" t="str">
        <f>IF(B4="","",INPUT!D4)</f>
        <v>Ananya D.</v>
      </c>
      <c r="E4" s="28" t="str">
        <f>IF(B4="","",INPUT!E4)</f>
        <v>ananya.d093@example.com</v>
      </c>
      <c r="F4" s="43" t="str">
        <f>IF(B4="","",TRIM(INPUT!F4&amp;""))</f>
        <v>9000001216</v>
      </c>
      <c r="G4" s="28" t="str">
        <f>IF(B4="","",INPUT!H4)</f>
        <v>Round1</v>
      </c>
      <c r="H4" s="46">
        <f>IF(B4="","",INPUT!I4)</f>
        <v>46308.82708333333</v>
      </c>
      <c r="I4" s="28" t="str">
        <f>IF(B4="","",IF(INPUT!J4="","None",INPUT!J4))</f>
        <v>Opened</v>
      </c>
      <c r="J4" s="28" t="str">
        <f t="shared" si="0"/>
        <v>ananya.d093@example.com|partner 000|Round1|interviewer0@partner000.example.com</v>
      </c>
      <c r="K4" s="28" t="str">
        <f>IF(B4="","",IF(SUMPRODUCT(($J$2:$J$601=J4)*($H$2:$H$601&lt;H4))+SUMPRODUCT(($J$2:J4=J4)*($H$2:H4=H4))-1&gt;0,"DUPLICATE",IF(AND(ISNUMBER(SEARCH("@",E4)),ISNUMBER(SEARCH(".",E4)),LEN(F4)=10,ISNUMBER(VALUE(F4))),"OK","BAD CONTACT")))</f>
        <v>OK</v>
      </c>
      <c r="L4" s="28">
        <f t="shared" si="1"/>
        <v>1</v>
      </c>
      <c r="M4" s="28">
        <f>IF(L4=1,IF(COUNTIFS(LOG!$C$2:$C$2001,F4,LOG!$E$2:$E$2001,B4,LOG!$D$2:$D$2001,"*BOOKED")+COUNTIFS(LOG!$C$2:$C$2001,F4,LOG!$E$2:$E$2001,"",LOG!$D$2:$D$2001,"*BOOKED")&gt;0,1,0),0)</f>
        <v>0</v>
      </c>
      <c r="N4" s="28">
        <f>IF(L4=1,IF(COUNTIFS(LOG!$C$2:$C$2001,F4,LOG!$E$2:$E$2001,B4,LOG!$D$2:$D$2001,"NOT_INTERESTED")+COUNTIFS(LOG!$C$2:$C$2001,F4,LOG!$E$2:$E$2001,"",LOG!$D$2:$D$2001,"NOT_INTERESTED")&gt;0,1,0),0)</f>
        <v>0</v>
      </c>
      <c r="O4" s="28">
        <f>IF(L4=1,IF(COUNTIFS(LOG!$C$2:$C$2001,F4,LOG!$D$2:$D$2001,"STOP")+COUNTIFS(LOG!$C$2:$C$2001,F4,LOG!$D$2:$D$2001,"WRONG_NUMBER")&gt;0,1,IF(ISNUMBER(SEARCH("STOP",AT4)),1,0)),0)</f>
        <v>0</v>
      </c>
      <c r="P4" s="28">
        <f>IF(L4=1,IF(IFERROR(INDEX(PARTNERS!$D$2:$D$88,MATCH(B4,PARTNERS!$A$2:$A$88,0)),"")="NO SLOTS",1,IF(AND(IFERROR(INDEX(PARTNERS!$D$2:$D$88,MATCH(B4,PARTNERS!$A$2:$A$88,0)),"")&lt;&gt;"REOPENED",COUNTIFS(LOG!$E$2:$E$2001,B4,LOG!$D$2:$D$2001,"NO_SLOTS")&gt;0),1,0)),0)</f>
        <v>0</v>
      </c>
      <c r="Q4" s="28">
        <f>IF(L4=1,COUNTIFS(LOG!$C$2:$C$2001,F4,LOG!$H$2:$H$2001,1),0)</f>
        <v>0</v>
      </c>
      <c r="R4" s="46">
        <f>IF(Q4&gt;0,_xlfn.MAXIFS(LOG!$G$2:$G$2001,LOG!$C$2:$C$2001,F4,LOG!$H$2:$H$2001,1),0)</f>
        <v>0</v>
      </c>
      <c r="S4" s="28" t="str">
        <f>IF(Q4&gt;0,IFERROR(INDEX(LOG!$D$2:$D$2001,MATCH(F4&amp;"|"&amp;Q4,LOG!$I$2:$I$2001,0)),""),"")</f>
        <v/>
      </c>
      <c r="T4" s="28">
        <f>IF(S4="",0,IFERROR(VLOOKUP(S4,LISTS!$A$2:$E$10,4,FALSE),0))</f>
        <v>0</v>
      </c>
      <c r="U4" s="46">
        <f t="shared" si="2"/>
        <v>0</v>
      </c>
      <c r="V4" s="46">
        <f>IF(L4=1,H4+SETTINGS!$B$5/24,"")</f>
        <v>46309.82708333333</v>
      </c>
      <c r="W4" s="28">
        <f ca="1">IF(L4=1,(V4-SETTINGS!$B$4)*24,"")</f>
        <v>-1.6666666720993817E-2</v>
      </c>
      <c r="X4" s="28">
        <f ca="1">IF(AND(L4=1,K4="OK",M4=0,N4=0,O4=0,P4=0,SETTINGS!$B$4&lt;V4,Q4&lt;SETTINGS!$B$6),1,0)</f>
        <v>0</v>
      </c>
      <c r="Y4" s="28">
        <f ca="1">IF(AND(X4=1,SETTINGS!$B$4&gt;=H4,SETTINGS!$B$4&gt;=U4,ROUND(MOD(SETTINGS!$B$4,1)*1440,0)&gt;=ROUND(SETTINGS!$B$7*1440,0),ROUND(MOD(SETTINGS!$B$4,1)*1440,0)&lt;ROUND(SETTINGS!$B$8*1440,0)),1,0)</f>
        <v>0</v>
      </c>
      <c r="Z4" s="28" t="str">
        <f ca="1">IF(B4="","",IF(ROUND(MOD(SETTINGS!$B$4,1)*1440,0)&lt;ROUND(SETTINGS!$B$11*1440,0),"Ram",IF(ROUND(MOD(SETTINGS!$B$4,1)*1440,0)&gt;=ROUND(SETTINGS!$B$10*1440,0),"Shyam",IF(MOD(IFERROR(VALUE(RIGHT(F4,2)),0),2)=0,"Ram","Shyam"))))</f>
        <v>Shyam</v>
      </c>
      <c r="AA4" s="28">
        <f t="shared" ca="1" si="3"/>
        <v>0</v>
      </c>
      <c r="AB4" s="28">
        <f ca="1">IF(X4=1,COUNTIFS($F$2:F4,F4,$X$2:X4,1),0)</f>
        <v>0</v>
      </c>
      <c r="AC4" s="28" t="str">
        <f>IF(L4=1,IF(IFERROR(INDEX(PARTNERS!$C$2:$C$88,MATCH(B4,PARTNERS!$A$2:$A$88,0)),"")="YES","YES","NO"),"")</f>
        <v>NO</v>
      </c>
      <c r="AD4" s="28" t="str">
        <f>IF(L4=1,IFERROR(INDEX(PARTNERS!$B$2:$B$88,MATCH(B4,PARTNERS!$A$2:$A$88,0)),""),"")</f>
        <v>https://calendly.com/partner000/interview</v>
      </c>
      <c r="AE4" s="28">
        <f ca="1">IF(X4=1,IFERROR(INDEX(SETTINGS!$B$34:$D$36,MATCH(I4,SETTINGS!$A$34:$A$36,0),MIN(Q4,2)+1),SETTINGS!$B$36),0)</f>
        <v>0</v>
      </c>
      <c r="AF4" s="28">
        <f t="shared" si="4"/>
        <v>1</v>
      </c>
      <c r="AG4" s="28">
        <f ca="1">IF(AND(Y4=1,AB4=1),ROUND(AA4*AE4*IF(AF4&gt;1,SETTINGS!$B$16,1)*IF(W4&lt;=SETTINGS!$B$14,SETTINGS!$B$15,1)*IF(AU4=1,SETTINGS!$B$21,1),6),0)</f>
        <v>0</v>
      </c>
      <c r="AH4" s="28" t="str">
        <f ca="1">IF(AG4&gt;0,COUNTIFS($Z$2:$Z$601,Z4,$AG$2:$AG$601,"&gt;"&amp;AG4)+COUNTIFS($Z$2:Z4,Z4,$AG$2:AG4,AG4),"")</f>
        <v/>
      </c>
      <c r="AI4" s="28" t="str">
        <f t="shared" ca="1" si="5"/>
        <v/>
      </c>
      <c r="AJ4" s="28" t="str">
        <f t="shared" ca="1" si="6"/>
        <v/>
      </c>
      <c r="AK4" s="28">
        <f>IF(L4=1,IF(COUNTIFS($F$2:F4,F4,$L$2:L4,1)=1,1,0),0)</f>
        <v>1</v>
      </c>
      <c r="AL4" s="28" t="str">
        <f ca="1">IF(B4="","",IF(K4="DUPLICATE","Duplicate (removed)",IF(AO4=1,"Scheduled within 24h",IF(M4=1,"Scheduled late",IF(K4="BAD CONTACT","Bad contact details",IF(O4=1,"Stopped / wrong number",IF(N4=1,"Not interested",IF(P4=1,"Partner has no slots",IF(SETTINGS!$B$4&gt;=V4,IF(Q4=0,"Missed deadline: never tried","Missed deadline: tried, not booked"),IF(Q4&gt;=SETTINGS!$B$6,"No reply after max tries","Open"))))))))))</f>
        <v>Missed deadline: never tried</v>
      </c>
      <c r="AM4" s="46" t="str">
        <f>IF(M4=1,IF(_xlfn.MINIFS(LOG!$G$2:$G$2001,LOG!$C$2:$C$2001,F4,LOG!$E$2:$E$2001,B4,LOG!$D$2:$D$2001,"*BOOKED")=0,_xlfn.MINIFS(LOG!$G$2:$G$2001,LOG!$C$2:$C$2001,F4,LOG!$E$2:$E$2001,"",LOG!$D$2:$D$2001,"*BOOKED"),IF(_xlfn.MINIFS(LOG!$G$2:$G$2001,LOG!$C$2:$C$2001,F4,LOG!$E$2:$E$2001,"",LOG!$D$2:$D$2001,"*BOOKED")=0,_xlfn.MINIFS(LOG!$G$2:$G$2001,LOG!$C$2:$C$2001,F4,LOG!$E$2:$E$2001,B4,LOG!$D$2:$D$2001,"*BOOKED"),MIN(_xlfn.MINIFS(LOG!$G$2:$G$2001,LOG!$C$2:$C$2001,F4,LOG!$E$2:$E$2001,B4,LOG!$D$2:$D$2001,"*BOOKED"),_xlfn.MINIFS(LOG!$G$2:$G$2001,LOG!$C$2:$C$2001,F4,LOG!$E$2:$E$2001,"",LOG!$D$2:$D$2001,"*BOOKED")))),"")</f>
        <v/>
      </c>
      <c r="AN4" s="28" t="str">
        <f t="shared" si="7"/>
        <v/>
      </c>
      <c r="AO4" s="28">
        <f>IF(AND(M4=1,AN4&lt;&gt;""),IF(AN4&lt;=SETTINGS!$B$5,1,0),0)</f>
        <v>0</v>
      </c>
      <c r="AP4" s="28">
        <f>IF(M4=1,IF(COUNTIFS(LOG!$C$2:$C$2001,F4,LOG!$E$2:$E$2001,B4,LOG!$D$2:$D$2001,"BOOKED")+COUNTIFS(LOG!$C$2:$C$2001,F4,LOG!$E$2:$E$2001,"",LOG!$D$2:$D$2001,"BOOKED")&gt;0,1,0),0)</f>
        <v>0</v>
      </c>
      <c r="AQ4" s="28" t="str">
        <f t="shared" si="8"/>
        <v>Ananya</v>
      </c>
      <c r="AR4" s="28">
        <f>IF(AND(AK4=1,K4="OK"),COUNTIFS($AK$2:AK4,1,$K$2:K4,"OK"),"")</f>
        <v>3</v>
      </c>
      <c r="AS4" s="28" t="str">
        <f>IF(L4=1,IFERROR(INDEX(MESSAGES!$J$9:$J$1008,MATCH(F4,MESSAGES!$M$9:$M$1008,0))&amp;"",""),"")</f>
        <v/>
      </c>
      <c r="AT4" s="28" t="str">
        <f>IF(L4=1,IFERROR(INDEX(MESSAGES!$K$9:$K$1008,MATCH(F4,MESSAGES!$M$9:$M$1008,0))&amp;"",""),"")</f>
        <v/>
      </c>
      <c r="AU4" s="28">
        <f t="shared" ca="1" si="9"/>
        <v>0</v>
      </c>
      <c r="AV4" s="28" t="str">
        <f t="shared" si="10"/>
        <v>HOLD</v>
      </c>
    </row>
    <row r="5" spans="1:48" x14ac:dyDescent="0.35">
      <c r="A5" s="28">
        <v>4</v>
      </c>
      <c r="B5" s="28" t="str">
        <f>IF(INPUT!A5="","",TRIM(INPUT!A5))</f>
        <v>Partner 000</v>
      </c>
      <c r="C5" s="28" t="str">
        <f>IF(B5="","",INPUT!C5)</f>
        <v>interviewer2@partner000.example.com</v>
      </c>
      <c r="D5" s="28" t="str">
        <f>IF(B5="","",INPUT!D5)</f>
        <v>Rahul L.</v>
      </c>
      <c r="E5" s="28" t="str">
        <f>IF(B5="","",INPUT!E5)</f>
        <v>rahul.l326@example.com</v>
      </c>
      <c r="F5" s="43" t="str">
        <f>IF(B5="","",TRIM(INPUT!F5&amp;""))</f>
        <v>9000004245</v>
      </c>
      <c r="G5" s="28" t="str">
        <f>IF(B5="","",INPUT!H5)</f>
        <v>Round1</v>
      </c>
      <c r="H5" s="46">
        <f>IF(B5="","",INPUT!I5)</f>
        <v>46308.82708333333</v>
      </c>
      <c r="I5" s="28" t="str">
        <f>IF(B5="","",IF(INPUT!J5="","None",INPUT!J5))</f>
        <v>None</v>
      </c>
      <c r="J5" s="28" t="str">
        <f t="shared" si="0"/>
        <v>rahul.l326@example.com|partner 000|Round1|interviewer2@partner000.example.com</v>
      </c>
      <c r="K5" s="28" t="str">
        <f>IF(B5="","",IF(SUMPRODUCT(($J$2:$J$601=J5)*($H$2:$H$601&lt;H5))+SUMPRODUCT(($J$2:J5=J5)*($H$2:H5=H5))-1&gt;0,"DUPLICATE",IF(AND(ISNUMBER(SEARCH("@",E5)),ISNUMBER(SEARCH(".",E5)),LEN(F5)=10,ISNUMBER(VALUE(F5))),"OK","BAD CONTACT")))</f>
        <v>OK</v>
      </c>
      <c r="L5" s="28">
        <f t="shared" si="1"/>
        <v>1</v>
      </c>
      <c r="M5" s="28">
        <f>IF(L5=1,IF(COUNTIFS(LOG!$C$2:$C$2001,F5,LOG!$E$2:$E$2001,B5,LOG!$D$2:$D$2001,"*BOOKED")+COUNTIFS(LOG!$C$2:$C$2001,F5,LOG!$E$2:$E$2001,"",LOG!$D$2:$D$2001,"*BOOKED")&gt;0,1,0),0)</f>
        <v>0</v>
      </c>
      <c r="N5" s="28">
        <f>IF(L5=1,IF(COUNTIFS(LOG!$C$2:$C$2001,F5,LOG!$E$2:$E$2001,B5,LOG!$D$2:$D$2001,"NOT_INTERESTED")+COUNTIFS(LOG!$C$2:$C$2001,F5,LOG!$E$2:$E$2001,"",LOG!$D$2:$D$2001,"NOT_INTERESTED")&gt;0,1,0),0)</f>
        <v>0</v>
      </c>
      <c r="O5" s="28">
        <f>IF(L5=1,IF(COUNTIFS(LOG!$C$2:$C$2001,F5,LOG!$D$2:$D$2001,"STOP")+COUNTIFS(LOG!$C$2:$C$2001,F5,LOG!$D$2:$D$2001,"WRONG_NUMBER")&gt;0,1,IF(ISNUMBER(SEARCH("STOP",AT5)),1,0)),0)</f>
        <v>0</v>
      </c>
      <c r="P5" s="28">
        <f>IF(L5=1,IF(IFERROR(INDEX(PARTNERS!$D$2:$D$88,MATCH(B5,PARTNERS!$A$2:$A$88,0)),"")="NO SLOTS",1,IF(AND(IFERROR(INDEX(PARTNERS!$D$2:$D$88,MATCH(B5,PARTNERS!$A$2:$A$88,0)),"")&lt;&gt;"REOPENED",COUNTIFS(LOG!$E$2:$E$2001,B5,LOG!$D$2:$D$2001,"NO_SLOTS")&gt;0),1,0)),0)</f>
        <v>0</v>
      </c>
      <c r="Q5" s="28">
        <f>IF(L5=1,COUNTIFS(LOG!$C$2:$C$2001,F5,LOG!$H$2:$H$2001,1),0)</f>
        <v>0</v>
      </c>
      <c r="R5" s="46">
        <f>IF(Q5&gt;0,_xlfn.MAXIFS(LOG!$G$2:$G$2001,LOG!$C$2:$C$2001,F5,LOG!$H$2:$H$2001,1),0)</f>
        <v>0</v>
      </c>
      <c r="S5" s="28" t="str">
        <f>IF(Q5&gt;0,IFERROR(INDEX(LOG!$D$2:$D$2001,MATCH(F5&amp;"|"&amp;Q5,LOG!$I$2:$I$2001,0)),""),"")</f>
        <v/>
      </c>
      <c r="T5" s="28">
        <f>IF(S5="",0,IFERROR(VLOOKUP(S5,LISTS!$A$2:$E$10,4,FALSE),0))</f>
        <v>0</v>
      </c>
      <c r="U5" s="46">
        <f t="shared" si="2"/>
        <v>0</v>
      </c>
      <c r="V5" s="46">
        <f>IF(L5=1,H5+SETTINGS!$B$5/24,"")</f>
        <v>46309.82708333333</v>
      </c>
      <c r="W5" s="28">
        <f ca="1">IF(L5=1,(V5-SETTINGS!$B$4)*24,"")</f>
        <v>-1.6666666720993817E-2</v>
      </c>
      <c r="X5" s="28">
        <f ca="1">IF(AND(L5=1,K5="OK",M5=0,N5=0,O5=0,P5=0,SETTINGS!$B$4&lt;V5,Q5&lt;SETTINGS!$B$6),1,0)</f>
        <v>0</v>
      </c>
      <c r="Y5" s="28">
        <f ca="1">IF(AND(X5=1,SETTINGS!$B$4&gt;=H5,SETTINGS!$B$4&gt;=U5,ROUND(MOD(SETTINGS!$B$4,1)*1440,0)&gt;=ROUND(SETTINGS!$B$7*1440,0),ROUND(MOD(SETTINGS!$B$4,1)*1440,0)&lt;ROUND(SETTINGS!$B$8*1440,0)),1,0)</f>
        <v>0</v>
      </c>
      <c r="Z5" s="28" t="str">
        <f ca="1">IF(B5="","",IF(ROUND(MOD(SETTINGS!$B$4,1)*1440,0)&lt;ROUND(SETTINGS!$B$11*1440,0),"Ram",IF(ROUND(MOD(SETTINGS!$B$4,1)*1440,0)&gt;=ROUND(SETTINGS!$B$10*1440,0),"Shyam",IF(MOD(IFERROR(VALUE(RIGHT(F5,2)),0),2)=0,"Ram","Shyam"))))</f>
        <v>Shyam</v>
      </c>
      <c r="AA5" s="28">
        <f t="shared" ca="1" si="3"/>
        <v>0</v>
      </c>
      <c r="AB5" s="28">
        <f ca="1">IF(X5=1,COUNTIFS($F$2:F5,F5,$X$2:X5,1),0)</f>
        <v>0</v>
      </c>
      <c r="AC5" s="28" t="str">
        <f>IF(L5=1,IF(IFERROR(INDEX(PARTNERS!$C$2:$C$88,MATCH(B5,PARTNERS!$A$2:$A$88,0)),"")="YES","YES","NO"),"")</f>
        <v>NO</v>
      </c>
      <c r="AD5" s="28" t="str">
        <f>IF(L5=1,IFERROR(INDEX(PARTNERS!$B$2:$B$88,MATCH(B5,PARTNERS!$A$2:$A$88,0)),""),"")</f>
        <v>https://calendly.com/partner000/interview</v>
      </c>
      <c r="AE5" s="28">
        <f ca="1">IF(X5=1,IFERROR(INDEX(SETTINGS!$B$34:$D$36,MATCH(I5,SETTINGS!$A$34:$A$36,0),MIN(Q5,2)+1),SETTINGS!$B$36),0)</f>
        <v>0</v>
      </c>
      <c r="AF5" s="28">
        <f t="shared" si="4"/>
        <v>1</v>
      </c>
      <c r="AG5" s="28">
        <f ca="1">IF(AND(Y5=1,AB5=1),ROUND(AA5*AE5*IF(AF5&gt;1,SETTINGS!$B$16,1)*IF(W5&lt;=SETTINGS!$B$14,SETTINGS!$B$15,1)*IF(AU5=1,SETTINGS!$B$21,1),6),0)</f>
        <v>0</v>
      </c>
      <c r="AH5" s="28" t="str">
        <f ca="1">IF(AG5&gt;0,COUNTIFS($Z$2:$Z$601,Z5,$AG$2:$AG$601,"&gt;"&amp;AG5)+COUNTIFS($Z$2:Z5,Z5,$AG$2:AG5,AG5),"")</f>
        <v/>
      </c>
      <c r="AI5" s="28" t="str">
        <f t="shared" ca="1" si="5"/>
        <v/>
      </c>
      <c r="AJ5" s="28" t="str">
        <f t="shared" ca="1" si="6"/>
        <v/>
      </c>
      <c r="AK5" s="28">
        <f>IF(L5=1,IF(COUNTIFS($F$2:F5,F5,$L$2:L5,1)=1,1,0),0)</f>
        <v>1</v>
      </c>
      <c r="AL5" s="28" t="str">
        <f ca="1">IF(B5="","",IF(K5="DUPLICATE","Duplicate (removed)",IF(AO5=1,"Scheduled within 24h",IF(M5=1,"Scheduled late",IF(K5="BAD CONTACT","Bad contact details",IF(O5=1,"Stopped / wrong number",IF(N5=1,"Not interested",IF(P5=1,"Partner has no slots",IF(SETTINGS!$B$4&gt;=V5,IF(Q5=0,"Missed deadline: never tried","Missed deadline: tried, not booked"),IF(Q5&gt;=SETTINGS!$B$6,"No reply after max tries","Open"))))))))))</f>
        <v>Missed deadline: never tried</v>
      </c>
      <c r="AM5" s="46" t="str">
        <f>IF(M5=1,IF(_xlfn.MINIFS(LOG!$G$2:$G$2001,LOG!$C$2:$C$2001,F5,LOG!$E$2:$E$2001,B5,LOG!$D$2:$D$2001,"*BOOKED")=0,_xlfn.MINIFS(LOG!$G$2:$G$2001,LOG!$C$2:$C$2001,F5,LOG!$E$2:$E$2001,"",LOG!$D$2:$D$2001,"*BOOKED"),IF(_xlfn.MINIFS(LOG!$G$2:$G$2001,LOG!$C$2:$C$2001,F5,LOG!$E$2:$E$2001,"",LOG!$D$2:$D$2001,"*BOOKED")=0,_xlfn.MINIFS(LOG!$G$2:$G$2001,LOG!$C$2:$C$2001,F5,LOG!$E$2:$E$2001,B5,LOG!$D$2:$D$2001,"*BOOKED"),MIN(_xlfn.MINIFS(LOG!$G$2:$G$2001,LOG!$C$2:$C$2001,F5,LOG!$E$2:$E$2001,B5,LOG!$D$2:$D$2001,"*BOOKED"),_xlfn.MINIFS(LOG!$G$2:$G$2001,LOG!$C$2:$C$2001,F5,LOG!$E$2:$E$2001,"",LOG!$D$2:$D$2001,"*BOOKED")))),"")</f>
        <v/>
      </c>
      <c r="AN5" s="28" t="str">
        <f t="shared" si="7"/>
        <v/>
      </c>
      <c r="AO5" s="28">
        <f>IF(AND(M5=1,AN5&lt;&gt;""),IF(AN5&lt;=SETTINGS!$B$5,1,0),0)</f>
        <v>0</v>
      </c>
      <c r="AP5" s="28">
        <f>IF(M5=1,IF(COUNTIFS(LOG!$C$2:$C$2001,F5,LOG!$E$2:$E$2001,B5,LOG!$D$2:$D$2001,"BOOKED")+COUNTIFS(LOG!$C$2:$C$2001,F5,LOG!$E$2:$E$2001,"",LOG!$D$2:$D$2001,"BOOKED")&gt;0,1,0),0)</f>
        <v>0</v>
      </c>
      <c r="AQ5" s="28" t="str">
        <f t="shared" si="8"/>
        <v>Rahul</v>
      </c>
      <c r="AR5" s="28">
        <f>IF(AND(AK5=1,K5="OK"),COUNTIFS($AK$2:AK5,1,$K$2:K5,"OK"),"")</f>
        <v>4</v>
      </c>
      <c r="AS5" s="28" t="str">
        <f>IF(L5=1,IFERROR(INDEX(MESSAGES!$J$9:$J$1008,MATCH(F5,MESSAGES!$M$9:$M$1008,0))&amp;"",""),"")</f>
        <v/>
      </c>
      <c r="AT5" s="28" t="str">
        <f>IF(L5=1,IFERROR(INDEX(MESSAGES!$K$9:$K$1008,MATCH(F5,MESSAGES!$M$9:$M$1008,0))&amp;"",""),"")</f>
        <v/>
      </c>
      <c r="AU5" s="28">
        <f t="shared" ca="1" si="9"/>
        <v>0</v>
      </c>
      <c r="AV5" s="28" t="str">
        <f t="shared" si="10"/>
        <v>SEND</v>
      </c>
    </row>
    <row r="6" spans="1:48" x14ac:dyDescent="0.35">
      <c r="A6" s="28">
        <v>5</v>
      </c>
      <c r="B6" s="28" t="str">
        <f>IF(INPUT!A6="","",TRIM(INPUT!A6))</f>
        <v>Partner 024</v>
      </c>
      <c r="C6" s="28" t="str">
        <f>IF(B6="","",INPUT!C6)</f>
        <v>interviewer0@partner024.example.com</v>
      </c>
      <c r="D6" s="28" t="str">
        <f>IF(B6="","",INPUT!D6)</f>
        <v>Ananya H.</v>
      </c>
      <c r="E6" s="28" t="str">
        <f>IF(B6="","",INPUT!E6)</f>
        <v>ananya.h213@example.com</v>
      </c>
      <c r="F6" s="43" t="str">
        <f>IF(B6="","",TRIM(INPUT!F6&amp;""))</f>
        <v>9000002776</v>
      </c>
      <c r="G6" s="28" t="str">
        <f>IF(B6="","",INPUT!H6)</f>
        <v>Round1</v>
      </c>
      <c r="H6" s="46">
        <f>IF(B6="","",INPUT!I6)</f>
        <v>46308.82708333333</v>
      </c>
      <c r="I6" s="28" t="str">
        <f>IF(B6="","",IF(INPUT!J6="","None",INPUT!J6))</f>
        <v>None</v>
      </c>
      <c r="J6" s="28" t="str">
        <f t="shared" si="0"/>
        <v>ananya.h213@example.com|partner 024|Round1|interviewer0@partner024.example.com</v>
      </c>
      <c r="K6" s="28" t="str">
        <f>IF(B6="","",IF(SUMPRODUCT(($J$2:$J$601=J6)*($H$2:$H$601&lt;H6))+SUMPRODUCT(($J$2:J6=J6)*($H$2:H6=H6))-1&gt;0,"DUPLICATE",IF(AND(ISNUMBER(SEARCH("@",E6)),ISNUMBER(SEARCH(".",E6)),LEN(F6)=10,ISNUMBER(VALUE(F6))),"OK","BAD CONTACT")))</f>
        <v>OK</v>
      </c>
      <c r="L6" s="28">
        <f t="shared" si="1"/>
        <v>1</v>
      </c>
      <c r="M6" s="28">
        <f>IF(L6=1,IF(COUNTIFS(LOG!$C$2:$C$2001,F6,LOG!$E$2:$E$2001,B6,LOG!$D$2:$D$2001,"*BOOKED")+COUNTIFS(LOG!$C$2:$C$2001,F6,LOG!$E$2:$E$2001,"",LOG!$D$2:$D$2001,"*BOOKED")&gt;0,1,0),0)</f>
        <v>0</v>
      </c>
      <c r="N6" s="28">
        <f>IF(L6=1,IF(COUNTIFS(LOG!$C$2:$C$2001,F6,LOG!$E$2:$E$2001,B6,LOG!$D$2:$D$2001,"NOT_INTERESTED")+COUNTIFS(LOG!$C$2:$C$2001,F6,LOG!$E$2:$E$2001,"",LOG!$D$2:$D$2001,"NOT_INTERESTED")&gt;0,1,0),0)</f>
        <v>0</v>
      </c>
      <c r="O6" s="28">
        <f>IF(L6=1,IF(COUNTIFS(LOG!$C$2:$C$2001,F6,LOG!$D$2:$D$2001,"STOP")+COUNTIFS(LOG!$C$2:$C$2001,F6,LOG!$D$2:$D$2001,"WRONG_NUMBER")&gt;0,1,IF(ISNUMBER(SEARCH("STOP",AT6)),1,0)),0)</f>
        <v>0</v>
      </c>
      <c r="P6" s="28">
        <f>IF(L6=1,IF(IFERROR(INDEX(PARTNERS!$D$2:$D$88,MATCH(B6,PARTNERS!$A$2:$A$88,0)),"")="NO SLOTS",1,IF(AND(IFERROR(INDEX(PARTNERS!$D$2:$D$88,MATCH(B6,PARTNERS!$A$2:$A$88,0)),"")&lt;&gt;"REOPENED",COUNTIFS(LOG!$E$2:$E$2001,B6,LOG!$D$2:$D$2001,"NO_SLOTS")&gt;0),1,0)),0)</f>
        <v>0</v>
      </c>
      <c r="Q6" s="28">
        <f>IF(L6=1,COUNTIFS(LOG!$C$2:$C$2001,F6,LOG!$H$2:$H$2001,1),0)</f>
        <v>0</v>
      </c>
      <c r="R6" s="46">
        <f>IF(Q6&gt;0,_xlfn.MAXIFS(LOG!$G$2:$G$2001,LOG!$C$2:$C$2001,F6,LOG!$H$2:$H$2001,1),0)</f>
        <v>0</v>
      </c>
      <c r="S6" s="28" t="str">
        <f>IF(Q6&gt;0,IFERROR(INDEX(LOG!$D$2:$D$2001,MATCH(F6&amp;"|"&amp;Q6,LOG!$I$2:$I$2001,0)),""),"")</f>
        <v/>
      </c>
      <c r="T6" s="28">
        <f>IF(S6="",0,IFERROR(VLOOKUP(S6,LISTS!$A$2:$E$10,4,FALSE),0))</f>
        <v>0</v>
      </c>
      <c r="U6" s="46">
        <f t="shared" si="2"/>
        <v>0</v>
      </c>
      <c r="V6" s="46">
        <f>IF(L6=1,H6+SETTINGS!$B$5/24,"")</f>
        <v>46309.82708333333</v>
      </c>
      <c r="W6" s="28">
        <f ca="1">IF(L6=1,(V6-SETTINGS!$B$4)*24,"")</f>
        <v>-1.6666666720993817E-2</v>
      </c>
      <c r="X6" s="28">
        <f ca="1">IF(AND(L6=1,K6="OK",M6=0,N6=0,O6=0,P6=0,SETTINGS!$B$4&lt;V6,Q6&lt;SETTINGS!$B$6),1,0)</f>
        <v>0</v>
      </c>
      <c r="Y6" s="28">
        <f ca="1">IF(AND(X6=1,SETTINGS!$B$4&gt;=H6,SETTINGS!$B$4&gt;=U6,ROUND(MOD(SETTINGS!$B$4,1)*1440,0)&gt;=ROUND(SETTINGS!$B$7*1440,0),ROUND(MOD(SETTINGS!$B$4,1)*1440,0)&lt;ROUND(SETTINGS!$B$8*1440,0)),1,0)</f>
        <v>0</v>
      </c>
      <c r="Z6" s="28" t="str">
        <f ca="1">IF(B6="","",IF(ROUND(MOD(SETTINGS!$B$4,1)*1440,0)&lt;ROUND(SETTINGS!$B$11*1440,0),"Ram",IF(ROUND(MOD(SETTINGS!$B$4,1)*1440,0)&gt;=ROUND(SETTINGS!$B$10*1440,0),"Shyam",IF(MOD(IFERROR(VALUE(RIGHT(F6,2)),0),2)=0,"Ram","Shyam"))))</f>
        <v>Shyam</v>
      </c>
      <c r="AA6" s="28">
        <f t="shared" ca="1" si="3"/>
        <v>0</v>
      </c>
      <c r="AB6" s="28">
        <f ca="1">IF(X6=1,COUNTIFS($F$2:F6,F6,$X$2:X6,1),0)</f>
        <v>0</v>
      </c>
      <c r="AC6" s="28" t="str">
        <f>IF(L6=1,IF(IFERROR(INDEX(PARTNERS!$C$2:$C$88,MATCH(B6,PARTNERS!$A$2:$A$88,0)),"")="YES","YES","NO"),"")</f>
        <v>YES</v>
      </c>
      <c r="AD6" s="28" t="str">
        <f>IF(L6=1,IFERROR(INDEX(PARTNERS!$B$2:$B$88,MATCH(B6,PARTNERS!$A$2:$A$88,0)),""),"")</f>
        <v>https://calendly.com/partner024/interview</v>
      </c>
      <c r="AE6" s="28">
        <f ca="1">IF(X6=1,IFERROR(INDEX(SETTINGS!$B$34:$D$36,MATCH(I6,SETTINGS!$A$34:$A$36,0),MIN(Q6,2)+1),SETTINGS!$B$36),0)</f>
        <v>0</v>
      </c>
      <c r="AF6" s="28">
        <f t="shared" si="4"/>
        <v>1</v>
      </c>
      <c r="AG6" s="28">
        <f ca="1">IF(AND(Y6=1,AB6=1),ROUND(AA6*AE6*IF(AF6&gt;1,SETTINGS!$B$16,1)*IF(W6&lt;=SETTINGS!$B$14,SETTINGS!$B$15,1)*IF(AU6=1,SETTINGS!$B$21,1),6),0)</f>
        <v>0</v>
      </c>
      <c r="AH6" s="28" t="str">
        <f ca="1">IF(AG6&gt;0,COUNTIFS($Z$2:$Z$601,Z6,$AG$2:$AG$601,"&gt;"&amp;AG6)+COUNTIFS($Z$2:Z6,Z6,$AG$2:AG6,AG6),"")</f>
        <v/>
      </c>
      <c r="AI6" s="28" t="str">
        <f t="shared" ca="1" si="5"/>
        <v/>
      </c>
      <c r="AJ6" s="28" t="str">
        <f t="shared" ca="1" si="6"/>
        <v/>
      </c>
      <c r="AK6" s="28">
        <f>IF(L6=1,IF(COUNTIFS($F$2:F6,F6,$L$2:L6,1)=1,1,0),0)</f>
        <v>1</v>
      </c>
      <c r="AL6" s="28" t="str">
        <f ca="1">IF(B6="","",IF(K6="DUPLICATE","Duplicate (removed)",IF(AO6=1,"Scheduled within 24h",IF(M6=1,"Scheduled late",IF(K6="BAD CONTACT","Bad contact details",IF(O6=1,"Stopped / wrong number",IF(N6=1,"Not interested",IF(P6=1,"Partner has no slots",IF(SETTINGS!$B$4&gt;=V6,IF(Q6=0,"Missed deadline: never tried","Missed deadline: tried, not booked"),IF(Q6&gt;=SETTINGS!$B$6,"No reply after max tries","Open"))))))))))</f>
        <v>Missed deadline: never tried</v>
      </c>
      <c r="AM6" s="46" t="str">
        <f>IF(M6=1,IF(_xlfn.MINIFS(LOG!$G$2:$G$2001,LOG!$C$2:$C$2001,F6,LOG!$E$2:$E$2001,B6,LOG!$D$2:$D$2001,"*BOOKED")=0,_xlfn.MINIFS(LOG!$G$2:$G$2001,LOG!$C$2:$C$2001,F6,LOG!$E$2:$E$2001,"",LOG!$D$2:$D$2001,"*BOOKED"),IF(_xlfn.MINIFS(LOG!$G$2:$G$2001,LOG!$C$2:$C$2001,F6,LOG!$E$2:$E$2001,"",LOG!$D$2:$D$2001,"*BOOKED")=0,_xlfn.MINIFS(LOG!$G$2:$G$2001,LOG!$C$2:$C$2001,F6,LOG!$E$2:$E$2001,B6,LOG!$D$2:$D$2001,"*BOOKED"),MIN(_xlfn.MINIFS(LOG!$G$2:$G$2001,LOG!$C$2:$C$2001,F6,LOG!$E$2:$E$2001,B6,LOG!$D$2:$D$2001,"*BOOKED"),_xlfn.MINIFS(LOG!$G$2:$G$2001,LOG!$C$2:$C$2001,F6,LOG!$E$2:$E$2001,"",LOG!$D$2:$D$2001,"*BOOKED")))),"")</f>
        <v/>
      </c>
      <c r="AN6" s="28" t="str">
        <f t="shared" si="7"/>
        <v/>
      </c>
      <c r="AO6" s="28">
        <f>IF(AND(M6=1,AN6&lt;&gt;""),IF(AN6&lt;=SETTINGS!$B$5,1,0),0)</f>
        <v>0</v>
      </c>
      <c r="AP6" s="28">
        <f>IF(M6=1,IF(COUNTIFS(LOG!$C$2:$C$2001,F6,LOG!$E$2:$E$2001,B6,LOG!$D$2:$D$2001,"BOOKED")+COUNTIFS(LOG!$C$2:$C$2001,F6,LOG!$E$2:$E$2001,"",LOG!$D$2:$D$2001,"BOOKED")&gt;0,1,0),0)</f>
        <v>0</v>
      </c>
      <c r="AQ6" s="28" t="str">
        <f t="shared" si="8"/>
        <v>Ananya</v>
      </c>
      <c r="AR6" s="28">
        <f>IF(AND(AK6=1,K6="OK"),COUNTIFS($AK$2:AK6,1,$K$2:K6,"OK"),"")</f>
        <v>5</v>
      </c>
      <c r="AS6" s="28" t="str">
        <f>IF(L6=1,IFERROR(INDEX(MESSAGES!$J$9:$J$1008,MATCH(F6,MESSAGES!$M$9:$M$1008,0))&amp;"",""),"")</f>
        <v/>
      </c>
      <c r="AT6" s="28" t="str">
        <f>IF(L6=1,IFERROR(INDEX(MESSAGES!$K$9:$K$1008,MATCH(F6,MESSAGES!$M$9:$M$1008,0))&amp;"",""),"")</f>
        <v/>
      </c>
      <c r="AU6" s="28">
        <f t="shared" ca="1" si="9"/>
        <v>0</v>
      </c>
      <c r="AV6" s="28" t="str">
        <f t="shared" si="10"/>
        <v>HOLD</v>
      </c>
    </row>
    <row r="7" spans="1:48" x14ac:dyDescent="0.35">
      <c r="A7" s="28">
        <v>6</v>
      </c>
      <c r="B7" s="28" t="str">
        <f>IF(INPUT!A7="","",TRIM(INPUT!A7))</f>
        <v>Partner 025</v>
      </c>
      <c r="C7" s="28" t="str">
        <f>IF(B7="","",INPUT!C7)</f>
        <v>interviewer0@partner025.example.com</v>
      </c>
      <c r="D7" s="28" t="str">
        <f>IF(B7="","",INPUT!D7)</f>
        <v>Arjun J.</v>
      </c>
      <c r="E7" s="28" t="str">
        <f>IF(B7="","",INPUT!E7)</f>
        <v>arjun.j248@example.com</v>
      </c>
      <c r="F7" s="43" t="str">
        <f>IF(B7="","",TRIM(INPUT!F7&amp;""))</f>
        <v>9000003231</v>
      </c>
      <c r="G7" s="28" t="str">
        <f>IF(B7="","",INPUT!H7)</f>
        <v>Round1</v>
      </c>
      <c r="H7" s="46">
        <f>IF(B7="","",INPUT!I7)</f>
        <v>46308.82708333333</v>
      </c>
      <c r="I7" s="28" t="str">
        <f>IF(B7="","",IF(INPUT!J7="","None",INPUT!J7))</f>
        <v>Opened</v>
      </c>
      <c r="J7" s="28" t="str">
        <f t="shared" si="0"/>
        <v>arjun.j248@example.com|partner 025|Round1|interviewer0@partner025.example.com</v>
      </c>
      <c r="K7" s="28" t="str">
        <f>IF(B7="","",IF(SUMPRODUCT(($J$2:$J$601=J7)*($H$2:$H$601&lt;H7))+SUMPRODUCT(($J$2:J7=J7)*($H$2:H7=H7))-1&gt;0,"DUPLICATE",IF(AND(ISNUMBER(SEARCH("@",E7)),ISNUMBER(SEARCH(".",E7)),LEN(F7)=10,ISNUMBER(VALUE(F7))),"OK","BAD CONTACT")))</f>
        <v>OK</v>
      </c>
      <c r="L7" s="28">
        <f t="shared" si="1"/>
        <v>1</v>
      </c>
      <c r="M7" s="28">
        <f>IF(L7=1,IF(COUNTIFS(LOG!$C$2:$C$2001,F7,LOG!$E$2:$E$2001,B7,LOG!$D$2:$D$2001,"*BOOKED")+COUNTIFS(LOG!$C$2:$C$2001,F7,LOG!$E$2:$E$2001,"",LOG!$D$2:$D$2001,"*BOOKED")&gt;0,1,0),0)</f>
        <v>0</v>
      </c>
      <c r="N7" s="28">
        <f>IF(L7=1,IF(COUNTIFS(LOG!$C$2:$C$2001,F7,LOG!$E$2:$E$2001,B7,LOG!$D$2:$D$2001,"NOT_INTERESTED")+COUNTIFS(LOG!$C$2:$C$2001,F7,LOG!$E$2:$E$2001,"",LOG!$D$2:$D$2001,"NOT_INTERESTED")&gt;0,1,0),0)</f>
        <v>0</v>
      </c>
      <c r="O7" s="28">
        <f>IF(L7=1,IF(COUNTIFS(LOG!$C$2:$C$2001,F7,LOG!$D$2:$D$2001,"STOP")+COUNTIFS(LOG!$C$2:$C$2001,F7,LOG!$D$2:$D$2001,"WRONG_NUMBER")&gt;0,1,IF(ISNUMBER(SEARCH("STOP",AT7)),1,0)),0)</f>
        <v>0</v>
      </c>
      <c r="P7" s="28">
        <f>IF(L7=1,IF(IFERROR(INDEX(PARTNERS!$D$2:$D$88,MATCH(B7,PARTNERS!$A$2:$A$88,0)),"")="NO SLOTS",1,IF(AND(IFERROR(INDEX(PARTNERS!$D$2:$D$88,MATCH(B7,PARTNERS!$A$2:$A$88,0)),"")&lt;&gt;"REOPENED",COUNTIFS(LOG!$E$2:$E$2001,B7,LOG!$D$2:$D$2001,"NO_SLOTS")&gt;0),1,0)),0)</f>
        <v>0</v>
      </c>
      <c r="Q7" s="28">
        <f>IF(L7=1,COUNTIFS(LOG!$C$2:$C$2001,F7,LOG!$H$2:$H$2001,1),0)</f>
        <v>0</v>
      </c>
      <c r="R7" s="46">
        <f>IF(Q7&gt;0,_xlfn.MAXIFS(LOG!$G$2:$G$2001,LOG!$C$2:$C$2001,F7,LOG!$H$2:$H$2001,1),0)</f>
        <v>0</v>
      </c>
      <c r="S7" s="28" t="str">
        <f>IF(Q7&gt;0,IFERROR(INDEX(LOG!$D$2:$D$2001,MATCH(F7&amp;"|"&amp;Q7,LOG!$I$2:$I$2001,0)),""),"")</f>
        <v/>
      </c>
      <c r="T7" s="28">
        <f>IF(S7="",0,IFERROR(VLOOKUP(S7,LISTS!$A$2:$E$10,4,FALSE),0))</f>
        <v>0</v>
      </c>
      <c r="U7" s="46">
        <f t="shared" si="2"/>
        <v>0</v>
      </c>
      <c r="V7" s="46">
        <f>IF(L7=1,H7+SETTINGS!$B$5/24,"")</f>
        <v>46309.82708333333</v>
      </c>
      <c r="W7" s="28">
        <f ca="1">IF(L7=1,(V7-SETTINGS!$B$4)*24,"")</f>
        <v>-1.6666666720993817E-2</v>
      </c>
      <c r="X7" s="28">
        <f ca="1">IF(AND(L7=1,K7="OK",M7=0,N7=0,O7=0,P7=0,SETTINGS!$B$4&lt;V7,Q7&lt;SETTINGS!$B$6),1,0)</f>
        <v>0</v>
      </c>
      <c r="Y7" s="28">
        <f ca="1">IF(AND(X7=1,SETTINGS!$B$4&gt;=H7,SETTINGS!$B$4&gt;=U7,ROUND(MOD(SETTINGS!$B$4,1)*1440,0)&gt;=ROUND(SETTINGS!$B$7*1440,0),ROUND(MOD(SETTINGS!$B$4,1)*1440,0)&lt;ROUND(SETTINGS!$B$8*1440,0)),1,0)</f>
        <v>0</v>
      </c>
      <c r="Z7" s="28" t="str">
        <f ca="1">IF(B7="","",IF(ROUND(MOD(SETTINGS!$B$4,1)*1440,0)&lt;ROUND(SETTINGS!$B$11*1440,0),"Ram",IF(ROUND(MOD(SETTINGS!$B$4,1)*1440,0)&gt;=ROUND(SETTINGS!$B$10*1440,0),"Shyam",IF(MOD(IFERROR(VALUE(RIGHT(F7,2)),0),2)=0,"Ram","Shyam"))))</f>
        <v>Shyam</v>
      </c>
      <c r="AA7" s="28">
        <f t="shared" ca="1" si="3"/>
        <v>0</v>
      </c>
      <c r="AB7" s="28">
        <f ca="1">IF(X7=1,COUNTIFS($F$2:F7,F7,$X$2:X7,1),0)</f>
        <v>0</v>
      </c>
      <c r="AC7" s="28" t="str">
        <f>IF(L7=1,IF(IFERROR(INDEX(PARTNERS!$C$2:$C$88,MATCH(B7,PARTNERS!$A$2:$A$88,0)),"")="YES","YES","NO"),"")</f>
        <v>NO</v>
      </c>
      <c r="AD7" s="28" t="str">
        <f>IF(L7=1,IFERROR(INDEX(PARTNERS!$B$2:$B$88,MATCH(B7,PARTNERS!$A$2:$A$88,0)),""),"")</f>
        <v>https://calendly.com/partner025/interview</v>
      </c>
      <c r="AE7" s="28">
        <f ca="1">IF(X7=1,IFERROR(INDEX(SETTINGS!$B$34:$D$36,MATCH(I7,SETTINGS!$A$34:$A$36,0),MIN(Q7,2)+1),SETTINGS!$B$36),0)</f>
        <v>0</v>
      </c>
      <c r="AF7" s="28">
        <f t="shared" si="4"/>
        <v>1</v>
      </c>
      <c r="AG7" s="28">
        <f ca="1">IF(AND(Y7=1,AB7=1),ROUND(AA7*AE7*IF(AF7&gt;1,SETTINGS!$B$16,1)*IF(W7&lt;=SETTINGS!$B$14,SETTINGS!$B$15,1)*IF(AU7=1,SETTINGS!$B$21,1),6),0)</f>
        <v>0</v>
      </c>
      <c r="AH7" s="28" t="str">
        <f ca="1">IF(AG7&gt;0,COUNTIFS($Z$2:$Z$601,Z7,$AG$2:$AG$601,"&gt;"&amp;AG7)+COUNTIFS($Z$2:Z7,Z7,$AG$2:AG7,AG7),"")</f>
        <v/>
      </c>
      <c r="AI7" s="28" t="str">
        <f t="shared" ca="1" si="5"/>
        <v/>
      </c>
      <c r="AJ7" s="28" t="str">
        <f t="shared" ca="1" si="6"/>
        <v/>
      </c>
      <c r="AK7" s="28">
        <f>IF(L7=1,IF(COUNTIFS($F$2:F7,F7,$L$2:L7,1)=1,1,0),0)</f>
        <v>1</v>
      </c>
      <c r="AL7" s="28" t="str">
        <f ca="1">IF(B7="","",IF(K7="DUPLICATE","Duplicate (removed)",IF(AO7=1,"Scheduled within 24h",IF(M7=1,"Scheduled late",IF(K7="BAD CONTACT","Bad contact details",IF(O7=1,"Stopped / wrong number",IF(N7=1,"Not interested",IF(P7=1,"Partner has no slots",IF(SETTINGS!$B$4&gt;=V7,IF(Q7=0,"Missed deadline: never tried","Missed deadline: tried, not booked"),IF(Q7&gt;=SETTINGS!$B$6,"No reply after max tries","Open"))))))))))</f>
        <v>Missed deadline: never tried</v>
      </c>
      <c r="AM7" s="46" t="str">
        <f>IF(M7=1,IF(_xlfn.MINIFS(LOG!$G$2:$G$2001,LOG!$C$2:$C$2001,F7,LOG!$E$2:$E$2001,B7,LOG!$D$2:$D$2001,"*BOOKED")=0,_xlfn.MINIFS(LOG!$G$2:$G$2001,LOG!$C$2:$C$2001,F7,LOG!$E$2:$E$2001,"",LOG!$D$2:$D$2001,"*BOOKED"),IF(_xlfn.MINIFS(LOG!$G$2:$G$2001,LOG!$C$2:$C$2001,F7,LOG!$E$2:$E$2001,"",LOG!$D$2:$D$2001,"*BOOKED")=0,_xlfn.MINIFS(LOG!$G$2:$G$2001,LOG!$C$2:$C$2001,F7,LOG!$E$2:$E$2001,B7,LOG!$D$2:$D$2001,"*BOOKED"),MIN(_xlfn.MINIFS(LOG!$G$2:$G$2001,LOG!$C$2:$C$2001,F7,LOG!$E$2:$E$2001,B7,LOG!$D$2:$D$2001,"*BOOKED"),_xlfn.MINIFS(LOG!$G$2:$G$2001,LOG!$C$2:$C$2001,F7,LOG!$E$2:$E$2001,"",LOG!$D$2:$D$2001,"*BOOKED")))),"")</f>
        <v/>
      </c>
      <c r="AN7" s="28" t="str">
        <f t="shared" si="7"/>
        <v/>
      </c>
      <c r="AO7" s="28">
        <f>IF(AND(M7=1,AN7&lt;&gt;""),IF(AN7&lt;=SETTINGS!$B$5,1,0),0)</f>
        <v>0</v>
      </c>
      <c r="AP7" s="28">
        <f>IF(M7=1,IF(COUNTIFS(LOG!$C$2:$C$2001,F7,LOG!$E$2:$E$2001,B7,LOG!$D$2:$D$2001,"BOOKED")+COUNTIFS(LOG!$C$2:$C$2001,F7,LOG!$E$2:$E$2001,"",LOG!$D$2:$D$2001,"BOOKED")&gt;0,1,0),0)</f>
        <v>0</v>
      </c>
      <c r="AQ7" s="28" t="str">
        <f t="shared" si="8"/>
        <v>Arjun</v>
      </c>
      <c r="AR7" s="28">
        <f>IF(AND(AK7=1,K7="OK"),COUNTIFS($AK$2:AK7,1,$K$2:K7,"OK"),"")</f>
        <v>6</v>
      </c>
      <c r="AS7" s="28" t="str">
        <f>IF(L7=1,IFERROR(INDEX(MESSAGES!$J$9:$J$1008,MATCH(F7,MESSAGES!$M$9:$M$1008,0))&amp;"",""),"")</f>
        <v/>
      </c>
      <c r="AT7" s="28" t="str">
        <f>IF(L7=1,IFERROR(INDEX(MESSAGES!$K$9:$K$1008,MATCH(F7,MESSAGES!$M$9:$M$1008,0))&amp;"",""),"")</f>
        <v/>
      </c>
      <c r="AU7" s="28">
        <f t="shared" ca="1" si="9"/>
        <v>0</v>
      </c>
      <c r="AV7" s="28" t="str">
        <f t="shared" si="10"/>
        <v>HOLD</v>
      </c>
    </row>
    <row r="8" spans="1:48" x14ac:dyDescent="0.35">
      <c r="A8" s="28">
        <v>7</v>
      </c>
      <c r="B8" s="28" t="str">
        <f>IF(INPUT!A8="","",TRIM(INPUT!A8))</f>
        <v>Partner 000</v>
      </c>
      <c r="C8" s="28" t="str">
        <f>IF(B8="","",INPUT!C8)</f>
        <v>interviewer1@partner000.example.com</v>
      </c>
      <c r="D8" s="28" t="str">
        <f>IF(B8="","",INPUT!D8)</f>
        <v>Meera H.</v>
      </c>
      <c r="E8" s="28" t="str">
        <f>IF(B8="","",INPUT!E8)</f>
        <v>meera.h217@example.com</v>
      </c>
      <c r="F8" s="43" t="str">
        <f>IF(B8="","",TRIM(INPUT!F8&amp;""))</f>
        <v>9000002828</v>
      </c>
      <c r="G8" s="28" t="str">
        <f>IF(B8="","",INPUT!H8)</f>
        <v>Round1</v>
      </c>
      <c r="H8" s="46">
        <f>IF(B8="","",INPUT!I8)</f>
        <v>46308.82708333333</v>
      </c>
      <c r="I8" s="28" t="str">
        <f>IF(B8="","",IF(INPUT!J8="","None",INPUT!J8))</f>
        <v>None</v>
      </c>
      <c r="J8" s="28" t="str">
        <f t="shared" si="0"/>
        <v>meera.h217@example.com|partner 000|Round1|interviewer1@partner000.example.com</v>
      </c>
      <c r="K8" s="28" t="str">
        <f>IF(B8="","",IF(SUMPRODUCT(($J$2:$J$601=J8)*($H$2:$H$601&lt;H8))+SUMPRODUCT(($J$2:J8=J8)*($H$2:H8=H8))-1&gt;0,"DUPLICATE",IF(AND(ISNUMBER(SEARCH("@",E8)),ISNUMBER(SEARCH(".",E8)),LEN(F8)=10,ISNUMBER(VALUE(F8))),"OK","BAD CONTACT")))</f>
        <v>OK</v>
      </c>
      <c r="L8" s="28">
        <f t="shared" si="1"/>
        <v>1</v>
      </c>
      <c r="M8" s="28">
        <f>IF(L8=1,IF(COUNTIFS(LOG!$C$2:$C$2001,F8,LOG!$E$2:$E$2001,B8,LOG!$D$2:$D$2001,"*BOOKED")+COUNTIFS(LOG!$C$2:$C$2001,F8,LOG!$E$2:$E$2001,"",LOG!$D$2:$D$2001,"*BOOKED")&gt;0,1,0),0)</f>
        <v>0</v>
      </c>
      <c r="N8" s="28">
        <f>IF(L8=1,IF(COUNTIFS(LOG!$C$2:$C$2001,F8,LOG!$E$2:$E$2001,B8,LOG!$D$2:$D$2001,"NOT_INTERESTED")+COUNTIFS(LOG!$C$2:$C$2001,F8,LOG!$E$2:$E$2001,"",LOG!$D$2:$D$2001,"NOT_INTERESTED")&gt;0,1,0),0)</f>
        <v>0</v>
      </c>
      <c r="O8" s="28">
        <f>IF(L8=1,IF(COUNTIFS(LOG!$C$2:$C$2001,F8,LOG!$D$2:$D$2001,"STOP")+COUNTIFS(LOG!$C$2:$C$2001,F8,LOG!$D$2:$D$2001,"WRONG_NUMBER")&gt;0,1,IF(ISNUMBER(SEARCH("STOP",AT8)),1,0)),0)</f>
        <v>0</v>
      </c>
      <c r="P8" s="28">
        <f>IF(L8=1,IF(IFERROR(INDEX(PARTNERS!$D$2:$D$88,MATCH(B8,PARTNERS!$A$2:$A$88,0)),"")="NO SLOTS",1,IF(AND(IFERROR(INDEX(PARTNERS!$D$2:$D$88,MATCH(B8,PARTNERS!$A$2:$A$88,0)),"")&lt;&gt;"REOPENED",COUNTIFS(LOG!$E$2:$E$2001,B8,LOG!$D$2:$D$2001,"NO_SLOTS")&gt;0),1,0)),0)</f>
        <v>0</v>
      </c>
      <c r="Q8" s="28">
        <f>IF(L8=1,COUNTIFS(LOG!$C$2:$C$2001,F8,LOG!$H$2:$H$2001,1),0)</f>
        <v>1</v>
      </c>
      <c r="R8" s="46">
        <f>IF(Q8&gt;0,_xlfn.MAXIFS(LOG!$G$2:$G$2001,LOG!$C$2:$C$2001,F8,LOG!$H$2:$H$2001,1),0)</f>
        <v>46309.806551640198</v>
      </c>
      <c r="S8" s="28" t="str">
        <f>IF(Q8&gt;0,IFERROR(INDEX(LOG!$D$2:$D$2001,MATCH(F8&amp;"|"&amp;Q8,LOG!$I$2:$I$2001,0)),""),"")</f>
        <v>NO_ANSWER</v>
      </c>
      <c r="T8" s="28">
        <f>IF(S8="",0,IFERROR(VLOOKUP(S8,LISTS!$A$2:$E$10,4,FALSE),0))</f>
        <v>120</v>
      </c>
      <c r="U8" s="46">
        <f t="shared" si="2"/>
        <v>46309.889884973534</v>
      </c>
      <c r="V8" s="46">
        <f>IF(L8=1,H8+SETTINGS!$B$5/24,"")</f>
        <v>46309.82708333333</v>
      </c>
      <c r="W8" s="28">
        <f ca="1">IF(L8=1,(V8-SETTINGS!$B$4)*24,"")</f>
        <v>-1.6666666720993817E-2</v>
      </c>
      <c r="X8" s="28">
        <f ca="1">IF(AND(L8=1,K8="OK",M8=0,N8=0,O8=0,P8=0,SETTINGS!$B$4&lt;V8,Q8&lt;SETTINGS!$B$6),1,0)</f>
        <v>0</v>
      </c>
      <c r="Y8" s="28">
        <f ca="1">IF(AND(X8=1,SETTINGS!$B$4&gt;=H8,SETTINGS!$B$4&gt;=U8,ROUND(MOD(SETTINGS!$B$4,1)*1440,0)&gt;=ROUND(SETTINGS!$B$7*1440,0),ROUND(MOD(SETTINGS!$B$4,1)*1440,0)&lt;ROUND(SETTINGS!$B$8*1440,0)),1,0)</f>
        <v>0</v>
      </c>
      <c r="Z8" s="28" t="str">
        <f ca="1">IF(B8="","",IF(ROUND(MOD(SETTINGS!$B$4,1)*1440,0)&lt;ROUND(SETTINGS!$B$11*1440,0),"Ram",IF(ROUND(MOD(SETTINGS!$B$4,1)*1440,0)&gt;=ROUND(SETTINGS!$B$10*1440,0),"Shyam",IF(MOD(IFERROR(VALUE(RIGHT(F8,2)),0),2)=0,"Ram","Shyam"))))</f>
        <v>Shyam</v>
      </c>
      <c r="AA8" s="28">
        <f t="shared" ca="1" si="3"/>
        <v>0</v>
      </c>
      <c r="AB8" s="28">
        <f ca="1">IF(X8=1,COUNTIFS($F$2:F8,F8,$X$2:X8,1),0)</f>
        <v>0</v>
      </c>
      <c r="AC8" s="28" t="str">
        <f>IF(L8=1,IF(IFERROR(INDEX(PARTNERS!$C$2:$C$88,MATCH(B8,PARTNERS!$A$2:$A$88,0)),"")="YES","YES","NO"),"")</f>
        <v>NO</v>
      </c>
      <c r="AD8" s="28" t="str">
        <f>IF(L8=1,IFERROR(INDEX(PARTNERS!$B$2:$B$88,MATCH(B8,PARTNERS!$A$2:$A$88,0)),""),"")</f>
        <v>https://calendly.com/partner000/interview</v>
      </c>
      <c r="AE8" s="28">
        <f ca="1">IF(X8=1,IFERROR(INDEX(SETTINGS!$B$34:$D$36,MATCH(I8,SETTINGS!$A$34:$A$36,0),MIN(Q8,2)+1),SETTINGS!$B$36),0)</f>
        <v>0</v>
      </c>
      <c r="AF8" s="28">
        <f t="shared" si="4"/>
        <v>1</v>
      </c>
      <c r="AG8" s="28">
        <f ca="1">IF(AND(Y8=1,AB8=1),ROUND(AA8*AE8*IF(AF8&gt;1,SETTINGS!$B$16,1)*IF(W8&lt;=SETTINGS!$B$14,SETTINGS!$B$15,1)*IF(AU8=1,SETTINGS!$B$21,1),6),0)</f>
        <v>0</v>
      </c>
      <c r="AH8" s="28" t="str">
        <f ca="1">IF(AG8&gt;0,COUNTIFS($Z$2:$Z$601,Z8,$AG$2:$AG$601,"&gt;"&amp;AG8)+COUNTIFS($Z$2:Z8,Z8,$AG$2:AG8,AG8),"")</f>
        <v/>
      </c>
      <c r="AI8" s="28" t="str">
        <f t="shared" ca="1" si="5"/>
        <v/>
      </c>
      <c r="AJ8" s="28" t="str">
        <f t="shared" ca="1" si="6"/>
        <v/>
      </c>
      <c r="AK8" s="28">
        <f>IF(L8=1,IF(COUNTIFS($F$2:F8,F8,$L$2:L8,1)=1,1,0),0)</f>
        <v>1</v>
      </c>
      <c r="AL8" s="28" t="str">
        <f ca="1">IF(B8="","",IF(K8="DUPLICATE","Duplicate (removed)",IF(AO8=1,"Scheduled within 24h",IF(M8=1,"Scheduled late",IF(K8="BAD CONTACT","Bad contact details",IF(O8=1,"Stopped / wrong number",IF(N8=1,"Not interested",IF(P8=1,"Partner has no slots",IF(SETTINGS!$B$4&gt;=V8,IF(Q8=0,"Missed deadline: never tried","Missed deadline: tried, not booked"),IF(Q8&gt;=SETTINGS!$B$6,"No reply after max tries","Open"))))))))))</f>
        <v>Missed deadline: tried, not booked</v>
      </c>
      <c r="AM8" s="46" t="str">
        <f>IF(M8=1,IF(_xlfn.MINIFS(LOG!$G$2:$G$2001,LOG!$C$2:$C$2001,F8,LOG!$E$2:$E$2001,B8,LOG!$D$2:$D$2001,"*BOOKED")=0,_xlfn.MINIFS(LOG!$G$2:$G$2001,LOG!$C$2:$C$2001,F8,LOG!$E$2:$E$2001,"",LOG!$D$2:$D$2001,"*BOOKED"),IF(_xlfn.MINIFS(LOG!$G$2:$G$2001,LOG!$C$2:$C$2001,F8,LOG!$E$2:$E$2001,"",LOG!$D$2:$D$2001,"*BOOKED")=0,_xlfn.MINIFS(LOG!$G$2:$G$2001,LOG!$C$2:$C$2001,F8,LOG!$E$2:$E$2001,B8,LOG!$D$2:$D$2001,"*BOOKED"),MIN(_xlfn.MINIFS(LOG!$G$2:$G$2001,LOG!$C$2:$C$2001,F8,LOG!$E$2:$E$2001,B8,LOG!$D$2:$D$2001,"*BOOKED"),_xlfn.MINIFS(LOG!$G$2:$G$2001,LOG!$C$2:$C$2001,F8,LOG!$E$2:$E$2001,"",LOG!$D$2:$D$2001,"*BOOKED")))),"")</f>
        <v/>
      </c>
      <c r="AN8" s="28" t="str">
        <f t="shared" si="7"/>
        <v/>
      </c>
      <c r="AO8" s="28">
        <f>IF(AND(M8=1,AN8&lt;&gt;""),IF(AN8&lt;=SETTINGS!$B$5,1,0),0)</f>
        <v>0</v>
      </c>
      <c r="AP8" s="28">
        <f>IF(M8=1,IF(COUNTIFS(LOG!$C$2:$C$2001,F8,LOG!$E$2:$E$2001,B8,LOG!$D$2:$D$2001,"BOOKED")+COUNTIFS(LOG!$C$2:$C$2001,F8,LOG!$E$2:$E$2001,"",LOG!$D$2:$D$2001,"BOOKED")&gt;0,1,0),0)</f>
        <v>0</v>
      </c>
      <c r="AQ8" s="28" t="str">
        <f t="shared" si="8"/>
        <v>Meera</v>
      </c>
      <c r="AR8" s="28">
        <f>IF(AND(AK8=1,K8="OK"),COUNTIFS($AK$2:AK8,1,$K$2:K8,"OK"),"")</f>
        <v>7</v>
      </c>
      <c r="AS8" s="28" t="str">
        <f>IF(L8=1,IFERROR(INDEX(MESSAGES!$J$9:$J$1008,MATCH(F8,MESSAGES!$M$9:$M$1008,0))&amp;"",""),"")</f>
        <v/>
      </c>
      <c r="AT8" s="28" t="str">
        <f>IF(L8=1,IFERROR(INDEX(MESSAGES!$K$9:$K$1008,MATCH(F8,MESSAGES!$M$9:$M$1008,0))&amp;"",""),"")</f>
        <v/>
      </c>
      <c r="AU8" s="28">
        <f t="shared" ca="1" si="9"/>
        <v>0</v>
      </c>
      <c r="AV8" s="28" t="str">
        <f t="shared" si="10"/>
        <v>SEND</v>
      </c>
    </row>
    <row r="9" spans="1:48" x14ac:dyDescent="0.35">
      <c r="A9" s="28">
        <v>8</v>
      </c>
      <c r="B9" s="28" t="str">
        <f>IF(INPUT!A9="","",TRIM(INPUT!A9))</f>
        <v>Partner 043</v>
      </c>
      <c r="C9" s="28" t="str">
        <f>IF(B9="","",INPUT!C9)</f>
        <v>interviewer1@partner043.example.com</v>
      </c>
      <c r="D9" s="28" t="str">
        <f>IF(B9="","",INPUT!D9)</f>
        <v>Aarav D.</v>
      </c>
      <c r="E9" s="28" t="str">
        <f>IF(B9="","",INPUT!E9)</f>
        <v>aarav.d090@example.com</v>
      </c>
      <c r="F9" s="43" t="str">
        <f>IF(B9="","",TRIM(INPUT!F9&amp;""))</f>
        <v>9000001177</v>
      </c>
      <c r="G9" s="28" t="str">
        <f>IF(B9="","",INPUT!H9)</f>
        <v>Round1</v>
      </c>
      <c r="H9" s="46">
        <f>IF(B9="","",INPUT!I9)</f>
        <v>46308.82708333333</v>
      </c>
      <c r="I9" s="28" t="str">
        <f>IF(B9="","",IF(INPUT!J9="","None",INPUT!J9))</f>
        <v>Opened</v>
      </c>
      <c r="J9" s="28" t="str">
        <f t="shared" si="0"/>
        <v>aarav.d090@example.com|partner 043|Round1|interviewer1@partner043.example.com</v>
      </c>
      <c r="K9" s="28" t="str">
        <f>IF(B9="","",IF(SUMPRODUCT(($J$2:$J$601=J9)*($H$2:$H$601&lt;H9))+SUMPRODUCT(($J$2:J9=J9)*($H$2:H9=H9))-1&gt;0,"DUPLICATE",IF(AND(ISNUMBER(SEARCH("@",E9)),ISNUMBER(SEARCH(".",E9)),LEN(F9)=10,ISNUMBER(VALUE(F9))),"OK","BAD CONTACT")))</f>
        <v>OK</v>
      </c>
      <c r="L9" s="28">
        <f t="shared" si="1"/>
        <v>1</v>
      </c>
      <c r="M9" s="28">
        <f>IF(L9=1,IF(COUNTIFS(LOG!$C$2:$C$2001,F9,LOG!$E$2:$E$2001,B9,LOG!$D$2:$D$2001,"*BOOKED")+COUNTIFS(LOG!$C$2:$C$2001,F9,LOG!$E$2:$E$2001,"",LOG!$D$2:$D$2001,"*BOOKED")&gt;0,1,0),0)</f>
        <v>1</v>
      </c>
      <c r="N9" s="28">
        <f>IF(L9=1,IF(COUNTIFS(LOG!$C$2:$C$2001,F9,LOG!$E$2:$E$2001,B9,LOG!$D$2:$D$2001,"NOT_INTERESTED")+COUNTIFS(LOG!$C$2:$C$2001,F9,LOG!$E$2:$E$2001,"",LOG!$D$2:$D$2001,"NOT_INTERESTED")&gt;0,1,0),0)</f>
        <v>0</v>
      </c>
      <c r="O9" s="28">
        <f>IF(L9=1,IF(COUNTIFS(LOG!$C$2:$C$2001,F9,LOG!$D$2:$D$2001,"STOP")+COUNTIFS(LOG!$C$2:$C$2001,F9,LOG!$D$2:$D$2001,"WRONG_NUMBER")&gt;0,1,IF(ISNUMBER(SEARCH("STOP",AT9)),1,0)),0)</f>
        <v>0</v>
      </c>
      <c r="P9" s="28">
        <f>IF(L9=1,IF(IFERROR(INDEX(PARTNERS!$D$2:$D$88,MATCH(B9,PARTNERS!$A$2:$A$88,0)),"")="NO SLOTS",1,IF(AND(IFERROR(INDEX(PARTNERS!$D$2:$D$88,MATCH(B9,PARTNERS!$A$2:$A$88,0)),"")&lt;&gt;"REOPENED",COUNTIFS(LOG!$E$2:$E$2001,B9,LOG!$D$2:$D$2001,"NO_SLOTS")&gt;0),1,0)),0)</f>
        <v>0</v>
      </c>
      <c r="Q9" s="28">
        <f>IF(L9=1,COUNTIFS(LOG!$C$2:$C$2001,F9,LOG!$H$2:$H$2001,1),0)</f>
        <v>1</v>
      </c>
      <c r="R9" s="46">
        <f>IF(Q9&gt;0,_xlfn.MAXIFS(LOG!$G$2:$G$2001,LOG!$C$2:$C$2001,F9,LOG!$H$2:$H$2001,1),0)</f>
        <v>46309.476359650835</v>
      </c>
      <c r="S9" s="28" t="str">
        <f>IF(Q9&gt;0,IFERROR(INDEX(LOG!$D$2:$D$2001,MATCH(F9&amp;"|"&amp;Q9,LOG!$I$2:$I$2001,0)),""),"")</f>
        <v>BOOKED</v>
      </c>
      <c r="T9" s="28">
        <f>IF(S9="",0,IFERROR(VLOOKUP(S9,LISTS!$A$2:$E$10,4,FALSE),0))</f>
        <v>0</v>
      </c>
      <c r="U9" s="46">
        <f t="shared" si="2"/>
        <v>46309.476359650835</v>
      </c>
      <c r="V9" s="46">
        <f>IF(L9=1,H9+SETTINGS!$B$5/24,"")</f>
        <v>46309.82708333333</v>
      </c>
      <c r="W9" s="28">
        <f ca="1">IF(L9=1,(V9-SETTINGS!$B$4)*24,"")</f>
        <v>-1.6666666720993817E-2</v>
      </c>
      <c r="X9" s="28">
        <f ca="1">IF(AND(L9=1,K9="OK",M9=0,N9=0,O9=0,P9=0,SETTINGS!$B$4&lt;V9,Q9&lt;SETTINGS!$B$6),1,0)</f>
        <v>0</v>
      </c>
      <c r="Y9" s="28">
        <f ca="1">IF(AND(X9=1,SETTINGS!$B$4&gt;=H9,SETTINGS!$B$4&gt;=U9,ROUND(MOD(SETTINGS!$B$4,1)*1440,0)&gt;=ROUND(SETTINGS!$B$7*1440,0),ROUND(MOD(SETTINGS!$B$4,1)*1440,0)&lt;ROUND(SETTINGS!$B$8*1440,0)),1,0)</f>
        <v>0</v>
      </c>
      <c r="Z9" s="28" t="str">
        <f ca="1">IF(B9="","",IF(ROUND(MOD(SETTINGS!$B$4,1)*1440,0)&lt;ROUND(SETTINGS!$B$11*1440,0),"Ram",IF(ROUND(MOD(SETTINGS!$B$4,1)*1440,0)&gt;=ROUND(SETTINGS!$B$10*1440,0),"Shyam",IF(MOD(IFERROR(VALUE(RIGHT(F9,2)),0),2)=0,"Ram","Shyam"))))</f>
        <v>Shyam</v>
      </c>
      <c r="AA9" s="28">
        <f t="shared" ca="1" si="3"/>
        <v>0</v>
      </c>
      <c r="AB9" s="28">
        <f ca="1">IF(X9=1,COUNTIFS($F$2:F9,F9,$X$2:X9,1),0)</f>
        <v>0</v>
      </c>
      <c r="AC9" s="28" t="str">
        <f>IF(L9=1,IF(IFERROR(INDEX(PARTNERS!$C$2:$C$88,MATCH(B9,PARTNERS!$A$2:$A$88,0)),"")="YES","YES","NO"),"")</f>
        <v>YES</v>
      </c>
      <c r="AD9" s="28" t="str">
        <f>IF(L9=1,IFERROR(INDEX(PARTNERS!$B$2:$B$88,MATCH(B9,PARTNERS!$A$2:$A$88,0)),""),"")</f>
        <v>https://calendly.com/partner043/interview</v>
      </c>
      <c r="AE9" s="28">
        <f ca="1">IF(X9=1,IFERROR(INDEX(SETTINGS!$B$34:$D$36,MATCH(I9,SETTINGS!$A$34:$A$36,0),MIN(Q9,2)+1),SETTINGS!$B$36),0)</f>
        <v>0</v>
      </c>
      <c r="AF9" s="28">
        <f t="shared" si="4"/>
        <v>1</v>
      </c>
      <c r="AG9" s="28">
        <f ca="1">IF(AND(Y9=1,AB9=1),ROUND(AA9*AE9*IF(AF9&gt;1,SETTINGS!$B$16,1)*IF(W9&lt;=SETTINGS!$B$14,SETTINGS!$B$15,1)*IF(AU9=1,SETTINGS!$B$21,1),6),0)</f>
        <v>0</v>
      </c>
      <c r="AH9" s="28" t="str">
        <f ca="1">IF(AG9&gt;0,COUNTIFS($Z$2:$Z$601,Z9,$AG$2:$AG$601,"&gt;"&amp;AG9)+COUNTIFS($Z$2:Z9,Z9,$AG$2:AG9,AG9),"")</f>
        <v/>
      </c>
      <c r="AI9" s="28" t="str">
        <f t="shared" ca="1" si="5"/>
        <v/>
      </c>
      <c r="AJ9" s="28" t="str">
        <f t="shared" ca="1" si="6"/>
        <v/>
      </c>
      <c r="AK9" s="28">
        <f>IF(L9=1,IF(COUNTIFS($F$2:F9,F9,$L$2:L9,1)=1,1,0),0)</f>
        <v>1</v>
      </c>
      <c r="AL9" s="28" t="str">
        <f>IF(B9="","",IF(K9="DUPLICATE","Duplicate (removed)",IF(AO9=1,"Scheduled within 24h",IF(M9=1,"Scheduled late",IF(K9="BAD CONTACT","Bad contact details",IF(O9=1,"Stopped / wrong number",IF(N9=1,"Not interested",IF(P9=1,"Partner has no slots",IF(SETTINGS!$B$4&gt;=V9,IF(Q9=0,"Missed deadline: never tried","Missed deadline: tried, not booked"),IF(Q9&gt;=SETTINGS!$B$6,"No reply after max tries","Open"))))))))))</f>
        <v>Scheduled within 24h</v>
      </c>
      <c r="AM9" s="46">
        <f>IF(M9=1,IF(_xlfn.MINIFS(LOG!$G$2:$G$2001,LOG!$C$2:$C$2001,F9,LOG!$E$2:$E$2001,B9,LOG!$D$2:$D$2001,"*BOOKED")=0,_xlfn.MINIFS(LOG!$G$2:$G$2001,LOG!$C$2:$C$2001,F9,LOG!$E$2:$E$2001,"",LOG!$D$2:$D$2001,"*BOOKED"),IF(_xlfn.MINIFS(LOG!$G$2:$G$2001,LOG!$C$2:$C$2001,F9,LOG!$E$2:$E$2001,"",LOG!$D$2:$D$2001,"*BOOKED")=0,_xlfn.MINIFS(LOG!$G$2:$G$2001,LOG!$C$2:$C$2001,F9,LOG!$E$2:$E$2001,B9,LOG!$D$2:$D$2001,"*BOOKED"),MIN(_xlfn.MINIFS(LOG!$G$2:$G$2001,LOG!$C$2:$C$2001,F9,LOG!$E$2:$E$2001,B9,LOG!$D$2:$D$2001,"*BOOKED"),_xlfn.MINIFS(LOG!$G$2:$G$2001,LOG!$C$2:$C$2001,F9,LOG!$E$2:$E$2001,"",LOG!$D$2:$D$2001,"*BOOKED")))),"")</f>
        <v>46309.476359650835</v>
      </c>
      <c r="AN9" s="28">
        <f t="shared" si="7"/>
        <v>15.582631620112807</v>
      </c>
      <c r="AO9" s="28">
        <f>IF(AND(M9=1,AN9&lt;&gt;""),IF(AN9&lt;=SETTINGS!$B$5,1,0),0)</f>
        <v>1</v>
      </c>
      <c r="AP9" s="28">
        <f>IF(M9=1,IF(COUNTIFS(LOG!$C$2:$C$2001,F9,LOG!$E$2:$E$2001,B9,LOG!$D$2:$D$2001,"BOOKED")+COUNTIFS(LOG!$C$2:$C$2001,F9,LOG!$E$2:$E$2001,"",LOG!$D$2:$D$2001,"BOOKED")&gt;0,1,0),0)</f>
        <v>1</v>
      </c>
      <c r="AQ9" s="28" t="str">
        <f t="shared" si="8"/>
        <v>Aarav</v>
      </c>
      <c r="AR9" s="28">
        <f>IF(AND(AK9=1,K9="OK"),COUNTIFS($AK$2:AK9,1,$K$2:K9,"OK"),"")</f>
        <v>8</v>
      </c>
      <c r="AS9" s="28" t="str">
        <f>IF(L9=1,IFERROR(INDEX(MESSAGES!$J$9:$J$1008,MATCH(F9,MESSAGES!$M$9:$M$1008,0))&amp;"",""),"")</f>
        <v/>
      </c>
      <c r="AT9" s="28" t="str">
        <f>IF(L9=1,IFERROR(INDEX(MESSAGES!$K$9:$K$1008,MATCH(F9,MESSAGES!$M$9:$M$1008,0))&amp;"",""),"")</f>
        <v/>
      </c>
      <c r="AU9" s="28">
        <f t="shared" ca="1" si="9"/>
        <v>0</v>
      </c>
      <c r="AV9" s="28" t="str">
        <f t="shared" si="10"/>
        <v>HOLD</v>
      </c>
    </row>
    <row r="10" spans="1:48" x14ac:dyDescent="0.35">
      <c r="A10" s="28">
        <v>9</v>
      </c>
      <c r="B10" s="28" t="str">
        <f>IF(INPUT!A10="","",TRIM(INPUT!A10))</f>
        <v>Partner 039</v>
      </c>
      <c r="C10" s="28" t="str">
        <f>IF(B10="","",INPUT!C10)</f>
        <v>interviewer1@partner039.example.com</v>
      </c>
      <c r="D10" s="28" t="str">
        <f>IF(B10="","",INPUT!D10)</f>
        <v>Aditya P.</v>
      </c>
      <c r="E10" s="28" t="str">
        <f>IF(B10="","",INPUT!E10)</f>
        <v>aditya.p412@example.com</v>
      </c>
      <c r="F10" s="43" t="str">
        <f>IF(B10="","",TRIM(INPUT!F10&amp;""))</f>
        <v>9000005363</v>
      </c>
      <c r="G10" s="28" t="str">
        <f>IF(B10="","",INPUT!H10)</f>
        <v>Round1</v>
      </c>
      <c r="H10" s="46">
        <f>IF(B10="","",INPUT!I10)</f>
        <v>46308.82708333333</v>
      </c>
      <c r="I10" s="28" t="str">
        <f>IF(B10="","",IF(INPUT!J10="","None",INPUT!J10))</f>
        <v>Clicked</v>
      </c>
      <c r="J10" s="28" t="str">
        <f t="shared" si="0"/>
        <v>aditya.p412@example.com|partner 039|Round1|interviewer1@partner039.example.com</v>
      </c>
      <c r="K10" s="28" t="str">
        <f>IF(B10="","",IF(SUMPRODUCT(($J$2:$J$601=J10)*($H$2:$H$601&lt;H10))+SUMPRODUCT(($J$2:J10=J10)*($H$2:H10=H10))-1&gt;0,"DUPLICATE",IF(AND(ISNUMBER(SEARCH("@",E10)),ISNUMBER(SEARCH(".",E10)),LEN(F10)=10,ISNUMBER(VALUE(F10))),"OK","BAD CONTACT")))</f>
        <v>OK</v>
      </c>
      <c r="L10" s="28">
        <f t="shared" si="1"/>
        <v>1</v>
      </c>
      <c r="M10" s="28">
        <f>IF(L10=1,IF(COUNTIFS(LOG!$C$2:$C$2001,F10,LOG!$E$2:$E$2001,B10,LOG!$D$2:$D$2001,"*BOOKED")+COUNTIFS(LOG!$C$2:$C$2001,F10,LOG!$E$2:$E$2001,"",LOG!$D$2:$D$2001,"*BOOKED")&gt;0,1,0),0)</f>
        <v>1</v>
      </c>
      <c r="N10" s="28">
        <f>IF(L10=1,IF(COUNTIFS(LOG!$C$2:$C$2001,F10,LOG!$E$2:$E$2001,B10,LOG!$D$2:$D$2001,"NOT_INTERESTED")+COUNTIFS(LOG!$C$2:$C$2001,F10,LOG!$E$2:$E$2001,"",LOG!$D$2:$D$2001,"NOT_INTERESTED")&gt;0,1,0),0)</f>
        <v>0</v>
      </c>
      <c r="O10" s="28">
        <f>IF(L10=1,IF(COUNTIFS(LOG!$C$2:$C$2001,F10,LOG!$D$2:$D$2001,"STOP")+COUNTIFS(LOG!$C$2:$C$2001,F10,LOG!$D$2:$D$2001,"WRONG_NUMBER")&gt;0,1,IF(ISNUMBER(SEARCH("STOP",AT10)),1,0)),0)</f>
        <v>0</v>
      </c>
      <c r="P10" s="28">
        <f>IF(L10=1,IF(IFERROR(INDEX(PARTNERS!$D$2:$D$88,MATCH(B10,PARTNERS!$A$2:$A$88,0)),"")="NO SLOTS",1,IF(AND(IFERROR(INDEX(PARTNERS!$D$2:$D$88,MATCH(B10,PARTNERS!$A$2:$A$88,0)),"")&lt;&gt;"REOPENED",COUNTIFS(LOG!$E$2:$E$2001,B10,LOG!$D$2:$D$2001,"NO_SLOTS")&gt;0),1,0)),0)</f>
        <v>0</v>
      </c>
      <c r="Q10" s="28">
        <f>IF(L10=1,COUNTIFS(LOG!$C$2:$C$2001,F10,LOG!$H$2:$H$2001,1),0)</f>
        <v>1</v>
      </c>
      <c r="R10" s="46">
        <f>IF(Q10&gt;0,_xlfn.MAXIFS(LOG!$G$2:$G$2001,LOG!$C$2:$C$2001,F10,LOG!$H$2:$H$2001,1),0)</f>
        <v>46309.436012346196</v>
      </c>
      <c r="S10" s="28" t="str">
        <f>IF(Q10&gt;0,IFERROR(INDEX(LOG!$D$2:$D$2001,MATCH(F10&amp;"|"&amp;Q10,LOG!$I$2:$I$2001,0)),""),"")</f>
        <v>SENT_LINK</v>
      </c>
      <c r="T10" s="28">
        <f>IF(S10="",0,IFERROR(VLOOKUP(S10,LISTS!$A$2:$E$10,4,FALSE),0))</f>
        <v>180</v>
      </c>
      <c r="U10" s="46">
        <f t="shared" si="2"/>
        <v>46309.561012346196</v>
      </c>
      <c r="V10" s="46">
        <f>IF(L10=1,H10+SETTINGS!$B$5/24,"")</f>
        <v>46309.82708333333</v>
      </c>
      <c r="W10" s="28">
        <f ca="1">IF(L10=1,(V10-SETTINGS!$B$4)*24,"")</f>
        <v>-1.6666666720993817E-2</v>
      </c>
      <c r="X10" s="28">
        <f ca="1">IF(AND(L10=1,K10="OK",M10=0,N10=0,O10=0,P10=0,SETTINGS!$B$4&lt;V10,Q10&lt;SETTINGS!$B$6),1,0)</f>
        <v>0</v>
      </c>
      <c r="Y10" s="28">
        <f ca="1">IF(AND(X10=1,SETTINGS!$B$4&gt;=H10,SETTINGS!$B$4&gt;=U10,ROUND(MOD(SETTINGS!$B$4,1)*1440,0)&gt;=ROUND(SETTINGS!$B$7*1440,0),ROUND(MOD(SETTINGS!$B$4,1)*1440,0)&lt;ROUND(SETTINGS!$B$8*1440,0)),1,0)</f>
        <v>0</v>
      </c>
      <c r="Z10" s="28" t="str">
        <f ca="1">IF(B10="","",IF(ROUND(MOD(SETTINGS!$B$4,1)*1440,0)&lt;ROUND(SETTINGS!$B$11*1440,0),"Ram",IF(ROUND(MOD(SETTINGS!$B$4,1)*1440,0)&gt;=ROUND(SETTINGS!$B$10*1440,0),"Shyam",IF(MOD(IFERROR(VALUE(RIGHT(F10,2)),0),2)=0,"Ram","Shyam"))))</f>
        <v>Shyam</v>
      </c>
      <c r="AA10" s="28">
        <f t="shared" ca="1" si="3"/>
        <v>0</v>
      </c>
      <c r="AB10" s="28">
        <f ca="1">IF(X10=1,COUNTIFS($F$2:F10,F10,$X$2:X10,1),0)</f>
        <v>0</v>
      </c>
      <c r="AC10" s="28" t="str">
        <f>IF(L10=1,IF(IFERROR(INDEX(PARTNERS!$C$2:$C$88,MATCH(B10,PARTNERS!$A$2:$A$88,0)),"")="YES","YES","NO"),"")</f>
        <v>NO</v>
      </c>
      <c r="AD10" s="28" t="str">
        <f>IF(L10=1,IFERROR(INDEX(PARTNERS!$B$2:$B$88,MATCH(B10,PARTNERS!$A$2:$A$88,0)),""),"")</f>
        <v>https://calendly.com/partner039/interview</v>
      </c>
      <c r="AE10" s="28">
        <f ca="1">IF(X10=1,IFERROR(INDEX(SETTINGS!$B$34:$D$36,MATCH(I10,SETTINGS!$A$34:$A$36,0),MIN(Q10,2)+1),SETTINGS!$B$36),0)</f>
        <v>0</v>
      </c>
      <c r="AF10" s="28">
        <f t="shared" si="4"/>
        <v>1</v>
      </c>
      <c r="AG10" s="28">
        <f ca="1">IF(AND(Y10=1,AB10=1),ROUND(AA10*AE10*IF(AF10&gt;1,SETTINGS!$B$16,1)*IF(W10&lt;=SETTINGS!$B$14,SETTINGS!$B$15,1)*IF(AU10=1,SETTINGS!$B$21,1),6),0)</f>
        <v>0</v>
      </c>
      <c r="AH10" s="28" t="str">
        <f ca="1">IF(AG10&gt;0,COUNTIFS($Z$2:$Z$601,Z10,$AG$2:$AG$601,"&gt;"&amp;AG10)+COUNTIFS($Z$2:Z10,Z10,$AG$2:AG10,AG10),"")</f>
        <v/>
      </c>
      <c r="AI10" s="28" t="str">
        <f t="shared" ca="1" si="5"/>
        <v/>
      </c>
      <c r="AJ10" s="28" t="str">
        <f t="shared" ca="1" si="6"/>
        <v/>
      </c>
      <c r="AK10" s="28">
        <f>IF(L10=1,IF(COUNTIFS($F$2:F10,F10,$L$2:L10,1)=1,1,0),0)</f>
        <v>1</v>
      </c>
      <c r="AL10" s="28" t="str">
        <f>IF(B10="","",IF(K10="DUPLICATE","Duplicate (removed)",IF(AO10=1,"Scheduled within 24h",IF(M10=1,"Scheduled late",IF(K10="BAD CONTACT","Bad contact details",IF(O10=1,"Stopped / wrong number",IF(N10=1,"Not interested",IF(P10=1,"Partner has no slots",IF(SETTINGS!$B$4&gt;=V10,IF(Q10=0,"Missed deadline: never tried","Missed deadline: tried, not booked"),IF(Q10&gt;=SETTINGS!$B$6,"No reply after max tries","Open"))))))))))</f>
        <v>Scheduled within 24h</v>
      </c>
      <c r="AM10" s="46">
        <f>IF(M10=1,IF(_xlfn.MINIFS(LOG!$G$2:$G$2001,LOG!$C$2:$C$2001,F10,LOG!$E$2:$E$2001,B10,LOG!$D$2:$D$2001,"*BOOKED")=0,_xlfn.MINIFS(LOG!$G$2:$G$2001,LOG!$C$2:$C$2001,F10,LOG!$E$2:$E$2001,"",LOG!$D$2:$D$2001,"*BOOKED"),IF(_xlfn.MINIFS(LOG!$G$2:$G$2001,LOG!$C$2:$C$2001,F10,LOG!$E$2:$E$2001,"",LOG!$D$2:$D$2001,"*BOOKED")=0,_xlfn.MINIFS(LOG!$G$2:$G$2001,LOG!$C$2:$C$2001,F10,LOG!$E$2:$E$2001,B10,LOG!$D$2:$D$2001,"*BOOKED"),MIN(_xlfn.MINIFS(LOG!$G$2:$G$2001,LOG!$C$2:$C$2001,F10,LOG!$E$2:$E$2001,B10,LOG!$D$2:$D$2001,"*BOOKED"),_xlfn.MINIFS(LOG!$G$2:$G$2001,LOG!$C$2:$C$2001,F10,LOG!$E$2:$E$2001,"",LOG!$D$2:$D$2001,"*BOOKED")))),"")</f>
        <v>46308.915644871071</v>
      </c>
      <c r="AN10" s="28">
        <f t="shared" si="7"/>
        <v>2.1254769057850353</v>
      </c>
      <c r="AO10" s="28">
        <f>IF(AND(M10=1,AN10&lt;&gt;""),IF(AN10&lt;=SETTINGS!$B$5,1,0),0)</f>
        <v>1</v>
      </c>
      <c r="AP10" s="28">
        <f>IF(M10=1,IF(COUNTIFS(LOG!$C$2:$C$2001,F10,LOG!$E$2:$E$2001,B10,LOG!$D$2:$D$2001,"BOOKED")+COUNTIFS(LOG!$C$2:$C$2001,F10,LOG!$E$2:$E$2001,"",LOG!$D$2:$D$2001,"BOOKED")&gt;0,1,0),0)</f>
        <v>0</v>
      </c>
      <c r="AQ10" s="28" t="str">
        <f t="shared" si="8"/>
        <v>Aditya</v>
      </c>
      <c r="AR10" s="28">
        <f>IF(AND(AK10=1,K10="OK"),COUNTIFS($AK$2:AK10,1,$K$2:K10,"OK"),"")</f>
        <v>9</v>
      </c>
      <c r="AS10" s="28" t="str">
        <f>IF(L10=1,IFERROR(INDEX(MESSAGES!$J$9:$J$1008,MATCH(F10,MESSAGES!$M$9:$M$1008,0))&amp;"",""),"")</f>
        <v/>
      </c>
      <c r="AT10" s="28" t="str">
        <f>IF(L10=1,IFERROR(INDEX(MESSAGES!$K$9:$K$1008,MATCH(F10,MESSAGES!$M$9:$M$1008,0))&amp;"",""),"")</f>
        <v/>
      </c>
      <c r="AU10" s="28">
        <f t="shared" ca="1" si="9"/>
        <v>0</v>
      </c>
      <c r="AV10" s="28" t="str">
        <f t="shared" si="10"/>
        <v>SEND</v>
      </c>
    </row>
    <row r="11" spans="1:48" x14ac:dyDescent="0.35">
      <c r="A11" s="28">
        <v>10</v>
      </c>
      <c r="B11" s="28" t="str">
        <f>IF(INPUT!A11="","",TRIM(INPUT!A11))</f>
        <v>Partner 000</v>
      </c>
      <c r="C11" s="28" t="str">
        <f>IF(B11="","",INPUT!C11)</f>
        <v>interviewer1@partner000.example.com</v>
      </c>
      <c r="D11" s="28" t="str">
        <f>IF(B11="","",INPUT!D11)</f>
        <v>Vihaan M.</v>
      </c>
      <c r="E11" s="28" t="str">
        <f>IF(B11="","",INPUT!E11)</f>
        <v>vihaan.m334@example.com</v>
      </c>
      <c r="F11" s="43" t="str">
        <f>IF(B11="","",TRIM(INPUT!F11&amp;""))</f>
        <v>9000004349</v>
      </c>
      <c r="G11" s="28" t="str">
        <f>IF(B11="","",INPUT!H11)</f>
        <v>Round1</v>
      </c>
      <c r="H11" s="46">
        <f>IF(B11="","",INPUT!I11)</f>
        <v>46308.82708333333</v>
      </c>
      <c r="I11" s="28" t="str">
        <f>IF(B11="","",IF(INPUT!J11="","None",INPUT!J11))</f>
        <v>None</v>
      </c>
      <c r="J11" s="28" t="str">
        <f t="shared" si="0"/>
        <v>vihaan.m334@example.com|partner 000|Round1|interviewer1@partner000.example.com</v>
      </c>
      <c r="K11" s="28" t="str">
        <f>IF(B11="","",IF(SUMPRODUCT(($J$2:$J$601=J11)*($H$2:$H$601&lt;H11))+SUMPRODUCT(($J$2:J11=J11)*($H$2:H11=H11))-1&gt;0,"DUPLICATE",IF(AND(ISNUMBER(SEARCH("@",E11)),ISNUMBER(SEARCH(".",E11)),LEN(F11)=10,ISNUMBER(VALUE(F11))),"OK","BAD CONTACT")))</f>
        <v>OK</v>
      </c>
      <c r="L11" s="28">
        <f t="shared" si="1"/>
        <v>1</v>
      </c>
      <c r="M11" s="28">
        <f>IF(L11=1,IF(COUNTIFS(LOG!$C$2:$C$2001,F11,LOG!$E$2:$E$2001,B11,LOG!$D$2:$D$2001,"*BOOKED")+COUNTIFS(LOG!$C$2:$C$2001,F11,LOG!$E$2:$E$2001,"",LOG!$D$2:$D$2001,"*BOOKED")&gt;0,1,0),0)</f>
        <v>1</v>
      </c>
      <c r="N11" s="28">
        <f>IF(L11=1,IF(COUNTIFS(LOG!$C$2:$C$2001,F11,LOG!$E$2:$E$2001,B11,LOG!$D$2:$D$2001,"NOT_INTERESTED")+COUNTIFS(LOG!$C$2:$C$2001,F11,LOG!$E$2:$E$2001,"",LOG!$D$2:$D$2001,"NOT_INTERESTED")&gt;0,1,0),0)</f>
        <v>0</v>
      </c>
      <c r="O11" s="28">
        <f>IF(L11=1,IF(COUNTIFS(LOG!$C$2:$C$2001,F11,LOG!$D$2:$D$2001,"STOP")+COUNTIFS(LOG!$C$2:$C$2001,F11,LOG!$D$2:$D$2001,"WRONG_NUMBER")&gt;0,1,IF(ISNUMBER(SEARCH("STOP",AT11)),1,0)),0)</f>
        <v>0</v>
      </c>
      <c r="P11" s="28">
        <f>IF(L11=1,IF(IFERROR(INDEX(PARTNERS!$D$2:$D$88,MATCH(B11,PARTNERS!$A$2:$A$88,0)),"")="NO SLOTS",1,IF(AND(IFERROR(INDEX(PARTNERS!$D$2:$D$88,MATCH(B11,PARTNERS!$A$2:$A$88,0)),"")&lt;&gt;"REOPENED",COUNTIFS(LOG!$E$2:$E$2001,B11,LOG!$D$2:$D$2001,"NO_SLOTS")&gt;0),1,0)),0)</f>
        <v>0</v>
      </c>
      <c r="Q11" s="28">
        <f>IF(L11=1,COUNTIFS(LOG!$C$2:$C$2001,F11,LOG!$H$2:$H$2001,1),0)</f>
        <v>0</v>
      </c>
      <c r="R11" s="46">
        <f>IF(Q11&gt;0,_xlfn.MAXIFS(LOG!$G$2:$G$2001,LOG!$C$2:$C$2001,F11,LOG!$H$2:$H$2001,1),0)</f>
        <v>0</v>
      </c>
      <c r="S11" s="28" t="str">
        <f>IF(Q11&gt;0,IFERROR(INDEX(LOG!$D$2:$D$2001,MATCH(F11&amp;"|"&amp;Q11,LOG!$I$2:$I$2001,0)),""),"")</f>
        <v/>
      </c>
      <c r="T11" s="28">
        <f>IF(S11="",0,IFERROR(VLOOKUP(S11,LISTS!$A$2:$E$10,4,FALSE),0))</f>
        <v>0</v>
      </c>
      <c r="U11" s="46">
        <f t="shared" si="2"/>
        <v>0</v>
      </c>
      <c r="V11" s="46">
        <f>IF(L11=1,H11+SETTINGS!$B$5/24,"")</f>
        <v>46309.82708333333</v>
      </c>
      <c r="W11" s="28">
        <f ca="1">IF(L11=1,(V11-SETTINGS!$B$4)*24,"")</f>
        <v>-1.6666666720993817E-2</v>
      </c>
      <c r="X11" s="28">
        <f ca="1">IF(AND(L11=1,K11="OK",M11=0,N11=0,O11=0,P11=0,SETTINGS!$B$4&lt;V11,Q11&lt;SETTINGS!$B$6),1,0)</f>
        <v>0</v>
      </c>
      <c r="Y11" s="28">
        <f ca="1">IF(AND(X11=1,SETTINGS!$B$4&gt;=H11,SETTINGS!$B$4&gt;=U11,ROUND(MOD(SETTINGS!$B$4,1)*1440,0)&gt;=ROUND(SETTINGS!$B$7*1440,0),ROUND(MOD(SETTINGS!$B$4,1)*1440,0)&lt;ROUND(SETTINGS!$B$8*1440,0)),1,0)</f>
        <v>0</v>
      </c>
      <c r="Z11" s="28" t="str">
        <f ca="1">IF(B11="","",IF(ROUND(MOD(SETTINGS!$B$4,1)*1440,0)&lt;ROUND(SETTINGS!$B$11*1440,0),"Ram",IF(ROUND(MOD(SETTINGS!$B$4,1)*1440,0)&gt;=ROUND(SETTINGS!$B$10*1440,0),"Shyam",IF(MOD(IFERROR(VALUE(RIGHT(F11,2)),0),2)=0,"Ram","Shyam"))))</f>
        <v>Shyam</v>
      </c>
      <c r="AA11" s="28">
        <f t="shared" ca="1" si="3"/>
        <v>0</v>
      </c>
      <c r="AB11" s="28">
        <f ca="1">IF(X11=1,COUNTIFS($F$2:F11,F11,$X$2:X11,1),0)</f>
        <v>0</v>
      </c>
      <c r="AC11" s="28" t="str">
        <f>IF(L11=1,IF(IFERROR(INDEX(PARTNERS!$C$2:$C$88,MATCH(B11,PARTNERS!$A$2:$A$88,0)),"")="YES","YES","NO"),"")</f>
        <v>NO</v>
      </c>
      <c r="AD11" s="28" t="str">
        <f>IF(L11=1,IFERROR(INDEX(PARTNERS!$B$2:$B$88,MATCH(B11,PARTNERS!$A$2:$A$88,0)),""),"")</f>
        <v>https://calendly.com/partner000/interview</v>
      </c>
      <c r="AE11" s="28">
        <f ca="1">IF(X11=1,IFERROR(INDEX(SETTINGS!$B$34:$D$36,MATCH(I11,SETTINGS!$A$34:$A$36,0),MIN(Q11,2)+1),SETTINGS!$B$36),0)</f>
        <v>0</v>
      </c>
      <c r="AF11" s="28">
        <f t="shared" si="4"/>
        <v>1</v>
      </c>
      <c r="AG11" s="28">
        <f ca="1">IF(AND(Y11=1,AB11=1),ROUND(AA11*AE11*IF(AF11&gt;1,SETTINGS!$B$16,1)*IF(W11&lt;=SETTINGS!$B$14,SETTINGS!$B$15,1)*IF(AU11=1,SETTINGS!$B$21,1),6),0)</f>
        <v>0</v>
      </c>
      <c r="AH11" s="28" t="str">
        <f ca="1">IF(AG11&gt;0,COUNTIFS($Z$2:$Z$601,Z11,$AG$2:$AG$601,"&gt;"&amp;AG11)+COUNTIFS($Z$2:Z11,Z11,$AG$2:AG11,AG11),"")</f>
        <v/>
      </c>
      <c r="AI11" s="28" t="str">
        <f t="shared" ca="1" si="5"/>
        <v/>
      </c>
      <c r="AJ11" s="28" t="str">
        <f t="shared" ca="1" si="6"/>
        <v/>
      </c>
      <c r="AK11" s="28">
        <f>IF(L11=1,IF(COUNTIFS($F$2:F11,F11,$L$2:L11,1)=1,1,0),0)</f>
        <v>1</v>
      </c>
      <c r="AL11" s="28" t="str">
        <f>IF(B11="","",IF(K11="DUPLICATE","Duplicate (removed)",IF(AO11=1,"Scheduled within 24h",IF(M11=1,"Scheduled late",IF(K11="BAD CONTACT","Bad contact details",IF(O11=1,"Stopped / wrong number",IF(N11=1,"Not interested",IF(P11=1,"Partner has no slots",IF(SETTINGS!$B$4&gt;=V11,IF(Q11=0,"Missed deadline: never tried","Missed deadline: tried, not booked"),IF(Q11&gt;=SETTINGS!$B$6,"No reply after max tries","Open"))))))))))</f>
        <v>Scheduled within 24h</v>
      </c>
      <c r="AM11" s="46">
        <f>IF(M11=1,IF(_xlfn.MINIFS(LOG!$G$2:$G$2001,LOG!$C$2:$C$2001,F11,LOG!$E$2:$E$2001,B11,LOG!$D$2:$D$2001,"*BOOKED")=0,_xlfn.MINIFS(LOG!$G$2:$G$2001,LOG!$C$2:$C$2001,F11,LOG!$E$2:$E$2001,"",LOG!$D$2:$D$2001,"*BOOKED"),IF(_xlfn.MINIFS(LOG!$G$2:$G$2001,LOG!$C$2:$C$2001,F11,LOG!$E$2:$E$2001,"",LOG!$D$2:$D$2001,"*BOOKED")=0,_xlfn.MINIFS(LOG!$G$2:$G$2001,LOG!$C$2:$C$2001,F11,LOG!$E$2:$E$2001,B11,LOG!$D$2:$D$2001,"*BOOKED"),MIN(_xlfn.MINIFS(LOG!$G$2:$G$2001,LOG!$C$2:$C$2001,F11,LOG!$E$2:$E$2001,B11,LOG!$D$2:$D$2001,"*BOOKED"),_xlfn.MINIFS(LOG!$G$2:$G$2001,LOG!$C$2:$C$2001,F11,LOG!$E$2:$E$2001,"",LOG!$D$2:$D$2001,"*BOOKED")))),"")</f>
        <v>46309.386283475993</v>
      </c>
      <c r="AN11" s="28">
        <f t="shared" si="7"/>
        <v>13.42080342391273</v>
      </c>
      <c r="AO11" s="28">
        <f>IF(AND(M11=1,AN11&lt;&gt;""),IF(AN11&lt;=SETTINGS!$B$5,1,0),0)</f>
        <v>1</v>
      </c>
      <c r="AP11" s="28">
        <f>IF(M11=1,IF(COUNTIFS(LOG!$C$2:$C$2001,F11,LOG!$E$2:$E$2001,B11,LOG!$D$2:$D$2001,"BOOKED")+COUNTIFS(LOG!$C$2:$C$2001,F11,LOG!$E$2:$E$2001,"",LOG!$D$2:$D$2001,"BOOKED")&gt;0,1,0),0)</f>
        <v>0</v>
      </c>
      <c r="AQ11" s="28" t="str">
        <f t="shared" si="8"/>
        <v>Vihaan</v>
      </c>
      <c r="AR11" s="28">
        <f>IF(AND(AK11=1,K11="OK"),COUNTIFS($AK$2:AK11,1,$K$2:K11,"OK"),"")</f>
        <v>10</v>
      </c>
      <c r="AS11" s="28" t="str">
        <f>IF(L11=1,IFERROR(INDEX(MESSAGES!$J$9:$J$1008,MATCH(F11,MESSAGES!$M$9:$M$1008,0))&amp;"",""),"")</f>
        <v/>
      </c>
      <c r="AT11" s="28" t="str">
        <f>IF(L11=1,IFERROR(INDEX(MESSAGES!$K$9:$K$1008,MATCH(F11,MESSAGES!$M$9:$M$1008,0))&amp;"",""),"")</f>
        <v/>
      </c>
      <c r="AU11" s="28">
        <f t="shared" ca="1" si="9"/>
        <v>0</v>
      </c>
      <c r="AV11" s="28" t="str">
        <f t="shared" si="10"/>
        <v>SEND</v>
      </c>
    </row>
    <row r="12" spans="1:48" x14ac:dyDescent="0.35">
      <c r="A12" s="28">
        <v>11</v>
      </c>
      <c r="B12" s="28" t="str">
        <f>IF(INPUT!A12="","",TRIM(INPUT!A12))</f>
        <v>Partner 040</v>
      </c>
      <c r="C12" s="28" t="str">
        <f>IF(B12="","",INPUT!C12)</f>
        <v>interviewer1@partner040.example.com</v>
      </c>
      <c r="D12" s="28" t="str">
        <f>IF(B12="","",INPUT!D12)</f>
        <v>Tara F.</v>
      </c>
      <c r="E12" s="28" t="str">
        <f>IF(B12="","",INPUT!E12)</f>
        <v>tara.f165@example.com</v>
      </c>
      <c r="F12" s="43" t="str">
        <f>IF(B12="","",TRIM(INPUT!F12&amp;""))</f>
        <v>9000002152</v>
      </c>
      <c r="G12" s="28" t="str">
        <f>IF(B12="","",INPUT!H12)</f>
        <v>Round1</v>
      </c>
      <c r="H12" s="46">
        <f>IF(B12="","",INPUT!I12)</f>
        <v>46308.82708333333</v>
      </c>
      <c r="I12" s="28" t="str">
        <f>IF(B12="","",IF(INPUT!J12="","None",INPUT!J12))</f>
        <v>None</v>
      </c>
      <c r="J12" s="28" t="str">
        <f t="shared" si="0"/>
        <v>tara.f165@example.com|partner 040|Round1|interviewer1@partner040.example.com</v>
      </c>
      <c r="K12" s="28" t="str">
        <f>IF(B12="","",IF(SUMPRODUCT(($J$2:$J$601=J12)*($H$2:$H$601&lt;H12))+SUMPRODUCT(($J$2:J12=J12)*($H$2:H12=H12))-1&gt;0,"DUPLICATE",IF(AND(ISNUMBER(SEARCH("@",E12)),ISNUMBER(SEARCH(".",E12)),LEN(F12)=10,ISNUMBER(VALUE(F12))),"OK","BAD CONTACT")))</f>
        <v>OK</v>
      </c>
      <c r="L12" s="28">
        <f t="shared" si="1"/>
        <v>1</v>
      </c>
      <c r="M12" s="28">
        <f>IF(L12=1,IF(COUNTIFS(LOG!$C$2:$C$2001,F12,LOG!$E$2:$E$2001,B12,LOG!$D$2:$D$2001,"*BOOKED")+COUNTIFS(LOG!$C$2:$C$2001,F12,LOG!$E$2:$E$2001,"",LOG!$D$2:$D$2001,"*BOOKED")&gt;0,1,0),0)</f>
        <v>1</v>
      </c>
      <c r="N12" s="28">
        <f>IF(L12=1,IF(COUNTIFS(LOG!$C$2:$C$2001,F12,LOG!$E$2:$E$2001,B12,LOG!$D$2:$D$2001,"NOT_INTERESTED")+COUNTIFS(LOG!$C$2:$C$2001,F12,LOG!$E$2:$E$2001,"",LOG!$D$2:$D$2001,"NOT_INTERESTED")&gt;0,1,0),0)</f>
        <v>0</v>
      </c>
      <c r="O12" s="28">
        <f>IF(L12=1,IF(COUNTIFS(LOG!$C$2:$C$2001,F12,LOG!$D$2:$D$2001,"STOP")+COUNTIFS(LOG!$C$2:$C$2001,F12,LOG!$D$2:$D$2001,"WRONG_NUMBER")&gt;0,1,IF(ISNUMBER(SEARCH("STOP",AT12)),1,0)),0)</f>
        <v>0</v>
      </c>
      <c r="P12" s="28">
        <f>IF(L12=1,IF(IFERROR(INDEX(PARTNERS!$D$2:$D$88,MATCH(B12,PARTNERS!$A$2:$A$88,0)),"")="NO SLOTS",1,IF(AND(IFERROR(INDEX(PARTNERS!$D$2:$D$88,MATCH(B12,PARTNERS!$A$2:$A$88,0)),"")&lt;&gt;"REOPENED",COUNTIFS(LOG!$E$2:$E$2001,B12,LOG!$D$2:$D$2001,"NO_SLOTS")&gt;0),1,0)),0)</f>
        <v>0</v>
      </c>
      <c r="Q12" s="28">
        <f>IF(L12=1,COUNTIFS(LOG!$C$2:$C$2001,F12,LOG!$H$2:$H$2001,1),0)</f>
        <v>0</v>
      </c>
      <c r="R12" s="46">
        <f>IF(Q12&gt;0,_xlfn.MAXIFS(LOG!$G$2:$G$2001,LOG!$C$2:$C$2001,F12,LOG!$H$2:$H$2001,1),0)</f>
        <v>0</v>
      </c>
      <c r="S12" s="28" t="str">
        <f>IF(Q12&gt;0,IFERROR(INDEX(LOG!$D$2:$D$2001,MATCH(F12&amp;"|"&amp;Q12,LOG!$I$2:$I$2001,0)),""),"")</f>
        <v/>
      </c>
      <c r="T12" s="28">
        <f>IF(S12="",0,IFERROR(VLOOKUP(S12,LISTS!$A$2:$E$10,4,FALSE),0))</f>
        <v>0</v>
      </c>
      <c r="U12" s="46">
        <f t="shared" si="2"/>
        <v>0</v>
      </c>
      <c r="V12" s="46">
        <f>IF(L12=1,H12+SETTINGS!$B$5/24,"")</f>
        <v>46309.82708333333</v>
      </c>
      <c r="W12" s="28">
        <f ca="1">IF(L12=1,(V12-SETTINGS!$B$4)*24,"")</f>
        <v>-1.6666666720993817E-2</v>
      </c>
      <c r="X12" s="28">
        <f ca="1">IF(AND(L12=1,K12="OK",M12=0,N12=0,O12=0,P12=0,SETTINGS!$B$4&lt;V12,Q12&lt;SETTINGS!$B$6),1,0)</f>
        <v>0</v>
      </c>
      <c r="Y12" s="28">
        <f ca="1">IF(AND(X12=1,SETTINGS!$B$4&gt;=H12,SETTINGS!$B$4&gt;=U12,ROUND(MOD(SETTINGS!$B$4,1)*1440,0)&gt;=ROUND(SETTINGS!$B$7*1440,0),ROUND(MOD(SETTINGS!$B$4,1)*1440,0)&lt;ROUND(SETTINGS!$B$8*1440,0)),1,0)</f>
        <v>0</v>
      </c>
      <c r="Z12" s="28" t="str">
        <f ca="1">IF(B12="","",IF(ROUND(MOD(SETTINGS!$B$4,1)*1440,0)&lt;ROUND(SETTINGS!$B$11*1440,0),"Ram",IF(ROUND(MOD(SETTINGS!$B$4,1)*1440,0)&gt;=ROUND(SETTINGS!$B$10*1440,0),"Shyam",IF(MOD(IFERROR(VALUE(RIGHT(F12,2)),0),2)=0,"Ram","Shyam"))))</f>
        <v>Shyam</v>
      </c>
      <c r="AA12" s="28">
        <f t="shared" ca="1" si="3"/>
        <v>0</v>
      </c>
      <c r="AB12" s="28">
        <f ca="1">IF(X12=1,COUNTIFS($F$2:F12,F12,$X$2:X12,1),0)</f>
        <v>0</v>
      </c>
      <c r="AC12" s="28" t="str">
        <f>IF(L12=1,IF(IFERROR(INDEX(PARTNERS!$C$2:$C$88,MATCH(B12,PARTNERS!$A$2:$A$88,0)),"")="YES","YES","NO"),"")</f>
        <v>YES</v>
      </c>
      <c r="AD12" s="28" t="str">
        <f>IF(L12=1,IFERROR(INDEX(PARTNERS!$B$2:$B$88,MATCH(B12,PARTNERS!$A$2:$A$88,0)),""),"")</f>
        <v>https://calendly.com/partner040/interview</v>
      </c>
      <c r="AE12" s="28">
        <f ca="1">IF(X12=1,IFERROR(INDEX(SETTINGS!$B$34:$D$36,MATCH(I12,SETTINGS!$A$34:$A$36,0),MIN(Q12,2)+1),SETTINGS!$B$36),0)</f>
        <v>0</v>
      </c>
      <c r="AF12" s="28">
        <f t="shared" si="4"/>
        <v>1</v>
      </c>
      <c r="AG12" s="28">
        <f ca="1">IF(AND(Y12=1,AB12=1),ROUND(AA12*AE12*IF(AF12&gt;1,SETTINGS!$B$16,1)*IF(W12&lt;=SETTINGS!$B$14,SETTINGS!$B$15,1)*IF(AU12=1,SETTINGS!$B$21,1),6),0)</f>
        <v>0</v>
      </c>
      <c r="AH12" s="28" t="str">
        <f ca="1">IF(AG12&gt;0,COUNTIFS($Z$2:$Z$601,Z12,$AG$2:$AG$601,"&gt;"&amp;AG12)+COUNTIFS($Z$2:Z12,Z12,$AG$2:AG12,AG12),"")</f>
        <v/>
      </c>
      <c r="AI12" s="28" t="str">
        <f t="shared" ca="1" si="5"/>
        <v/>
      </c>
      <c r="AJ12" s="28" t="str">
        <f t="shared" ca="1" si="6"/>
        <v/>
      </c>
      <c r="AK12" s="28">
        <f>IF(L12=1,IF(COUNTIFS($F$2:F12,F12,$L$2:L12,1)=1,1,0),0)</f>
        <v>1</v>
      </c>
      <c r="AL12" s="28" t="str">
        <f>IF(B12="","",IF(K12="DUPLICATE","Duplicate (removed)",IF(AO12=1,"Scheduled within 24h",IF(M12=1,"Scheduled late",IF(K12="BAD CONTACT","Bad contact details",IF(O12=1,"Stopped / wrong number",IF(N12=1,"Not interested",IF(P12=1,"Partner has no slots",IF(SETTINGS!$B$4&gt;=V12,IF(Q12=0,"Missed deadline: never tried","Missed deadline: tried, not booked"),IF(Q12&gt;=SETTINGS!$B$6,"No reply after max tries","Open"))))))))))</f>
        <v>Scheduled within 24h</v>
      </c>
      <c r="AM12" s="46">
        <f>IF(M12=1,IF(_xlfn.MINIFS(LOG!$G$2:$G$2001,LOG!$C$2:$C$2001,F12,LOG!$E$2:$E$2001,B12,LOG!$D$2:$D$2001,"*BOOKED")=0,_xlfn.MINIFS(LOG!$G$2:$G$2001,LOG!$C$2:$C$2001,F12,LOG!$E$2:$E$2001,"",LOG!$D$2:$D$2001,"*BOOKED"),IF(_xlfn.MINIFS(LOG!$G$2:$G$2001,LOG!$C$2:$C$2001,F12,LOG!$E$2:$E$2001,"",LOG!$D$2:$D$2001,"*BOOKED")=0,_xlfn.MINIFS(LOG!$G$2:$G$2001,LOG!$C$2:$C$2001,F12,LOG!$E$2:$E$2001,B12,LOG!$D$2:$D$2001,"*BOOKED"),MIN(_xlfn.MINIFS(LOG!$G$2:$G$2001,LOG!$C$2:$C$2001,F12,LOG!$E$2:$E$2001,B12,LOG!$D$2:$D$2001,"*BOOKED"),_xlfn.MINIFS(LOG!$G$2:$G$2001,LOG!$C$2:$C$2001,F12,LOG!$E$2:$E$2001,"",LOG!$D$2:$D$2001,"*BOOKED")))),"")</f>
        <v>46309.443356945892</v>
      </c>
      <c r="AN12" s="28">
        <f t="shared" si="7"/>
        <v>14.790566701500211</v>
      </c>
      <c r="AO12" s="28">
        <f>IF(AND(M12=1,AN12&lt;&gt;""),IF(AN12&lt;=SETTINGS!$B$5,1,0),0)</f>
        <v>1</v>
      </c>
      <c r="AP12" s="28">
        <f>IF(M12=1,IF(COUNTIFS(LOG!$C$2:$C$2001,F12,LOG!$E$2:$E$2001,B12,LOG!$D$2:$D$2001,"BOOKED")+COUNTIFS(LOG!$C$2:$C$2001,F12,LOG!$E$2:$E$2001,"",LOG!$D$2:$D$2001,"BOOKED")&gt;0,1,0),0)</f>
        <v>0</v>
      </c>
      <c r="AQ12" s="28" t="str">
        <f t="shared" si="8"/>
        <v>Tara</v>
      </c>
      <c r="AR12" s="28">
        <f>IF(AND(AK12=1,K12="OK"),COUNTIFS($AK$2:AK12,1,$K$2:K12,"OK"),"")</f>
        <v>11</v>
      </c>
      <c r="AS12" s="28" t="str">
        <f>IF(L12=1,IFERROR(INDEX(MESSAGES!$J$9:$J$1008,MATCH(F12,MESSAGES!$M$9:$M$1008,0))&amp;"",""),"")</f>
        <v/>
      </c>
      <c r="AT12" s="28" t="str">
        <f>IF(L12=1,IFERROR(INDEX(MESSAGES!$K$9:$K$1008,MATCH(F12,MESSAGES!$M$9:$M$1008,0))&amp;"",""),"")</f>
        <v/>
      </c>
      <c r="AU12" s="28">
        <f t="shared" ca="1" si="9"/>
        <v>0</v>
      </c>
      <c r="AV12" s="28" t="str">
        <f t="shared" si="10"/>
        <v>HOLD</v>
      </c>
    </row>
    <row r="13" spans="1:48" x14ac:dyDescent="0.35">
      <c r="A13" s="28">
        <v>12</v>
      </c>
      <c r="B13" s="28" t="str">
        <f>IF(INPUT!A13="","",TRIM(INPUT!A13))</f>
        <v>Partner 053</v>
      </c>
      <c r="C13" s="28" t="str">
        <f>IF(B13="","",INPUT!C13)</f>
        <v>interviewer0@partner053.example.com</v>
      </c>
      <c r="D13" s="28" t="str">
        <f>IF(B13="","",INPUT!D13)</f>
        <v>Meera F.</v>
      </c>
      <c r="E13" s="28" t="str">
        <f>IF(B13="","",INPUT!E13)</f>
        <v>meera.f157@example.com</v>
      </c>
      <c r="F13" s="43" t="str">
        <f>IF(B13="","",TRIM(INPUT!F13&amp;""))</f>
        <v>9000002048</v>
      </c>
      <c r="G13" s="28" t="str">
        <f>IF(B13="","",INPUT!H13)</f>
        <v>Round1</v>
      </c>
      <c r="H13" s="46">
        <f>IF(B13="","",INPUT!I13)</f>
        <v>46308.82708333333</v>
      </c>
      <c r="I13" s="28" t="str">
        <f>IF(B13="","",IF(INPUT!J13="","None",INPUT!J13))</f>
        <v>Clicked</v>
      </c>
      <c r="J13" s="28" t="str">
        <f t="shared" si="0"/>
        <v>meera.f157@example.com|partner 053|Round1|interviewer0@partner053.example.com</v>
      </c>
      <c r="K13" s="28" t="str">
        <f>IF(B13="","",IF(SUMPRODUCT(($J$2:$J$601=J13)*($H$2:$H$601&lt;H13))+SUMPRODUCT(($J$2:J13=J13)*($H$2:H13=H13))-1&gt;0,"DUPLICATE",IF(AND(ISNUMBER(SEARCH("@",E13)),ISNUMBER(SEARCH(".",E13)),LEN(F13)=10,ISNUMBER(VALUE(F13))),"OK","BAD CONTACT")))</f>
        <v>OK</v>
      </c>
      <c r="L13" s="28">
        <f t="shared" si="1"/>
        <v>1</v>
      </c>
      <c r="M13" s="28">
        <f>IF(L13=1,IF(COUNTIFS(LOG!$C$2:$C$2001,F13,LOG!$E$2:$E$2001,B13,LOG!$D$2:$D$2001,"*BOOKED")+COUNTIFS(LOG!$C$2:$C$2001,F13,LOG!$E$2:$E$2001,"",LOG!$D$2:$D$2001,"*BOOKED")&gt;0,1,0),0)</f>
        <v>1</v>
      </c>
      <c r="N13" s="28">
        <f>IF(L13=1,IF(COUNTIFS(LOG!$C$2:$C$2001,F13,LOG!$E$2:$E$2001,B13,LOG!$D$2:$D$2001,"NOT_INTERESTED")+COUNTIFS(LOG!$C$2:$C$2001,F13,LOG!$E$2:$E$2001,"",LOG!$D$2:$D$2001,"NOT_INTERESTED")&gt;0,1,0),0)</f>
        <v>0</v>
      </c>
      <c r="O13" s="28">
        <f>IF(L13=1,IF(COUNTIFS(LOG!$C$2:$C$2001,F13,LOG!$D$2:$D$2001,"STOP")+COUNTIFS(LOG!$C$2:$C$2001,F13,LOG!$D$2:$D$2001,"WRONG_NUMBER")&gt;0,1,IF(ISNUMBER(SEARCH("STOP",AT13)),1,0)),0)</f>
        <v>0</v>
      </c>
      <c r="P13" s="28">
        <f>IF(L13=1,IF(IFERROR(INDEX(PARTNERS!$D$2:$D$88,MATCH(B13,PARTNERS!$A$2:$A$88,0)),"")="NO SLOTS",1,IF(AND(IFERROR(INDEX(PARTNERS!$D$2:$D$88,MATCH(B13,PARTNERS!$A$2:$A$88,0)),"")&lt;&gt;"REOPENED",COUNTIFS(LOG!$E$2:$E$2001,B13,LOG!$D$2:$D$2001,"NO_SLOTS")&gt;0),1,0)),0)</f>
        <v>0</v>
      </c>
      <c r="Q13" s="28">
        <f>IF(L13=1,COUNTIFS(LOG!$C$2:$C$2001,F13,LOG!$H$2:$H$2001,1),0)</f>
        <v>1</v>
      </c>
      <c r="R13" s="46">
        <f>IF(Q13&gt;0,_xlfn.MAXIFS(LOG!$G$2:$G$2001,LOG!$C$2:$C$2001,F13,LOG!$H$2:$H$2001,1),0)</f>
        <v>46309.537645826189</v>
      </c>
      <c r="S13" s="28" t="str">
        <f>IF(Q13&gt;0,IFERROR(INDEX(LOG!$D$2:$D$2001,MATCH(F13&amp;"|"&amp;Q13,LOG!$I$2:$I$2001,0)),""),"")</f>
        <v>NO_ANSWER</v>
      </c>
      <c r="T13" s="28">
        <f>IF(S13="",0,IFERROR(VLOOKUP(S13,LISTS!$A$2:$E$10,4,FALSE),0))</f>
        <v>120</v>
      </c>
      <c r="U13" s="46">
        <f t="shared" si="2"/>
        <v>46309.620979159525</v>
      </c>
      <c r="V13" s="46">
        <f>IF(L13=1,H13+SETTINGS!$B$5/24,"")</f>
        <v>46309.82708333333</v>
      </c>
      <c r="W13" s="28">
        <f ca="1">IF(L13=1,(V13-SETTINGS!$B$4)*24,"")</f>
        <v>-1.6666666720993817E-2</v>
      </c>
      <c r="X13" s="28">
        <f ca="1">IF(AND(L13=1,K13="OK",M13=0,N13=0,O13=0,P13=0,SETTINGS!$B$4&lt;V13,Q13&lt;SETTINGS!$B$6),1,0)</f>
        <v>0</v>
      </c>
      <c r="Y13" s="28">
        <f ca="1">IF(AND(X13=1,SETTINGS!$B$4&gt;=H13,SETTINGS!$B$4&gt;=U13,ROUND(MOD(SETTINGS!$B$4,1)*1440,0)&gt;=ROUND(SETTINGS!$B$7*1440,0),ROUND(MOD(SETTINGS!$B$4,1)*1440,0)&lt;ROUND(SETTINGS!$B$8*1440,0)),1,0)</f>
        <v>0</v>
      </c>
      <c r="Z13" s="28" t="str">
        <f ca="1">IF(B13="","",IF(ROUND(MOD(SETTINGS!$B$4,1)*1440,0)&lt;ROUND(SETTINGS!$B$11*1440,0),"Ram",IF(ROUND(MOD(SETTINGS!$B$4,1)*1440,0)&gt;=ROUND(SETTINGS!$B$10*1440,0),"Shyam",IF(MOD(IFERROR(VALUE(RIGHT(F13,2)),0),2)=0,"Ram","Shyam"))))</f>
        <v>Shyam</v>
      </c>
      <c r="AA13" s="28">
        <f t="shared" ca="1" si="3"/>
        <v>0</v>
      </c>
      <c r="AB13" s="28">
        <f ca="1">IF(X13=1,COUNTIFS($F$2:F13,F13,$X$2:X13,1),0)</f>
        <v>0</v>
      </c>
      <c r="AC13" s="28" t="str">
        <f>IF(L13=1,IF(IFERROR(INDEX(PARTNERS!$C$2:$C$88,MATCH(B13,PARTNERS!$A$2:$A$88,0)),"")="YES","YES","NO"),"")</f>
        <v>YES</v>
      </c>
      <c r="AD13" s="28" t="str">
        <f>IF(L13=1,IFERROR(INDEX(PARTNERS!$B$2:$B$88,MATCH(B13,PARTNERS!$A$2:$A$88,0)),""),"")</f>
        <v>https://calendly.com/partner053/interview</v>
      </c>
      <c r="AE13" s="28">
        <f ca="1">IF(X13=1,IFERROR(INDEX(SETTINGS!$B$34:$D$36,MATCH(I13,SETTINGS!$A$34:$A$36,0),MIN(Q13,2)+1),SETTINGS!$B$36),0)</f>
        <v>0</v>
      </c>
      <c r="AF13" s="28">
        <f t="shared" si="4"/>
        <v>1</v>
      </c>
      <c r="AG13" s="28">
        <f ca="1">IF(AND(Y13=1,AB13=1),ROUND(AA13*AE13*IF(AF13&gt;1,SETTINGS!$B$16,1)*IF(W13&lt;=SETTINGS!$B$14,SETTINGS!$B$15,1)*IF(AU13=1,SETTINGS!$B$21,1),6),0)</f>
        <v>0</v>
      </c>
      <c r="AH13" s="28" t="str">
        <f ca="1">IF(AG13&gt;0,COUNTIFS($Z$2:$Z$601,Z13,$AG$2:$AG$601,"&gt;"&amp;AG13)+COUNTIFS($Z$2:Z13,Z13,$AG$2:AG13,AG13),"")</f>
        <v/>
      </c>
      <c r="AI13" s="28" t="str">
        <f t="shared" ca="1" si="5"/>
        <v/>
      </c>
      <c r="AJ13" s="28" t="str">
        <f t="shared" ca="1" si="6"/>
        <v/>
      </c>
      <c r="AK13" s="28">
        <f>IF(L13=1,IF(COUNTIFS($F$2:F13,F13,$L$2:L13,1)=1,1,0),0)</f>
        <v>1</v>
      </c>
      <c r="AL13" s="28" t="str">
        <f>IF(B13="","",IF(K13="DUPLICATE","Duplicate (removed)",IF(AO13=1,"Scheduled within 24h",IF(M13=1,"Scheduled late",IF(K13="BAD CONTACT","Bad contact details",IF(O13=1,"Stopped / wrong number",IF(N13=1,"Not interested",IF(P13=1,"Partner has no slots",IF(SETTINGS!$B$4&gt;=V13,IF(Q13=0,"Missed deadline: never tried","Missed deadline: tried, not booked"),IF(Q13&gt;=SETTINGS!$B$6,"No reply after max tries","Open"))))))))))</f>
        <v>Scheduled within 24h</v>
      </c>
      <c r="AM13" s="46">
        <f>IF(M13=1,IF(_xlfn.MINIFS(LOG!$G$2:$G$2001,LOG!$C$2:$C$2001,F13,LOG!$E$2:$E$2001,B13,LOG!$D$2:$D$2001,"*BOOKED")=0,_xlfn.MINIFS(LOG!$G$2:$G$2001,LOG!$C$2:$C$2001,F13,LOG!$E$2:$E$2001,"",LOG!$D$2:$D$2001,"*BOOKED"),IF(_xlfn.MINIFS(LOG!$G$2:$G$2001,LOG!$C$2:$C$2001,F13,LOG!$E$2:$E$2001,"",LOG!$D$2:$D$2001,"*BOOKED")=0,_xlfn.MINIFS(LOG!$G$2:$G$2001,LOG!$C$2:$C$2001,F13,LOG!$E$2:$E$2001,B13,LOG!$D$2:$D$2001,"*BOOKED"),MIN(_xlfn.MINIFS(LOG!$G$2:$G$2001,LOG!$C$2:$C$2001,F13,LOG!$E$2:$E$2001,B13,LOG!$D$2:$D$2001,"*BOOKED"),_xlfn.MINIFS(LOG!$G$2:$G$2001,LOG!$C$2:$C$2001,F13,LOG!$E$2:$E$2001,"",LOG!$D$2:$D$2001,"*BOOKED")))),"")</f>
        <v>46309.608396211734</v>
      </c>
      <c r="AN13" s="28">
        <f t="shared" si="7"/>
        <v>18.75150908168871</v>
      </c>
      <c r="AO13" s="28">
        <f>IF(AND(M13=1,AN13&lt;&gt;""),IF(AN13&lt;=SETTINGS!$B$5,1,0),0)</f>
        <v>1</v>
      </c>
      <c r="AP13" s="28">
        <f>IF(M13=1,IF(COUNTIFS(LOG!$C$2:$C$2001,F13,LOG!$E$2:$E$2001,B13,LOG!$D$2:$D$2001,"BOOKED")+COUNTIFS(LOG!$C$2:$C$2001,F13,LOG!$E$2:$E$2001,"",LOG!$D$2:$D$2001,"BOOKED")&gt;0,1,0),0)</f>
        <v>0</v>
      </c>
      <c r="AQ13" s="28" t="str">
        <f t="shared" si="8"/>
        <v>Meera</v>
      </c>
      <c r="AR13" s="28">
        <f>IF(AND(AK13=1,K13="OK"),COUNTIFS($AK$2:AK13,1,$K$2:K13,"OK"),"")</f>
        <v>12</v>
      </c>
      <c r="AS13" s="28" t="str">
        <f>IF(L13=1,IFERROR(INDEX(MESSAGES!$J$9:$J$1008,MATCH(F13,MESSAGES!$M$9:$M$1008,0))&amp;"",""),"")</f>
        <v/>
      </c>
      <c r="AT13" s="28" t="str">
        <f>IF(L13=1,IFERROR(INDEX(MESSAGES!$K$9:$K$1008,MATCH(F13,MESSAGES!$M$9:$M$1008,0))&amp;"",""),"")</f>
        <v/>
      </c>
      <c r="AU13" s="28">
        <f t="shared" ca="1" si="9"/>
        <v>0</v>
      </c>
      <c r="AV13" s="28" t="str">
        <f t="shared" si="10"/>
        <v>SEND</v>
      </c>
    </row>
    <row r="14" spans="1:48" x14ac:dyDescent="0.35">
      <c r="A14" s="28">
        <v>13</v>
      </c>
      <c r="B14" s="28" t="str">
        <f>IF(INPUT!A14="","",TRIM(INPUT!A14))</f>
        <v>Partner 010</v>
      </c>
      <c r="C14" s="28" t="str">
        <f>IF(B14="","",INPUT!C14)</f>
        <v>interviewer0@partner010.example.com</v>
      </c>
      <c r="D14" s="28" t="str">
        <f>IF(B14="","",INPUT!D14)</f>
        <v>Ira N.</v>
      </c>
      <c r="E14" s="28" t="str">
        <f>IF(B14="","",INPUT!E14)</f>
        <v>ira.n365@example.com</v>
      </c>
      <c r="F14" s="43" t="str">
        <f>IF(B14="","",TRIM(INPUT!F14&amp;""))</f>
        <v>9000004752</v>
      </c>
      <c r="G14" s="28" t="str">
        <f>IF(B14="","",INPUT!H14)</f>
        <v>Round1</v>
      </c>
      <c r="H14" s="46">
        <f>IF(B14="","",INPUT!I14)</f>
        <v>46308.82708333333</v>
      </c>
      <c r="I14" s="28" t="str">
        <f>IF(B14="","",IF(INPUT!J14="","None",INPUT!J14))</f>
        <v>Clicked</v>
      </c>
      <c r="J14" s="28" t="str">
        <f t="shared" si="0"/>
        <v>ira.n365@example.com|partner 010|Round1|interviewer0@partner010.example.com</v>
      </c>
      <c r="K14" s="28" t="str">
        <f>IF(B14="","",IF(SUMPRODUCT(($J$2:$J$601=J14)*($H$2:$H$601&lt;H14))+SUMPRODUCT(($J$2:J14=J14)*($H$2:H14=H14))-1&gt;0,"DUPLICATE",IF(AND(ISNUMBER(SEARCH("@",E14)),ISNUMBER(SEARCH(".",E14)),LEN(F14)=10,ISNUMBER(VALUE(F14))),"OK","BAD CONTACT")))</f>
        <v>OK</v>
      </c>
      <c r="L14" s="28">
        <f t="shared" si="1"/>
        <v>1</v>
      </c>
      <c r="M14" s="28">
        <f>IF(L14=1,IF(COUNTIFS(LOG!$C$2:$C$2001,F14,LOG!$E$2:$E$2001,B14,LOG!$D$2:$D$2001,"*BOOKED")+COUNTIFS(LOG!$C$2:$C$2001,F14,LOG!$E$2:$E$2001,"",LOG!$D$2:$D$2001,"*BOOKED")&gt;0,1,0),0)</f>
        <v>1</v>
      </c>
      <c r="N14" s="28">
        <f>IF(L14=1,IF(COUNTIFS(LOG!$C$2:$C$2001,F14,LOG!$E$2:$E$2001,B14,LOG!$D$2:$D$2001,"NOT_INTERESTED")+COUNTIFS(LOG!$C$2:$C$2001,F14,LOG!$E$2:$E$2001,"",LOG!$D$2:$D$2001,"NOT_INTERESTED")&gt;0,1,0),0)</f>
        <v>0</v>
      </c>
      <c r="O14" s="28">
        <f>IF(L14=1,IF(COUNTIFS(LOG!$C$2:$C$2001,F14,LOG!$D$2:$D$2001,"STOP")+COUNTIFS(LOG!$C$2:$C$2001,F14,LOG!$D$2:$D$2001,"WRONG_NUMBER")&gt;0,1,IF(ISNUMBER(SEARCH("STOP",AT14)),1,0)),0)</f>
        <v>0</v>
      </c>
      <c r="P14" s="28">
        <f>IF(L14=1,IF(IFERROR(INDEX(PARTNERS!$D$2:$D$88,MATCH(B14,PARTNERS!$A$2:$A$88,0)),"")="NO SLOTS",1,IF(AND(IFERROR(INDEX(PARTNERS!$D$2:$D$88,MATCH(B14,PARTNERS!$A$2:$A$88,0)),"")&lt;&gt;"REOPENED",COUNTIFS(LOG!$E$2:$E$2001,B14,LOG!$D$2:$D$2001,"NO_SLOTS")&gt;0),1,0)),0)</f>
        <v>0</v>
      </c>
      <c r="Q14" s="28">
        <f>IF(L14=1,COUNTIFS(LOG!$C$2:$C$2001,F14,LOG!$H$2:$H$2001,1),0)</f>
        <v>1</v>
      </c>
      <c r="R14" s="46">
        <f>IF(Q14&gt;0,_xlfn.MAXIFS(LOG!$G$2:$G$2001,LOG!$C$2:$C$2001,F14,LOG!$H$2:$H$2001,1),0)</f>
        <v>46309.541408177131</v>
      </c>
      <c r="S14" s="28" t="str">
        <f>IF(Q14&gt;0,IFERROR(INDEX(LOG!$D$2:$D$2001,MATCH(F14&amp;"|"&amp;Q14,LOG!$I$2:$I$2001,0)),""),"")</f>
        <v>BOOKED</v>
      </c>
      <c r="T14" s="28">
        <f>IF(S14="",0,IFERROR(VLOOKUP(S14,LISTS!$A$2:$E$10,4,FALSE),0))</f>
        <v>0</v>
      </c>
      <c r="U14" s="46">
        <f t="shared" si="2"/>
        <v>46309.541408177131</v>
      </c>
      <c r="V14" s="46">
        <f>IF(L14=1,H14+SETTINGS!$B$5/24,"")</f>
        <v>46309.82708333333</v>
      </c>
      <c r="W14" s="28">
        <f ca="1">IF(L14=1,(V14-SETTINGS!$B$4)*24,"")</f>
        <v>-1.6666666720993817E-2</v>
      </c>
      <c r="X14" s="28">
        <f ca="1">IF(AND(L14=1,K14="OK",M14=0,N14=0,O14=0,P14=0,SETTINGS!$B$4&lt;V14,Q14&lt;SETTINGS!$B$6),1,0)</f>
        <v>0</v>
      </c>
      <c r="Y14" s="28">
        <f ca="1">IF(AND(X14=1,SETTINGS!$B$4&gt;=H14,SETTINGS!$B$4&gt;=U14,ROUND(MOD(SETTINGS!$B$4,1)*1440,0)&gt;=ROUND(SETTINGS!$B$7*1440,0),ROUND(MOD(SETTINGS!$B$4,1)*1440,0)&lt;ROUND(SETTINGS!$B$8*1440,0)),1,0)</f>
        <v>0</v>
      </c>
      <c r="Z14" s="28" t="str">
        <f ca="1">IF(B14="","",IF(ROUND(MOD(SETTINGS!$B$4,1)*1440,0)&lt;ROUND(SETTINGS!$B$11*1440,0),"Ram",IF(ROUND(MOD(SETTINGS!$B$4,1)*1440,0)&gt;=ROUND(SETTINGS!$B$10*1440,0),"Shyam",IF(MOD(IFERROR(VALUE(RIGHT(F14,2)),0),2)=0,"Ram","Shyam"))))</f>
        <v>Shyam</v>
      </c>
      <c r="AA14" s="28">
        <f t="shared" ca="1" si="3"/>
        <v>0</v>
      </c>
      <c r="AB14" s="28">
        <f ca="1">IF(X14=1,COUNTIFS($F$2:F14,F14,$X$2:X14,1),0)</f>
        <v>0</v>
      </c>
      <c r="AC14" s="28" t="str">
        <f>IF(L14=1,IF(IFERROR(INDEX(PARTNERS!$C$2:$C$88,MATCH(B14,PARTNERS!$A$2:$A$88,0)),"")="YES","YES","NO"),"")</f>
        <v>YES</v>
      </c>
      <c r="AD14" s="28" t="str">
        <f>IF(L14=1,IFERROR(INDEX(PARTNERS!$B$2:$B$88,MATCH(B14,PARTNERS!$A$2:$A$88,0)),""),"")</f>
        <v>https://calendly.com/partner010/interview</v>
      </c>
      <c r="AE14" s="28">
        <f ca="1">IF(X14=1,IFERROR(INDEX(SETTINGS!$B$34:$D$36,MATCH(I14,SETTINGS!$A$34:$A$36,0),MIN(Q14,2)+1),SETTINGS!$B$36),0)</f>
        <v>0</v>
      </c>
      <c r="AF14" s="28">
        <f t="shared" si="4"/>
        <v>1</v>
      </c>
      <c r="AG14" s="28">
        <f ca="1">IF(AND(Y14=1,AB14=1),ROUND(AA14*AE14*IF(AF14&gt;1,SETTINGS!$B$16,1)*IF(W14&lt;=SETTINGS!$B$14,SETTINGS!$B$15,1)*IF(AU14=1,SETTINGS!$B$21,1),6),0)</f>
        <v>0</v>
      </c>
      <c r="AH14" s="28" t="str">
        <f ca="1">IF(AG14&gt;0,COUNTIFS($Z$2:$Z$601,Z14,$AG$2:$AG$601,"&gt;"&amp;AG14)+COUNTIFS($Z$2:Z14,Z14,$AG$2:AG14,AG14),"")</f>
        <v/>
      </c>
      <c r="AI14" s="28" t="str">
        <f t="shared" ca="1" si="5"/>
        <v/>
      </c>
      <c r="AJ14" s="28" t="str">
        <f t="shared" ca="1" si="6"/>
        <v/>
      </c>
      <c r="AK14" s="28">
        <f>IF(L14=1,IF(COUNTIFS($F$2:F14,F14,$L$2:L14,1)=1,1,0),0)</f>
        <v>1</v>
      </c>
      <c r="AL14" s="28" t="str">
        <f>IF(B14="","",IF(K14="DUPLICATE","Duplicate (removed)",IF(AO14=1,"Scheduled within 24h",IF(M14=1,"Scheduled late",IF(K14="BAD CONTACT","Bad contact details",IF(O14=1,"Stopped / wrong number",IF(N14=1,"Not interested",IF(P14=1,"Partner has no slots",IF(SETTINGS!$B$4&gt;=V14,IF(Q14=0,"Missed deadline: never tried","Missed deadline: tried, not booked"),IF(Q14&gt;=SETTINGS!$B$6,"No reply after max tries","Open"))))))))))</f>
        <v>Scheduled within 24h</v>
      </c>
      <c r="AM14" s="46">
        <f>IF(M14=1,IF(_xlfn.MINIFS(LOG!$G$2:$G$2001,LOG!$C$2:$C$2001,F14,LOG!$E$2:$E$2001,B14,LOG!$D$2:$D$2001,"*BOOKED")=0,_xlfn.MINIFS(LOG!$G$2:$G$2001,LOG!$C$2:$C$2001,F14,LOG!$E$2:$E$2001,"",LOG!$D$2:$D$2001,"*BOOKED"),IF(_xlfn.MINIFS(LOG!$G$2:$G$2001,LOG!$C$2:$C$2001,F14,LOG!$E$2:$E$2001,"",LOG!$D$2:$D$2001,"*BOOKED")=0,_xlfn.MINIFS(LOG!$G$2:$G$2001,LOG!$C$2:$C$2001,F14,LOG!$E$2:$E$2001,B14,LOG!$D$2:$D$2001,"*BOOKED"),MIN(_xlfn.MINIFS(LOG!$G$2:$G$2001,LOG!$C$2:$C$2001,F14,LOG!$E$2:$E$2001,B14,LOG!$D$2:$D$2001,"*BOOKED"),_xlfn.MINIFS(LOG!$G$2:$G$2001,LOG!$C$2:$C$2001,F14,LOG!$E$2:$E$2001,"",LOG!$D$2:$D$2001,"*BOOKED")))),"")</f>
        <v>46309.541408177131</v>
      </c>
      <c r="AN14" s="28">
        <f t="shared" si="7"/>
        <v>17.143796251213644</v>
      </c>
      <c r="AO14" s="28">
        <f>IF(AND(M14=1,AN14&lt;&gt;""),IF(AN14&lt;=SETTINGS!$B$5,1,0),0)</f>
        <v>1</v>
      </c>
      <c r="AP14" s="28">
        <f>IF(M14=1,IF(COUNTIFS(LOG!$C$2:$C$2001,F14,LOG!$E$2:$E$2001,B14,LOG!$D$2:$D$2001,"BOOKED")+COUNTIFS(LOG!$C$2:$C$2001,F14,LOG!$E$2:$E$2001,"",LOG!$D$2:$D$2001,"BOOKED")&gt;0,1,0),0)</f>
        <v>1</v>
      </c>
      <c r="AQ14" s="28" t="str">
        <f t="shared" si="8"/>
        <v>Ira</v>
      </c>
      <c r="AR14" s="28">
        <f>IF(AND(AK14=1,K14="OK"),COUNTIFS($AK$2:AK14,1,$K$2:K14,"OK"),"")</f>
        <v>13</v>
      </c>
      <c r="AS14" s="28" t="str">
        <f>IF(L14=1,IFERROR(INDEX(MESSAGES!$J$9:$J$1008,MATCH(F14,MESSAGES!$M$9:$M$1008,0))&amp;"",""),"")</f>
        <v/>
      </c>
      <c r="AT14" s="28" t="str">
        <f>IF(L14=1,IFERROR(INDEX(MESSAGES!$K$9:$K$1008,MATCH(F14,MESSAGES!$M$9:$M$1008,0))&amp;"",""),"")</f>
        <v/>
      </c>
      <c r="AU14" s="28">
        <f t="shared" ca="1" si="9"/>
        <v>0</v>
      </c>
      <c r="AV14" s="28" t="str">
        <f t="shared" si="10"/>
        <v>HOLD</v>
      </c>
    </row>
    <row r="15" spans="1:48" x14ac:dyDescent="0.35">
      <c r="A15" s="28">
        <v>14</v>
      </c>
      <c r="B15" s="28" t="str">
        <f>IF(INPUT!A15="","",TRIM(INPUT!A15))</f>
        <v>Partner 092</v>
      </c>
      <c r="C15" s="28" t="str">
        <f>IF(B15="","",INPUT!C15)</f>
        <v>interviewer1@partner092.example.com</v>
      </c>
      <c r="D15" s="28" t="str">
        <f>IF(B15="","",INPUT!D15)</f>
        <v>Zoya C.</v>
      </c>
      <c r="E15" s="28" t="str">
        <f>IF(B15="","",INPUT!E15)</f>
        <v>zoya.c077@example.com</v>
      </c>
      <c r="F15" s="43" t="str">
        <f>IF(B15="","",TRIM(INPUT!F15&amp;""))</f>
        <v>9000001008</v>
      </c>
      <c r="G15" s="28" t="str">
        <f>IF(B15="","",INPUT!H15)</f>
        <v>Round1</v>
      </c>
      <c r="H15" s="46">
        <f>IF(B15="","",INPUT!I15)</f>
        <v>46308.82708333333</v>
      </c>
      <c r="I15" s="28" t="str">
        <f>IF(B15="","",IF(INPUT!J15="","None",INPUT!J15))</f>
        <v>Opened</v>
      </c>
      <c r="J15" s="28" t="str">
        <f t="shared" si="0"/>
        <v>zoya.c077@example.com|partner 092|Round1|interviewer1@partner092.example.com</v>
      </c>
      <c r="K15" s="28" t="str">
        <f>IF(B15="","",IF(SUMPRODUCT(($J$2:$J$601=J15)*($H$2:$H$601&lt;H15))+SUMPRODUCT(($J$2:J15=J15)*($H$2:H15=H15))-1&gt;0,"DUPLICATE",IF(AND(ISNUMBER(SEARCH("@",E15)),ISNUMBER(SEARCH(".",E15)),LEN(F15)=10,ISNUMBER(VALUE(F15))),"OK","BAD CONTACT")))</f>
        <v>OK</v>
      </c>
      <c r="L15" s="28">
        <f t="shared" si="1"/>
        <v>1</v>
      </c>
      <c r="M15" s="28">
        <f>IF(L15=1,IF(COUNTIFS(LOG!$C$2:$C$2001,F15,LOG!$E$2:$E$2001,B15,LOG!$D$2:$D$2001,"*BOOKED")+COUNTIFS(LOG!$C$2:$C$2001,F15,LOG!$E$2:$E$2001,"",LOG!$D$2:$D$2001,"*BOOKED")&gt;0,1,0),0)</f>
        <v>1</v>
      </c>
      <c r="N15" s="28">
        <f>IF(L15=1,IF(COUNTIFS(LOG!$C$2:$C$2001,F15,LOG!$E$2:$E$2001,B15,LOG!$D$2:$D$2001,"NOT_INTERESTED")+COUNTIFS(LOG!$C$2:$C$2001,F15,LOG!$E$2:$E$2001,"",LOG!$D$2:$D$2001,"NOT_INTERESTED")&gt;0,1,0),0)</f>
        <v>0</v>
      </c>
      <c r="O15" s="28">
        <f>IF(L15=1,IF(COUNTIFS(LOG!$C$2:$C$2001,F15,LOG!$D$2:$D$2001,"STOP")+COUNTIFS(LOG!$C$2:$C$2001,F15,LOG!$D$2:$D$2001,"WRONG_NUMBER")&gt;0,1,IF(ISNUMBER(SEARCH("STOP",AT15)),1,0)),0)</f>
        <v>0</v>
      </c>
      <c r="P15" s="28">
        <f>IF(L15=1,IF(IFERROR(INDEX(PARTNERS!$D$2:$D$88,MATCH(B15,PARTNERS!$A$2:$A$88,0)),"")="NO SLOTS",1,IF(AND(IFERROR(INDEX(PARTNERS!$D$2:$D$88,MATCH(B15,PARTNERS!$A$2:$A$88,0)),"")&lt;&gt;"REOPENED",COUNTIFS(LOG!$E$2:$E$2001,B15,LOG!$D$2:$D$2001,"NO_SLOTS")&gt;0),1,0)),0)</f>
        <v>0</v>
      </c>
      <c r="Q15" s="28">
        <f>IF(L15=1,COUNTIFS(LOG!$C$2:$C$2001,F15,LOG!$H$2:$H$2001,1),0)</f>
        <v>1</v>
      </c>
      <c r="R15" s="46">
        <f>IF(Q15&gt;0,_xlfn.MAXIFS(LOG!$G$2:$G$2001,LOG!$C$2:$C$2001,F15,LOG!$H$2:$H$2001,1),0)</f>
        <v>46309.482679723646</v>
      </c>
      <c r="S15" s="28" t="str">
        <f>IF(Q15&gt;0,IFERROR(INDEX(LOG!$D$2:$D$2001,MATCH(F15&amp;"|"&amp;Q15,LOG!$I$2:$I$2001,0)),""),"")</f>
        <v>BOOKED</v>
      </c>
      <c r="T15" s="28">
        <f>IF(S15="",0,IFERROR(VLOOKUP(S15,LISTS!$A$2:$E$10,4,FALSE),0))</f>
        <v>0</v>
      </c>
      <c r="U15" s="46">
        <f t="shared" si="2"/>
        <v>46309.482679723646</v>
      </c>
      <c r="V15" s="46">
        <f>IF(L15=1,H15+SETTINGS!$B$5/24,"")</f>
        <v>46309.82708333333</v>
      </c>
      <c r="W15" s="28">
        <f ca="1">IF(L15=1,(V15-SETTINGS!$B$4)*24,"")</f>
        <v>-1.6666666720993817E-2</v>
      </c>
      <c r="X15" s="28">
        <f ca="1">IF(AND(L15=1,K15="OK",M15=0,N15=0,O15=0,P15=0,SETTINGS!$B$4&lt;V15,Q15&lt;SETTINGS!$B$6),1,0)</f>
        <v>0</v>
      </c>
      <c r="Y15" s="28">
        <f ca="1">IF(AND(X15=1,SETTINGS!$B$4&gt;=H15,SETTINGS!$B$4&gt;=U15,ROUND(MOD(SETTINGS!$B$4,1)*1440,0)&gt;=ROUND(SETTINGS!$B$7*1440,0),ROUND(MOD(SETTINGS!$B$4,1)*1440,0)&lt;ROUND(SETTINGS!$B$8*1440,0)),1,0)</f>
        <v>0</v>
      </c>
      <c r="Z15" s="28" t="str">
        <f ca="1">IF(B15="","",IF(ROUND(MOD(SETTINGS!$B$4,1)*1440,0)&lt;ROUND(SETTINGS!$B$11*1440,0),"Ram",IF(ROUND(MOD(SETTINGS!$B$4,1)*1440,0)&gt;=ROUND(SETTINGS!$B$10*1440,0),"Shyam",IF(MOD(IFERROR(VALUE(RIGHT(F15,2)),0),2)=0,"Ram","Shyam"))))</f>
        <v>Shyam</v>
      </c>
      <c r="AA15" s="28">
        <f t="shared" ca="1" si="3"/>
        <v>0</v>
      </c>
      <c r="AB15" s="28">
        <f ca="1">IF(X15=1,COUNTIFS($F$2:F15,F15,$X$2:X15,1),0)</f>
        <v>0</v>
      </c>
      <c r="AC15" s="28" t="str">
        <f>IF(L15=1,IF(IFERROR(INDEX(PARTNERS!$C$2:$C$88,MATCH(B15,PARTNERS!$A$2:$A$88,0)),"")="YES","YES","NO"),"")</f>
        <v>NO</v>
      </c>
      <c r="AD15" s="28" t="str">
        <f>IF(L15=1,IFERROR(INDEX(PARTNERS!$B$2:$B$88,MATCH(B15,PARTNERS!$A$2:$A$88,0)),""),"")</f>
        <v>https://calendly.com/partner092/interview</v>
      </c>
      <c r="AE15" s="28">
        <f ca="1">IF(X15=1,IFERROR(INDEX(SETTINGS!$B$34:$D$36,MATCH(I15,SETTINGS!$A$34:$A$36,0),MIN(Q15,2)+1),SETTINGS!$B$36),0)</f>
        <v>0</v>
      </c>
      <c r="AF15" s="28">
        <f t="shared" si="4"/>
        <v>1</v>
      </c>
      <c r="AG15" s="28">
        <f ca="1">IF(AND(Y15=1,AB15=1),ROUND(AA15*AE15*IF(AF15&gt;1,SETTINGS!$B$16,1)*IF(W15&lt;=SETTINGS!$B$14,SETTINGS!$B$15,1)*IF(AU15=1,SETTINGS!$B$21,1),6),0)</f>
        <v>0</v>
      </c>
      <c r="AH15" s="28" t="str">
        <f ca="1">IF(AG15&gt;0,COUNTIFS($Z$2:$Z$601,Z15,$AG$2:$AG$601,"&gt;"&amp;AG15)+COUNTIFS($Z$2:Z15,Z15,$AG$2:AG15,AG15),"")</f>
        <v/>
      </c>
      <c r="AI15" s="28" t="str">
        <f t="shared" ca="1" si="5"/>
        <v/>
      </c>
      <c r="AJ15" s="28" t="str">
        <f t="shared" ca="1" si="6"/>
        <v/>
      </c>
      <c r="AK15" s="28">
        <f>IF(L15=1,IF(COUNTIFS($F$2:F15,F15,$L$2:L15,1)=1,1,0),0)</f>
        <v>1</v>
      </c>
      <c r="AL15" s="28" t="str">
        <f>IF(B15="","",IF(K15="DUPLICATE","Duplicate (removed)",IF(AO15=1,"Scheduled within 24h",IF(M15=1,"Scheduled late",IF(K15="BAD CONTACT","Bad contact details",IF(O15=1,"Stopped / wrong number",IF(N15=1,"Not interested",IF(P15=1,"Partner has no slots",IF(SETTINGS!$B$4&gt;=V15,IF(Q15=0,"Missed deadline: never tried","Missed deadline: tried, not booked"),IF(Q15&gt;=SETTINGS!$B$6,"No reply after max tries","Open"))))))))))</f>
        <v>Scheduled within 24h</v>
      </c>
      <c r="AM15" s="46">
        <f>IF(M15=1,IF(_xlfn.MINIFS(LOG!$G$2:$G$2001,LOG!$C$2:$C$2001,F15,LOG!$E$2:$E$2001,B15,LOG!$D$2:$D$2001,"*BOOKED")=0,_xlfn.MINIFS(LOG!$G$2:$G$2001,LOG!$C$2:$C$2001,F15,LOG!$E$2:$E$2001,"",LOG!$D$2:$D$2001,"*BOOKED"),IF(_xlfn.MINIFS(LOG!$G$2:$G$2001,LOG!$C$2:$C$2001,F15,LOG!$E$2:$E$2001,"",LOG!$D$2:$D$2001,"*BOOKED")=0,_xlfn.MINIFS(LOG!$G$2:$G$2001,LOG!$C$2:$C$2001,F15,LOG!$E$2:$E$2001,B15,LOG!$D$2:$D$2001,"*BOOKED"),MIN(_xlfn.MINIFS(LOG!$G$2:$G$2001,LOG!$C$2:$C$2001,F15,LOG!$E$2:$E$2001,B15,LOG!$D$2:$D$2001,"*BOOKED"),_xlfn.MINIFS(LOG!$G$2:$G$2001,LOG!$C$2:$C$2001,F15,LOG!$E$2:$E$2001,"",LOG!$D$2:$D$2001,"*BOOKED")))),"")</f>
        <v>46309.46528172282</v>
      </c>
      <c r="AN15" s="28">
        <f t="shared" si="7"/>
        <v>15.316761347756255</v>
      </c>
      <c r="AO15" s="28">
        <f>IF(AND(M15=1,AN15&lt;&gt;""),IF(AN15&lt;=SETTINGS!$B$5,1,0),0)</f>
        <v>1</v>
      </c>
      <c r="AP15" s="28">
        <f>IF(M15=1,IF(COUNTIFS(LOG!$C$2:$C$2001,F15,LOG!$E$2:$E$2001,B15,LOG!$D$2:$D$2001,"BOOKED")+COUNTIFS(LOG!$C$2:$C$2001,F15,LOG!$E$2:$E$2001,"",LOG!$D$2:$D$2001,"BOOKED")&gt;0,1,0),0)</f>
        <v>1</v>
      </c>
      <c r="AQ15" s="28" t="str">
        <f t="shared" si="8"/>
        <v>Zoya</v>
      </c>
      <c r="AR15" s="28">
        <f>IF(AND(AK15=1,K15="OK"),COUNTIFS($AK$2:AK15,1,$K$2:K15,"OK"),"")</f>
        <v>14</v>
      </c>
      <c r="AS15" s="28" t="str">
        <f>IF(L15=1,IFERROR(INDEX(MESSAGES!$J$9:$J$1008,MATCH(F15,MESSAGES!$M$9:$M$1008,0))&amp;"",""),"")</f>
        <v/>
      </c>
      <c r="AT15" s="28" t="str">
        <f>IF(L15=1,IFERROR(INDEX(MESSAGES!$K$9:$K$1008,MATCH(F15,MESSAGES!$M$9:$M$1008,0))&amp;"",""),"")</f>
        <v/>
      </c>
      <c r="AU15" s="28">
        <f t="shared" ca="1" si="9"/>
        <v>0</v>
      </c>
      <c r="AV15" s="28" t="str">
        <f t="shared" si="10"/>
        <v>SEND</v>
      </c>
    </row>
    <row r="16" spans="1:48" x14ac:dyDescent="0.35">
      <c r="A16" s="28">
        <v>15</v>
      </c>
      <c r="B16" s="28" t="str">
        <f>IF(INPUT!A16="","",TRIM(INPUT!A16))</f>
        <v>Partner 003</v>
      </c>
      <c r="C16" s="28" t="str">
        <f>IF(B16="","",INPUT!C16)</f>
        <v>interviewer0@partner003.example.com</v>
      </c>
      <c r="D16" s="28" t="str">
        <f>IF(B16="","",INPUT!D16)</f>
        <v>Saanvi M.</v>
      </c>
      <c r="E16" s="28" t="str">
        <f>IF(B16="","",INPUT!E16)</f>
        <v>saanvi.m339@example.com</v>
      </c>
      <c r="F16" s="43" t="str">
        <f>IF(B16="","",TRIM(INPUT!F16&amp;""))</f>
        <v>9000004414</v>
      </c>
      <c r="G16" s="28" t="str">
        <f>IF(B16="","",INPUT!H16)</f>
        <v>Round1</v>
      </c>
      <c r="H16" s="46">
        <f>IF(B16="","",INPUT!I16)</f>
        <v>46308.82708333333</v>
      </c>
      <c r="I16" s="28" t="str">
        <f>IF(B16="","",IF(INPUT!J16="","None",INPUT!J16))</f>
        <v>Opened</v>
      </c>
      <c r="J16" s="28" t="str">
        <f t="shared" si="0"/>
        <v>saanvi.m339@example.com|partner 003|Round1|interviewer0@partner003.example.com</v>
      </c>
      <c r="K16" s="28" t="str">
        <f>IF(B16="","",IF(SUMPRODUCT(($J$2:$J$601=J16)*($H$2:$H$601&lt;H16))+SUMPRODUCT(($J$2:J16=J16)*($H$2:H16=H16))-1&gt;0,"DUPLICATE",IF(AND(ISNUMBER(SEARCH("@",E16)),ISNUMBER(SEARCH(".",E16)),LEN(F16)=10,ISNUMBER(VALUE(F16))),"OK","BAD CONTACT")))</f>
        <v>OK</v>
      </c>
      <c r="L16" s="28">
        <f t="shared" si="1"/>
        <v>1</v>
      </c>
      <c r="M16" s="28">
        <f>IF(L16=1,IF(COUNTIFS(LOG!$C$2:$C$2001,F16,LOG!$E$2:$E$2001,B16,LOG!$D$2:$D$2001,"*BOOKED")+COUNTIFS(LOG!$C$2:$C$2001,F16,LOG!$E$2:$E$2001,"",LOG!$D$2:$D$2001,"*BOOKED")&gt;0,1,0),0)</f>
        <v>1</v>
      </c>
      <c r="N16" s="28">
        <f>IF(L16=1,IF(COUNTIFS(LOG!$C$2:$C$2001,F16,LOG!$E$2:$E$2001,B16,LOG!$D$2:$D$2001,"NOT_INTERESTED")+COUNTIFS(LOG!$C$2:$C$2001,F16,LOG!$E$2:$E$2001,"",LOG!$D$2:$D$2001,"NOT_INTERESTED")&gt;0,1,0),0)</f>
        <v>0</v>
      </c>
      <c r="O16" s="28">
        <f>IF(L16=1,IF(COUNTIFS(LOG!$C$2:$C$2001,F16,LOG!$D$2:$D$2001,"STOP")+COUNTIFS(LOG!$C$2:$C$2001,F16,LOG!$D$2:$D$2001,"WRONG_NUMBER")&gt;0,1,IF(ISNUMBER(SEARCH("STOP",AT16)),1,0)),0)</f>
        <v>0</v>
      </c>
      <c r="P16" s="28">
        <f>IF(L16=1,IF(IFERROR(INDEX(PARTNERS!$D$2:$D$88,MATCH(B16,PARTNERS!$A$2:$A$88,0)),"")="NO SLOTS",1,IF(AND(IFERROR(INDEX(PARTNERS!$D$2:$D$88,MATCH(B16,PARTNERS!$A$2:$A$88,0)),"")&lt;&gt;"REOPENED",COUNTIFS(LOG!$E$2:$E$2001,B16,LOG!$D$2:$D$2001,"NO_SLOTS")&gt;0),1,0)),0)</f>
        <v>0</v>
      </c>
      <c r="Q16" s="28">
        <f>IF(L16=1,COUNTIFS(LOG!$C$2:$C$2001,F16,LOG!$H$2:$H$2001,1),0)</f>
        <v>0</v>
      </c>
      <c r="R16" s="46">
        <f>IF(Q16&gt;0,_xlfn.MAXIFS(LOG!$G$2:$G$2001,LOG!$C$2:$C$2001,F16,LOG!$H$2:$H$2001,1),0)</f>
        <v>0</v>
      </c>
      <c r="S16" s="28" t="str">
        <f>IF(Q16&gt;0,IFERROR(INDEX(LOG!$D$2:$D$2001,MATCH(F16&amp;"|"&amp;Q16,LOG!$I$2:$I$2001,0)),""),"")</f>
        <v/>
      </c>
      <c r="T16" s="28">
        <f>IF(S16="",0,IFERROR(VLOOKUP(S16,LISTS!$A$2:$E$10,4,FALSE),0))</f>
        <v>0</v>
      </c>
      <c r="U16" s="46">
        <f t="shared" si="2"/>
        <v>0</v>
      </c>
      <c r="V16" s="46">
        <f>IF(L16=1,H16+SETTINGS!$B$5/24,"")</f>
        <v>46309.82708333333</v>
      </c>
      <c r="W16" s="28">
        <f ca="1">IF(L16=1,(V16-SETTINGS!$B$4)*24,"")</f>
        <v>-1.6666666720993817E-2</v>
      </c>
      <c r="X16" s="28">
        <f ca="1">IF(AND(L16=1,K16="OK",M16=0,N16=0,O16=0,P16=0,SETTINGS!$B$4&lt;V16,Q16&lt;SETTINGS!$B$6),1,0)</f>
        <v>0</v>
      </c>
      <c r="Y16" s="28">
        <f ca="1">IF(AND(X16=1,SETTINGS!$B$4&gt;=H16,SETTINGS!$B$4&gt;=U16,ROUND(MOD(SETTINGS!$B$4,1)*1440,0)&gt;=ROUND(SETTINGS!$B$7*1440,0),ROUND(MOD(SETTINGS!$B$4,1)*1440,0)&lt;ROUND(SETTINGS!$B$8*1440,0)),1,0)</f>
        <v>0</v>
      </c>
      <c r="Z16" s="28" t="str">
        <f ca="1">IF(B16="","",IF(ROUND(MOD(SETTINGS!$B$4,1)*1440,0)&lt;ROUND(SETTINGS!$B$11*1440,0),"Ram",IF(ROUND(MOD(SETTINGS!$B$4,1)*1440,0)&gt;=ROUND(SETTINGS!$B$10*1440,0),"Shyam",IF(MOD(IFERROR(VALUE(RIGHT(F16,2)),0),2)=0,"Ram","Shyam"))))</f>
        <v>Shyam</v>
      </c>
      <c r="AA16" s="28">
        <f t="shared" ca="1" si="3"/>
        <v>0</v>
      </c>
      <c r="AB16" s="28">
        <f ca="1">IF(X16=1,COUNTIFS($F$2:F16,F16,$X$2:X16,1),0)</f>
        <v>0</v>
      </c>
      <c r="AC16" s="28" t="str">
        <f>IF(L16=1,IF(IFERROR(INDEX(PARTNERS!$C$2:$C$88,MATCH(B16,PARTNERS!$A$2:$A$88,0)),"")="YES","YES","NO"),"")</f>
        <v>NO</v>
      </c>
      <c r="AD16" s="28" t="str">
        <f>IF(L16=1,IFERROR(INDEX(PARTNERS!$B$2:$B$88,MATCH(B16,PARTNERS!$A$2:$A$88,0)),""),"")</f>
        <v>https://calendly.com/partner003/interview</v>
      </c>
      <c r="AE16" s="28">
        <f ca="1">IF(X16=1,IFERROR(INDEX(SETTINGS!$B$34:$D$36,MATCH(I16,SETTINGS!$A$34:$A$36,0),MIN(Q16,2)+1),SETTINGS!$B$36),0)</f>
        <v>0</v>
      </c>
      <c r="AF16" s="28">
        <f t="shared" si="4"/>
        <v>1</v>
      </c>
      <c r="AG16" s="28">
        <f ca="1">IF(AND(Y16=1,AB16=1),ROUND(AA16*AE16*IF(AF16&gt;1,SETTINGS!$B$16,1)*IF(W16&lt;=SETTINGS!$B$14,SETTINGS!$B$15,1)*IF(AU16=1,SETTINGS!$B$21,1),6),0)</f>
        <v>0</v>
      </c>
      <c r="AH16" s="28" t="str">
        <f ca="1">IF(AG16&gt;0,COUNTIFS($Z$2:$Z$601,Z16,$AG$2:$AG$601,"&gt;"&amp;AG16)+COUNTIFS($Z$2:Z16,Z16,$AG$2:AG16,AG16),"")</f>
        <v/>
      </c>
      <c r="AI16" s="28" t="str">
        <f t="shared" ca="1" si="5"/>
        <v/>
      </c>
      <c r="AJ16" s="28" t="str">
        <f t="shared" ca="1" si="6"/>
        <v/>
      </c>
      <c r="AK16" s="28">
        <f>IF(L16=1,IF(COUNTIFS($F$2:F16,F16,$L$2:L16,1)=1,1,0),0)</f>
        <v>1</v>
      </c>
      <c r="AL16" s="28" t="str">
        <f>IF(B16="","",IF(K16="DUPLICATE","Duplicate (removed)",IF(AO16=1,"Scheduled within 24h",IF(M16=1,"Scheduled late",IF(K16="BAD CONTACT","Bad contact details",IF(O16=1,"Stopped / wrong number",IF(N16=1,"Not interested",IF(P16=1,"Partner has no slots",IF(SETTINGS!$B$4&gt;=V16,IF(Q16=0,"Missed deadline: never tried","Missed deadline: tried, not booked"),IF(Q16&gt;=SETTINGS!$B$6,"No reply after max tries","Open"))))))))))</f>
        <v>Scheduled within 24h</v>
      </c>
      <c r="AM16" s="46">
        <f>IF(M16=1,IF(_xlfn.MINIFS(LOG!$G$2:$G$2001,LOG!$C$2:$C$2001,F16,LOG!$E$2:$E$2001,B16,LOG!$D$2:$D$2001,"*BOOKED")=0,_xlfn.MINIFS(LOG!$G$2:$G$2001,LOG!$C$2:$C$2001,F16,LOG!$E$2:$E$2001,"",LOG!$D$2:$D$2001,"*BOOKED"),IF(_xlfn.MINIFS(LOG!$G$2:$G$2001,LOG!$C$2:$C$2001,F16,LOG!$E$2:$E$2001,"",LOG!$D$2:$D$2001,"*BOOKED")=0,_xlfn.MINIFS(LOG!$G$2:$G$2001,LOG!$C$2:$C$2001,F16,LOG!$E$2:$E$2001,B16,LOG!$D$2:$D$2001,"*BOOKED"),MIN(_xlfn.MINIFS(LOG!$G$2:$G$2001,LOG!$C$2:$C$2001,F16,LOG!$E$2:$E$2001,B16,LOG!$D$2:$D$2001,"*BOOKED"),_xlfn.MINIFS(LOG!$G$2:$G$2001,LOG!$C$2:$C$2001,F16,LOG!$E$2:$E$2001,"",LOG!$D$2:$D$2001,"*BOOKED")))),"")</f>
        <v>46309.424485615556</v>
      </c>
      <c r="AN16" s="28">
        <f t="shared" si="7"/>
        <v>14.337654773436952</v>
      </c>
      <c r="AO16" s="28">
        <f>IF(AND(M16=1,AN16&lt;&gt;""),IF(AN16&lt;=SETTINGS!$B$5,1,0),0)</f>
        <v>1</v>
      </c>
      <c r="AP16" s="28">
        <f>IF(M16=1,IF(COUNTIFS(LOG!$C$2:$C$2001,F16,LOG!$E$2:$E$2001,B16,LOG!$D$2:$D$2001,"BOOKED")+COUNTIFS(LOG!$C$2:$C$2001,F16,LOG!$E$2:$E$2001,"",LOG!$D$2:$D$2001,"BOOKED")&gt;0,1,0),0)</f>
        <v>0</v>
      </c>
      <c r="AQ16" s="28" t="str">
        <f t="shared" si="8"/>
        <v>Saanvi</v>
      </c>
      <c r="AR16" s="28">
        <f>IF(AND(AK16=1,K16="OK"),COUNTIFS($AK$2:AK16,1,$K$2:K16,"OK"),"")</f>
        <v>15</v>
      </c>
      <c r="AS16" s="28" t="str">
        <f>IF(L16=1,IFERROR(INDEX(MESSAGES!$J$9:$J$1008,MATCH(F16,MESSAGES!$M$9:$M$1008,0))&amp;"",""),"")</f>
        <v/>
      </c>
      <c r="AT16" s="28" t="str">
        <f>IF(L16=1,IFERROR(INDEX(MESSAGES!$K$9:$K$1008,MATCH(F16,MESSAGES!$M$9:$M$1008,0))&amp;"",""),"")</f>
        <v/>
      </c>
      <c r="AU16" s="28">
        <f t="shared" ca="1" si="9"/>
        <v>0</v>
      </c>
      <c r="AV16" s="28" t="str">
        <f t="shared" si="10"/>
        <v>HOLD</v>
      </c>
    </row>
    <row r="17" spans="1:48" x14ac:dyDescent="0.35">
      <c r="A17" s="28">
        <v>16</v>
      </c>
      <c r="B17" s="28" t="str">
        <f>IF(INPUT!A17="","",TRIM(INPUT!A17))</f>
        <v>Partner 000</v>
      </c>
      <c r="C17" s="28" t="str">
        <f>IF(B17="","",INPUT!C17)</f>
        <v>interviewer2@partner000.example.com</v>
      </c>
      <c r="D17" s="28" t="str">
        <f>IF(B17="","",INPUT!D17)</f>
        <v>Sneha B.</v>
      </c>
      <c r="E17" s="28" t="str">
        <f>IF(B17="","",INPUT!E17)</f>
        <v>sneha.b053@example.com</v>
      </c>
      <c r="F17" s="43" t="str">
        <f>IF(B17="","",TRIM(INPUT!F17&amp;""))</f>
        <v>9000000696</v>
      </c>
      <c r="G17" s="28" t="str">
        <f>IF(B17="","",INPUT!H17)</f>
        <v>Round1</v>
      </c>
      <c r="H17" s="46">
        <f>IF(B17="","",INPUT!I17)</f>
        <v>46308.82708333333</v>
      </c>
      <c r="I17" s="28" t="str">
        <f>IF(B17="","",IF(INPUT!J17="","None",INPUT!J17))</f>
        <v>Clicked</v>
      </c>
      <c r="J17" s="28" t="str">
        <f t="shared" si="0"/>
        <v>sneha.b053@example.com|partner 000|Round1|interviewer2@partner000.example.com</v>
      </c>
      <c r="K17" s="28" t="str">
        <f>IF(B17="","",IF(SUMPRODUCT(($J$2:$J$601=J17)*($H$2:$H$601&lt;H17))+SUMPRODUCT(($J$2:J17=J17)*($H$2:H17=H17))-1&gt;0,"DUPLICATE",IF(AND(ISNUMBER(SEARCH("@",E17)),ISNUMBER(SEARCH(".",E17)),LEN(F17)=10,ISNUMBER(VALUE(F17))),"OK","BAD CONTACT")))</f>
        <v>OK</v>
      </c>
      <c r="L17" s="28">
        <f t="shared" si="1"/>
        <v>1</v>
      </c>
      <c r="M17" s="28">
        <f>IF(L17=1,IF(COUNTIFS(LOG!$C$2:$C$2001,F17,LOG!$E$2:$E$2001,B17,LOG!$D$2:$D$2001,"*BOOKED")+COUNTIFS(LOG!$C$2:$C$2001,F17,LOG!$E$2:$E$2001,"",LOG!$D$2:$D$2001,"*BOOKED")&gt;0,1,0),0)</f>
        <v>0</v>
      </c>
      <c r="N17" s="28">
        <f>IF(L17=1,IF(COUNTIFS(LOG!$C$2:$C$2001,F17,LOG!$E$2:$E$2001,B17,LOG!$D$2:$D$2001,"NOT_INTERESTED")+COUNTIFS(LOG!$C$2:$C$2001,F17,LOG!$E$2:$E$2001,"",LOG!$D$2:$D$2001,"NOT_INTERESTED")&gt;0,1,0),0)</f>
        <v>0</v>
      </c>
      <c r="O17" s="28">
        <f>IF(L17=1,IF(COUNTIFS(LOG!$C$2:$C$2001,F17,LOG!$D$2:$D$2001,"STOP")+COUNTIFS(LOG!$C$2:$C$2001,F17,LOG!$D$2:$D$2001,"WRONG_NUMBER")&gt;0,1,IF(ISNUMBER(SEARCH("STOP",AT17)),1,0)),0)</f>
        <v>0</v>
      </c>
      <c r="P17" s="28">
        <f>IF(L17=1,IF(IFERROR(INDEX(PARTNERS!$D$2:$D$88,MATCH(B17,PARTNERS!$A$2:$A$88,0)),"")="NO SLOTS",1,IF(AND(IFERROR(INDEX(PARTNERS!$D$2:$D$88,MATCH(B17,PARTNERS!$A$2:$A$88,0)),"")&lt;&gt;"REOPENED",COUNTIFS(LOG!$E$2:$E$2001,B17,LOG!$D$2:$D$2001,"NO_SLOTS")&gt;0),1,0)),0)</f>
        <v>0</v>
      </c>
      <c r="Q17" s="28">
        <f>IF(L17=1,COUNTIFS(LOG!$C$2:$C$2001,F17,LOG!$H$2:$H$2001,1),0)</f>
        <v>2</v>
      </c>
      <c r="R17" s="46">
        <f>IF(Q17&gt;0,_xlfn.MAXIFS(LOG!$G$2:$G$2001,LOG!$C$2:$C$2001,F17,LOG!$H$2:$H$2001,1),0)</f>
        <v>46309.693534881582</v>
      </c>
      <c r="S17" s="28" t="str">
        <f>IF(Q17&gt;0,IFERROR(INDEX(LOG!$D$2:$D$2001,MATCH(F17&amp;"|"&amp;Q17,LOG!$I$2:$I$2001,0)),""),"")</f>
        <v>NO_ANSWER</v>
      </c>
      <c r="T17" s="28">
        <f>IF(S17="",0,IFERROR(VLOOKUP(S17,LISTS!$A$2:$E$10,4,FALSE),0))</f>
        <v>120</v>
      </c>
      <c r="U17" s="46">
        <f t="shared" si="2"/>
        <v>46309.776868214918</v>
      </c>
      <c r="V17" s="46">
        <f>IF(L17=1,H17+SETTINGS!$B$5/24,"")</f>
        <v>46309.82708333333</v>
      </c>
      <c r="W17" s="28">
        <f ca="1">IF(L17=1,(V17-SETTINGS!$B$4)*24,"")</f>
        <v>-1.6666666720993817E-2</v>
      </c>
      <c r="X17" s="28">
        <f ca="1">IF(AND(L17=1,K17="OK",M17=0,N17=0,O17=0,P17=0,SETTINGS!$B$4&lt;V17,Q17&lt;SETTINGS!$B$6),1,0)</f>
        <v>0</v>
      </c>
      <c r="Y17" s="28">
        <f ca="1">IF(AND(X17=1,SETTINGS!$B$4&gt;=H17,SETTINGS!$B$4&gt;=U17,ROUND(MOD(SETTINGS!$B$4,1)*1440,0)&gt;=ROUND(SETTINGS!$B$7*1440,0),ROUND(MOD(SETTINGS!$B$4,1)*1440,0)&lt;ROUND(SETTINGS!$B$8*1440,0)),1,0)</f>
        <v>0</v>
      </c>
      <c r="Z17" s="28" t="str">
        <f ca="1">IF(B17="","",IF(ROUND(MOD(SETTINGS!$B$4,1)*1440,0)&lt;ROUND(SETTINGS!$B$11*1440,0),"Ram",IF(ROUND(MOD(SETTINGS!$B$4,1)*1440,0)&gt;=ROUND(SETTINGS!$B$10*1440,0),"Shyam",IF(MOD(IFERROR(VALUE(RIGHT(F17,2)),0),2)=0,"Ram","Shyam"))))</f>
        <v>Shyam</v>
      </c>
      <c r="AA17" s="28">
        <f t="shared" ca="1" si="3"/>
        <v>0</v>
      </c>
      <c r="AB17" s="28">
        <f ca="1">IF(X17=1,COUNTIFS($F$2:F17,F17,$X$2:X17,1),0)</f>
        <v>0</v>
      </c>
      <c r="AC17" s="28" t="str">
        <f>IF(L17=1,IF(IFERROR(INDEX(PARTNERS!$C$2:$C$88,MATCH(B17,PARTNERS!$A$2:$A$88,0)),"")="YES","YES","NO"),"")</f>
        <v>NO</v>
      </c>
      <c r="AD17" s="28" t="str">
        <f>IF(L17=1,IFERROR(INDEX(PARTNERS!$B$2:$B$88,MATCH(B17,PARTNERS!$A$2:$A$88,0)),""),"")</f>
        <v>https://calendly.com/partner000/interview</v>
      </c>
      <c r="AE17" s="28">
        <f ca="1">IF(X17=1,IFERROR(INDEX(SETTINGS!$B$34:$D$36,MATCH(I17,SETTINGS!$A$34:$A$36,0),MIN(Q17,2)+1),SETTINGS!$B$36),0)</f>
        <v>0</v>
      </c>
      <c r="AF17" s="28">
        <f t="shared" si="4"/>
        <v>1</v>
      </c>
      <c r="AG17" s="28">
        <f ca="1">IF(AND(Y17=1,AB17=1),ROUND(AA17*AE17*IF(AF17&gt;1,SETTINGS!$B$16,1)*IF(W17&lt;=SETTINGS!$B$14,SETTINGS!$B$15,1)*IF(AU17=1,SETTINGS!$B$21,1),6),0)</f>
        <v>0</v>
      </c>
      <c r="AH17" s="28" t="str">
        <f ca="1">IF(AG17&gt;0,COUNTIFS($Z$2:$Z$601,Z17,$AG$2:$AG$601,"&gt;"&amp;AG17)+COUNTIFS($Z$2:Z17,Z17,$AG$2:AG17,AG17),"")</f>
        <v/>
      </c>
      <c r="AI17" s="28" t="str">
        <f t="shared" ca="1" si="5"/>
        <v/>
      </c>
      <c r="AJ17" s="28" t="str">
        <f t="shared" ca="1" si="6"/>
        <v/>
      </c>
      <c r="AK17" s="28">
        <f>IF(L17=1,IF(COUNTIFS($F$2:F17,F17,$L$2:L17,1)=1,1,0),0)</f>
        <v>1</v>
      </c>
      <c r="AL17" s="28" t="str">
        <f ca="1">IF(B17="","",IF(K17="DUPLICATE","Duplicate (removed)",IF(AO17=1,"Scheduled within 24h",IF(M17=1,"Scheduled late",IF(K17="BAD CONTACT","Bad contact details",IF(O17=1,"Stopped / wrong number",IF(N17=1,"Not interested",IF(P17=1,"Partner has no slots",IF(SETTINGS!$B$4&gt;=V17,IF(Q17=0,"Missed deadline: never tried","Missed deadline: tried, not booked"),IF(Q17&gt;=SETTINGS!$B$6,"No reply after max tries","Open"))))))))))</f>
        <v>Missed deadline: tried, not booked</v>
      </c>
      <c r="AM17" s="46" t="str">
        <f>IF(M17=1,IF(_xlfn.MINIFS(LOG!$G$2:$G$2001,LOG!$C$2:$C$2001,F17,LOG!$E$2:$E$2001,B17,LOG!$D$2:$D$2001,"*BOOKED")=0,_xlfn.MINIFS(LOG!$G$2:$G$2001,LOG!$C$2:$C$2001,F17,LOG!$E$2:$E$2001,"",LOG!$D$2:$D$2001,"*BOOKED"),IF(_xlfn.MINIFS(LOG!$G$2:$G$2001,LOG!$C$2:$C$2001,F17,LOG!$E$2:$E$2001,"",LOG!$D$2:$D$2001,"*BOOKED")=0,_xlfn.MINIFS(LOG!$G$2:$G$2001,LOG!$C$2:$C$2001,F17,LOG!$E$2:$E$2001,B17,LOG!$D$2:$D$2001,"*BOOKED"),MIN(_xlfn.MINIFS(LOG!$G$2:$G$2001,LOG!$C$2:$C$2001,F17,LOG!$E$2:$E$2001,B17,LOG!$D$2:$D$2001,"*BOOKED"),_xlfn.MINIFS(LOG!$G$2:$G$2001,LOG!$C$2:$C$2001,F17,LOG!$E$2:$E$2001,"",LOG!$D$2:$D$2001,"*BOOKED")))),"")</f>
        <v/>
      </c>
      <c r="AN17" s="28" t="str">
        <f t="shared" si="7"/>
        <v/>
      </c>
      <c r="AO17" s="28">
        <f>IF(AND(M17=1,AN17&lt;&gt;""),IF(AN17&lt;=SETTINGS!$B$5,1,0),0)</f>
        <v>0</v>
      </c>
      <c r="AP17" s="28">
        <f>IF(M17=1,IF(COUNTIFS(LOG!$C$2:$C$2001,F17,LOG!$E$2:$E$2001,B17,LOG!$D$2:$D$2001,"BOOKED")+COUNTIFS(LOG!$C$2:$C$2001,F17,LOG!$E$2:$E$2001,"",LOG!$D$2:$D$2001,"BOOKED")&gt;0,1,0),0)</f>
        <v>0</v>
      </c>
      <c r="AQ17" s="28" t="str">
        <f t="shared" si="8"/>
        <v>Sneha</v>
      </c>
      <c r="AR17" s="28">
        <f>IF(AND(AK17=1,K17="OK"),COUNTIFS($AK$2:AK17,1,$K$2:K17,"OK"),"")</f>
        <v>16</v>
      </c>
      <c r="AS17" s="28" t="str">
        <f>IF(L17=1,IFERROR(INDEX(MESSAGES!$J$9:$J$1008,MATCH(F17,MESSAGES!$M$9:$M$1008,0))&amp;"",""),"")</f>
        <v/>
      </c>
      <c r="AT17" s="28" t="str">
        <f>IF(L17=1,IFERROR(INDEX(MESSAGES!$K$9:$K$1008,MATCH(F17,MESSAGES!$M$9:$M$1008,0))&amp;"",""),"")</f>
        <v/>
      </c>
      <c r="AU17" s="28">
        <f t="shared" ca="1" si="9"/>
        <v>0</v>
      </c>
      <c r="AV17" s="28" t="str">
        <f t="shared" si="10"/>
        <v>HOLD</v>
      </c>
    </row>
    <row r="18" spans="1:48" x14ac:dyDescent="0.35">
      <c r="A18" s="28">
        <v>17</v>
      </c>
      <c r="B18" s="28" t="str">
        <f>IF(INPUT!A18="","",TRIM(INPUT!A18))</f>
        <v>Partner 024</v>
      </c>
      <c r="C18" s="28" t="str">
        <f>IF(B18="","",INPUT!C18)</f>
        <v>interviewer1@partner024.example.com</v>
      </c>
      <c r="D18" s="28" t="str">
        <f>IF(B18="","",INPUT!D18)</f>
        <v>Varun L.</v>
      </c>
      <c r="E18" s="28" t="str">
        <f>IF(B18="","",INPUT!E18)</f>
        <v>varun.l328@example.com</v>
      </c>
      <c r="F18" s="43" t="str">
        <f>IF(B18="","",TRIM(INPUT!F18&amp;""))</f>
        <v>9000004271</v>
      </c>
      <c r="G18" s="28" t="str">
        <f>IF(B18="","",INPUT!H18)</f>
        <v>Round1</v>
      </c>
      <c r="H18" s="46">
        <f>IF(B18="","",INPUT!I18)</f>
        <v>46308.82708333333</v>
      </c>
      <c r="I18" s="28" t="str">
        <f>IF(B18="","",IF(INPUT!J18="","None",INPUT!J18))</f>
        <v>Opened</v>
      </c>
      <c r="J18" s="28" t="str">
        <f t="shared" si="0"/>
        <v>varun.l328@example.com|partner 024|Round1|interviewer1@partner024.example.com</v>
      </c>
      <c r="K18" s="28" t="str">
        <f>IF(B18="","",IF(SUMPRODUCT(($J$2:$J$601=J18)*($H$2:$H$601&lt;H18))+SUMPRODUCT(($J$2:J18=J18)*($H$2:H18=H18))-1&gt;0,"DUPLICATE",IF(AND(ISNUMBER(SEARCH("@",E18)),ISNUMBER(SEARCH(".",E18)),LEN(F18)=10,ISNUMBER(VALUE(F18))),"OK","BAD CONTACT")))</f>
        <v>OK</v>
      </c>
      <c r="L18" s="28">
        <f t="shared" si="1"/>
        <v>1</v>
      </c>
      <c r="M18" s="28">
        <f>IF(L18=1,IF(COUNTIFS(LOG!$C$2:$C$2001,F18,LOG!$E$2:$E$2001,B18,LOG!$D$2:$D$2001,"*BOOKED")+COUNTIFS(LOG!$C$2:$C$2001,F18,LOG!$E$2:$E$2001,"",LOG!$D$2:$D$2001,"*BOOKED")&gt;0,1,0),0)</f>
        <v>0</v>
      </c>
      <c r="N18" s="28">
        <f>IF(L18=1,IF(COUNTIFS(LOG!$C$2:$C$2001,F18,LOG!$E$2:$E$2001,B18,LOG!$D$2:$D$2001,"NOT_INTERESTED")+COUNTIFS(LOG!$C$2:$C$2001,F18,LOG!$E$2:$E$2001,"",LOG!$D$2:$D$2001,"NOT_INTERESTED")&gt;0,1,0),0)</f>
        <v>0</v>
      </c>
      <c r="O18" s="28">
        <f>IF(L18=1,IF(COUNTIFS(LOG!$C$2:$C$2001,F18,LOG!$D$2:$D$2001,"STOP")+COUNTIFS(LOG!$C$2:$C$2001,F18,LOG!$D$2:$D$2001,"WRONG_NUMBER")&gt;0,1,IF(ISNUMBER(SEARCH("STOP",AT18)),1,0)),0)</f>
        <v>0</v>
      </c>
      <c r="P18" s="28">
        <f>IF(L18=1,IF(IFERROR(INDEX(PARTNERS!$D$2:$D$88,MATCH(B18,PARTNERS!$A$2:$A$88,0)),"")="NO SLOTS",1,IF(AND(IFERROR(INDEX(PARTNERS!$D$2:$D$88,MATCH(B18,PARTNERS!$A$2:$A$88,0)),"")&lt;&gt;"REOPENED",COUNTIFS(LOG!$E$2:$E$2001,B18,LOG!$D$2:$D$2001,"NO_SLOTS")&gt;0),1,0)),0)</f>
        <v>0</v>
      </c>
      <c r="Q18" s="28">
        <f>IF(L18=1,COUNTIFS(LOG!$C$2:$C$2001,F18,LOG!$H$2:$H$2001,1),0)</f>
        <v>3</v>
      </c>
      <c r="R18" s="46">
        <f>IF(Q18&gt;0,_xlfn.MAXIFS(LOG!$G$2:$G$2001,LOG!$C$2:$C$2001,F18,LOG!$H$2:$H$2001,1),0)</f>
        <v>46309.690953984915</v>
      </c>
      <c r="S18" s="28" t="str">
        <f>IF(Q18&gt;0,IFERROR(INDEX(LOG!$D$2:$D$2001,MATCH(F18&amp;"|"&amp;Q18,LOG!$I$2:$I$2001,0)),""),"")</f>
        <v>NO_ANSWER</v>
      </c>
      <c r="T18" s="28">
        <f>IF(S18="",0,IFERROR(VLOOKUP(S18,LISTS!$A$2:$E$10,4,FALSE),0))</f>
        <v>120</v>
      </c>
      <c r="U18" s="46">
        <f t="shared" si="2"/>
        <v>46309.774287318251</v>
      </c>
      <c r="V18" s="46">
        <f>IF(L18=1,H18+SETTINGS!$B$5/24,"")</f>
        <v>46309.82708333333</v>
      </c>
      <c r="W18" s="28">
        <f ca="1">IF(L18=1,(V18-SETTINGS!$B$4)*24,"")</f>
        <v>-1.6666666720993817E-2</v>
      </c>
      <c r="X18" s="28">
        <f ca="1">IF(AND(L18=1,K18="OK",M18=0,N18=0,O18=0,P18=0,SETTINGS!$B$4&lt;V18,Q18&lt;SETTINGS!$B$6),1,0)</f>
        <v>0</v>
      </c>
      <c r="Y18" s="28">
        <f ca="1">IF(AND(X18=1,SETTINGS!$B$4&gt;=H18,SETTINGS!$B$4&gt;=U18,ROUND(MOD(SETTINGS!$B$4,1)*1440,0)&gt;=ROUND(SETTINGS!$B$7*1440,0),ROUND(MOD(SETTINGS!$B$4,1)*1440,0)&lt;ROUND(SETTINGS!$B$8*1440,0)),1,0)</f>
        <v>0</v>
      </c>
      <c r="Z18" s="28" t="str">
        <f ca="1">IF(B18="","",IF(ROUND(MOD(SETTINGS!$B$4,1)*1440,0)&lt;ROUND(SETTINGS!$B$11*1440,0),"Ram",IF(ROUND(MOD(SETTINGS!$B$4,1)*1440,0)&gt;=ROUND(SETTINGS!$B$10*1440,0),"Shyam",IF(MOD(IFERROR(VALUE(RIGHT(F18,2)),0),2)=0,"Ram","Shyam"))))</f>
        <v>Shyam</v>
      </c>
      <c r="AA18" s="28">
        <f t="shared" ca="1" si="3"/>
        <v>0</v>
      </c>
      <c r="AB18" s="28">
        <f ca="1">IF(X18=1,COUNTIFS($F$2:F18,F18,$X$2:X18,1),0)</f>
        <v>0</v>
      </c>
      <c r="AC18" s="28" t="str">
        <f>IF(L18=1,IF(IFERROR(INDEX(PARTNERS!$C$2:$C$88,MATCH(B18,PARTNERS!$A$2:$A$88,0)),"")="YES","YES","NO"),"")</f>
        <v>YES</v>
      </c>
      <c r="AD18" s="28" t="str">
        <f>IF(L18=1,IFERROR(INDEX(PARTNERS!$B$2:$B$88,MATCH(B18,PARTNERS!$A$2:$A$88,0)),""),"")</f>
        <v>https://calendly.com/partner024/interview</v>
      </c>
      <c r="AE18" s="28">
        <f ca="1">IF(X18=1,IFERROR(INDEX(SETTINGS!$B$34:$D$36,MATCH(I18,SETTINGS!$A$34:$A$36,0),MIN(Q18,2)+1),SETTINGS!$B$36),0)</f>
        <v>0</v>
      </c>
      <c r="AF18" s="28">
        <f t="shared" si="4"/>
        <v>1</v>
      </c>
      <c r="AG18" s="28">
        <f ca="1">IF(AND(Y18=1,AB18=1),ROUND(AA18*AE18*IF(AF18&gt;1,SETTINGS!$B$16,1)*IF(W18&lt;=SETTINGS!$B$14,SETTINGS!$B$15,1)*IF(AU18=1,SETTINGS!$B$21,1),6),0)</f>
        <v>0</v>
      </c>
      <c r="AH18" s="28" t="str">
        <f ca="1">IF(AG18&gt;0,COUNTIFS($Z$2:$Z$601,Z18,$AG$2:$AG$601,"&gt;"&amp;AG18)+COUNTIFS($Z$2:Z18,Z18,$AG$2:AG18,AG18),"")</f>
        <v/>
      </c>
      <c r="AI18" s="28" t="str">
        <f t="shared" ca="1" si="5"/>
        <v/>
      </c>
      <c r="AJ18" s="28" t="str">
        <f t="shared" ca="1" si="6"/>
        <v/>
      </c>
      <c r="AK18" s="28">
        <f>IF(L18=1,IF(COUNTIFS($F$2:F18,F18,$L$2:L18,1)=1,1,0),0)</f>
        <v>1</v>
      </c>
      <c r="AL18" s="28" t="str">
        <f ca="1">IF(B18="","",IF(K18="DUPLICATE","Duplicate (removed)",IF(AO18=1,"Scheduled within 24h",IF(M18=1,"Scheduled late",IF(K18="BAD CONTACT","Bad contact details",IF(O18=1,"Stopped / wrong number",IF(N18=1,"Not interested",IF(P18=1,"Partner has no slots",IF(SETTINGS!$B$4&gt;=V18,IF(Q18=0,"Missed deadline: never tried","Missed deadline: tried, not booked"),IF(Q18&gt;=SETTINGS!$B$6,"No reply after max tries","Open"))))))))))</f>
        <v>Missed deadline: tried, not booked</v>
      </c>
      <c r="AM18" s="46" t="str">
        <f>IF(M18=1,IF(_xlfn.MINIFS(LOG!$G$2:$G$2001,LOG!$C$2:$C$2001,F18,LOG!$E$2:$E$2001,B18,LOG!$D$2:$D$2001,"*BOOKED")=0,_xlfn.MINIFS(LOG!$G$2:$G$2001,LOG!$C$2:$C$2001,F18,LOG!$E$2:$E$2001,"",LOG!$D$2:$D$2001,"*BOOKED"),IF(_xlfn.MINIFS(LOG!$G$2:$G$2001,LOG!$C$2:$C$2001,F18,LOG!$E$2:$E$2001,"",LOG!$D$2:$D$2001,"*BOOKED")=0,_xlfn.MINIFS(LOG!$G$2:$G$2001,LOG!$C$2:$C$2001,F18,LOG!$E$2:$E$2001,B18,LOG!$D$2:$D$2001,"*BOOKED"),MIN(_xlfn.MINIFS(LOG!$G$2:$G$2001,LOG!$C$2:$C$2001,F18,LOG!$E$2:$E$2001,B18,LOG!$D$2:$D$2001,"*BOOKED"),_xlfn.MINIFS(LOG!$G$2:$G$2001,LOG!$C$2:$C$2001,F18,LOG!$E$2:$E$2001,"",LOG!$D$2:$D$2001,"*BOOKED")))),"")</f>
        <v/>
      </c>
      <c r="AN18" s="28" t="str">
        <f t="shared" si="7"/>
        <v/>
      </c>
      <c r="AO18" s="28">
        <f>IF(AND(M18=1,AN18&lt;&gt;""),IF(AN18&lt;=SETTINGS!$B$5,1,0),0)</f>
        <v>0</v>
      </c>
      <c r="AP18" s="28">
        <f>IF(M18=1,IF(COUNTIFS(LOG!$C$2:$C$2001,F18,LOG!$E$2:$E$2001,B18,LOG!$D$2:$D$2001,"BOOKED")+COUNTIFS(LOG!$C$2:$C$2001,F18,LOG!$E$2:$E$2001,"",LOG!$D$2:$D$2001,"BOOKED")&gt;0,1,0),0)</f>
        <v>0</v>
      </c>
      <c r="AQ18" s="28" t="str">
        <f t="shared" si="8"/>
        <v>Varun</v>
      </c>
      <c r="AR18" s="28">
        <f>IF(AND(AK18=1,K18="OK"),COUNTIFS($AK$2:AK18,1,$K$2:K18,"OK"),"")</f>
        <v>17</v>
      </c>
      <c r="AS18" s="28" t="str">
        <f>IF(L18=1,IFERROR(INDEX(MESSAGES!$J$9:$J$1008,MATCH(F18,MESSAGES!$M$9:$M$1008,0))&amp;"",""),"")</f>
        <v/>
      </c>
      <c r="AT18" s="28" t="str">
        <f>IF(L18=1,IFERROR(INDEX(MESSAGES!$K$9:$K$1008,MATCH(F18,MESSAGES!$M$9:$M$1008,0))&amp;"",""),"")</f>
        <v/>
      </c>
      <c r="AU18" s="28">
        <f t="shared" ca="1" si="9"/>
        <v>0</v>
      </c>
      <c r="AV18" s="28" t="str">
        <f t="shared" si="10"/>
        <v>HOLD</v>
      </c>
    </row>
    <row r="19" spans="1:48" x14ac:dyDescent="0.35">
      <c r="A19" s="28">
        <v>18</v>
      </c>
      <c r="B19" s="28" t="str">
        <f>IF(INPUT!A19="","",TRIM(INPUT!A19))</f>
        <v>Partner 002</v>
      </c>
      <c r="C19" s="28" t="str">
        <f>IF(B19="","",INPUT!C19)</f>
        <v>interviewer0@partner002.example.com</v>
      </c>
      <c r="D19" s="28" t="str">
        <f>IF(B19="","",INPUT!D19)</f>
        <v>Aditya M.</v>
      </c>
      <c r="E19" s="28" t="str">
        <f>IF(B19="","",INPUT!E19)</f>
        <v>aditya.m352@example.com</v>
      </c>
      <c r="F19" s="43" t="str">
        <f>IF(B19="","",TRIM(INPUT!F19&amp;""))</f>
        <v>9000004583</v>
      </c>
      <c r="G19" s="28" t="str">
        <f>IF(B19="","",INPUT!H19)</f>
        <v>Round1</v>
      </c>
      <c r="H19" s="46">
        <f>IF(B19="","",INPUT!I19)</f>
        <v>46308.82708333333</v>
      </c>
      <c r="I19" s="28" t="str">
        <f>IF(B19="","",IF(INPUT!J19="","None",INPUT!J19))</f>
        <v>Clicked</v>
      </c>
      <c r="J19" s="28" t="str">
        <f t="shared" si="0"/>
        <v>aditya.m352@example.com|partner 002|Round1|interviewer0@partner002.example.com</v>
      </c>
      <c r="K19" s="28" t="str">
        <f>IF(B19="","",IF(SUMPRODUCT(($J$2:$J$601=J19)*($H$2:$H$601&lt;H19))+SUMPRODUCT(($J$2:J19=J19)*($H$2:H19=H19))-1&gt;0,"DUPLICATE",IF(AND(ISNUMBER(SEARCH("@",E19)),ISNUMBER(SEARCH(".",E19)),LEN(F19)=10,ISNUMBER(VALUE(F19))),"OK","BAD CONTACT")))</f>
        <v>OK</v>
      </c>
      <c r="L19" s="28">
        <f t="shared" si="1"/>
        <v>1</v>
      </c>
      <c r="M19" s="28">
        <f>IF(L19=1,IF(COUNTIFS(LOG!$C$2:$C$2001,F19,LOG!$E$2:$E$2001,B19,LOG!$D$2:$D$2001,"*BOOKED")+COUNTIFS(LOG!$C$2:$C$2001,F19,LOG!$E$2:$E$2001,"",LOG!$D$2:$D$2001,"*BOOKED")&gt;0,1,0),0)</f>
        <v>1</v>
      </c>
      <c r="N19" s="28">
        <f>IF(L19=1,IF(COUNTIFS(LOG!$C$2:$C$2001,F19,LOG!$E$2:$E$2001,B19,LOG!$D$2:$D$2001,"NOT_INTERESTED")+COUNTIFS(LOG!$C$2:$C$2001,F19,LOG!$E$2:$E$2001,"",LOG!$D$2:$D$2001,"NOT_INTERESTED")&gt;0,1,0),0)</f>
        <v>0</v>
      </c>
      <c r="O19" s="28">
        <f>IF(L19=1,IF(COUNTIFS(LOG!$C$2:$C$2001,F19,LOG!$D$2:$D$2001,"STOP")+COUNTIFS(LOG!$C$2:$C$2001,F19,LOG!$D$2:$D$2001,"WRONG_NUMBER")&gt;0,1,IF(ISNUMBER(SEARCH("STOP",AT19)),1,0)),0)</f>
        <v>0</v>
      </c>
      <c r="P19" s="28">
        <f>IF(L19=1,IF(IFERROR(INDEX(PARTNERS!$D$2:$D$88,MATCH(B19,PARTNERS!$A$2:$A$88,0)),"")="NO SLOTS",1,IF(AND(IFERROR(INDEX(PARTNERS!$D$2:$D$88,MATCH(B19,PARTNERS!$A$2:$A$88,0)),"")&lt;&gt;"REOPENED",COUNTIFS(LOG!$E$2:$E$2001,B19,LOG!$D$2:$D$2001,"NO_SLOTS")&gt;0),1,0)),0)</f>
        <v>0</v>
      </c>
      <c r="Q19" s="28">
        <f>IF(L19=1,COUNTIFS(LOG!$C$2:$C$2001,F19,LOG!$H$2:$H$2001,1),0)</f>
        <v>1</v>
      </c>
      <c r="R19" s="46">
        <f>IF(Q19&gt;0,_xlfn.MAXIFS(LOG!$G$2:$G$2001,LOG!$C$2:$C$2001,F19,LOG!$H$2:$H$2001,1),0)</f>
        <v>46309.538328447627</v>
      </c>
      <c r="S19" s="28" t="str">
        <f>IF(Q19&gt;0,IFERROR(INDEX(LOG!$D$2:$D$2001,MATCH(F19&amp;"|"&amp;Q19,LOG!$I$2:$I$2001,0)),""),"")</f>
        <v>BOOKED</v>
      </c>
      <c r="T19" s="28">
        <f>IF(S19="",0,IFERROR(VLOOKUP(S19,LISTS!$A$2:$E$10,4,FALSE),0))</f>
        <v>0</v>
      </c>
      <c r="U19" s="46">
        <f t="shared" si="2"/>
        <v>46309.538328447627</v>
      </c>
      <c r="V19" s="46">
        <f>IF(L19=1,H19+SETTINGS!$B$5/24,"")</f>
        <v>46309.82708333333</v>
      </c>
      <c r="W19" s="28">
        <f ca="1">IF(L19=1,(V19-SETTINGS!$B$4)*24,"")</f>
        <v>-1.6666666720993817E-2</v>
      </c>
      <c r="X19" s="28">
        <f ca="1">IF(AND(L19=1,K19="OK",M19=0,N19=0,O19=0,P19=0,SETTINGS!$B$4&lt;V19,Q19&lt;SETTINGS!$B$6),1,0)</f>
        <v>0</v>
      </c>
      <c r="Y19" s="28">
        <f ca="1">IF(AND(X19=1,SETTINGS!$B$4&gt;=H19,SETTINGS!$B$4&gt;=U19,ROUND(MOD(SETTINGS!$B$4,1)*1440,0)&gt;=ROUND(SETTINGS!$B$7*1440,0),ROUND(MOD(SETTINGS!$B$4,1)*1440,0)&lt;ROUND(SETTINGS!$B$8*1440,0)),1,0)</f>
        <v>0</v>
      </c>
      <c r="Z19" s="28" t="str">
        <f ca="1">IF(B19="","",IF(ROUND(MOD(SETTINGS!$B$4,1)*1440,0)&lt;ROUND(SETTINGS!$B$11*1440,0),"Ram",IF(ROUND(MOD(SETTINGS!$B$4,1)*1440,0)&gt;=ROUND(SETTINGS!$B$10*1440,0),"Shyam",IF(MOD(IFERROR(VALUE(RIGHT(F19,2)),0),2)=0,"Ram","Shyam"))))</f>
        <v>Shyam</v>
      </c>
      <c r="AA19" s="28">
        <f t="shared" ca="1" si="3"/>
        <v>0</v>
      </c>
      <c r="AB19" s="28">
        <f ca="1">IF(X19=1,COUNTIFS($F$2:F19,F19,$X$2:X19,1),0)</f>
        <v>0</v>
      </c>
      <c r="AC19" s="28" t="str">
        <f>IF(L19=1,IF(IFERROR(INDEX(PARTNERS!$C$2:$C$88,MATCH(B19,PARTNERS!$A$2:$A$88,0)),"")="YES","YES","NO"),"")</f>
        <v>YES</v>
      </c>
      <c r="AD19" s="28" t="str">
        <f>IF(L19=1,IFERROR(INDEX(PARTNERS!$B$2:$B$88,MATCH(B19,PARTNERS!$A$2:$A$88,0)),""),"")</f>
        <v>https://calendly.com/partner002/interview</v>
      </c>
      <c r="AE19" s="28">
        <f ca="1">IF(X19=1,IFERROR(INDEX(SETTINGS!$B$34:$D$36,MATCH(I19,SETTINGS!$A$34:$A$36,0),MIN(Q19,2)+1),SETTINGS!$B$36),0)</f>
        <v>0</v>
      </c>
      <c r="AF19" s="28">
        <f t="shared" si="4"/>
        <v>1</v>
      </c>
      <c r="AG19" s="28">
        <f ca="1">IF(AND(Y19=1,AB19=1),ROUND(AA19*AE19*IF(AF19&gt;1,SETTINGS!$B$16,1)*IF(W19&lt;=SETTINGS!$B$14,SETTINGS!$B$15,1)*IF(AU19=1,SETTINGS!$B$21,1),6),0)</f>
        <v>0</v>
      </c>
      <c r="AH19" s="28" t="str">
        <f ca="1">IF(AG19&gt;0,COUNTIFS($Z$2:$Z$601,Z19,$AG$2:$AG$601,"&gt;"&amp;AG19)+COUNTIFS($Z$2:Z19,Z19,$AG$2:AG19,AG19),"")</f>
        <v/>
      </c>
      <c r="AI19" s="28" t="str">
        <f t="shared" ca="1" si="5"/>
        <v/>
      </c>
      <c r="AJ19" s="28" t="str">
        <f t="shared" ca="1" si="6"/>
        <v/>
      </c>
      <c r="AK19" s="28">
        <f>IF(L19=1,IF(COUNTIFS($F$2:F19,F19,$L$2:L19,1)=1,1,0),0)</f>
        <v>1</v>
      </c>
      <c r="AL19" s="28" t="str">
        <f>IF(B19="","",IF(K19="DUPLICATE","Duplicate (removed)",IF(AO19=1,"Scheduled within 24h",IF(M19=1,"Scheduled late",IF(K19="BAD CONTACT","Bad contact details",IF(O19=1,"Stopped / wrong number",IF(N19=1,"Not interested",IF(P19=1,"Partner has no slots",IF(SETTINGS!$B$4&gt;=V19,IF(Q19=0,"Missed deadline: never tried","Missed deadline: tried, not booked"),IF(Q19&gt;=SETTINGS!$B$6,"No reply after max tries","Open"))))))))))</f>
        <v>Scheduled within 24h</v>
      </c>
      <c r="AM19" s="46">
        <f>IF(M19=1,IF(_xlfn.MINIFS(LOG!$G$2:$G$2001,LOG!$C$2:$C$2001,F19,LOG!$E$2:$E$2001,B19,LOG!$D$2:$D$2001,"*BOOKED")=0,_xlfn.MINIFS(LOG!$G$2:$G$2001,LOG!$C$2:$C$2001,F19,LOG!$E$2:$E$2001,"",LOG!$D$2:$D$2001,"*BOOKED"),IF(_xlfn.MINIFS(LOG!$G$2:$G$2001,LOG!$C$2:$C$2001,F19,LOG!$E$2:$E$2001,"",LOG!$D$2:$D$2001,"*BOOKED")=0,_xlfn.MINIFS(LOG!$G$2:$G$2001,LOG!$C$2:$C$2001,F19,LOG!$E$2:$E$2001,B19,LOG!$D$2:$D$2001,"*BOOKED"),MIN(_xlfn.MINIFS(LOG!$G$2:$G$2001,LOG!$C$2:$C$2001,F19,LOG!$E$2:$E$2001,B19,LOG!$D$2:$D$2001,"*BOOKED"),_xlfn.MINIFS(LOG!$G$2:$G$2001,LOG!$C$2:$C$2001,F19,LOG!$E$2:$E$2001,"",LOG!$D$2:$D$2001,"*BOOKED")))),"")</f>
        <v>46309.538328447627</v>
      </c>
      <c r="AN19" s="28">
        <f t="shared" si="7"/>
        <v>17.069882743118796</v>
      </c>
      <c r="AO19" s="28">
        <f>IF(AND(M19=1,AN19&lt;&gt;""),IF(AN19&lt;=SETTINGS!$B$5,1,0),0)</f>
        <v>1</v>
      </c>
      <c r="AP19" s="28">
        <f>IF(M19=1,IF(COUNTIFS(LOG!$C$2:$C$2001,F19,LOG!$E$2:$E$2001,B19,LOG!$D$2:$D$2001,"BOOKED")+COUNTIFS(LOG!$C$2:$C$2001,F19,LOG!$E$2:$E$2001,"",LOG!$D$2:$D$2001,"BOOKED")&gt;0,1,0),0)</f>
        <v>1</v>
      </c>
      <c r="AQ19" s="28" t="str">
        <f t="shared" si="8"/>
        <v>Aditya</v>
      </c>
      <c r="AR19" s="28">
        <f>IF(AND(AK19=1,K19="OK"),COUNTIFS($AK$2:AK19,1,$K$2:K19,"OK"),"")</f>
        <v>18</v>
      </c>
      <c r="AS19" s="28" t="str">
        <f>IF(L19=1,IFERROR(INDEX(MESSAGES!$J$9:$J$1008,MATCH(F19,MESSAGES!$M$9:$M$1008,0))&amp;"",""),"")</f>
        <v/>
      </c>
      <c r="AT19" s="28" t="str">
        <f>IF(L19=1,IFERROR(INDEX(MESSAGES!$K$9:$K$1008,MATCH(F19,MESSAGES!$M$9:$M$1008,0))&amp;"",""),"")</f>
        <v/>
      </c>
      <c r="AU19" s="28">
        <f t="shared" ca="1" si="9"/>
        <v>0</v>
      </c>
      <c r="AV19" s="28" t="str">
        <f t="shared" si="10"/>
        <v>SEND</v>
      </c>
    </row>
    <row r="20" spans="1:48" x14ac:dyDescent="0.35">
      <c r="A20" s="28">
        <v>19</v>
      </c>
      <c r="B20" s="28" t="str">
        <f>IF(INPUT!A20="","",TRIM(INPUT!A20))</f>
        <v>Partner 015</v>
      </c>
      <c r="C20" s="28" t="str">
        <f>IF(B20="","",INPUT!C20)</f>
        <v>interviewer1@partner015.example.com</v>
      </c>
      <c r="D20" s="28" t="str">
        <f>IF(B20="","",INPUT!D20)</f>
        <v>Rohan J.</v>
      </c>
      <c r="E20" s="28" t="str">
        <f>IF(B20="","",INPUT!E20)</f>
        <v>rohan.j250@example.com</v>
      </c>
      <c r="F20" s="43" t="str">
        <f>IF(B20="","",TRIM(INPUT!F20&amp;""))</f>
        <v>900000325</v>
      </c>
      <c r="G20" s="28" t="str">
        <f>IF(B20="","",INPUT!H20)</f>
        <v>Round1</v>
      </c>
      <c r="H20" s="46">
        <f>IF(B20="","",INPUT!I20)</f>
        <v>46308.82708333333</v>
      </c>
      <c r="I20" s="28" t="str">
        <f>IF(B20="","",IF(INPUT!J20="","None",INPUT!J20))</f>
        <v>Opened</v>
      </c>
      <c r="J20" s="28" t="str">
        <f t="shared" si="0"/>
        <v>rohan.j250@example.com|partner 015|Round1|interviewer1@partner015.example.com</v>
      </c>
      <c r="K20" s="28" t="str">
        <f>IF(B20="","",IF(SUMPRODUCT(($J$2:$J$601=J20)*($H$2:$H$601&lt;H20))+SUMPRODUCT(($J$2:J20=J20)*($H$2:H20=H20))-1&gt;0,"DUPLICATE",IF(AND(ISNUMBER(SEARCH("@",E20)),ISNUMBER(SEARCH(".",E20)),LEN(F20)=10,ISNUMBER(VALUE(F20))),"OK","BAD CONTACT")))</f>
        <v>BAD CONTACT</v>
      </c>
      <c r="L20" s="28">
        <f t="shared" si="1"/>
        <v>1</v>
      </c>
      <c r="M20" s="28">
        <f>IF(L20=1,IF(COUNTIFS(LOG!$C$2:$C$2001,F20,LOG!$E$2:$E$2001,B20,LOG!$D$2:$D$2001,"*BOOKED")+COUNTIFS(LOG!$C$2:$C$2001,F20,LOG!$E$2:$E$2001,"",LOG!$D$2:$D$2001,"*BOOKED")&gt;0,1,0),0)</f>
        <v>0</v>
      </c>
      <c r="N20" s="28">
        <f>IF(L20=1,IF(COUNTIFS(LOG!$C$2:$C$2001,F20,LOG!$E$2:$E$2001,B20,LOG!$D$2:$D$2001,"NOT_INTERESTED")+COUNTIFS(LOG!$C$2:$C$2001,F20,LOG!$E$2:$E$2001,"",LOG!$D$2:$D$2001,"NOT_INTERESTED")&gt;0,1,0),0)</f>
        <v>0</v>
      </c>
      <c r="O20" s="28">
        <f>IF(L20=1,IF(COUNTIFS(LOG!$C$2:$C$2001,F20,LOG!$D$2:$D$2001,"STOP")+COUNTIFS(LOG!$C$2:$C$2001,F20,LOG!$D$2:$D$2001,"WRONG_NUMBER")&gt;0,1,IF(ISNUMBER(SEARCH("STOP",AT20)),1,0)),0)</f>
        <v>0</v>
      </c>
      <c r="P20" s="28">
        <f>IF(L20=1,IF(IFERROR(INDEX(PARTNERS!$D$2:$D$88,MATCH(B20,PARTNERS!$A$2:$A$88,0)),"")="NO SLOTS",1,IF(AND(IFERROR(INDEX(PARTNERS!$D$2:$D$88,MATCH(B20,PARTNERS!$A$2:$A$88,0)),"")&lt;&gt;"REOPENED",COUNTIFS(LOG!$E$2:$E$2001,B20,LOG!$D$2:$D$2001,"NO_SLOTS")&gt;0),1,0)),0)</f>
        <v>0</v>
      </c>
      <c r="Q20" s="28">
        <f>IF(L20=1,COUNTIFS(LOG!$C$2:$C$2001,F20,LOG!$H$2:$H$2001,1),0)</f>
        <v>0</v>
      </c>
      <c r="R20" s="46">
        <f>IF(Q20&gt;0,_xlfn.MAXIFS(LOG!$G$2:$G$2001,LOG!$C$2:$C$2001,F20,LOG!$H$2:$H$2001,1),0)</f>
        <v>0</v>
      </c>
      <c r="S20" s="28" t="str">
        <f>IF(Q20&gt;0,IFERROR(INDEX(LOG!$D$2:$D$2001,MATCH(F20&amp;"|"&amp;Q20,LOG!$I$2:$I$2001,0)),""),"")</f>
        <v/>
      </c>
      <c r="T20" s="28">
        <f>IF(S20="",0,IFERROR(VLOOKUP(S20,LISTS!$A$2:$E$10,4,FALSE),0))</f>
        <v>0</v>
      </c>
      <c r="U20" s="46">
        <f t="shared" si="2"/>
        <v>0</v>
      </c>
      <c r="V20" s="46">
        <f>IF(L20=1,H20+SETTINGS!$B$5/24,"")</f>
        <v>46309.82708333333</v>
      </c>
      <c r="W20" s="28">
        <f ca="1">IF(L20=1,(V20-SETTINGS!$B$4)*24,"")</f>
        <v>-1.6666666720993817E-2</v>
      </c>
      <c r="X20" s="28">
        <f ca="1">IF(AND(L20=1,K20="OK",M20=0,N20=0,O20=0,P20=0,SETTINGS!$B$4&lt;V20,Q20&lt;SETTINGS!$B$6),1,0)</f>
        <v>0</v>
      </c>
      <c r="Y20" s="28">
        <f ca="1">IF(AND(X20=1,SETTINGS!$B$4&gt;=H20,SETTINGS!$B$4&gt;=U20,ROUND(MOD(SETTINGS!$B$4,1)*1440,0)&gt;=ROUND(SETTINGS!$B$7*1440,0),ROUND(MOD(SETTINGS!$B$4,1)*1440,0)&lt;ROUND(SETTINGS!$B$8*1440,0)),1,0)</f>
        <v>0</v>
      </c>
      <c r="Z20" s="28" t="str">
        <f ca="1">IF(B20="","",IF(ROUND(MOD(SETTINGS!$B$4,1)*1440,0)&lt;ROUND(SETTINGS!$B$11*1440,0),"Ram",IF(ROUND(MOD(SETTINGS!$B$4,1)*1440,0)&gt;=ROUND(SETTINGS!$B$10*1440,0),"Shyam",IF(MOD(IFERROR(VALUE(RIGHT(F20,2)),0),2)=0,"Ram","Shyam"))))</f>
        <v>Shyam</v>
      </c>
      <c r="AA20" s="28">
        <f t="shared" ca="1" si="3"/>
        <v>0</v>
      </c>
      <c r="AB20" s="28">
        <f ca="1">IF(X20=1,COUNTIFS($F$2:F20,F20,$X$2:X20,1),0)</f>
        <v>0</v>
      </c>
      <c r="AC20" s="28" t="str">
        <f>IF(L20=1,IF(IFERROR(INDEX(PARTNERS!$C$2:$C$88,MATCH(B20,PARTNERS!$A$2:$A$88,0)),"")="YES","YES","NO"),"")</f>
        <v>YES</v>
      </c>
      <c r="AD20" s="28" t="str">
        <f>IF(L20=1,IFERROR(INDEX(PARTNERS!$B$2:$B$88,MATCH(B20,PARTNERS!$A$2:$A$88,0)),""),"")</f>
        <v>https://calendly.com/partner015/interview</v>
      </c>
      <c r="AE20" s="28">
        <f ca="1">IF(X20=1,IFERROR(INDEX(SETTINGS!$B$34:$D$36,MATCH(I20,SETTINGS!$A$34:$A$36,0),MIN(Q20,2)+1),SETTINGS!$B$36),0)</f>
        <v>0</v>
      </c>
      <c r="AF20" s="28">
        <f t="shared" si="4"/>
        <v>1</v>
      </c>
      <c r="AG20" s="28">
        <f ca="1">IF(AND(Y20=1,AB20=1),ROUND(AA20*AE20*IF(AF20&gt;1,SETTINGS!$B$16,1)*IF(W20&lt;=SETTINGS!$B$14,SETTINGS!$B$15,1)*IF(AU20=1,SETTINGS!$B$21,1),6),0)</f>
        <v>0</v>
      </c>
      <c r="AH20" s="28" t="str">
        <f ca="1">IF(AG20&gt;0,COUNTIFS($Z$2:$Z$601,Z20,$AG$2:$AG$601,"&gt;"&amp;AG20)+COUNTIFS($Z$2:Z20,Z20,$AG$2:AG20,AG20),"")</f>
        <v/>
      </c>
      <c r="AI20" s="28" t="str">
        <f t="shared" ca="1" si="5"/>
        <v/>
      </c>
      <c r="AJ20" s="28" t="str">
        <f t="shared" ca="1" si="6"/>
        <v/>
      </c>
      <c r="AK20" s="28">
        <f>IF(L20=1,IF(COUNTIFS($F$2:F20,F20,$L$2:L20,1)=1,1,0),0)</f>
        <v>1</v>
      </c>
      <c r="AL20" s="28" t="str">
        <f>IF(B20="","",IF(K20="DUPLICATE","Duplicate (removed)",IF(AO20=1,"Scheduled within 24h",IF(M20=1,"Scheduled late",IF(K20="BAD CONTACT","Bad contact details",IF(O20=1,"Stopped / wrong number",IF(N20=1,"Not interested",IF(P20=1,"Partner has no slots",IF(SETTINGS!$B$4&gt;=V20,IF(Q20=0,"Missed deadline: never tried","Missed deadline: tried, not booked"),IF(Q20&gt;=SETTINGS!$B$6,"No reply after max tries","Open"))))))))))</f>
        <v>Bad contact details</v>
      </c>
      <c r="AM20" s="46" t="str">
        <f>IF(M20=1,IF(_xlfn.MINIFS(LOG!$G$2:$G$2001,LOG!$C$2:$C$2001,F20,LOG!$E$2:$E$2001,B20,LOG!$D$2:$D$2001,"*BOOKED")=0,_xlfn.MINIFS(LOG!$G$2:$G$2001,LOG!$C$2:$C$2001,F20,LOG!$E$2:$E$2001,"",LOG!$D$2:$D$2001,"*BOOKED"),IF(_xlfn.MINIFS(LOG!$G$2:$G$2001,LOG!$C$2:$C$2001,F20,LOG!$E$2:$E$2001,"",LOG!$D$2:$D$2001,"*BOOKED")=0,_xlfn.MINIFS(LOG!$G$2:$G$2001,LOG!$C$2:$C$2001,F20,LOG!$E$2:$E$2001,B20,LOG!$D$2:$D$2001,"*BOOKED"),MIN(_xlfn.MINIFS(LOG!$G$2:$G$2001,LOG!$C$2:$C$2001,F20,LOG!$E$2:$E$2001,B20,LOG!$D$2:$D$2001,"*BOOKED"),_xlfn.MINIFS(LOG!$G$2:$G$2001,LOG!$C$2:$C$2001,F20,LOG!$E$2:$E$2001,"",LOG!$D$2:$D$2001,"*BOOKED")))),"")</f>
        <v/>
      </c>
      <c r="AN20" s="28" t="str">
        <f t="shared" si="7"/>
        <v/>
      </c>
      <c r="AO20" s="28">
        <f>IF(AND(M20=1,AN20&lt;&gt;""),IF(AN20&lt;=SETTINGS!$B$5,1,0),0)</f>
        <v>0</v>
      </c>
      <c r="AP20" s="28">
        <f>IF(M20=1,IF(COUNTIFS(LOG!$C$2:$C$2001,F20,LOG!$E$2:$E$2001,B20,LOG!$D$2:$D$2001,"BOOKED")+COUNTIFS(LOG!$C$2:$C$2001,F20,LOG!$E$2:$E$2001,"",LOG!$D$2:$D$2001,"BOOKED")&gt;0,1,0),0)</f>
        <v>0</v>
      </c>
      <c r="AQ20" s="28" t="str">
        <f t="shared" si="8"/>
        <v>Rohan</v>
      </c>
      <c r="AR20" s="28" t="str">
        <f>IF(AND(AK20=1,K20="OK"),COUNTIFS($AK$2:AK20,1,$K$2:K20,"OK"),"")</f>
        <v/>
      </c>
      <c r="AS20" s="28" t="str">
        <f>IF(L20=1,IFERROR(INDEX(MESSAGES!$J$9:$J$1008,MATCH(F20,MESSAGES!$M$9:$M$1008,0))&amp;"",""),"")</f>
        <v/>
      </c>
      <c r="AT20" s="28" t="str">
        <f>IF(L20=1,IFERROR(INDEX(MESSAGES!$K$9:$K$1008,MATCH(F20,MESSAGES!$M$9:$M$1008,0))&amp;"",""),"")</f>
        <v/>
      </c>
      <c r="AU20" s="28">
        <f t="shared" ca="1" si="9"/>
        <v>0</v>
      </c>
      <c r="AV20" s="28" t="str">
        <f t="shared" si="10"/>
        <v>HOLD</v>
      </c>
    </row>
    <row r="21" spans="1:48" x14ac:dyDescent="0.35">
      <c r="A21" s="28">
        <v>20</v>
      </c>
      <c r="B21" s="28" t="str">
        <f>IF(INPUT!A21="","",TRIM(INPUT!A21))</f>
        <v>Partner 032</v>
      </c>
      <c r="C21" s="28" t="str">
        <f>IF(B21="","",INPUT!C21)</f>
        <v>interviewer0@partner032.example.com</v>
      </c>
      <c r="D21" s="28" t="str">
        <f>IF(B21="","",INPUT!D21)</f>
        <v>Navya B.</v>
      </c>
      <c r="E21" s="28" t="str">
        <f>IF(B21="","",INPUT!E21)</f>
        <v>navya.b043@example.com</v>
      </c>
      <c r="F21" s="43" t="str">
        <f>IF(B21="","",TRIM(INPUT!F21&amp;""))</f>
        <v>9000000566</v>
      </c>
      <c r="G21" s="28" t="str">
        <f>IF(B21="","",INPUT!H21)</f>
        <v>Round1</v>
      </c>
      <c r="H21" s="46">
        <f>IF(B21="","",INPUT!I21)</f>
        <v>46308.82708333333</v>
      </c>
      <c r="I21" s="28" t="str">
        <f>IF(B21="","",IF(INPUT!J21="","None",INPUT!J21))</f>
        <v>Clicked</v>
      </c>
      <c r="J21" s="28" t="str">
        <f t="shared" si="0"/>
        <v>navya.b043@example.com|partner 032|Round1|interviewer0@partner032.example.com</v>
      </c>
      <c r="K21" s="28" t="str">
        <f>IF(B21="","",IF(SUMPRODUCT(($J$2:$J$601=J21)*($H$2:$H$601&lt;H21))+SUMPRODUCT(($J$2:J21=J21)*($H$2:H21=H21))-1&gt;0,"DUPLICATE",IF(AND(ISNUMBER(SEARCH("@",E21)),ISNUMBER(SEARCH(".",E21)),LEN(F21)=10,ISNUMBER(VALUE(F21))),"OK","BAD CONTACT")))</f>
        <v>OK</v>
      </c>
      <c r="L21" s="28">
        <f t="shared" si="1"/>
        <v>1</v>
      </c>
      <c r="M21" s="28">
        <f>IF(L21=1,IF(COUNTIFS(LOG!$C$2:$C$2001,F21,LOG!$E$2:$E$2001,B21,LOG!$D$2:$D$2001,"*BOOKED")+COUNTIFS(LOG!$C$2:$C$2001,F21,LOG!$E$2:$E$2001,"",LOG!$D$2:$D$2001,"*BOOKED")&gt;0,1,0),0)</f>
        <v>1</v>
      </c>
      <c r="N21" s="28">
        <f>IF(L21=1,IF(COUNTIFS(LOG!$C$2:$C$2001,F21,LOG!$E$2:$E$2001,B21,LOG!$D$2:$D$2001,"NOT_INTERESTED")+COUNTIFS(LOG!$C$2:$C$2001,F21,LOG!$E$2:$E$2001,"",LOG!$D$2:$D$2001,"NOT_INTERESTED")&gt;0,1,0),0)</f>
        <v>0</v>
      </c>
      <c r="O21" s="28">
        <f>IF(L21=1,IF(COUNTIFS(LOG!$C$2:$C$2001,F21,LOG!$D$2:$D$2001,"STOP")+COUNTIFS(LOG!$C$2:$C$2001,F21,LOG!$D$2:$D$2001,"WRONG_NUMBER")&gt;0,1,IF(ISNUMBER(SEARCH("STOP",AT21)),1,0)),0)</f>
        <v>0</v>
      </c>
      <c r="P21" s="28">
        <f>IF(L21=1,IF(IFERROR(INDEX(PARTNERS!$D$2:$D$88,MATCH(B21,PARTNERS!$A$2:$A$88,0)),"")="NO SLOTS",1,IF(AND(IFERROR(INDEX(PARTNERS!$D$2:$D$88,MATCH(B21,PARTNERS!$A$2:$A$88,0)),"")&lt;&gt;"REOPENED",COUNTIFS(LOG!$E$2:$E$2001,B21,LOG!$D$2:$D$2001,"NO_SLOTS")&gt;0),1,0)),0)</f>
        <v>0</v>
      </c>
      <c r="Q21" s="28">
        <f>IF(L21=1,COUNTIFS(LOG!$C$2:$C$2001,F21,LOG!$H$2:$H$2001,1),0)</f>
        <v>2</v>
      </c>
      <c r="R21" s="46">
        <f>IF(Q21&gt;0,_xlfn.MAXIFS(LOG!$G$2:$G$2001,LOG!$C$2:$C$2001,F21,LOG!$H$2:$H$2001,1),0)</f>
        <v>46309.696175218465</v>
      </c>
      <c r="S21" s="28" t="str">
        <f>IF(Q21&gt;0,IFERROR(INDEX(LOG!$D$2:$D$2001,MATCH(F21&amp;"|"&amp;Q21,LOG!$I$2:$I$2001,0)),""),"")</f>
        <v>BOOKED</v>
      </c>
      <c r="T21" s="28">
        <f>IF(S21="",0,IFERROR(VLOOKUP(S21,LISTS!$A$2:$E$10,4,FALSE),0))</f>
        <v>0</v>
      </c>
      <c r="U21" s="46">
        <f t="shared" si="2"/>
        <v>46309.696175218465</v>
      </c>
      <c r="V21" s="46">
        <f>IF(L21=1,H21+SETTINGS!$B$5/24,"")</f>
        <v>46309.82708333333</v>
      </c>
      <c r="W21" s="28">
        <f ca="1">IF(L21=1,(V21-SETTINGS!$B$4)*24,"")</f>
        <v>-1.6666666720993817E-2</v>
      </c>
      <c r="X21" s="28">
        <f ca="1">IF(AND(L21=1,K21="OK",M21=0,N21=0,O21=0,P21=0,SETTINGS!$B$4&lt;V21,Q21&lt;SETTINGS!$B$6),1,0)</f>
        <v>0</v>
      </c>
      <c r="Y21" s="28">
        <f ca="1">IF(AND(X21=1,SETTINGS!$B$4&gt;=H21,SETTINGS!$B$4&gt;=U21,ROUND(MOD(SETTINGS!$B$4,1)*1440,0)&gt;=ROUND(SETTINGS!$B$7*1440,0),ROUND(MOD(SETTINGS!$B$4,1)*1440,0)&lt;ROUND(SETTINGS!$B$8*1440,0)),1,0)</f>
        <v>0</v>
      </c>
      <c r="Z21" s="28" t="str">
        <f ca="1">IF(B21="","",IF(ROUND(MOD(SETTINGS!$B$4,1)*1440,0)&lt;ROUND(SETTINGS!$B$11*1440,0),"Ram",IF(ROUND(MOD(SETTINGS!$B$4,1)*1440,0)&gt;=ROUND(SETTINGS!$B$10*1440,0),"Shyam",IF(MOD(IFERROR(VALUE(RIGHT(F21,2)),0),2)=0,"Ram","Shyam"))))</f>
        <v>Shyam</v>
      </c>
      <c r="AA21" s="28">
        <f t="shared" ca="1" si="3"/>
        <v>0</v>
      </c>
      <c r="AB21" s="28">
        <f ca="1">IF(X21=1,COUNTIFS($F$2:F21,F21,$X$2:X21,1),0)</f>
        <v>0</v>
      </c>
      <c r="AC21" s="28" t="str">
        <f>IF(L21=1,IF(IFERROR(INDEX(PARTNERS!$C$2:$C$88,MATCH(B21,PARTNERS!$A$2:$A$88,0)),"")="YES","YES","NO"),"")</f>
        <v>YES</v>
      </c>
      <c r="AD21" s="28" t="str">
        <f>IF(L21=1,IFERROR(INDEX(PARTNERS!$B$2:$B$88,MATCH(B21,PARTNERS!$A$2:$A$88,0)),""),"")</f>
        <v>https://calendly.com/partner032/interview</v>
      </c>
      <c r="AE21" s="28">
        <f ca="1">IF(X21=1,IFERROR(INDEX(SETTINGS!$B$34:$D$36,MATCH(I21,SETTINGS!$A$34:$A$36,0),MIN(Q21,2)+1),SETTINGS!$B$36),0)</f>
        <v>0</v>
      </c>
      <c r="AF21" s="28">
        <f t="shared" si="4"/>
        <v>1</v>
      </c>
      <c r="AG21" s="28">
        <f ca="1">IF(AND(Y21=1,AB21=1),ROUND(AA21*AE21*IF(AF21&gt;1,SETTINGS!$B$16,1)*IF(W21&lt;=SETTINGS!$B$14,SETTINGS!$B$15,1)*IF(AU21=1,SETTINGS!$B$21,1),6),0)</f>
        <v>0</v>
      </c>
      <c r="AH21" s="28" t="str">
        <f ca="1">IF(AG21&gt;0,COUNTIFS($Z$2:$Z$601,Z21,$AG$2:$AG$601,"&gt;"&amp;AG21)+COUNTIFS($Z$2:Z21,Z21,$AG$2:AG21,AG21),"")</f>
        <v/>
      </c>
      <c r="AI21" s="28" t="str">
        <f t="shared" ca="1" si="5"/>
        <v/>
      </c>
      <c r="AJ21" s="28" t="str">
        <f t="shared" ca="1" si="6"/>
        <v/>
      </c>
      <c r="AK21" s="28">
        <f>IF(L21=1,IF(COUNTIFS($F$2:F21,F21,$L$2:L21,1)=1,1,0),0)</f>
        <v>1</v>
      </c>
      <c r="AL21" s="28" t="str">
        <f>IF(B21="","",IF(K21="DUPLICATE","Duplicate (removed)",IF(AO21=1,"Scheduled within 24h",IF(M21=1,"Scheduled late",IF(K21="BAD CONTACT","Bad contact details",IF(O21=1,"Stopped / wrong number",IF(N21=1,"Not interested",IF(P21=1,"Partner has no slots",IF(SETTINGS!$B$4&gt;=V21,IF(Q21=0,"Missed deadline: never tried","Missed deadline: tried, not booked"),IF(Q21&gt;=SETTINGS!$B$6,"No reply after max tries","Open"))))))))))</f>
        <v>Scheduled within 24h</v>
      </c>
      <c r="AM21" s="46">
        <f>IF(M21=1,IF(_xlfn.MINIFS(LOG!$G$2:$G$2001,LOG!$C$2:$C$2001,F21,LOG!$E$2:$E$2001,B21,LOG!$D$2:$D$2001,"*BOOKED")=0,_xlfn.MINIFS(LOG!$G$2:$G$2001,LOG!$C$2:$C$2001,F21,LOG!$E$2:$E$2001,"",LOG!$D$2:$D$2001,"*BOOKED"),IF(_xlfn.MINIFS(LOG!$G$2:$G$2001,LOG!$C$2:$C$2001,F21,LOG!$E$2:$E$2001,"",LOG!$D$2:$D$2001,"*BOOKED")=0,_xlfn.MINIFS(LOG!$G$2:$G$2001,LOG!$C$2:$C$2001,F21,LOG!$E$2:$E$2001,B21,LOG!$D$2:$D$2001,"*BOOKED"),MIN(_xlfn.MINIFS(LOG!$G$2:$G$2001,LOG!$C$2:$C$2001,F21,LOG!$E$2:$E$2001,B21,LOG!$D$2:$D$2001,"*BOOKED"),_xlfn.MINIFS(LOG!$G$2:$G$2001,LOG!$C$2:$C$2001,F21,LOG!$E$2:$E$2001,"",LOG!$D$2:$D$2001,"*BOOKED")))),"")</f>
        <v>46309.696175218465</v>
      </c>
      <c r="AN21" s="28">
        <f t="shared" si="7"/>
        <v>20.85820524324663</v>
      </c>
      <c r="AO21" s="28">
        <f>IF(AND(M21=1,AN21&lt;&gt;""),IF(AN21&lt;=SETTINGS!$B$5,1,0),0)</f>
        <v>1</v>
      </c>
      <c r="AP21" s="28">
        <f>IF(M21=1,IF(COUNTIFS(LOG!$C$2:$C$2001,F21,LOG!$E$2:$E$2001,B21,LOG!$D$2:$D$2001,"BOOKED")+COUNTIFS(LOG!$C$2:$C$2001,F21,LOG!$E$2:$E$2001,"",LOG!$D$2:$D$2001,"BOOKED")&gt;0,1,0),0)</f>
        <v>1</v>
      </c>
      <c r="AQ21" s="28" t="str">
        <f t="shared" si="8"/>
        <v>Navya</v>
      </c>
      <c r="AR21" s="28">
        <f>IF(AND(AK21=1,K21="OK"),COUNTIFS($AK$2:AK21,1,$K$2:K21,"OK"),"")</f>
        <v>19</v>
      </c>
      <c r="AS21" s="28" t="str">
        <f>IF(L21=1,IFERROR(INDEX(MESSAGES!$J$9:$J$1008,MATCH(F21,MESSAGES!$M$9:$M$1008,0))&amp;"",""),"")</f>
        <v/>
      </c>
      <c r="AT21" s="28" t="str">
        <f>IF(L21=1,IFERROR(INDEX(MESSAGES!$K$9:$K$1008,MATCH(F21,MESSAGES!$M$9:$M$1008,0))&amp;"",""),"")</f>
        <v/>
      </c>
      <c r="AU21" s="28">
        <f t="shared" ca="1" si="9"/>
        <v>0</v>
      </c>
      <c r="AV21" s="28" t="str">
        <f t="shared" si="10"/>
        <v>SEND</v>
      </c>
    </row>
    <row r="22" spans="1:48" x14ac:dyDescent="0.35">
      <c r="A22" s="28">
        <v>21</v>
      </c>
      <c r="B22" s="28" t="str">
        <f>IF(INPUT!A22="","",TRIM(INPUT!A22))</f>
        <v>Partner 002</v>
      </c>
      <c r="C22" s="28" t="str">
        <f>IF(B22="","",INPUT!C22)</f>
        <v>interviewer1@partner002.example.com</v>
      </c>
      <c r="D22" s="28" t="str">
        <f>IF(B22="","",INPUT!D22)</f>
        <v>Kabir R.</v>
      </c>
      <c r="E22" s="28" t="str">
        <f>IF(B22="","",INPUT!E22)</f>
        <v>kabir.r422@example.com</v>
      </c>
      <c r="F22" s="43" t="str">
        <f>IF(B22="","",TRIM(INPUT!F22&amp;""))</f>
        <v>9000005493</v>
      </c>
      <c r="G22" s="28" t="str">
        <f>IF(B22="","",INPUT!H22)</f>
        <v>Round1</v>
      </c>
      <c r="H22" s="46">
        <f>IF(B22="","",INPUT!I22)</f>
        <v>46308.82708333333</v>
      </c>
      <c r="I22" s="28" t="str">
        <f>IF(B22="","",IF(INPUT!J22="","None",INPUT!J22))</f>
        <v>Clicked</v>
      </c>
      <c r="J22" s="28" t="str">
        <f t="shared" si="0"/>
        <v>kabir.r422@example.com|partner 002|Round1|interviewer1@partner002.example.com</v>
      </c>
      <c r="K22" s="28" t="str">
        <f>IF(B22="","",IF(SUMPRODUCT(($J$2:$J$601=J22)*($H$2:$H$601&lt;H22))+SUMPRODUCT(($J$2:J22=J22)*($H$2:H22=H22))-1&gt;0,"DUPLICATE",IF(AND(ISNUMBER(SEARCH("@",E22)),ISNUMBER(SEARCH(".",E22)),LEN(F22)=10,ISNUMBER(VALUE(F22))),"OK","BAD CONTACT")))</f>
        <v>OK</v>
      </c>
      <c r="L22" s="28">
        <f t="shared" si="1"/>
        <v>1</v>
      </c>
      <c r="M22" s="28">
        <f>IF(L22=1,IF(COUNTIFS(LOG!$C$2:$C$2001,F22,LOG!$E$2:$E$2001,B22,LOG!$D$2:$D$2001,"*BOOKED")+COUNTIFS(LOG!$C$2:$C$2001,F22,LOG!$E$2:$E$2001,"",LOG!$D$2:$D$2001,"*BOOKED")&gt;0,1,0),0)</f>
        <v>1</v>
      </c>
      <c r="N22" s="28">
        <f>IF(L22=1,IF(COUNTIFS(LOG!$C$2:$C$2001,F22,LOG!$E$2:$E$2001,B22,LOG!$D$2:$D$2001,"NOT_INTERESTED")+COUNTIFS(LOG!$C$2:$C$2001,F22,LOG!$E$2:$E$2001,"",LOG!$D$2:$D$2001,"NOT_INTERESTED")&gt;0,1,0),0)</f>
        <v>0</v>
      </c>
      <c r="O22" s="28">
        <f>IF(L22=1,IF(COUNTIFS(LOG!$C$2:$C$2001,F22,LOG!$D$2:$D$2001,"STOP")+COUNTIFS(LOG!$C$2:$C$2001,F22,LOG!$D$2:$D$2001,"WRONG_NUMBER")&gt;0,1,IF(ISNUMBER(SEARCH("STOP",AT22)),1,0)),0)</f>
        <v>0</v>
      </c>
      <c r="P22" s="28">
        <f>IF(L22=1,IF(IFERROR(INDEX(PARTNERS!$D$2:$D$88,MATCH(B22,PARTNERS!$A$2:$A$88,0)),"")="NO SLOTS",1,IF(AND(IFERROR(INDEX(PARTNERS!$D$2:$D$88,MATCH(B22,PARTNERS!$A$2:$A$88,0)),"")&lt;&gt;"REOPENED",COUNTIFS(LOG!$E$2:$E$2001,B22,LOG!$D$2:$D$2001,"NO_SLOTS")&gt;0),1,0)),0)</f>
        <v>0</v>
      </c>
      <c r="Q22" s="28">
        <f>IF(L22=1,COUNTIFS(LOG!$C$2:$C$2001,F22,LOG!$H$2:$H$2001,1),0)</f>
        <v>1</v>
      </c>
      <c r="R22" s="46">
        <f>IF(Q22&gt;0,_xlfn.MAXIFS(LOG!$G$2:$G$2001,LOG!$C$2:$C$2001,F22,LOG!$H$2:$H$2001,1),0)</f>
        <v>46309.540807108242</v>
      </c>
      <c r="S22" s="28" t="str">
        <f>IF(Q22&gt;0,IFERROR(INDEX(LOG!$D$2:$D$2001,MATCH(F22&amp;"|"&amp;Q22,LOG!$I$2:$I$2001,0)),""),"")</f>
        <v>BOOKED</v>
      </c>
      <c r="T22" s="28">
        <f>IF(S22="",0,IFERROR(VLOOKUP(S22,LISTS!$A$2:$E$10,4,FALSE),0))</f>
        <v>0</v>
      </c>
      <c r="U22" s="46">
        <f t="shared" si="2"/>
        <v>46309.540807108242</v>
      </c>
      <c r="V22" s="46">
        <f>IF(L22=1,H22+SETTINGS!$B$5/24,"")</f>
        <v>46309.82708333333</v>
      </c>
      <c r="W22" s="28">
        <f ca="1">IF(L22=1,(V22-SETTINGS!$B$4)*24,"")</f>
        <v>-1.6666666720993817E-2</v>
      </c>
      <c r="X22" s="28">
        <f ca="1">IF(AND(L22=1,K22="OK",M22=0,N22=0,O22=0,P22=0,SETTINGS!$B$4&lt;V22,Q22&lt;SETTINGS!$B$6),1,0)</f>
        <v>0</v>
      </c>
      <c r="Y22" s="28">
        <f ca="1">IF(AND(X22=1,SETTINGS!$B$4&gt;=H22,SETTINGS!$B$4&gt;=U22,ROUND(MOD(SETTINGS!$B$4,1)*1440,0)&gt;=ROUND(SETTINGS!$B$7*1440,0),ROUND(MOD(SETTINGS!$B$4,1)*1440,0)&lt;ROUND(SETTINGS!$B$8*1440,0)),1,0)</f>
        <v>0</v>
      </c>
      <c r="Z22" s="28" t="str">
        <f ca="1">IF(B22="","",IF(ROUND(MOD(SETTINGS!$B$4,1)*1440,0)&lt;ROUND(SETTINGS!$B$11*1440,0),"Ram",IF(ROUND(MOD(SETTINGS!$B$4,1)*1440,0)&gt;=ROUND(SETTINGS!$B$10*1440,0),"Shyam",IF(MOD(IFERROR(VALUE(RIGHT(F22,2)),0),2)=0,"Ram","Shyam"))))</f>
        <v>Shyam</v>
      </c>
      <c r="AA22" s="28">
        <f t="shared" ca="1" si="3"/>
        <v>0</v>
      </c>
      <c r="AB22" s="28">
        <f ca="1">IF(X22=1,COUNTIFS($F$2:F22,F22,$X$2:X22,1),0)</f>
        <v>0</v>
      </c>
      <c r="AC22" s="28" t="str">
        <f>IF(L22=1,IF(IFERROR(INDEX(PARTNERS!$C$2:$C$88,MATCH(B22,PARTNERS!$A$2:$A$88,0)),"")="YES","YES","NO"),"")</f>
        <v>YES</v>
      </c>
      <c r="AD22" s="28" t="str">
        <f>IF(L22=1,IFERROR(INDEX(PARTNERS!$B$2:$B$88,MATCH(B22,PARTNERS!$A$2:$A$88,0)),""),"")</f>
        <v>https://calendly.com/partner002/interview</v>
      </c>
      <c r="AE22" s="28">
        <f ca="1">IF(X22=1,IFERROR(INDEX(SETTINGS!$B$34:$D$36,MATCH(I22,SETTINGS!$A$34:$A$36,0),MIN(Q22,2)+1),SETTINGS!$B$36),0)</f>
        <v>0</v>
      </c>
      <c r="AF22" s="28">
        <f t="shared" si="4"/>
        <v>1</v>
      </c>
      <c r="AG22" s="28">
        <f ca="1">IF(AND(Y22=1,AB22=1),ROUND(AA22*AE22*IF(AF22&gt;1,SETTINGS!$B$16,1)*IF(W22&lt;=SETTINGS!$B$14,SETTINGS!$B$15,1)*IF(AU22=1,SETTINGS!$B$21,1),6),0)</f>
        <v>0</v>
      </c>
      <c r="AH22" s="28" t="str">
        <f ca="1">IF(AG22&gt;0,COUNTIFS($Z$2:$Z$601,Z22,$AG$2:$AG$601,"&gt;"&amp;AG22)+COUNTIFS($Z$2:Z22,Z22,$AG$2:AG22,AG22),"")</f>
        <v/>
      </c>
      <c r="AI22" s="28" t="str">
        <f t="shared" ca="1" si="5"/>
        <v/>
      </c>
      <c r="AJ22" s="28" t="str">
        <f t="shared" ca="1" si="6"/>
        <v/>
      </c>
      <c r="AK22" s="28">
        <f>IF(L22=1,IF(COUNTIFS($F$2:F22,F22,$L$2:L22,1)=1,1,0),0)</f>
        <v>1</v>
      </c>
      <c r="AL22" s="28" t="str">
        <f>IF(B22="","",IF(K22="DUPLICATE","Duplicate (removed)",IF(AO22=1,"Scheduled within 24h",IF(M22=1,"Scheduled late",IF(K22="BAD CONTACT","Bad contact details",IF(O22=1,"Stopped / wrong number",IF(N22=1,"Not interested",IF(P22=1,"Partner has no slots",IF(SETTINGS!$B$4&gt;=V22,IF(Q22=0,"Missed deadline: never tried","Missed deadline: tried, not booked"),IF(Q22&gt;=SETTINGS!$B$6,"No reply after max tries","Open"))))))))))</f>
        <v>Scheduled within 24h</v>
      </c>
      <c r="AM22" s="46">
        <f>IF(M22=1,IF(_xlfn.MINIFS(LOG!$G$2:$G$2001,LOG!$C$2:$C$2001,F22,LOG!$E$2:$E$2001,B22,LOG!$D$2:$D$2001,"*BOOKED")=0,_xlfn.MINIFS(LOG!$G$2:$G$2001,LOG!$C$2:$C$2001,F22,LOG!$E$2:$E$2001,"",LOG!$D$2:$D$2001,"*BOOKED"),IF(_xlfn.MINIFS(LOG!$G$2:$G$2001,LOG!$C$2:$C$2001,F22,LOG!$E$2:$E$2001,"",LOG!$D$2:$D$2001,"*BOOKED")=0,_xlfn.MINIFS(LOG!$G$2:$G$2001,LOG!$C$2:$C$2001,F22,LOG!$E$2:$E$2001,B22,LOG!$D$2:$D$2001,"*BOOKED"),MIN(_xlfn.MINIFS(LOG!$G$2:$G$2001,LOG!$C$2:$C$2001,F22,LOG!$E$2:$E$2001,B22,LOG!$D$2:$D$2001,"*BOOKED"),_xlfn.MINIFS(LOG!$G$2:$G$2001,LOG!$C$2:$C$2001,F22,LOG!$E$2:$E$2001,"",LOG!$D$2:$D$2001,"*BOOKED")))),"")</f>
        <v>46309.540807108242</v>
      </c>
      <c r="AN22" s="28">
        <f t="shared" si="7"/>
        <v>17.129370597889647</v>
      </c>
      <c r="AO22" s="28">
        <f>IF(AND(M22=1,AN22&lt;&gt;""),IF(AN22&lt;=SETTINGS!$B$5,1,0),0)</f>
        <v>1</v>
      </c>
      <c r="AP22" s="28">
        <f>IF(M22=1,IF(COUNTIFS(LOG!$C$2:$C$2001,F22,LOG!$E$2:$E$2001,B22,LOG!$D$2:$D$2001,"BOOKED")+COUNTIFS(LOG!$C$2:$C$2001,F22,LOG!$E$2:$E$2001,"",LOG!$D$2:$D$2001,"BOOKED")&gt;0,1,0),0)</f>
        <v>1</v>
      </c>
      <c r="AQ22" s="28" t="str">
        <f t="shared" si="8"/>
        <v>Kabir</v>
      </c>
      <c r="AR22" s="28">
        <f>IF(AND(AK22=1,K22="OK"),COUNTIFS($AK$2:AK22,1,$K$2:K22,"OK"),"")</f>
        <v>20</v>
      </c>
      <c r="AS22" s="28" t="str">
        <f>IF(L22=1,IFERROR(INDEX(MESSAGES!$J$9:$J$1008,MATCH(F22,MESSAGES!$M$9:$M$1008,0))&amp;"",""),"")</f>
        <v/>
      </c>
      <c r="AT22" s="28" t="str">
        <f>IF(L22=1,IFERROR(INDEX(MESSAGES!$K$9:$K$1008,MATCH(F22,MESSAGES!$M$9:$M$1008,0))&amp;"",""),"")</f>
        <v/>
      </c>
      <c r="AU22" s="28">
        <f t="shared" ca="1" si="9"/>
        <v>0</v>
      </c>
      <c r="AV22" s="28" t="str">
        <f t="shared" si="10"/>
        <v>HOLD</v>
      </c>
    </row>
    <row r="23" spans="1:48" x14ac:dyDescent="0.35">
      <c r="A23" s="28">
        <v>22</v>
      </c>
      <c r="B23" s="28" t="str">
        <f>IF(INPUT!A23="","",TRIM(INPUT!A23))</f>
        <v>Partner 013</v>
      </c>
      <c r="C23" s="28" t="str">
        <f>IF(B23="","",INPUT!C23)</f>
        <v>interviewer0@partner013.example.com</v>
      </c>
      <c r="D23" s="28" t="str">
        <f>IF(B23="","",INPUT!D23)</f>
        <v>Ishaan F.</v>
      </c>
      <c r="E23" s="28" t="str">
        <f>IF(B23="","",INPUT!E23)</f>
        <v>ishaan.f164@example.com</v>
      </c>
      <c r="F23" s="43" t="str">
        <f>IF(B23="","",TRIM(INPUT!F23&amp;""))</f>
        <v>9000002139</v>
      </c>
      <c r="G23" s="28" t="str">
        <f>IF(B23="","",INPUT!H23)</f>
        <v>Round1</v>
      </c>
      <c r="H23" s="46">
        <f>IF(B23="","",INPUT!I23)</f>
        <v>46308.82708333333</v>
      </c>
      <c r="I23" s="28" t="str">
        <f>IF(B23="","",IF(INPUT!J23="","None",INPUT!J23))</f>
        <v>Clicked</v>
      </c>
      <c r="J23" s="28" t="str">
        <f t="shared" si="0"/>
        <v>ishaan.f164@example.com|partner 013|Round1|interviewer0@partner013.example.com</v>
      </c>
      <c r="K23" s="28" t="str">
        <f>IF(B23="","",IF(SUMPRODUCT(($J$2:$J$601=J23)*($H$2:$H$601&lt;H23))+SUMPRODUCT(($J$2:J23=J23)*($H$2:H23=H23))-1&gt;0,"DUPLICATE",IF(AND(ISNUMBER(SEARCH("@",E23)),ISNUMBER(SEARCH(".",E23)),LEN(F23)=10,ISNUMBER(VALUE(F23))),"OK","BAD CONTACT")))</f>
        <v>OK</v>
      </c>
      <c r="L23" s="28">
        <f t="shared" si="1"/>
        <v>1</v>
      </c>
      <c r="M23" s="28">
        <f>IF(L23=1,IF(COUNTIFS(LOG!$C$2:$C$2001,F23,LOG!$E$2:$E$2001,B23,LOG!$D$2:$D$2001,"*BOOKED")+COUNTIFS(LOG!$C$2:$C$2001,F23,LOG!$E$2:$E$2001,"",LOG!$D$2:$D$2001,"*BOOKED")&gt;0,1,0),0)</f>
        <v>1</v>
      </c>
      <c r="N23" s="28">
        <f>IF(L23=1,IF(COUNTIFS(LOG!$C$2:$C$2001,F23,LOG!$E$2:$E$2001,B23,LOG!$D$2:$D$2001,"NOT_INTERESTED")+COUNTIFS(LOG!$C$2:$C$2001,F23,LOG!$E$2:$E$2001,"",LOG!$D$2:$D$2001,"NOT_INTERESTED")&gt;0,1,0),0)</f>
        <v>0</v>
      </c>
      <c r="O23" s="28">
        <f>IF(L23=1,IF(COUNTIFS(LOG!$C$2:$C$2001,F23,LOG!$D$2:$D$2001,"STOP")+COUNTIFS(LOG!$C$2:$C$2001,F23,LOG!$D$2:$D$2001,"WRONG_NUMBER")&gt;0,1,IF(ISNUMBER(SEARCH("STOP",AT23)),1,0)),0)</f>
        <v>0</v>
      </c>
      <c r="P23" s="28">
        <f>IF(L23=1,IF(IFERROR(INDEX(PARTNERS!$D$2:$D$88,MATCH(B23,PARTNERS!$A$2:$A$88,0)),"")="NO SLOTS",1,IF(AND(IFERROR(INDEX(PARTNERS!$D$2:$D$88,MATCH(B23,PARTNERS!$A$2:$A$88,0)),"")&lt;&gt;"REOPENED",COUNTIFS(LOG!$E$2:$E$2001,B23,LOG!$D$2:$D$2001,"NO_SLOTS")&gt;0),1,0)),0)</f>
        <v>0</v>
      </c>
      <c r="Q23" s="28">
        <f>IF(L23=1,COUNTIFS(LOG!$C$2:$C$2001,F23,LOG!$H$2:$H$2001,1),0)</f>
        <v>1</v>
      </c>
      <c r="R23" s="46">
        <f>IF(Q23&gt;0,_xlfn.MAXIFS(LOG!$G$2:$G$2001,LOG!$C$2:$C$2001,F23,LOG!$H$2:$H$2001,1),0)</f>
        <v>46309.548868423677</v>
      </c>
      <c r="S23" s="28" t="str">
        <f>IF(Q23&gt;0,IFERROR(INDEX(LOG!$D$2:$D$2001,MATCH(F23&amp;"|"&amp;Q23,LOG!$I$2:$I$2001,0)),""),"")</f>
        <v>BOOKED</v>
      </c>
      <c r="T23" s="28">
        <f>IF(S23="",0,IFERROR(VLOOKUP(S23,LISTS!$A$2:$E$10,4,FALSE),0))</f>
        <v>0</v>
      </c>
      <c r="U23" s="46">
        <f t="shared" si="2"/>
        <v>46309.548868423677</v>
      </c>
      <c r="V23" s="46">
        <f>IF(L23=1,H23+SETTINGS!$B$5/24,"")</f>
        <v>46309.82708333333</v>
      </c>
      <c r="W23" s="28">
        <f ca="1">IF(L23=1,(V23-SETTINGS!$B$4)*24,"")</f>
        <v>-1.6666666720993817E-2</v>
      </c>
      <c r="X23" s="28">
        <f ca="1">IF(AND(L23=1,K23="OK",M23=0,N23=0,O23=0,P23=0,SETTINGS!$B$4&lt;V23,Q23&lt;SETTINGS!$B$6),1,0)</f>
        <v>0</v>
      </c>
      <c r="Y23" s="28">
        <f ca="1">IF(AND(X23=1,SETTINGS!$B$4&gt;=H23,SETTINGS!$B$4&gt;=U23,ROUND(MOD(SETTINGS!$B$4,1)*1440,0)&gt;=ROUND(SETTINGS!$B$7*1440,0),ROUND(MOD(SETTINGS!$B$4,1)*1440,0)&lt;ROUND(SETTINGS!$B$8*1440,0)),1,0)</f>
        <v>0</v>
      </c>
      <c r="Z23" s="28" t="str">
        <f ca="1">IF(B23="","",IF(ROUND(MOD(SETTINGS!$B$4,1)*1440,0)&lt;ROUND(SETTINGS!$B$11*1440,0),"Ram",IF(ROUND(MOD(SETTINGS!$B$4,1)*1440,0)&gt;=ROUND(SETTINGS!$B$10*1440,0),"Shyam",IF(MOD(IFERROR(VALUE(RIGHT(F23,2)),0),2)=0,"Ram","Shyam"))))</f>
        <v>Shyam</v>
      </c>
      <c r="AA23" s="28">
        <f t="shared" ca="1" si="3"/>
        <v>0</v>
      </c>
      <c r="AB23" s="28">
        <f ca="1">IF(X23=1,COUNTIFS($F$2:F23,F23,$X$2:X23,1),0)</f>
        <v>0</v>
      </c>
      <c r="AC23" s="28" t="str">
        <f>IF(L23=1,IF(IFERROR(INDEX(PARTNERS!$C$2:$C$88,MATCH(B23,PARTNERS!$A$2:$A$88,0)),"")="YES","YES","NO"),"")</f>
        <v>YES</v>
      </c>
      <c r="AD23" s="28" t="str">
        <f>IF(L23=1,IFERROR(INDEX(PARTNERS!$B$2:$B$88,MATCH(B23,PARTNERS!$A$2:$A$88,0)),""),"")</f>
        <v>https://calendly.com/partner013/interview</v>
      </c>
      <c r="AE23" s="28">
        <f ca="1">IF(X23=1,IFERROR(INDEX(SETTINGS!$B$34:$D$36,MATCH(I23,SETTINGS!$A$34:$A$36,0),MIN(Q23,2)+1),SETTINGS!$B$36),0)</f>
        <v>0</v>
      </c>
      <c r="AF23" s="28">
        <f t="shared" si="4"/>
        <v>1</v>
      </c>
      <c r="AG23" s="28">
        <f ca="1">IF(AND(Y23=1,AB23=1),ROUND(AA23*AE23*IF(AF23&gt;1,SETTINGS!$B$16,1)*IF(W23&lt;=SETTINGS!$B$14,SETTINGS!$B$15,1)*IF(AU23=1,SETTINGS!$B$21,1),6),0)</f>
        <v>0</v>
      </c>
      <c r="AH23" s="28" t="str">
        <f ca="1">IF(AG23&gt;0,COUNTIFS($Z$2:$Z$601,Z23,$AG$2:$AG$601,"&gt;"&amp;AG23)+COUNTIFS($Z$2:Z23,Z23,$AG$2:AG23,AG23),"")</f>
        <v/>
      </c>
      <c r="AI23" s="28" t="str">
        <f t="shared" ca="1" si="5"/>
        <v/>
      </c>
      <c r="AJ23" s="28" t="str">
        <f t="shared" ca="1" si="6"/>
        <v/>
      </c>
      <c r="AK23" s="28">
        <f>IF(L23=1,IF(COUNTIFS($F$2:F23,F23,$L$2:L23,1)=1,1,0),0)</f>
        <v>1</v>
      </c>
      <c r="AL23" s="28" t="str">
        <f>IF(B23="","",IF(K23="DUPLICATE","Duplicate (removed)",IF(AO23=1,"Scheduled within 24h",IF(M23=1,"Scheduled late",IF(K23="BAD CONTACT","Bad contact details",IF(O23=1,"Stopped / wrong number",IF(N23=1,"Not interested",IF(P23=1,"Partner has no slots",IF(SETTINGS!$B$4&gt;=V23,IF(Q23=0,"Missed deadline: never tried","Missed deadline: tried, not booked"),IF(Q23&gt;=SETTINGS!$B$6,"No reply after max tries","Open"))))))))))</f>
        <v>Scheduled within 24h</v>
      </c>
      <c r="AM23" s="46">
        <f>IF(M23=1,IF(_xlfn.MINIFS(LOG!$G$2:$G$2001,LOG!$C$2:$C$2001,F23,LOG!$E$2:$E$2001,B23,LOG!$D$2:$D$2001,"*BOOKED")=0,_xlfn.MINIFS(LOG!$G$2:$G$2001,LOG!$C$2:$C$2001,F23,LOG!$E$2:$E$2001,"",LOG!$D$2:$D$2001,"*BOOKED"),IF(_xlfn.MINIFS(LOG!$G$2:$G$2001,LOG!$C$2:$C$2001,F23,LOG!$E$2:$E$2001,"",LOG!$D$2:$D$2001,"*BOOKED")=0,_xlfn.MINIFS(LOG!$G$2:$G$2001,LOG!$C$2:$C$2001,F23,LOG!$E$2:$E$2001,B23,LOG!$D$2:$D$2001,"*BOOKED"),MIN(_xlfn.MINIFS(LOG!$G$2:$G$2001,LOG!$C$2:$C$2001,F23,LOG!$E$2:$E$2001,B23,LOG!$D$2:$D$2001,"*BOOKED"),_xlfn.MINIFS(LOG!$G$2:$G$2001,LOG!$C$2:$C$2001,F23,LOG!$E$2:$E$2001,"",LOG!$D$2:$D$2001,"*BOOKED")))),"")</f>
        <v>46309.548868423677</v>
      </c>
      <c r="AN23" s="28">
        <f t="shared" si="7"/>
        <v>17.322842168330681</v>
      </c>
      <c r="AO23" s="28">
        <f>IF(AND(M23=1,AN23&lt;&gt;""),IF(AN23&lt;=SETTINGS!$B$5,1,0),0)</f>
        <v>1</v>
      </c>
      <c r="AP23" s="28">
        <f>IF(M23=1,IF(COUNTIFS(LOG!$C$2:$C$2001,F23,LOG!$E$2:$E$2001,B23,LOG!$D$2:$D$2001,"BOOKED")+COUNTIFS(LOG!$C$2:$C$2001,F23,LOG!$E$2:$E$2001,"",LOG!$D$2:$D$2001,"BOOKED")&gt;0,1,0),0)</f>
        <v>1</v>
      </c>
      <c r="AQ23" s="28" t="str">
        <f t="shared" si="8"/>
        <v>Ishaan</v>
      </c>
      <c r="AR23" s="28">
        <f>IF(AND(AK23=1,K23="OK"),COUNTIFS($AK$2:AK23,1,$K$2:K23,"OK"),"")</f>
        <v>21</v>
      </c>
      <c r="AS23" s="28" t="str">
        <f>IF(L23=1,IFERROR(INDEX(MESSAGES!$J$9:$J$1008,MATCH(F23,MESSAGES!$M$9:$M$1008,0))&amp;"",""),"")</f>
        <v/>
      </c>
      <c r="AT23" s="28" t="str">
        <f>IF(L23=1,IFERROR(INDEX(MESSAGES!$K$9:$K$1008,MATCH(F23,MESSAGES!$M$9:$M$1008,0))&amp;"",""),"")</f>
        <v/>
      </c>
      <c r="AU23" s="28">
        <f t="shared" ca="1" si="9"/>
        <v>0</v>
      </c>
      <c r="AV23" s="28" t="str">
        <f t="shared" si="10"/>
        <v>HOLD</v>
      </c>
    </row>
    <row r="24" spans="1:48" x14ac:dyDescent="0.35">
      <c r="A24" s="28">
        <v>23</v>
      </c>
      <c r="B24" s="28" t="str">
        <f>IF(INPUT!A24="","",TRIM(INPUT!A24))</f>
        <v>Partner 016</v>
      </c>
      <c r="C24" s="28" t="str">
        <f>IF(B24="","",INPUT!C24)</f>
        <v>interviewer1@partner016.example.com</v>
      </c>
      <c r="D24" s="28" t="str">
        <f>IF(B24="","",INPUT!D24)</f>
        <v>Manav F.</v>
      </c>
      <c r="E24" s="28" t="str">
        <f>IF(B24="","",INPUT!E24)</f>
        <v>manav.f174@example.com</v>
      </c>
      <c r="F24" s="43" t="str">
        <f>IF(B24="","",TRIM(INPUT!F24&amp;""))</f>
        <v>9000002269</v>
      </c>
      <c r="G24" s="28" t="str">
        <f>IF(B24="","",INPUT!H24)</f>
        <v>Round1</v>
      </c>
      <c r="H24" s="46">
        <f>IF(B24="","",INPUT!I24)</f>
        <v>46308.82708333333</v>
      </c>
      <c r="I24" s="28" t="str">
        <f>IF(B24="","",IF(INPUT!J24="","None",INPUT!J24))</f>
        <v>Opened</v>
      </c>
      <c r="J24" s="28" t="str">
        <f t="shared" si="0"/>
        <v>manav.f174@example.com|partner 016|Round1|interviewer1@partner016.example.com</v>
      </c>
      <c r="K24" s="28" t="str">
        <f>IF(B24="","",IF(SUMPRODUCT(($J$2:$J$601=J24)*($H$2:$H$601&lt;H24))+SUMPRODUCT(($J$2:J24=J24)*($H$2:H24=H24))-1&gt;0,"DUPLICATE",IF(AND(ISNUMBER(SEARCH("@",E24)),ISNUMBER(SEARCH(".",E24)),LEN(F24)=10,ISNUMBER(VALUE(F24))),"OK","BAD CONTACT")))</f>
        <v>OK</v>
      </c>
      <c r="L24" s="28">
        <f t="shared" si="1"/>
        <v>1</v>
      </c>
      <c r="M24" s="28">
        <f>IF(L24=1,IF(COUNTIFS(LOG!$C$2:$C$2001,F24,LOG!$E$2:$E$2001,B24,LOG!$D$2:$D$2001,"*BOOKED")+COUNTIFS(LOG!$C$2:$C$2001,F24,LOG!$E$2:$E$2001,"",LOG!$D$2:$D$2001,"*BOOKED")&gt;0,1,0),0)</f>
        <v>1</v>
      </c>
      <c r="N24" s="28">
        <f>IF(L24=1,IF(COUNTIFS(LOG!$C$2:$C$2001,F24,LOG!$E$2:$E$2001,B24,LOG!$D$2:$D$2001,"NOT_INTERESTED")+COUNTIFS(LOG!$C$2:$C$2001,F24,LOG!$E$2:$E$2001,"",LOG!$D$2:$D$2001,"NOT_INTERESTED")&gt;0,1,0),0)</f>
        <v>0</v>
      </c>
      <c r="O24" s="28">
        <f>IF(L24=1,IF(COUNTIFS(LOG!$C$2:$C$2001,F24,LOG!$D$2:$D$2001,"STOP")+COUNTIFS(LOG!$C$2:$C$2001,F24,LOG!$D$2:$D$2001,"WRONG_NUMBER")&gt;0,1,IF(ISNUMBER(SEARCH("STOP",AT24)),1,0)),0)</f>
        <v>0</v>
      </c>
      <c r="P24" s="28">
        <f>IF(L24=1,IF(IFERROR(INDEX(PARTNERS!$D$2:$D$88,MATCH(B24,PARTNERS!$A$2:$A$88,0)),"")="NO SLOTS",1,IF(AND(IFERROR(INDEX(PARTNERS!$D$2:$D$88,MATCH(B24,PARTNERS!$A$2:$A$88,0)),"")&lt;&gt;"REOPENED",COUNTIFS(LOG!$E$2:$E$2001,B24,LOG!$D$2:$D$2001,"NO_SLOTS")&gt;0),1,0)),0)</f>
        <v>0</v>
      </c>
      <c r="Q24" s="28">
        <f>IF(L24=1,COUNTIFS(LOG!$C$2:$C$2001,F24,LOG!$H$2:$H$2001,1),0)</f>
        <v>0</v>
      </c>
      <c r="R24" s="46">
        <f>IF(Q24&gt;0,_xlfn.MAXIFS(LOG!$G$2:$G$2001,LOG!$C$2:$C$2001,F24,LOG!$H$2:$H$2001,1),0)</f>
        <v>0</v>
      </c>
      <c r="S24" s="28" t="str">
        <f>IF(Q24&gt;0,IFERROR(INDEX(LOG!$D$2:$D$2001,MATCH(F24&amp;"|"&amp;Q24,LOG!$I$2:$I$2001,0)),""),"")</f>
        <v/>
      </c>
      <c r="T24" s="28">
        <f>IF(S24="",0,IFERROR(VLOOKUP(S24,LISTS!$A$2:$E$10,4,FALSE),0))</f>
        <v>0</v>
      </c>
      <c r="U24" s="46">
        <f t="shared" si="2"/>
        <v>0</v>
      </c>
      <c r="V24" s="46">
        <f>IF(L24=1,H24+SETTINGS!$B$5/24,"")</f>
        <v>46309.82708333333</v>
      </c>
      <c r="W24" s="28">
        <f ca="1">IF(L24=1,(V24-SETTINGS!$B$4)*24,"")</f>
        <v>-1.6666666720993817E-2</v>
      </c>
      <c r="X24" s="28">
        <f ca="1">IF(AND(L24=1,K24="OK",M24=0,N24=0,O24=0,P24=0,SETTINGS!$B$4&lt;V24,Q24&lt;SETTINGS!$B$6),1,0)</f>
        <v>0</v>
      </c>
      <c r="Y24" s="28">
        <f ca="1">IF(AND(X24=1,SETTINGS!$B$4&gt;=H24,SETTINGS!$B$4&gt;=U24,ROUND(MOD(SETTINGS!$B$4,1)*1440,0)&gt;=ROUND(SETTINGS!$B$7*1440,0),ROUND(MOD(SETTINGS!$B$4,1)*1440,0)&lt;ROUND(SETTINGS!$B$8*1440,0)),1,0)</f>
        <v>0</v>
      </c>
      <c r="Z24" s="28" t="str">
        <f ca="1">IF(B24="","",IF(ROUND(MOD(SETTINGS!$B$4,1)*1440,0)&lt;ROUND(SETTINGS!$B$11*1440,0),"Ram",IF(ROUND(MOD(SETTINGS!$B$4,1)*1440,0)&gt;=ROUND(SETTINGS!$B$10*1440,0),"Shyam",IF(MOD(IFERROR(VALUE(RIGHT(F24,2)),0),2)=0,"Ram","Shyam"))))</f>
        <v>Shyam</v>
      </c>
      <c r="AA24" s="28">
        <f t="shared" ca="1" si="3"/>
        <v>0</v>
      </c>
      <c r="AB24" s="28">
        <f ca="1">IF(X24=1,COUNTIFS($F$2:F24,F24,$X$2:X24,1),0)</f>
        <v>0</v>
      </c>
      <c r="AC24" s="28" t="str">
        <f>IF(L24=1,IF(IFERROR(INDEX(PARTNERS!$C$2:$C$88,MATCH(B24,PARTNERS!$A$2:$A$88,0)),"")="YES","YES","NO"),"")</f>
        <v>NO</v>
      </c>
      <c r="AD24" s="28" t="str">
        <f>IF(L24=1,IFERROR(INDEX(PARTNERS!$B$2:$B$88,MATCH(B24,PARTNERS!$A$2:$A$88,0)),""),"")</f>
        <v>https://calendly.com/partner016/interview</v>
      </c>
      <c r="AE24" s="28">
        <f ca="1">IF(X24=1,IFERROR(INDEX(SETTINGS!$B$34:$D$36,MATCH(I24,SETTINGS!$A$34:$A$36,0),MIN(Q24,2)+1),SETTINGS!$B$36),0)</f>
        <v>0</v>
      </c>
      <c r="AF24" s="28">
        <f t="shared" si="4"/>
        <v>1</v>
      </c>
      <c r="AG24" s="28">
        <f ca="1">IF(AND(Y24=1,AB24=1),ROUND(AA24*AE24*IF(AF24&gt;1,SETTINGS!$B$16,1)*IF(W24&lt;=SETTINGS!$B$14,SETTINGS!$B$15,1)*IF(AU24=1,SETTINGS!$B$21,1),6),0)</f>
        <v>0</v>
      </c>
      <c r="AH24" s="28" t="str">
        <f ca="1">IF(AG24&gt;0,COUNTIFS($Z$2:$Z$601,Z24,$AG$2:$AG$601,"&gt;"&amp;AG24)+COUNTIFS($Z$2:Z24,Z24,$AG$2:AG24,AG24),"")</f>
        <v/>
      </c>
      <c r="AI24" s="28" t="str">
        <f t="shared" ca="1" si="5"/>
        <v/>
      </c>
      <c r="AJ24" s="28" t="str">
        <f t="shared" ca="1" si="6"/>
        <v/>
      </c>
      <c r="AK24" s="28">
        <f>IF(L24=1,IF(COUNTIFS($F$2:F24,F24,$L$2:L24,1)=1,1,0),0)</f>
        <v>1</v>
      </c>
      <c r="AL24" s="28" t="str">
        <f>IF(B24="","",IF(K24="DUPLICATE","Duplicate (removed)",IF(AO24=1,"Scheduled within 24h",IF(M24=1,"Scheduled late",IF(K24="BAD CONTACT","Bad contact details",IF(O24=1,"Stopped / wrong number",IF(N24=1,"Not interested",IF(P24=1,"Partner has no slots",IF(SETTINGS!$B$4&gt;=V24,IF(Q24=0,"Missed deadline: never tried","Missed deadline: tried, not booked"),IF(Q24&gt;=SETTINGS!$B$6,"No reply after max tries","Open"))))))))))</f>
        <v>Scheduled within 24h</v>
      </c>
      <c r="AM24" s="46">
        <f>IF(M24=1,IF(_xlfn.MINIFS(LOG!$G$2:$G$2001,LOG!$C$2:$C$2001,F24,LOG!$E$2:$E$2001,B24,LOG!$D$2:$D$2001,"*BOOKED")=0,_xlfn.MINIFS(LOG!$G$2:$G$2001,LOG!$C$2:$C$2001,F24,LOG!$E$2:$E$2001,"",LOG!$D$2:$D$2001,"*BOOKED"),IF(_xlfn.MINIFS(LOG!$G$2:$G$2001,LOG!$C$2:$C$2001,F24,LOG!$E$2:$E$2001,"",LOG!$D$2:$D$2001,"*BOOKED")=0,_xlfn.MINIFS(LOG!$G$2:$G$2001,LOG!$C$2:$C$2001,F24,LOG!$E$2:$E$2001,B24,LOG!$D$2:$D$2001,"*BOOKED"),MIN(_xlfn.MINIFS(LOG!$G$2:$G$2001,LOG!$C$2:$C$2001,F24,LOG!$E$2:$E$2001,B24,LOG!$D$2:$D$2001,"*BOOKED"),_xlfn.MINIFS(LOG!$G$2:$G$2001,LOG!$C$2:$C$2001,F24,LOG!$E$2:$E$2001,"",LOG!$D$2:$D$2001,"*BOOKED")))),"")</f>
        <v>46309.333970649604</v>
      </c>
      <c r="AN24" s="28">
        <f t="shared" si="7"/>
        <v>12.165295590588357</v>
      </c>
      <c r="AO24" s="28">
        <f>IF(AND(M24=1,AN24&lt;&gt;""),IF(AN24&lt;=SETTINGS!$B$5,1,0),0)</f>
        <v>1</v>
      </c>
      <c r="AP24" s="28">
        <f>IF(M24=1,IF(COUNTIFS(LOG!$C$2:$C$2001,F24,LOG!$E$2:$E$2001,B24,LOG!$D$2:$D$2001,"BOOKED")+COUNTIFS(LOG!$C$2:$C$2001,F24,LOG!$E$2:$E$2001,"",LOG!$D$2:$D$2001,"BOOKED")&gt;0,1,0),0)</f>
        <v>0</v>
      </c>
      <c r="AQ24" s="28" t="str">
        <f t="shared" si="8"/>
        <v>Manav</v>
      </c>
      <c r="AR24" s="28">
        <f>IF(AND(AK24=1,K24="OK"),COUNTIFS($AK$2:AK24,1,$K$2:K24,"OK"),"")</f>
        <v>22</v>
      </c>
      <c r="AS24" s="28" t="str">
        <f>IF(L24=1,IFERROR(INDEX(MESSAGES!$J$9:$J$1008,MATCH(F24,MESSAGES!$M$9:$M$1008,0))&amp;"",""),"")</f>
        <v/>
      </c>
      <c r="AT24" s="28" t="str">
        <f>IF(L24=1,IFERROR(INDEX(MESSAGES!$K$9:$K$1008,MATCH(F24,MESSAGES!$M$9:$M$1008,0))&amp;"",""),"")</f>
        <v/>
      </c>
      <c r="AU24" s="28">
        <f t="shared" ca="1" si="9"/>
        <v>0</v>
      </c>
      <c r="AV24" s="28" t="str">
        <f t="shared" si="10"/>
        <v>SEND</v>
      </c>
    </row>
    <row r="25" spans="1:48" x14ac:dyDescent="0.35">
      <c r="A25" s="28">
        <v>24</v>
      </c>
      <c r="B25" s="28" t="str">
        <f>IF(INPUT!A25="","",TRIM(INPUT!A25))</f>
        <v>Partner 074</v>
      </c>
      <c r="C25" s="28" t="str">
        <f>IF(B25="","",INPUT!C25)</f>
        <v>interviewer0@partner074.example.com</v>
      </c>
      <c r="D25" s="28" t="str">
        <f>IF(B25="","",INPUT!D25)</f>
        <v>Aditya B.</v>
      </c>
      <c r="E25" s="28" t="str">
        <f>IF(B25="","",INPUT!E25)</f>
        <v>aditya.b052@example.com</v>
      </c>
      <c r="F25" s="43" t="str">
        <f>IF(B25="","",TRIM(INPUT!F25&amp;""))</f>
        <v>9000000683</v>
      </c>
      <c r="G25" s="28" t="str">
        <f>IF(B25="","",INPUT!H25)</f>
        <v>Round1</v>
      </c>
      <c r="H25" s="46">
        <f>IF(B25="","",INPUT!I25)</f>
        <v>46308.82708333333</v>
      </c>
      <c r="I25" s="28" t="str">
        <f>IF(B25="","",IF(INPUT!J25="","None",INPUT!J25))</f>
        <v>Clicked</v>
      </c>
      <c r="J25" s="28" t="str">
        <f t="shared" si="0"/>
        <v>aditya.b052@example.com|partner 074|Round1|interviewer0@partner074.example.com</v>
      </c>
      <c r="K25" s="28" t="str">
        <f>IF(B25="","",IF(SUMPRODUCT(($J$2:$J$601=J25)*($H$2:$H$601&lt;H25))+SUMPRODUCT(($J$2:J25=J25)*($H$2:H25=H25))-1&gt;0,"DUPLICATE",IF(AND(ISNUMBER(SEARCH("@",E25)),ISNUMBER(SEARCH(".",E25)),LEN(F25)=10,ISNUMBER(VALUE(F25))),"OK","BAD CONTACT")))</f>
        <v>OK</v>
      </c>
      <c r="L25" s="28">
        <f t="shared" si="1"/>
        <v>1</v>
      </c>
      <c r="M25" s="28">
        <f>IF(L25=1,IF(COUNTIFS(LOG!$C$2:$C$2001,F25,LOG!$E$2:$E$2001,B25,LOG!$D$2:$D$2001,"*BOOKED")+COUNTIFS(LOG!$C$2:$C$2001,F25,LOG!$E$2:$E$2001,"",LOG!$D$2:$D$2001,"*BOOKED")&gt;0,1,0),0)</f>
        <v>1</v>
      </c>
      <c r="N25" s="28">
        <f>IF(L25=1,IF(COUNTIFS(LOG!$C$2:$C$2001,F25,LOG!$E$2:$E$2001,B25,LOG!$D$2:$D$2001,"NOT_INTERESTED")+COUNTIFS(LOG!$C$2:$C$2001,F25,LOG!$E$2:$E$2001,"",LOG!$D$2:$D$2001,"NOT_INTERESTED")&gt;0,1,0),0)</f>
        <v>0</v>
      </c>
      <c r="O25" s="28">
        <f>IF(L25=1,IF(COUNTIFS(LOG!$C$2:$C$2001,F25,LOG!$D$2:$D$2001,"STOP")+COUNTIFS(LOG!$C$2:$C$2001,F25,LOG!$D$2:$D$2001,"WRONG_NUMBER")&gt;0,1,IF(ISNUMBER(SEARCH("STOP",AT25)),1,0)),0)</f>
        <v>0</v>
      </c>
      <c r="P25" s="28">
        <f>IF(L25=1,IF(IFERROR(INDEX(PARTNERS!$D$2:$D$88,MATCH(B25,PARTNERS!$A$2:$A$88,0)),"")="NO SLOTS",1,IF(AND(IFERROR(INDEX(PARTNERS!$D$2:$D$88,MATCH(B25,PARTNERS!$A$2:$A$88,0)),"")&lt;&gt;"REOPENED",COUNTIFS(LOG!$E$2:$E$2001,B25,LOG!$D$2:$D$2001,"NO_SLOTS")&gt;0),1,0)),0)</f>
        <v>0</v>
      </c>
      <c r="Q25" s="28">
        <f>IF(L25=1,COUNTIFS(LOG!$C$2:$C$2001,F25,LOG!$H$2:$H$2001,1),0)</f>
        <v>0</v>
      </c>
      <c r="R25" s="46">
        <f>IF(Q25&gt;0,_xlfn.MAXIFS(LOG!$G$2:$G$2001,LOG!$C$2:$C$2001,F25,LOG!$H$2:$H$2001,1),0)</f>
        <v>0</v>
      </c>
      <c r="S25" s="28" t="str">
        <f>IF(Q25&gt;0,IFERROR(INDEX(LOG!$D$2:$D$2001,MATCH(F25&amp;"|"&amp;Q25,LOG!$I$2:$I$2001,0)),""),"")</f>
        <v/>
      </c>
      <c r="T25" s="28">
        <f>IF(S25="",0,IFERROR(VLOOKUP(S25,LISTS!$A$2:$E$10,4,FALSE),0))</f>
        <v>0</v>
      </c>
      <c r="U25" s="46">
        <f t="shared" si="2"/>
        <v>0</v>
      </c>
      <c r="V25" s="46">
        <f>IF(L25=1,H25+SETTINGS!$B$5/24,"")</f>
        <v>46309.82708333333</v>
      </c>
      <c r="W25" s="28">
        <f ca="1">IF(L25=1,(V25-SETTINGS!$B$4)*24,"")</f>
        <v>-1.6666666720993817E-2</v>
      </c>
      <c r="X25" s="28">
        <f ca="1">IF(AND(L25=1,K25="OK",M25=0,N25=0,O25=0,P25=0,SETTINGS!$B$4&lt;V25,Q25&lt;SETTINGS!$B$6),1,0)</f>
        <v>0</v>
      </c>
      <c r="Y25" s="28">
        <f ca="1">IF(AND(X25=1,SETTINGS!$B$4&gt;=H25,SETTINGS!$B$4&gt;=U25,ROUND(MOD(SETTINGS!$B$4,1)*1440,0)&gt;=ROUND(SETTINGS!$B$7*1440,0),ROUND(MOD(SETTINGS!$B$4,1)*1440,0)&lt;ROUND(SETTINGS!$B$8*1440,0)),1,0)</f>
        <v>0</v>
      </c>
      <c r="Z25" s="28" t="str">
        <f ca="1">IF(B25="","",IF(ROUND(MOD(SETTINGS!$B$4,1)*1440,0)&lt;ROUND(SETTINGS!$B$11*1440,0),"Ram",IF(ROUND(MOD(SETTINGS!$B$4,1)*1440,0)&gt;=ROUND(SETTINGS!$B$10*1440,0),"Shyam",IF(MOD(IFERROR(VALUE(RIGHT(F25,2)),0),2)=0,"Ram","Shyam"))))</f>
        <v>Shyam</v>
      </c>
      <c r="AA25" s="28">
        <f t="shared" ca="1" si="3"/>
        <v>0</v>
      </c>
      <c r="AB25" s="28">
        <f ca="1">IF(X25=1,COUNTIFS($F$2:F25,F25,$X$2:X25,1),0)</f>
        <v>0</v>
      </c>
      <c r="AC25" s="28" t="str">
        <f>IF(L25=1,IF(IFERROR(INDEX(PARTNERS!$C$2:$C$88,MATCH(B25,PARTNERS!$A$2:$A$88,0)),"")="YES","YES","NO"),"")</f>
        <v>YES</v>
      </c>
      <c r="AD25" s="28" t="str">
        <f>IF(L25=1,IFERROR(INDEX(PARTNERS!$B$2:$B$88,MATCH(B25,PARTNERS!$A$2:$A$88,0)),""),"")</f>
        <v>https://calendly.com/partner074/interview</v>
      </c>
      <c r="AE25" s="28">
        <f ca="1">IF(X25=1,IFERROR(INDEX(SETTINGS!$B$34:$D$36,MATCH(I25,SETTINGS!$A$34:$A$36,0),MIN(Q25,2)+1),SETTINGS!$B$36),0)</f>
        <v>0</v>
      </c>
      <c r="AF25" s="28">
        <f t="shared" si="4"/>
        <v>1</v>
      </c>
      <c r="AG25" s="28">
        <f ca="1">IF(AND(Y25=1,AB25=1),ROUND(AA25*AE25*IF(AF25&gt;1,SETTINGS!$B$16,1)*IF(W25&lt;=SETTINGS!$B$14,SETTINGS!$B$15,1)*IF(AU25=1,SETTINGS!$B$21,1),6),0)</f>
        <v>0</v>
      </c>
      <c r="AH25" s="28" t="str">
        <f ca="1">IF(AG25&gt;0,COUNTIFS($Z$2:$Z$601,Z25,$AG$2:$AG$601,"&gt;"&amp;AG25)+COUNTIFS($Z$2:Z25,Z25,$AG$2:AG25,AG25),"")</f>
        <v/>
      </c>
      <c r="AI25" s="28" t="str">
        <f t="shared" ca="1" si="5"/>
        <v/>
      </c>
      <c r="AJ25" s="28" t="str">
        <f t="shared" ca="1" si="6"/>
        <v/>
      </c>
      <c r="AK25" s="28">
        <f>IF(L25=1,IF(COUNTIFS($F$2:F25,F25,$L$2:L25,1)=1,1,0),0)</f>
        <v>1</v>
      </c>
      <c r="AL25" s="28" t="str">
        <f>IF(B25="","",IF(K25="DUPLICATE","Duplicate (removed)",IF(AO25=1,"Scheduled within 24h",IF(M25=1,"Scheduled late",IF(K25="BAD CONTACT","Bad contact details",IF(O25=1,"Stopped / wrong number",IF(N25=1,"Not interested",IF(P25=1,"Partner has no slots",IF(SETTINGS!$B$4&gt;=V25,IF(Q25=0,"Missed deadline: never tried","Missed deadline: tried, not booked"),IF(Q25&gt;=SETTINGS!$B$6,"No reply after max tries","Open"))))))))))</f>
        <v>Scheduled within 24h</v>
      </c>
      <c r="AM25" s="46">
        <f>IF(M25=1,IF(_xlfn.MINIFS(LOG!$G$2:$G$2001,LOG!$C$2:$C$2001,F25,LOG!$E$2:$E$2001,B25,LOG!$D$2:$D$2001,"*BOOKED")=0,_xlfn.MINIFS(LOG!$G$2:$G$2001,LOG!$C$2:$C$2001,F25,LOG!$E$2:$E$2001,"",LOG!$D$2:$D$2001,"*BOOKED"),IF(_xlfn.MINIFS(LOG!$G$2:$G$2001,LOG!$C$2:$C$2001,F25,LOG!$E$2:$E$2001,"",LOG!$D$2:$D$2001,"*BOOKED")=0,_xlfn.MINIFS(LOG!$G$2:$G$2001,LOG!$C$2:$C$2001,F25,LOG!$E$2:$E$2001,B25,LOG!$D$2:$D$2001,"*BOOKED"),MIN(_xlfn.MINIFS(LOG!$G$2:$G$2001,LOG!$C$2:$C$2001,F25,LOG!$E$2:$E$2001,B25,LOG!$D$2:$D$2001,"*BOOKED"),_xlfn.MINIFS(LOG!$G$2:$G$2001,LOG!$C$2:$C$2001,F25,LOG!$E$2:$E$2001,"",LOG!$D$2:$D$2001,"*BOOKED")))),"")</f>
        <v>46309.461132443786</v>
      </c>
      <c r="AN25" s="28">
        <f t="shared" si="7"/>
        <v>15.217178650957067</v>
      </c>
      <c r="AO25" s="28">
        <f>IF(AND(M25=1,AN25&lt;&gt;""),IF(AN25&lt;=SETTINGS!$B$5,1,0),0)</f>
        <v>1</v>
      </c>
      <c r="AP25" s="28">
        <f>IF(M25=1,IF(COUNTIFS(LOG!$C$2:$C$2001,F25,LOG!$E$2:$E$2001,B25,LOG!$D$2:$D$2001,"BOOKED")+COUNTIFS(LOG!$C$2:$C$2001,F25,LOG!$E$2:$E$2001,"",LOG!$D$2:$D$2001,"BOOKED")&gt;0,1,0),0)</f>
        <v>0</v>
      </c>
      <c r="AQ25" s="28" t="str">
        <f t="shared" si="8"/>
        <v>Aditya</v>
      </c>
      <c r="AR25" s="28">
        <f>IF(AND(AK25=1,K25="OK"),COUNTIFS($AK$2:AK25,1,$K$2:K25,"OK"),"")</f>
        <v>23</v>
      </c>
      <c r="AS25" s="28" t="str">
        <f>IF(L25=1,IFERROR(INDEX(MESSAGES!$J$9:$J$1008,MATCH(F25,MESSAGES!$M$9:$M$1008,0))&amp;"",""),"")</f>
        <v/>
      </c>
      <c r="AT25" s="28" t="str">
        <f>IF(L25=1,IFERROR(INDEX(MESSAGES!$K$9:$K$1008,MATCH(F25,MESSAGES!$M$9:$M$1008,0))&amp;"",""),"")</f>
        <v/>
      </c>
      <c r="AU25" s="28">
        <f t="shared" ca="1" si="9"/>
        <v>0</v>
      </c>
      <c r="AV25" s="28" t="str">
        <f t="shared" si="10"/>
        <v>SEND</v>
      </c>
    </row>
    <row r="26" spans="1:48" x14ac:dyDescent="0.35">
      <c r="A26" s="28">
        <v>25</v>
      </c>
      <c r="B26" s="28" t="str">
        <f>IF(INPUT!A26="","",TRIM(INPUT!A26))</f>
        <v>Partner 010</v>
      </c>
      <c r="C26" s="28" t="str">
        <f>IF(B26="","",INPUT!C26)</f>
        <v>interviewer2@partner010.example.com</v>
      </c>
      <c r="D26" s="28" t="str">
        <f>IF(B26="","",INPUT!D26)</f>
        <v>Meera E.</v>
      </c>
      <c r="E26" s="28" t="str">
        <f>IF(B26="","",INPUT!E26)</f>
        <v>meera.e127@example.com</v>
      </c>
      <c r="F26" s="43" t="str">
        <f>IF(B26="","",TRIM(INPUT!F26&amp;""))</f>
        <v>9000001658</v>
      </c>
      <c r="G26" s="28" t="str">
        <f>IF(B26="","",INPUT!H26)</f>
        <v>Round1</v>
      </c>
      <c r="H26" s="46">
        <f>IF(B26="","",INPUT!I26)</f>
        <v>46308.82708333333</v>
      </c>
      <c r="I26" s="28" t="str">
        <f>IF(B26="","",IF(INPUT!J26="","None",INPUT!J26))</f>
        <v>None</v>
      </c>
      <c r="J26" s="28" t="str">
        <f t="shared" si="0"/>
        <v>meera.e127@example.com|partner 010|Round1|interviewer2@partner010.example.com</v>
      </c>
      <c r="K26" s="28" t="str">
        <f>IF(B26="","",IF(SUMPRODUCT(($J$2:$J$601=J26)*($H$2:$H$601&lt;H26))+SUMPRODUCT(($J$2:J26=J26)*($H$2:H26=H26))-1&gt;0,"DUPLICATE",IF(AND(ISNUMBER(SEARCH("@",E26)),ISNUMBER(SEARCH(".",E26)),LEN(F26)=10,ISNUMBER(VALUE(F26))),"OK","BAD CONTACT")))</f>
        <v>OK</v>
      </c>
      <c r="L26" s="28">
        <f t="shared" si="1"/>
        <v>1</v>
      </c>
      <c r="M26" s="28">
        <f>IF(L26=1,IF(COUNTIFS(LOG!$C$2:$C$2001,F26,LOG!$E$2:$E$2001,B26,LOG!$D$2:$D$2001,"*BOOKED")+COUNTIFS(LOG!$C$2:$C$2001,F26,LOG!$E$2:$E$2001,"",LOG!$D$2:$D$2001,"*BOOKED")&gt;0,1,0),0)</f>
        <v>0</v>
      </c>
      <c r="N26" s="28">
        <f>IF(L26=1,IF(COUNTIFS(LOG!$C$2:$C$2001,F26,LOG!$E$2:$E$2001,B26,LOG!$D$2:$D$2001,"NOT_INTERESTED")+COUNTIFS(LOG!$C$2:$C$2001,F26,LOG!$E$2:$E$2001,"",LOG!$D$2:$D$2001,"NOT_INTERESTED")&gt;0,1,0),0)</f>
        <v>0</v>
      </c>
      <c r="O26" s="28">
        <f>IF(L26=1,IF(COUNTIFS(LOG!$C$2:$C$2001,F26,LOG!$D$2:$D$2001,"STOP")+COUNTIFS(LOG!$C$2:$C$2001,F26,LOG!$D$2:$D$2001,"WRONG_NUMBER")&gt;0,1,IF(ISNUMBER(SEARCH("STOP",AT26)),1,0)),0)</f>
        <v>0</v>
      </c>
      <c r="P26" s="28">
        <f>IF(L26=1,IF(IFERROR(INDEX(PARTNERS!$D$2:$D$88,MATCH(B26,PARTNERS!$A$2:$A$88,0)),"")="NO SLOTS",1,IF(AND(IFERROR(INDEX(PARTNERS!$D$2:$D$88,MATCH(B26,PARTNERS!$A$2:$A$88,0)),"")&lt;&gt;"REOPENED",COUNTIFS(LOG!$E$2:$E$2001,B26,LOG!$D$2:$D$2001,"NO_SLOTS")&gt;0),1,0)),0)</f>
        <v>0</v>
      </c>
      <c r="Q26" s="28">
        <f>IF(L26=1,COUNTIFS(LOG!$C$2:$C$2001,F26,LOG!$H$2:$H$2001,1),0)</f>
        <v>0</v>
      </c>
      <c r="R26" s="46">
        <f>IF(Q26&gt;0,_xlfn.MAXIFS(LOG!$G$2:$G$2001,LOG!$C$2:$C$2001,F26,LOG!$H$2:$H$2001,1),0)</f>
        <v>0</v>
      </c>
      <c r="S26" s="28" t="str">
        <f>IF(Q26&gt;0,IFERROR(INDEX(LOG!$D$2:$D$2001,MATCH(F26&amp;"|"&amp;Q26,LOG!$I$2:$I$2001,0)),""),"")</f>
        <v/>
      </c>
      <c r="T26" s="28">
        <f>IF(S26="",0,IFERROR(VLOOKUP(S26,LISTS!$A$2:$E$10,4,FALSE),0))</f>
        <v>0</v>
      </c>
      <c r="U26" s="46">
        <f t="shared" si="2"/>
        <v>0</v>
      </c>
      <c r="V26" s="46">
        <f>IF(L26=1,H26+SETTINGS!$B$5/24,"")</f>
        <v>46309.82708333333</v>
      </c>
      <c r="W26" s="28">
        <f ca="1">IF(L26=1,(V26-SETTINGS!$B$4)*24,"")</f>
        <v>-1.6666666720993817E-2</v>
      </c>
      <c r="X26" s="28">
        <f ca="1">IF(AND(L26=1,K26="OK",M26=0,N26=0,O26=0,P26=0,SETTINGS!$B$4&lt;V26,Q26&lt;SETTINGS!$B$6),1,0)</f>
        <v>0</v>
      </c>
      <c r="Y26" s="28">
        <f ca="1">IF(AND(X26=1,SETTINGS!$B$4&gt;=H26,SETTINGS!$B$4&gt;=U26,ROUND(MOD(SETTINGS!$B$4,1)*1440,0)&gt;=ROUND(SETTINGS!$B$7*1440,0),ROUND(MOD(SETTINGS!$B$4,1)*1440,0)&lt;ROUND(SETTINGS!$B$8*1440,0)),1,0)</f>
        <v>0</v>
      </c>
      <c r="Z26" s="28" t="str">
        <f ca="1">IF(B26="","",IF(ROUND(MOD(SETTINGS!$B$4,1)*1440,0)&lt;ROUND(SETTINGS!$B$11*1440,0),"Ram",IF(ROUND(MOD(SETTINGS!$B$4,1)*1440,0)&gt;=ROUND(SETTINGS!$B$10*1440,0),"Shyam",IF(MOD(IFERROR(VALUE(RIGHT(F26,2)),0),2)=0,"Ram","Shyam"))))</f>
        <v>Shyam</v>
      </c>
      <c r="AA26" s="28">
        <f t="shared" ca="1" si="3"/>
        <v>0</v>
      </c>
      <c r="AB26" s="28">
        <f ca="1">IF(X26=1,COUNTIFS($F$2:F26,F26,$X$2:X26,1),0)</f>
        <v>0</v>
      </c>
      <c r="AC26" s="28" t="str">
        <f>IF(L26=1,IF(IFERROR(INDEX(PARTNERS!$C$2:$C$88,MATCH(B26,PARTNERS!$A$2:$A$88,0)),"")="YES","YES","NO"),"")</f>
        <v>YES</v>
      </c>
      <c r="AD26" s="28" t="str">
        <f>IF(L26=1,IFERROR(INDEX(PARTNERS!$B$2:$B$88,MATCH(B26,PARTNERS!$A$2:$A$88,0)),""),"")</f>
        <v>https://calendly.com/partner010/interview</v>
      </c>
      <c r="AE26" s="28">
        <f ca="1">IF(X26=1,IFERROR(INDEX(SETTINGS!$B$34:$D$36,MATCH(I26,SETTINGS!$A$34:$A$36,0),MIN(Q26,2)+1),SETTINGS!$B$36),0)</f>
        <v>0</v>
      </c>
      <c r="AF26" s="28">
        <f t="shared" si="4"/>
        <v>1</v>
      </c>
      <c r="AG26" s="28">
        <f ca="1">IF(AND(Y26=1,AB26=1),ROUND(AA26*AE26*IF(AF26&gt;1,SETTINGS!$B$16,1)*IF(W26&lt;=SETTINGS!$B$14,SETTINGS!$B$15,1)*IF(AU26=1,SETTINGS!$B$21,1),6),0)</f>
        <v>0</v>
      </c>
      <c r="AH26" s="28" t="str">
        <f ca="1">IF(AG26&gt;0,COUNTIFS($Z$2:$Z$601,Z26,$AG$2:$AG$601,"&gt;"&amp;AG26)+COUNTIFS($Z$2:Z26,Z26,$AG$2:AG26,AG26),"")</f>
        <v/>
      </c>
      <c r="AI26" s="28" t="str">
        <f t="shared" ca="1" si="5"/>
        <v/>
      </c>
      <c r="AJ26" s="28" t="str">
        <f t="shared" ca="1" si="6"/>
        <v/>
      </c>
      <c r="AK26" s="28">
        <f>IF(L26=1,IF(COUNTIFS($F$2:F26,F26,$L$2:L26,1)=1,1,0),0)</f>
        <v>1</v>
      </c>
      <c r="AL26" s="28" t="str">
        <f ca="1">IF(B26="","",IF(K26="DUPLICATE","Duplicate (removed)",IF(AO26=1,"Scheduled within 24h",IF(M26=1,"Scheduled late",IF(K26="BAD CONTACT","Bad contact details",IF(O26=1,"Stopped / wrong number",IF(N26=1,"Not interested",IF(P26=1,"Partner has no slots",IF(SETTINGS!$B$4&gt;=V26,IF(Q26=0,"Missed deadline: never tried","Missed deadline: tried, not booked"),IF(Q26&gt;=SETTINGS!$B$6,"No reply after max tries","Open"))))))))))</f>
        <v>Missed deadline: never tried</v>
      </c>
      <c r="AM26" s="46" t="str">
        <f>IF(M26=1,IF(_xlfn.MINIFS(LOG!$G$2:$G$2001,LOG!$C$2:$C$2001,F26,LOG!$E$2:$E$2001,B26,LOG!$D$2:$D$2001,"*BOOKED")=0,_xlfn.MINIFS(LOG!$G$2:$G$2001,LOG!$C$2:$C$2001,F26,LOG!$E$2:$E$2001,"",LOG!$D$2:$D$2001,"*BOOKED"),IF(_xlfn.MINIFS(LOG!$G$2:$G$2001,LOG!$C$2:$C$2001,F26,LOG!$E$2:$E$2001,"",LOG!$D$2:$D$2001,"*BOOKED")=0,_xlfn.MINIFS(LOG!$G$2:$G$2001,LOG!$C$2:$C$2001,F26,LOG!$E$2:$E$2001,B26,LOG!$D$2:$D$2001,"*BOOKED"),MIN(_xlfn.MINIFS(LOG!$G$2:$G$2001,LOG!$C$2:$C$2001,F26,LOG!$E$2:$E$2001,B26,LOG!$D$2:$D$2001,"*BOOKED"),_xlfn.MINIFS(LOG!$G$2:$G$2001,LOG!$C$2:$C$2001,F26,LOG!$E$2:$E$2001,"",LOG!$D$2:$D$2001,"*BOOKED")))),"")</f>
        <v/>
      </c>
      <c r="AN26" s="28" t="str">
        <f t="shared" si="7"/>
        <v/>
      </c>
      <c r="AO26" s="28">
        <f>IF(AND(M26=1,AN26&lt;&gt;""),IF(AN26&lt;=SETTINGS!$B$5,1,0),0)</f>
        <v>0</v>
      </c>
      <c r="AP26" s="28">
        <f>IF(M26=1,IF(COUNTIFS(LOG!$C$2:$C$2001,F26,LOG!$E$2:$E$2001,B26,LOG!$D$2:$D$2001,"BOOKED")+COUNTIFS(LOG!$C$2:$C$2001,F26,LOG!$E$2:$E$2001,"",LOG!$D$2:$D$2001,"BOOKED")&gt;0,1,0),0)</f>
        <v>0</v>
      </c>
      <c r="AQ26" s="28" t="str">
        <f t="shared" si="8"/>
        <v>Meera</v>
      </c>
      <c r="AR26" s="28">
        <f>IF(AND(AK26=1,K26="OK"),COUNTIFS($AK$2:AK26,1,$K$2:K26,"OK"),"")</f>
        <v>24</v>
      </c>
      <c r="AS26" s="28" t="str">
        <f>IF(L26=1,IFERROR(INDEX(MESSAGES!$J$9:$J$1008,MATCH(F26,MESSAGES!$M$9:$M$1008,0))&amp;"",""),"")</f>
        <v/>
      </c>
      <c r="AT26" s="28" t="str">
        <f>IF(L26=1,IFERROR(INDEX(MESSAGES!$K$9:$K$1008,MATCH(F26,MESSAGES!$M$9:$M$1008,0))&amp;"",""),"")</f>
        <v/>
      </c>
      <c r="AU26" s="28">
        <f t="shared" ca="1" si="9"/>
        <v>0</v>
      </c>
      <c r="AV26" s="28" t="str">
        <f t="shared" si="10"/>
        <v>HOLD</v>
      </c>
    </row>
    <row r="27" spans="1:48" x14ac:dyDescent="0.35">
      <c r="A27" s="28">
        <v>26</v>
      </c>
      <c r="B27" s="28" t="str">
        <f>IF(INPUT!A27="","",TRIM(INPUT!A27))</f>
        <v>Partner 061</v>
      </c>
      <c r="C27" s="28" t="str">
        <f>IF(B27="","",INPUT!C27)</f>
        <v>interviewer0@partner061.example.com</v>
      </c>
      <c r="D27" s="28" t="str">
        <f>IF(B27="","",INPUT!D27)</f>
        <v>Sneha C.</v>
      </c>
      <c r="E27" s="28" t="str">
        <f>IF(B27="","",INPUT!E27)</f>
        <v>sneha.c083@example.com</v>
      </c>
      <c r="F27" s="43" t="str">
        <f>IF(B27="","",TRIM(INPUT!F27&amp;""))</f>
        <v>9000001086</v>
      </c>
      <c r="G27" s="28" t="str">
        <f>IF(B27="","",INPUT!H27)</f>
        <v>Round1</v>
      </c>
      <c r="H27" s="46">
        <f>IF(B27="","",INPUT!I27)</f>
        <v>46308.82708333333</v>
      </c>
      <c r="I27" s="28" t="str">
        <f>IF(B27="","",IF(INPUT!J27="","None",INPUT!J27))</f>
        <v>None</v>
      </c>
      <c r="J27" s="28" t="str">
        <f t="shared" si="0"/>
        <v>sneha.c083@example.com|partner 061|Round1|interviewer0@partner061.example.com</v>
      </c>
      <c r="K27" s="28" t="str">
        <f>IF(B27="","",IF(SUMPRODUCT(($J$2:$J$601=J27)*($H$2:$H$601&lt;H27))+SUMPRODUCT(($J$2:J27=J27)*($H$2:H27=H27))-1&gt;0,"DUPLICATE",IF(AND(ISNUMBER(SEARCH("@",E27)),ISNUMBER(SEARCH(".",E27)),LEN(F27)=10,ISNUMBER(VALUE(F27))),"OK","BAD CONTACT")))</f>
        <v>OK</v>
      </c>
      <c r="L27" s="28">
        <f t="shared" si="1"/>
        <v>1</v>
      </c>
      <c r="M27" s="28">
        <f>IF(L27=1,IF(COUNTIFS(LOG!$C$2:$C$2001,F27,LOG!$E$2:$E$2001,B27,LOG!$D$2:$D$2001,"*BOOKED")+COUNTIFS(LOG!$C$2:$C$2001,F27,LOG!$E$2:$E$2001,"",LOG!$D$2:$D$2001,"*BOOKED")&gt;0,1,0),0)</f>
        <v>0</v>
      </c>
      <c r="N27" s="28">
        <f>IF(L27=1,IF(COUNTIFS(LOG!$C$2:$C$2001,F27,LOG!$E$2:$E$2001,B27,LOG!$D$2:$D$2001,"NOT_INTERESTED")+COUNTIFS(LOG!$C$2:$C$2001,F27,LOG!$E$2:$E$2001,"",LOG!$D$2:$D$2001,"NOT_INTERESTED")&gt;0,1,0),0)</f>
        <v>0</v>
      </c>
      <c r="O27" s="28">
        <f>IF(L27=1,IF(COUNTIFS(LOG!$C$2:$C$2001,F27,LOG!$D$2:$D$2001,"STOP")+COUNTIFS(LOG!$C$2:$C$2001,F27,LOG!$D$2:$D$2001,"WRONG_NUMBER")&gt;0,1,IF(ISNUMBER(SEARCH("STOP",AT27)),1,0)),0)</f>
        <v>0</v>
      </c>
      <c r="P27" s="28">
        <f>IF(L27=1,IF(IFERROR(INDEX(PARTNERS!$D$2:$D$88,MATCH(B27,PARTNERS!$A$2:$A$88,0)),"")="NO SLOTS",1,IF(AND(IFERROR(INDEX(PARTNERS!$D$2:$D$88,MATCH(B27,PARTNERS!$A$2:$A$88,0)),"")&lt;&gt;"REOPENED",COUNTIFS(LOG!$E$2:$E$2001,B27,LOG!$D$2:$D$2001,"NO_SLOTS")&gt;0),1,0)),0)</f>
        <v>0</v>
      </c>
      <c r="Q27" s="28">
        <f>IF(L27=1,COUNTIFS(LOG!$C$2:$C$2001,F27,LOG!$H$2:$H$2001,1),0)</f>
        <v>0</v>
      </c>
      <c r="R27" s="46">
        <f>IF(Q27&gt;0,_xlfn.MAXIFS(LOG!$G$2:$G$2001,LOG!$C$2:$C$2001,F27,LOG!$H$2:$H$2001,1),0)</f>
        <v>0</v>
      </c>
      <c r="S27" s="28" t="str">
        <f>IF(Q27&gt;0,IFERROR(INDEX(LOG!$D$2:$D$2001,MATCH(F27&amp;"|"&amp;Q27,LOG!$I$2:$I$2001,0)),""),"")</f>
        <v/>
      </c>
      <c r="T27" s="28">
        <f>IF(S27="",0,IFERROR(VLOOKUP(S27,LISTS!$A$2:$E$10,4,FALSE),0))</f>
        <v>0</v>
      </c>
      <c r="U27" s="46">
        <f t="shared" si="2"/>
        <v>0</v>
      </c>
      <c r="V27" s="46">
        <f>IF(L27=1,H27+SETTINGS!$B$5/24,"")</f>
        <v>46309.82708333333</v>
      </c>
      <c r="W27" s="28">
        <f ca="1">IF(L27=1,(V27-SETTINGS!$B$4)*24,"")</f>
        <v>-1.6666666720993817E-2</v>
      </c>
      <c r="X27" s="28">
        <f ca="1">IF(AND(L27=1,K27="OK",M27=0,N27=0,O27=0,P27=0,SETTINGS!$B$4&lt;V27,Q27&lt;SETTINGS!$B$6),1,0)</f>
        <v>0</v>
      </c>
      <c r="Y27" s="28">
        <f ca="1">IF(AND(X27=1,SETTINGS!$B$4&gt;=H27,SETTINGS!$B$4&gt;=U27,ROUND(MOD(SETTINGS!$B$4,1)*1440,0)&gt;=ROUND(SETTINGS!$B$7*1440,0),ROUND(MOD(SETTINGS!$B$4,1)*1440,0)&lt;ROUND(SETTINGS!$B$8*1440,0)),1,0)</f>
        <v>0</v>
      </c>
      <c r="Z27" s="28" t="str">
        <f ca="1">IF(B27="","",IF(ROUND(MOD(SETTINGS!$B$4,1)*1440,0)&lt;ROUND(SETTINGS!$B$11*1440,0),"Ram",IF(ROUND(MOD(SETTINGS!$B$4,1)*1440,0)&gt;=ROUND(SETTINGS!$B$10*1440,0),"Shyam",IF(MOD(IFERROR(VALUE(RIGHT(F27,2)),0),2)=0,"Ram","Shyam"))))</f>
        <v>Shyam</v>
      </c>
      <c r="AA27" s="28">
        <f t="shared" ca="1" si="3"/>
        <v>0</v>
      </c>
      <c r="AB27" s="28">
        <f ca="1">IF(X27=1,COUNTIFS($F$2:F27,F27,$X$2:X27,1),0)</f>
        <v>0</v>
      </c>
      <c r="AC27" s="28" t="str">
        <f>IF(L27=1,IF(IFERROR(INDEX(PARTNERS!$C$2:$C$88,MATCH(B27,PARTNERS!$A$2:$A$88,0)),"")="YES","YES","NO"),"")</f>
        <v>NO</v>
      </c>
      <c r="AD27" s="28" t="str">
        <f>IF(L27=1,IFERROR(INDEX(PARTNERS!$B$2:$B$88,MATCH(B27,PARTNERS!$A$2:$A$88,0)),""),"")</f>
        <v>https://calendly.com/partner061/interview</v>
      </c>
      <c r="AE27" s="28">
        <f ca="1">IF(X27=1,IFERROR(INDEX(SETTINGS!$B$34:$D$36,MATCH(I27,SETTINGS!$A$34:$A$36,0),MIN(Q27,2)+1),SETTINGS!$B$36),0)</f>
        <v>0</v>
      </c>
      <c r="AF27" s="28">
        <f t="shared" si="4"/>
        <v>1</v>
      </c>
      <c r="AG27" s="28">
        <f ca="1">IF(AND(Y27=1,AB27=1),ROUND(AA27*AE27*IF(AF27&gt;1,SETTINGS!$B$16,1)*IF(W27&lt;=SETTINGS!$B$14,SETTINGS!$B$15,1)*IF(AU27=1,SETTINGS!$B$21,1),6),0)</f>
        <v>0</v>
      </c>
      <c r="AH27" s="28" t="str">
        <f ca="1">IF(AG27&gt;0,COUNTIFS($Z$2:$Z$601,Z27,$AG$2:$AG$601,"&gt;"&amp;AG27)+COUNTIFS($Z$2:Z27,Z27,$AG$2:AG27,AG27),"")</f>
        <v/>
      </c>
      <c r="AI27" s="28" t="str">
        <f t="shared" ca="1" si="5"/>
        <v/>
      </c>
      <c r="AJ27" s="28" t="str">
        <f t="shared" ca="1" si="6"/>
        <v/>
      </c>
      <c r="AK27" s="28">
        <f>IF(L27=1,IF(COUNTIFS($F$2:F27,F27,$L$2:L27,1)=1,1,0),0)</f>
        <v>1</v>
      </c>
      <c r="AL27" s="28" t="str">
        <f ca="1">IF(B27="","",IF(K27="DUPLICATE","Duplicate (removed)",IF(AO27=1,"Scheduled within 24h",IF(M27=1,"Scheduled late",IF(K27="BAD CONTACT","Bad contact details",IF(O27=1,"Stopped / wrong number",IF(N27=1,"Not interested",IF(P27=1,"Partner has no slots",IF(SETTINGS!$B$4&gt;=V27,IF(Q27=0,"Missed deadline: never tried","Missed deadline: tried, not booked"),IF(Q27&gt;=SETTINGS!$B$6,"No reply after max tries","Open"))))))))))</f>
        <v>Missed deadline: never tried</v>
      </c>
      <c r="AM27" s="46" t="str">
        <f>IF(M27=1,IF(_xlfn.MINIFS(LOG!$G$2:$G$2001,LOG!$C$2:$C$2001,F27,LOG!$E$2:$E$2001,B27,LOG!$D$2:$D$2001,"*BOOKED")=0,_xlfn.MINIFS(LOG!$G$2:$G$2001,LOG!$C$2:$C$2001,F27,LOG!$E$2:$E$2001,"",LOG!$D$2:$D$2001,"*BOOKED"),IF(_xlfn.MINIFS(LOG!$G$2:$G$2001,LOG!$C$2:$C$2001,F27,LOG!$E$2:$E$2001,"",LOG!$D$2:$D$2001,"*BOOKED")=0,_xlfn.MINIFS(LOG!$G$2:$G$2001,LOG!$C$2:$C$2001,F27,LOG!$E$2:$E$2001,B27,LOG!$D$2:$D$2001,"*BOOKED"),MIN(_xlfn.MINIFS(LOG!$G$2:$G$2001,LOG!$C$2:$C$2001,F27,LOG!$E$2:$E$2001,B27,LOG!$D$2:$D$2001,"*BOOKED"),_xlfn.MINIFS(LOG!$G$2:$G$2001,LOG!$C$2:$C$2001,F27,LOG!$E$2:$E$2001,"",LOG!$D$2:$D$2001,"*BOOKED")))),"")</f>
        <v/>
      </c>
      <c r="AN27" s="28" t="str">
        <f t="shared" si="7"/>
        <v/>
      </c>
      <c r="AO27" s="28">
        <f>IF(AND(M27=1,AN27&lt;&gt;""),IF(AN27&lt;=SETTINGS!$B$5,1,0),0)</f>
        <v>0</v>
      </c>
      <c r="AP27" s="28">
        <f>IF(M27=1,IF(COUNTIFS(LOG!$C$2:$C$2001,F27,LOG!$E$2:$E$2001,B27,LOG!$D$2:$D$2001,"BOOKED")+COUNTIFS(LOG!$C$2:$C$2001,F27,LOG!$E$2:$E$2001,"",LOG!$D$2:$D$2001,"BOOKED")&gt;0,1,0),0)</f>
        <v>0</v>
      </c>
      <c r="AQ27" s="28" t="str">
        <f t="shared" si="8"/>
        <v>Sneha</v>
      </c>
      <c r="AR27" s="28">
        <f>IF(AND(AK27=1,K27="OK"),COUNTIFS($AK$2:AK27,1,$K$2:K27,"OK"),"")</f>
        <v>25</v>
      </c>
      <c r="AS27" s="28" t="str">
        <f>IF(L27=1,IFERROR(INDEX(MESSAGES!$J$9:$J$1008,MATCH(F27,MESSAGES!$M$9:$M$1008,0))&amp;"",""),"")</f>
        <v/>
      </c>
      <c r="AT27" s="28" t="str">
        <f>IF(L27=1,IFERROR(INDEX(MESSAGES!$K$9:$K$1008,MATCH(F27,MESSAGES!$M$9:$M$1008,0))&amp;"",""),"")</f>
        <v/>
      </c>
      <c r="AU27" s="28">
        <f t="shared" ca="1" si="9"/>
        <v>0</v>
      </c>
      <c r="AV27" s="28" t="str">
        <f t="shared" si="10"/>
        <v>SEND</v>
      </c>
    </row>
    <row r="28" spans="1:48" x14ac:dyDescent="0.35">
      <c r="A28" s="28">
        <v>27</v>
      </c>
      <c r="B28" s="28" t="str">
        <f>IF(INPUT!A28="","",TRIM(INPUT!A28))</f>
        <v>Partner 005</v>
      </c>
      <c r="C28" s="28" t="str">
        <f>IF(B28="","",INPUT!C28)</f>
        <v>interviewer1@partner005.example.com</v>
      </c>
      <c r="D28" s="28" t="str">
        <f>IF(B28="","",INPUT!D28)</f>
        <v>Sneha G.</v>
      </c>
      <c r="E28" s="28" t="str">
        <f>IF(B28="","",INPUT!E28)</f>
        <v>sneha.g203@example.com</v>
      </c>
      <c r="F28" s="43" t="str">
        <f>IF(B28="","",TRIM(INPUT!F28&amp;""))</f>
        <v>9000002646</v>
      </c>
      <c r="G28" s="28" t="str">
        <f>IF(B28="","",INPUT!H28)</f>
        <v>Round1</v>
      </c>
      <c r="H28" s="46">
        <f>IF(B28="","",INPUT!I28)</f>
        <v>46308.82708333333</v>
      </c>
      <c r="I28" s="28" t="str">
        <f>IF(B28="","",IF(INPUT!J28="","None",INPUT!J28))</f>
        <v>Clicked</v>
      </c>
      <c r="J28" s="28" t="str">
        <f t="shared" si="0"/>
        <v>sneha.g203@example.com|partner 005|Round1|interviewer1@partner005.example.com</v>
      </c>
      <c r="K28" s="28" t="str">
        <f>IF(B28="","",IF(SUMPRODUCT(($J$2:$J$601=J28)*($H$2:$H$601&lt;H28))+SUMPRODUCT(($J$2:J28=J28)*($H$2:H28=H28))-1&gt;0,"DUPLICATE",IF(AND(ISNUMBER(SEARCH("@",E28)),ISNUMBER(SEARCH(".",E28)),LEN(F28)=10,ISNUMBER(VALUE(F28))),"OK","BAD CONTACT")))</f>
        <v>OK</v>
      </c>
      <c r="L28" s="28">
        <f t="shared" si="1"/>
        <v>1</v>
      </c>
      <c r="M28" s="28">
        <f>IF(L28=1,IF(COUNTIFS(LOG!$C$2:$C$2001,F28,LOG!$E$2:$E$2001,B28,LOG!$D$2:$D$2001,"*BOOKED")+COUNTIFS(LOG!$C$2:$C$2001,F28,LOG!$E$2:$E$2001,"",LOG!$D$2:$D$2001,"*BOOKED")&gt;0,1,0),0)</f>
        <v>1</v>
      </c>
      <c r="N28" s="28">
        <f>IF(L28=1,IF(COUNTIFS(LOG!$C$2:$C$2001,F28,LOG!$E$2:$E$2001,B28,LOG!$D$2:$D$2001,"NOT_INTERESTED")+COUNTIFS(LOG!$C$2:$C$2001,F28,LOG!$E$2:$E$2001,"",LOG!$D$2:$D$2001,"NOT_INTERESTED")&gt;0,1,0),0)</f>
        <v>0</v>
      </c>
      <c r="O28" s="28">
        <f>IF(L28=1,IF(COUNTIFS(LOG!$C$2:$C$2001,F28,LOG!$D$2:$D$2001,"STOP")+COUNTIFS(LOG!$C$2:$C$2001,F28,LOG!$D$2:$D$2001,"WRONG_NUMBER")&gt;0,1,IF(ISNUMBER(SEARCH("STOP",AT28)),1,0)),0)</f>
        <v>0</v>
      </c>
      <c r="P28" s="28">
        <f>IF(L28=1,IF(IFERROR(INDEX(PARTNERS!$D$2:$D$88,MATCH(B28,PARTNERS!$A$2:$A$88,0)),"")="NO SLOTS",1,IF(AND(IFERROR(INDEX(PARTNERS!$D$2:$D$88,MATCH(B28,PARTNERS!$A$2:$A$88,0)),"")&lt;&gt;"REOPENED",COUNTIFS(LOG!$E$2:$E$2001,B28,LOG!$D$2:$D$2001,"NO_SLOTS")&gt;0),1,0)),0)</f>
        <v>0</v>
      </c>
      <c r="Q28" s="28">
        <f>IF(L28=1,COUNTIFS(LOG!$C$2:$C$2001,F28,LOG!$H$2:$H$2001,1),0)</f>
        <v>1</v>
      </c>
      <c r="R28" s="46">
        <f>IF(Q28&gt;0,_xlfn.MAXIFS(LOG!$G$2:$G$2001,LOG!$C$2:$C$2001,F28,LOG!$H$2:$H$2001,1),0)</f>
        <v>46309.554516890632</v>
      </c>
      <c r="S28" s="28" t="str">
        <f>IF(Q28&gt;0,IFERROR(INDEX(LOG!$D$2:$D$2001,MATCH(F28&amp;"|"&amp;Q28,LOG!$I$2:$I$2001,0)),""),"")</f>
        <v>BOOKED</v>
      </c>
      <c r="T28" s="28">
        <f>IF(S28="",0,IFERROR(VLOOKUP(S28,LISTS!$A$2:$E$10,4,FALSE),0))</f>
        <v>0</v>
      </c>
      <c r="U28" s="46">
        <f t="shared" si="2"/>
        <v>46309.554516890632</v>
      </c>
      <c r="V28" s="46">
        <f>IF(L28=1,H28+SETTINGS!$B$5/24,"")</f>
        <v>46309.82708333333</v>
      </c>
      <c r="W28" s="28">
        <f ca="1">IF(L28=1,(V28-SETTINGS!$B$4)*24,"")</f>
        <v>-1.6666666720993817E-2</v>
      </c>
      <c r="X28" s="28">
        <f ca="1">IF(AND(L28=1,K28="OK",M28=0,N28=0,O28=0,P28=0,SETTINGS!$B$4&lt;V28,Q28&lt;SETTINGS!$B$6),1,0)</f>
        <v>0</v>
      </c>
      <c r="Y28" s="28">
        <f ca="1">IF(AND(X28=1,SETTINGS!$B$4&gt;=H28,SETTINGS!$B$4&gt;=U28,ROUND(MOD(SETTINGS!$B$4,1)*1440,0)&gt;=ROUND(SETTINGS!$B$7*1440,0),ROUND(MOD(SETTINGS!$B$4,1)*1440,0)&lt;ROUND(SETTINGS!$B$8*1440,0)),1,0)</f>
        <v>0</v>
      </c>
      <c r="Z28" s="28" t="str">
        <f ca="1">IF(B28="","",IF(ROUND(MOD(SETTINGS!$B$4,1)*1440,0)&lt;ROUND(SETTINGS!$B$11*1440,0),"Ram",IF(ROUND(MOD(SETTINGS!$B$4,1)*1440,0)&gt;=ROUND(SETTINGS!$B$10*1440,0),"Shyam",IF(MOD(IFERROR(VALUE(RIGHT(F28,2)),0),2)=0,"Ram","Shyam"))))</f>
        <v>Shyam</v>
      </c>
      <c r="AA28" s="28">
        <f t="shared" ca="1" si="3"/>
        <v>0</v>
      </c>
      <c r="AB28" s="28">
        <f ca="1">IF(X28=1,COUNTIFS($F$2:F28,F28,$X$2:X28,1),0)</f>
        <v>0</v>
      </c>
      <c r="AC28" s="28" t="str">
        <f>IF(L28=1,IF(IFERROR(INDEX(PARTNERS!$C$2:$C$88,MATCH(B28,PARTNERS!$A$2:$A$88,0)),"")="YES","YES","NO"),"")</f>
        <v>YES</v>
      </c>
      <c r="AD28" s="28" t="str">
        <f>IF(L28=1,IFERROR(INDEX(PARTNERS!$B$2:$B$88,MATCH(B28,PARTNERS!$A$2:$A$88,0)),""),"")</f>
        <v>https://calendly.com/partner005/interview</v>
      </c>
      <c r="AE28" s="28">
        <f ca="1">IF(X28=1,IFERROR(INDEX(SETTINGS!$B$34:$D$36,MATCH(I28,SETTINGS!$A$34:$A$36,0),MIN(Q28,2)+1),SETTINGS!$B$36),0)</f>
        <v>0</v>
      </c>
      <c r="AF28" s="28">
        <f t="shared" si="4"/>
        <v>1</v>
      </c>
      <c r="AG28" s="28">
        <f ca="1">IF(AND(Y28=1,AB28=1),ROUND(AA28*AE28*IF(AF28&gt;1,SETTINGS!$B$16,1)*IF(W28&lt;=SETTINGS!$B$14,SETTINGS!$B$15,1)*IF(AU28=1,SETTINGS!$B$21,1),6),0)</f>
        <v>0</v>
      </c>
      <c r="AH28" s="28" t="str">
        <f ca="1">IF(AG28&gt;0,COUNTIFS($Z$2:$Z$601,Z28,$AG$2:$AG$601,"&gt;"&amp;AG28)+COUNTIFS($Z$2:Z28,Z28,$AG$2:AG28,AG28),"")</f>
        <v/>
      </c>
      <c r="AI28" s="28" t="str">
        <f t="shared" ca="1" si="5"/>
        <v/>
      </c>
      <c r="AJ28" s="28" t="str">
        <f t="shared" ca="1" si="6"/>
        <v/>
      </c>
      <c r="AK28" s="28">
        <f>IF(L28=1,IF(COUNTIFS($F$2:F28,F28,$L$2:L28,1)=1,1,0),0)</f>
        <v>1</v>
      </c>
      <c r="AL28" s="28" t="str">
        <f>IF(B28="","",IF(K28="DUPLICATE","Duplicate (removed)",IF(AO28=1,"Scheduled within 24h",IF(M28=1,"Scheduled late",IF(K28="BAD CONTACT","Bad contact details",IF(O28=1,"Stopped / wrong number",IF(N28=1,"Not interested",IF(P28=1,"Partner has no slots",IF(SETTINGS!$B$4&gt;=V28,IF(Q28=0,"Missed deadline: never tried","Missed deadline: tried, not booked"),IF(Q28&gt;=SETTINGS!$B$6,"No reply after max tries","Open"))))))))))</f>
        <v>Scheduled within 24h</v>
      </c>
      <c r="AM28" s="46">
        <f>IF(M28=1,IF(_xlfn.MINIFS(LOG!$G$2:$G$2001,LOG!$C$2:$C$2001,F28,LOG!$E$2:$E$2001,B28,LOG!$D$2:$D$2001,"*BOOKED")=0,_xlfn.MINIFS(LOG!$G$2:$G$2001,LOG!$C$2:$C$2001,F28,LOG!$E$2:$E$2001,"",LOG!$D$2:$D$2001,"*BOOKED"),IF(_xlfn.MINIFS(LOG!$G$2:$G$2001,LOG!$C$2:$C$2001,F28,LOG!$E$2:$E$2001,"",LOG!$D$2:$D$2001,"*BOOKED")=0,_xlfn.MINIFS(LOG!$G$2:$G$2001,LOG!$C$2:$C$2001,F28,LOG!$E$2:$E$2001,B28,LOG!$D$2:$D$2001,"*BOOKED"),MIN(_xlfn.MINIFS(LOG!$G$2:$G$2001,LOG!$C$2:$C$2001,F28,LOG!$E$2:$E$2001,B28,LOG!$D$2:$D$2001,"*BOOKED"),_xlfn.MINIFS(LOG!$G$2:$G$2001,LOG!$C$2:$C$2001,F28,LOG!$E$2:$E$2001,"",LOG!$D$2:$D$2001,"*BOOKED")))),"")</f>
        <v>46309.554516890632</v>
      </c>
      <c r="AN28" s="28">
        <f t="shared" si="7"/>
        <v>17.458405375247821</v>
      </c>
      <c r="AO28" s="28">
        <f>IF(AND(M28=1,AN28&lt;&gt;""),IF(AN28&lt;=SETTINGS!$B$5,1,0),0)</f>
        <v>1</v>
      </c>
      <c r="AP28" s="28">
        <f>IF(M28=1,IF(COUNTIFS(LOG!$C$2:$C$2001,F28,LOG!$E$2:$E$2001,B28,LOG!$D$2:$D$2001,"BOOKED")+COUNTIFS(LOG!$C$2:$C$2001,F28,LOG!$E$2:$E$2001,"",LOG!$D$2:$D$2001,"BOOKED")&gt;0,1,0),0)</f>
        <v>1</v>
      </c>
      <c r="AQ28" s="28" t="str">
        <f t="shared" si="8"/>
        <v>Sneha</v>
      </c>
      <c r="AR28" s="28">
        <f>IF(AND(AK28=1,K28="OK"),COUNTIFS($AK$2:AK28,1,$K$2:K28,"OK"),"")</f>
        <v>26</v>
      </c>
      <c r="AS28" s="28" t="str">
        <f>IF(L28=1,IFERROR(INDEX(MESSAGES!$J$9:$J$1008,MATCH(F28,MESSAGES!$M$9:$M$1008,0))&amp;"",""),"")</f>
        <v/>
      </c>
      <c r="AT28" s="28" t="str">
        <f>IF(L28=1,IFERROR(INDEX(MESSAGES!$K$9:$K$1008,MATCH(F28,MESSAGES!$M$9:$M$1008,0))&amp;"",""),"")</f>
        <v/>
      </c>
      <c r="AU28" s="28">
        <f t="shared" ca="1" si="9"/>
        <v>0</v>
      </c>
      <c r="AV28" s="28" t="str">
        <f t="shared" si="10"/>
        <v>SEND</v>
      </c>
    </row>
    <row r="29" spans="1:48" x14ac:dyDescent="0.35">
      <c r="A29" s="28">
        <v>28</v>
      </c>
      <c r="B29" s="28" t="str">
        <f>IF(INPUT!A29="","",TRIM(INPUT!A29))</f>
        <v>Partner 061</v>
      </c>
      <c r="C29" s="28" t="str">
        <f>IF(B29="","",INPUT!C29)</f>
        <v>interviewer0@partner061.example.com</v>
      </c>
      <c r="D29" s="28" t="str">
        <f>IF(B29="","",INPUT!D29)</f>
        <v>Kiara K.</v>
      </c>
      <c r="E29" s="28" t="str">
        <f>IF(B29="","",INPUT!E29)</f>
        <v>kiara.k281@example.com</v>
      </c>
      <c r="F29" s="43" t="str">
        <f>IF(B29="","",TRIM(INPUT!F29&amp;""))</f>
        <v>9000003660</v>
      </c>
      <c r="G29" s="28" t="str">
        <f>IF(B29="","",INPUT!H29)</f>
        <v>Round1</v>
      </c>
      <c r="H29" s="46">
        <f>IF(B29="","",INPUT!I29)</f>
        <v>46308.82708333333</v>
      </c>
      <c r="I29" s="28" t="str">
        <f>IF(B29="","",IF(INPUT!J29="","None",INPUT!J29))</f>
        <v>Clicked</v>
      </c>
      <c r="J29" s="28" t="str">
        <f t="shared" si="0"/>
        <v>kiara.k281@example.com|partner 061|Round1|interviewer0@partner061.example.com</v>
      </c>
      <c r="K29" s="28" t="str">
        <f>IF(B29="","",IF(SUMPRODUCT(($J$2:$J$601=J29)*($H$2:$H$601&lt;H29))+SUMPRODUCT(($J$2:J29=J29)*($H$2:H29=H29))-1&gt;0,"DUPLICATE",IF(AND(ISNUMBER(SEARCH("@",E29)),ISNUMBER(SEARCH(".",E29)),LEN(F29)=10,ISNUMBER(VALUE(F29))),"OK","BAD CONTACT")))</f>
        <v>OK</v>
      </c>
      <c r="L29" s="28">
        <f t="shared" si="1"/>
        <v>1</v>
      </c>
      <c r="M29" s="28">
        <f>IF(L29=1,IF(COUNTIFS(LOG!$C$2:$C$2001,F29,LOG!$E$2:$E$2001,B29,LOG!$D$2:$D$2001,"*BOOKED")+COUNTIFS(LOG!$C$2:$C$2001,F29,LOG!$E$2:$E$2001,"",LOG!$D$2:$D$2001,"*BOOKED")&gt;0,1,0),0)</f>
        <v>1</v>
      </c>
      <c r="N29" s="28">
        <f>IF(L29=1,IF(COUNTIFS(LOG!$C$2:$C$2001,F29,LOG!$E$2:$E$2001,B29,LOG!$D$2:$D$2001,"NOT_INTERESTED")+COUNTIFS(LOG!$C$2:$C$2001,F29,LOG!$E$2:$E$2001,"",LOG!$D$2:$D$2001,"NOT_INTERESTED")&gt;0,1,0),0)</f>
        <v>0</v>
      </c>
      <c r="O29" s="28">
        <f>IF(L29=1,IF(COUNTIFS(LOG!$C$2:$C$2001,F29,LOG!$D$2:$D$2001,"STOP")+COUNTIFS(LOG!$C$2:$C$2001,F29,LOG!$D$2:$D$2001,"WRONG_NUMBER")&gt;0,1,IF(ISNUMBER(SEARCH("STOP",AT29)),1,0)),0)</f>
        <v>0</v>
      </c>
      <c r="P29" s="28">
        <f>IF(L29=1,IF(IFERROR(INDEX(PARTNERS!$D$2:$D$88,MATCH(B29,PARTNERS!$A$2:$A$88,0)),"")="NO SLOTS",1,IF(AND(IFERROR(INDEX(PARTNERS!$D$2:$D$88,MATCH(B29,PARTNERS!$A$2:$A$88,0)),"")&lt;&gt;"REOPENED",COUNTIFS(LOG!$E$2:$E$2001,B29,LOG!$D$2:$D$2001,"NO_SLOTS")&gt;0),1,0)),0)</f>
        <v>0</v>
      </c>
      <c r="Q29" s="28">
        <f>IF(L29=1,COUNTIFS(LOG!$C$2:$C$2001,F29,LOG!$H$2:$H$2001,1),0)</f>
        <v>0</v>
      </c>
      <c r="R29" s="46">
        <f>IF(Q29&gt;0,_xlfn.MAXIFS(LOG!$G$2:$G$2001,LOG!$C$2:$C$2001,F29,LOG!$H$2:$H$2001,1),0)</f>
        <v>0</v>
      </c>
      <c r="S29" s="28" t="str">
        <f>IF(Q29&gt;0,IFERROR(INDEX(LOG!$D$2:$D$2001,MATCH(F29&amp;"|"&amp;Q29,LOG!$I$2:$I$2001,0)),""),"")</f>
        <v/>
      </c>
      <c r="T29" s="28">
        <f>IF(S29="",0,IFERROR(VLOOKUP(S29,LISTS!$A$2:$E$10,4,FALSE),0))</f>
        <v>0</v>
      </c>
      <c r="U29" s="46">
        <f t="shared" si="2"/>
        <v>0</v>
      </c>
      <c r="V29" s="46">
        <f>IF(L29=1,H29+SETTINGS!$B$5/24,"")</f>
        <v>46309.82708333333</v>
      </c>
      <c r="W29" s="28">
        <f ca="1">IF(L29=1,(V29-SETTINGS!$B$4)*24,"")</f>
        <v>-1.6666666720993817E-2</v>
      </c>
      <c r="X29" s="28">
        <f ca="1">IF(AND(L29=1,K29="OK",M29=0,N29=0,O29=0,P29=0,SETTINGS!$B$4&lt;V29,Q29&lt;SETTINGS!$B$6),1,0)</f>
        <v>0</v>
      </c>
      <c r="Y29" s="28">
        <f ca="1">IF(AND(X29=1,SETTINGS!$B$4&gt;=H29,SETTINGS!$B$4&gt;=U29,ROUND(MOD(SETTINGS!$B$4,1)*1440,0)&gt;=ROUND(SETTINGS!$B$7*1440,0),ROUND(MOD(SETTINGS!$B$4,1)*1440,0)&lt;ROUND(SETTINGS!$B$8*1440,0)),1,0)</f>
        <v>0</v>
      </c>
      <c r="Z29" s="28" t="str">
        <f ca="1">IF(B29="","",IF(ROUND(MOD(SETTINGS!$B$4,1)*1440,0)&lt;ROUND(SETTINGS!$B$11*1440,0),"Ram",IF(ROUND(MOD(SETTINGS!$B$4,1)*1440,0)&gt;=ROUND(SETTINGS!$B$10*1440,0),"Shyam",IF(MOD(IFERROR(VALUE(RIGHT(F29,2)),0),2)=0,"Ram","Shyam"))))</f>
        <v>Shyam</v>
      </c>
      <c r="AA29" s="28">
        <f t="shared" ca="1" si="3"/>
        <v>0</v>
      </c>
      <c r="AB29" s="28">
        <f ca="1">IF(X29=1,COUNTIFS($F$2:F29,F29,$X$2:X29,1),0)</f>
        <v>0</v>
      </c>
      <c r="AC29" s="28" t="str">
        <f>IF(L29=1,IF(IFERROR(INDEX(PARTNERS!$C$2:$C$88,MATCH(B29,PARTNERS!$A$2:$A$88,0)),"")="YES","YES","NO"),"")</f>
        <v>NO</v>
      </c>
      <c r="AD29" s="28" t="str">
        <f>IF(L29=1,IFERROR(INDEX(PARTNERS!$B$2:$B$88,MATCH(B29,PARTNERS!$A$2:$A$88,0)),""),"")</f>
        <v>https://calendly.com/partner061/interview</v>
      </c>
      <c r="AE29" s="28">
        <f ca="1">IF(X29=1,IFERROR(INDEX(SETTINGS!$B$34:$D$36,MATCH(I29,SETTINGS!$A$34:$A$36,0),MIN(Q29,2)+1),SETTINGS!$B$36),0)</f>
        <v>0</v>
      </c>
      <c r="AF29" s="28">
        <f t="shared" si="4"/>
        <v>1</v>
      </c>
      <c r="AG29" s="28">
        <f ca="1">IF(AND(Y29=1,AB29=1),ROUND(AA29*AE29*IF(AF29&gt;1,SETTINGS!$B$16,1)*IF(W29&lt;=SETTINGS!$B$14,SETTINGS!$B$15,1)*IF(AU29=1,SETTINGS!$B$21,1),6),0)</f>
        <v>0</v>
      </c>
      <c r="AH29" s="28" t="str">
        <f ca="1">IF(AG29&gt;0,COUNTIFS($Z$2:$Z$601,Z29,$AG$2:$AG$601,"&gt;"&amp;AG29)+COUNTIFS($Z$2:Z29,Z29,$AG$2:AG29,AG29),"")</f>
        <v/>
      </c>
      <c r="AI29" s="28" t="str">
        <f t="shared" ca="1" si="5"/>
        <v/>
      </c>
      <c r="AJ29" s="28" t="str">
        <f t="shared" ca="1" si="6"/>
        <v/>
      </c>
      <c r="AK29" s="28">
        <f>IF(L29=1,IF(COUNTIFS($F$2:F29,F29,$L$2:L29,1)=1,1,0),0)</f>
        <v>1</v>
      </c>
      <c r="AL29" s="28" t="str">
        <f>IF(B29="","",IF(K29="DUPLICATE","Duplicate (removed)",IF(AO29=1,"Scheduled within 24h",IF(M29=1,"Scheduled late",IF(K29="BAD CONTACT","Bad contact details",IF(O29=1,"Stopped / wrong number",IF(N29=1,"Not interested",IF(P29=1,"Partner has no slots",IF(SETTINGS!$B$4&gt;=V29,IF(Q29=0,"Missed deadline: never tried","Missed deadline: tried, not booked"),IF(Q29&gt;=SETTINGS!$B$6,"No reply after max tries","Open"))))))))))</f>
        <v>Scheduled within 24h</v>
      </c>
      <c r="AM29" s="46">
        <f>IF(M29=1,IF(_xlfn.MINIFS(LOG!$G$2:$G$2001,LOG!$C$2:$C$2001,F29,LOG!$E$2:$E$2001,B29,LOG!$D$2:$D$2001,"*BOOKED")=0,_xlfn.MINIFS(LOG!$G$2:$G$2001,LOG!$C$2:$C$2001,F29,LOG!$E$2:$E$2001,"",LOG!$D$2:$D$2001,"*BOOKED"),IF(_xlfn.MINIFS(LOG!$G$2:$G$2001,LOG!$C$2:$C$2001,F29,LOG!$E$2:$E$2001,"",LOG!$D$2:$D$2001,"*BOOKED")=0,_xlfn.MINIFS(LOG!$G$2:$G$2001,LOG!$C$2:$C$2001,F29,LOG!$E$2:$E$2001,B29,LOG!$D$2:$D$2001,"*BOOKED"),MIN(_xlfn.MINIFS(LOG!$G$2:$G$2001,LOG!$C$2:$C$2001,F29,LOG!$E$2:$E$2001,B29,LOG!$D$2:$D$2001,"*BOOKED"),_xlfn.MINIFS(LOG!$G$2:$G$2001,LOG!$C$2:$C$2001,F29,LOG!$E$2:$E$2001,"",LOG!$D$2:$D$2001,"*BOOKED")))),"")</f>
        <v>46309.374644547672</v>
      </c>
      <c r="AN29" s="28">
        <f t="shared" si="7"/>
        <v>13.141469144204166</v>
      </c>
      <c r="AO29" s="28">
        <f>IF(AND(M29=1,AN29&lt;&gt;""),IF(AN29&lt;=SETTINGS!$B$5,1,0),0)</f>
        <v>1</v>
      </c>
      <c r="AP29" s="28">
        <f>IF(M29=1,IF(COUNTIFS(LOG!$C$2:$C$2001,F29,LOG!$E$2:$E$2001,B29,LOG!$D$2:$D$2001,"BOOKED")+COUNTIFS(LOG!$C$2:$C$2001,F29,LOG!$E$2:$E$2001,"",LOG!$D$2:$D$2001,"BOOKED")&gt;0,1,0),0)</f>
        <v>0</v>
      </c>
      <c r="AQ29" s="28" t="str">
        <f t="shared" si="8"/>
        <v>Kiara</v>
      </c>
      <c r="AR29" s="28">
        <f>IF(AND(AK29=1,K29="OK"),COUNTIFS($AK$2:AK29,1,$K$2:K29,"OK"),"")</f>
        <v>27</v>
      </c>
      <c r="AS29" s="28" t="str">
        <f>IF(L29=1,IFERROR(INDEX(MESSAGES!$J$9:$J$1008,MATCH(F29,MESSAGES!$M$9:$M$1008,0))&amp;"",""),"")</f>
        <v/>
      </c>
      <c r="AT29" s="28" t="str">
        <f>IF(L29=1,IFERROR(INDEX(MESSAGES!$K$9:$K$1008,MATCH(F29,MESSAGES!$M$9:$M$1008,0))&amp;"",""),"")</f>
        <v/>
      </c>
      <c r="AU29" s="28">
        <f t="shared" ca="1" si="9"/>
        <v>0</v>
      </c>
      <c r="AV29" s="28" t="str">
        <f t="shared" si="10"/>
        <v>SEND</v>
      </c>
    </row>
    <row r="30" spans="1:48" x14ac:dyDescent="0.35">
      <c r="A30" s="28">
        <v>29</v>
      </c>
      <c r="B30" s="28" t="str">
        <f>IF(INPUT!A30="","",TRIM(INPUT!A30))</f>
        <v>Partner 020</v>
      </c>
      <c r="C30" s="28" t="str">
        <f>IF(B30="","",INPUT!C30)</f>
        <v>interviewer1@partner020.example.com</v>
      </c>
      <c r="D30" s="28" t="str">
        <f>IF(B30="","",INPUT!D30)</f>
        <v>Kabir D.</v>
      </c>
      <c r="E30" s="28" t="str">
        <f>IF(B30="","",INPUT!E30)</f>
        <v>kabir.d092@example.com</v>
      </c>
      <c r="F30" s="43" t="str">
        <f>IF(B30="","",TRIM(INPUT!F30&amp;""))</f>
        <v>9000001203</v>
      </c>
      <c r="G30" s="28" t="str">
        <f>IF(B30="","",INPUT!H30)</f>
        <v>Round1</v>
      </c>
      <c r="H30" s="46">
        <f>IF(B30="","",INPUT!I30)</f>
        <v>46308.82708333333</v>
      </c>
      <c r="I30" s="28" t="str">
        <f>IF(B30="","",IF(INPUT!J30="","None",INPUT!J30))</f>
        <v>None</v>
      </c>
      <c r="J30" s="28" t="str">
        <f t="shared" si="0"/>
        <v>kabir.d092@example.com|partner 020|Round1|interviewer1@partner020.example.com</v>
      </c>
      <c r="K30" s="28" t="str">
        <f>IF(B30="","",IF(SUMPRODUCT(($J$2:$J$601=J30)*($H$2:$H$601&lt;H30))+SUMPRODUCT(($J$2:J30=J30)*($H$2:H30=H30))-1&gt;0,"DUPLICATE",IF(AND(ISNUMBER(SEARCH("@",E30)),ISNUMBER(SEARCH(".",E30)),LEN(F30)=10,ISNUMBER(VALUE(F30))),"OK","BAD CONTACT")))</f>
        <v>OK</v>
      </c>
      <c r="L30" s="28">
        <f t="shared" si="1"/>
        <v>1</v>
      </c>
      <c r="M30" s="28">
        <f>IF(L30=1,IF(COUNTIFS(LOG!$C$2:$C$2001,F30,LOG!$E$2:$E$2001,B30,LOG!$D$2:$D$2001,"*BOOKED")+COUNTIFS(LOG!$C$2:$C$2001,F30,LOG!$E$2:$E$2001,"",LOG!$D$2:$D$2001,"*BOOKED")&gt;0,1,0),0)</f>
        <v>1</v>
      </c>
      <c r="N30" s="28">
        <f>IF(L30=1,IF(COUNTIFS(LOG!$C$2:$C$2001,F30,LOG!$E$2:$E$2001,B30,LOG!$D$2:$D$2001,"NOT_INTERESTED")+COUNTIFS(LOG!$C$2:$C$2001,F30,LOG!$E$2:$E$2001,"",LOG!$D$2:$D$2001,"NOT_INTERESTED")&gt;0,1,0),0)</f>
        <v>0</v>
      </c>
      <c r="O30" s="28">
        <f>IF(L30=1,IF(COUNTIFS(LOG!$C$2:$C$2001,F30,LOG!$D$2:$D$2001,"STOP")+COUNTIFS(LOG!$C$2:$C$2001,F30,LOG!$D$2:$D$2001,"WRONG_NUMBER")&gt;0,1,IF(ISNUMBER(SEARCH("STOP",AT30)),1,0)),0)</f>
        <v>0</v>
      </c>
      <c r="P30" s="28">
        <f>IF(L30=1,IF(IFERROR(INDEX(PARTNERS!$D$2:$D$88,MATCH(B30,PARTNERS!$A$2:$A$88,0)),"")="NO SLOTS",1,IF(AND(IFERROR(INDEX(PARTNERS!$D$2:$D$88,MATCH(B30,PARTNERS!$A$2:$A$88,0)),"")&lt;&gt;"REOPENED",COUNTIFS(LOG!$E$2:$E$2001,B30,LOG!$D$2:$D$2001,"NO_SLOTS")&gt;0),1,0)),0)</f>
        <v>0</v>
      </c>
      <c r="Q30" s="28">
        <f>IF(L30=1,COUNTIFS(LOG!$C$2:$C$2001,F30,LOG!$H$2:$H$2001,1),0)</f>
        <v>1</v>
      </c>
      <c r="R30" s="46">
        <f>IF(Q30&gt;0,_xlfn.MAXIFS(LOG!$G$2:$G$2001,LOG!$C$2:$C$2001,F30,LOG!$H$2:$H$2001,1),0)</f>
        <v>46309.811310640842</v>
      </c>
      <c r="S30" s="28" t="str">
        <f>IF(Q30&gt;0,IFERROR(INDEX(LOG!$D$2:$D$2001,MATCH(F30&amp;"|"&amp;Q30,LOG!$I$2:$I$2001,0)),""),"")</f>
        <v>BOOKED</v>
      </c>
      <c r="T30" s="28">
        <f>IF(S30="",0,IFERROR(VLOOKUP(S30,LISTS!$A$2:$E$10,4,FALSE),0))</f>
        <v>0</v>
      </c>
      <c r="U30" s="46">
        <f t="shared" si="2"/>
        <v>46309.811310640842</v>
      </c>
      <c r="V30" s="46">
        <f>IF(L30=1,H30+SETTINGS!$B$5/24,"")</f>
        <v>46309.82708333333</v>
      </c>
      <c r="W30" s="28">
        <f ca="1">IF(L30=1,(V30-SETTINGS!$B$4)*24,"")</f>
        <v>-1.6666666720993817E-2</v>
      </c>
      <c r="X30" s="28">
        <f ca="1">IF(AND(L30=1,K30="OK",M30=0,N30=0,O30=0,P30=0,SETTINGS!$B$4&lt;V30,Q30&lt;SETTINGS!$B$6),1,0)</f>
        <v>0</v>
      </c>
      <c r="Y30" s="28">
        <f ca="1">IF(AND(X30=1,SETTINGS!$B$4&gt;=H30,SETTINGS!$B$4&gt;=U30,ROUND(MOD(SETTINGS!$B$4,1)*1440,0)&gt;=ROUND(SETTINGS!$B$7*1440,0),ROUND(MOD(SETTINGS!$B$4,1)*1440,0)&lt;ROUND(SETTINGS!$B$8*1440,0)),1,0)</f>
        <v>0</v>
      </c>
      <c r="Z30" s="28" t="str">
        <f ca="1">IF(B30="","",IF(ROUND(MOD(SETTINGS!$B$4,1)*1440,0)&lt;ROUND(SETTINGS!$B$11*1440,0),"Ram",IF(ROUND(MOD(SETTINGS!$B$4,1)*1440,0)&gt;=ROUND(SETTINGS!$B$10*1440,0),"Shyam",IF(MOD(IFERROR(VALUE(RIGHT(F30,2)),0),2)=0,"Ram","Shyam"))))</f>
        <v>Shyam</v>
      </c>
      <c r="AA30" s="28">
        <f t="shared" ca="1" si="3"/>
        <v>0</v>
      </c>
      <c r="AB30" s="28">
        <f ca="1">IF(X30=1,COUNTIFS($F$2:F30,F30,$X$2:X30,1),0)</f>
        <v>0</v>
      </c>
      <c r="AC30" s="28" t="str">
        <f>IF(L30=1,IF(IFERROR(INDEX(PARTNERS!$C$2:$C$88,MATCH(B30,PARTNERS!$A$2:$A$88,0)),"")="YES","YES","NO"),"")</f>
        <v>YES</v>
      </c>
      <c r="AD30" s="28" t="str">
        <f>IF(L30=1,IFERROR(INDEX(PARTNERS!$B$2:$B$88,MATCH(B30,PARTNERS!$A$2:$A$88,0)),""),"")</f>
        <v>https://calendly.com/partner020/interview</v>
      </c>
      <c r="AE30" s="28">
        <f ca="1">IF(X30=1,IFERROR(INDEX(SETTINGS!$B$34:$D$36,MATCH(I30,SETTINGS!$A$34:$A$36,0),MIN(Q30,2)+1),SETTINGS!$B$36),0)</f>
        <v>0</v>
      </c>
      <c r="AF30" s="28">
        <f t="shared" si="4"/>
        <v>1</v>
      </c>
      <c r="AG30" s="28">
        <f ca="1">IF(AND(Y30=1,AB30=1),ROUND(AA30*AE30*IF(AF30&gt;1,SETTINGS!$B$16,1)*IF(W30&lt;=SETTINGS!$B$14,SETTINGS!$B$15,1)*IF(AU30=1,SETTINGS!$B$21,1),6),0)</f>
        <v>0</v>
      </c>
      <c r="AH30" s="28" t="str">
        <f ca="1">IF(AG30&gt;0,COUNTIFS($Z$2:$Z$601,Z30,$AG$2:$AG$601,"&gt;"&amp;AG30)+COUNTIFS($Z$2:Z30,Z30,$AG$2:AG30,AG30),"")</f>
        <v/>
      </c>
      <c r="AI30" s="28" t="str">
        <f t="shared" ca="1" si="5"/>
        <v/>
      </c>
      <c r="AJ30" s="28" t="str">
        <f t="shared" ca="1" si="6"/>
        <v/>
      </c>
      <c r="AK30" s="28">
        <f>IF(L30=1,IF(COUNTIFS($F$2:F30,F30,$L$2:L30,1)=1,1,0),0)</f>
        <v>1</v>
      </c>
      <c r="AL30" s="28" t="str">
        <f>IF(B30="","",IF(K30="DUPLICATE","Duplicate (removed)",IF(AO30=1,"Scheduled within 24h",IF(M30=1,"Scheduled late",IF(K30="BAD CONTACT","Bad contact details",IF(O30=1,"Stopped / wrong number",IF(N30=1,"Not interested",IF(P30=1,"Partner has no slots",IF(SETTINGS!$B$4&gt;=V30,IF(Q30=0,"Missed deadline: never tried","Missed deadline: tried, not booked"),IF(Q30&gt;=SETTINGS!$B$6,"No reply after max tries","Open"))))))))))</f>
        <v>Scheduled within 24h</v>
      </c>
      <c r="AM30" s="46">
        <f>IF(M30=1,IF(_xlfn.MINIFS(LOG!$G$2:$G$2001,LOG!$C$2:$C$2001,F30,LOG!$E$2:$E$2001,B30,LOG!$D$2:$D$2001,"*BOOKED")=0,_xlfn.MINIFS(LOG!$G$2:$G$2001,LOG!$C$2:$C$2001,F30,LOG!$E$2:$E$2001,"",LOG!$D$2:$D$2001,"*BOOKED"),IF(_xlfn.MINIFS(LOG!$G$2:$G$2001,LOG!$C$2:$C$2001,F30,LOG!$E$2:$E$2001,"",LOG!$D$2:$D$2001,"*BOOKED")=0,_xlfn.MINIFS(LOG!$G$2:$G$2001,LOG!$C$2:$C$2001,F30,LOG!$E$2:$E$2001,B30,LOG!$D$2:$D$2001,"*BOOKED"),MIN(_xlfn.MINIFS(LOG!$G$2:$G$2001,LOG!$C$2:$C$2001,F30,LOG!$E$2:$E$2001,B30,LOG!$D$2:$D$2001,"*BOOKED"),_xlfn.MINIFS(LOG!$G$2:$G$2001,LOG!$C$2:$C$2001,F30,LOG!$E$2:$E$2001,"",LOG!$D$2:$D$2001,"*BOOKED")))),"")</f>
        <v>46309.811310640842</v>
      </c>
      <c r="AN30" s="28">
        <f t="shared" si="7"/>
        <v>23.621455380285624</v>
      </c>
      <c r="AO30" s="28">
        <f>IF(AND(M30=1,AN30&lt;&gt;""),IF(AN30&lt;=SETTINGS!$B$5,1,0),0)</f>
        <v>1</v>
      </c>
      <c r="AP30" s="28">
        <f>IF(M30=1,IF(COUNTIFS(LOG!$C$2:$C$2001,F30,LOG!$E$2:$E$2001,B30,LOG!$D$2:$D$2001,"BOOKED")+COUNTIFS(LOG!$C$2:$C$2001,F30,LOG!$E$2:$E$2001,"",LOG!$D$2:$D$2001,"BOOKED")&gt;0,1,0),0)</f>
        <v>1</v>
      </c>
      <c r="AQ30" s="28" t="str">
        <f t="shared" si="8"/>
        <v>Kabir</v>
      </c>
      <c r="AR30" s="28">
        <f>IF(AND(AK30=1,K30="OK"),COUNTIFS($AK$2:AK30,1,$K$2:K30,"OK"),"")</f>
        <v>28</v>
      </c>
      <c r="AS30" s="28" t="str">
        <f>IF(L30=1,IFERROR(INDEX(MESSAGES!$J$9:$J$1008,MATCH(F30,MESSAGES!$M$9:$M$1008,0))&amp;"",""),"")</f>
        <v/>
      </c>
      <c r="AT30" s="28" t="str">
        <f>IF(L30=1,IFERROR(INDEX(MESSAGES!$K$9:$K$1008,MATCH(F30,MESSAGES!$M$9:$M$1008,0))&amp;"",""),"")</f>
        <v/>
      </c>
      <c r="AU30" s="28">
        <f t="shared" ca="1" si="9"/>
        <v>0</v>
      </c>
      <c r="AV30" s="28" t="str">
        <f t="shared" si="10"/>
        <v>SEND</v>
      </c>
    </row>
    <row r="31" spans="1:48" x14ac:dyDescent="0.35">
      <c r="A31" s="28">
        <v>30</v>
      </c>
      <c r="B31" s="28" t="str">
        <f>IF(INPUT!A31="","",TRIM(INPUT!A31))</f>
        <v>Partner 013</v>
      </c>
      <c r="C31" s="28" t="str">
        <f>IF(B31="","",INPUT!C31)</f>
        <v>interviewer1@partner013.example.com</v>
      </c>
      <c r="D31" s="28" t="str">
        <f>IF(B31="","",INPUT!D31)</f>
        <v>Aarav R.</v>
      </c>
      <c r="E31" s="28" t="str">
        <f>IF(B31="","",INPUT!E31)</f>
        <v>aarav.r420@example.com</v>
      </c>
      <c r="F31" s="43" t="str">
        <f>IF(B31="","",TRIM(INPUT!F31&amp;""))</f>
        <v>9000005467</v>
      </c>
      <c r="G31" s="28" t="str">
        <f>IF(B31="","",INPUT!H31)</f>
        <v>Round1</v>
      </c>
      <c r="H31" s="46">
        <f>IF(B31="","",INPUT!I31)</f>
        <v>46308.82708333333</v>
      </c>
      <c r="I31" s="28" t="str">
        <f>IF(B31="","",IF(INPUT!J31="","None",INPUT!J31))</f>
        <v>Clicked</v>
      </c>
      <c r="J31" s="28" t="str">
        <f t="shared" si="0"/>
        <v>aarav.r420@example.com|partner 013|Round1|interviewer1@partner013.example.com</v>
      </c>
      <c r="K31" s="28" t="str">
        <f>IF(B31="","",IF(SUMPRODUCT(($J$2:$J$601=J31)*($H$2:$H$601&lt;H31))+SUMPRODUCT(($J$2:J31=J31)*($H$2:H31=H31))-1&gt;0,"DUPLICATE",IF(AND(ISNUMBER(SEARCH("@",E31)),ISNUMBER(SEARCH(".",E31)),LEN(F31)=10,ISNUMBER(VALUE(F31))),"OK","BAD CONTACT")))</f>
        <v>OK</v>
      </c>
      <c r="L31" s="28">
        <f t="shared" si="1"/>
        <v>1</v>
      </c>
      <c r="M31" s="28">
        <f>IF(L31=1,IF(COUNTIFS(LOG!$C$2:$C$2001,F31,LOG!$E$2:$E$2001,B31,LOG!$D$2:$D$2001,"*BOOKED")+COUNTIFS(LOG!$C$2:$C$2001,F31,LOG!$E$2:$E$2001,"",LOG!$D$2:$D$2001,"*BOOKED")&gt;0,1,0),0)</f>
        <v>1</v>
      </c>
      <c r="N31" s="28">
        <f>IF(L31=1,IF(COUNTIFS(LOG!$C$2:$C$2001,F31,LOG!$E$2:$E$2001,B31,LOG!$D$2:$D$2001,"NOT_INTERESTED")+COUNTIFS(LOG!$C$2:$C$2001,F31,LOG!$E$2:$E$2001,"",LOG!$D$2:$D$2001,"NOT_INTERESTED")&gt;0,1,0),0)</f>
        <v>0</v>
      </c>
      <c r="O31" s="28">
        <f>IF(L31=1,IF(COUNTIFS(LOG!$C$2:$C$2001,F31,LOG!$D$2:$D$2001,"STOP")+COUNTIFS(LOG!$C$2:$C$2001,F31,LOG!$D$2:$D$2001,"WRONG_NUMBER")&gt;0,1,IF(ISNUMBER(SEARCH("STOP",AT31)),1,0)),0)</f>
        <v>0</v>
      </c>
      <c r="P31" s="28">
        <f>IF(L31=1,IF(IFERROR(INDEX(PARTNERS!$D$2:$D$88,MATCH(B31,PARTNERS!$A$2:$A$88,0)),"")="NO SLOTS",1,IF(AND(IFERROR(INDEX(PARTNERS!$D$2:$D$88,MATCH(B31,PARTNERS!$A$2:$A$88,0)),"")&lt;&gt;"REOPENED",COUNTIFS(LOG!$E$2:$E$2001,B31,LOG!$D$2:$D$2001,"NO_SLOTS")&gt;0),1,0)),0)</f>
        <v>0</v>
      </c>
      <c r="Q31" s="28">
        <f>IF(L31=1,COUNTIFS(LOG!$C$2:$C$2001,F31,LOG!$H$2:$H$2001,1),0)</f>
        <v>1</v>
      </c>
      <c r="R31" s="46">
        <f>IF(Q31&gt;0,_xlfn.MAXIFS(LOG!$G$2:$G$2001,LOG!$C$2:$C$2001,F31,LOG!$H$2:$H$2001,1),0)</f>
        <v>46309.552292990593</v>
      </c>
      <c r="S31" s="28" t="str">
        <f>IF(Q31&gt;0,IFERROR(INDEX(LOG!$D$2:$D$2001,MATCH(F31&amp;"|"&amp;Q31,LOG!$I$2:$I$2001,0)),""),"")</f>
        <v>BOOKED</v>
      </c>
      <c r="T31" s="28">
        <f>IF(S31="",0,IFERROR(VLOOKUP(S31,LISTS!$A$2:$E$10,4,FALSE),0))</f>
        <v>0</v>
      </c>
      <c r="U31" s="46">
        <f t="shared" si="2"/>
        <v>46309.552292990593</v>
      </c>
      <c r="V31" s="46">
        <f>IF(L31=1,H31+SETTINGS!$B$5/24,"")</f>
        <v>46309.82708333333</v>
      </c>
      <c r="W31" s="28">
        <f ca="1">IF(L31=1,(V31-SETTINGS!$B$4)*24,"")</f>
        <v>-1.6666666720993817E-2</v>
      </c>
      <c r="X31" s="28">
        <f ca="1">IF(AND(L31=1,K31="OK",M31=0,N31=0,O31=0,P31=0,SETTINGS!$B$4&lt;V31,Q31&lt;SETTINGS!$B$6),1,0)</f>
        <v>0</v>
      </c>
      <c r="Y31" s="28">
        <f ca="1">IF(AND(X31=1,SETTINGS!$B$4&gt;=H31,SETTINGS!$B$4&gt;=U31,ROUND(MOD(SETTINGS!$B$4,1)*1440,0)&gt;=ROUND(SETTINGS!$B$7*1440,0),ROUND(MOD(SETTINGS!$B$4,1)*1440,0)&lt;ROUND(SETTINGS!$B$8*1440,0)),1,0)</f>
        <v>0</v>
      </c>
      <c r="Z31" s="28" t="str">
        <f ca="1">IF(B31="","",IF(ROUND(MOD(SETTINGS!$B$4,1)*1440,0)&lt;ROUND(SETTINGS!$B$11*1440,0),"Ram",IF(ROUND(MOD(SETTINGS!$B$4,1)*1440,0)&gt;=ROUND(SETTINGS!$B$10*1440,0),"Shyam",IF(MOD(IFERROR(VALUE(RIGHT(F31,2)),0),2)=0,"Ram","Shyam"))))</f>
        <v>Shyam</v>
      </c>
      <c r="AA31" s="28">
        <f t="shared" ca="1" si="3"/>
        <v>0</v>
      </c>
      <c r="AB31" s="28">
        <f ca="1">IF(X31=1,COUNTIFS($F$2:F31,F31,$X$2:X31,1),0)</f>
        <v>0</v>
      </c>
      <c r="AC31" s="28" t="str">
        <f>IF(L31=1,IF(IFERROR(INDEX(PARTNERS!$C$2:$C$88,MATCH(B31,PARTNERS!$A$2:$A$88,0)),"")="YES","YES","NO"),"")</f>
        <v>YES</v>
      </c>
      <c r="AD31" s="28" t="str">
        <f>IF(L31=1,IFERROR(INDEX(PARTNERS!$B$2:$B$88,MATCH(B31,PARTNERS!$A$2:$A$88,0)),""),"")</f>
        <v>https://calendly.com/partner013/interview</v>
      </c>
      <c r="AE31" s="28">
        <f ca="1">IF(X31=1,IFERROR(INDEX(SETTINGS!$B$34:$D$36,MATCH(I31,SETTINGS!$A$34:$A$36,0),MIN(Q31,2)+1),SETTINGS!$B$36),0)</f>
        <v>0</v>
      </c>
      <c r="AF31" s="28">
        <f t="shared" si="4"/>
        <v>1</v>
      </c>
      <c r="AG31" s="28">
        <f ca="1">IF(AND(Y31=1,AB31=1),ROUND(AA31*AE31*IF(AF31&gt;1,SETTINGS!$B$16,1)*IF(W31&lt;=SETTINGS!$B$14,SETTINGS!$B$15,1)*IF(AU31=1,SETTINGS!$B$21,1),6),0)</f>
        <v>0</v>
      </c>
      <c r="AH31" s="28" t="str">
        <f ca="1">IF(AG31&gt;0,COUNTIFS($Z$2:$Z$601,Z31,$AG$2:$AG$601,"&gt;"&amp;AG31)+COUNTIFS($Z$2:Z31,Z31,$AG$2:AG31,AG31),"")</f>
        <v/>
      </c>
      <c r="AI31" s="28" t="str">
        <f t="shared" ca="1" si="5"/>
        <v/>
      </c>
      <c r="AJ31" s="28" t="str">
        <f t="shared" ca="1" si="6"/>
        <v/>
      </c>
      <c r="AK31" s="28">
        <f>IF(L31=1,IF(COUNTIFS($F$2:F31,F31,$L$2:L31,1)=1,1,0),0)</f>
        <v>1</v>
      </c>
      <c r="AL31" s="28" t="str">
        <f>IF(B31="","",IF(K31="DUPLICATE","Duplicate (removed)",IF(AO31=1,"Scheduled within 24h",IF(M31=1,"Scheduled late",IF(K31="BAD CONTACT","Bad contact details",IF(O31=1,"Stopped / wrong number",IF(N31=1,"Not interested",IF(P31=1,"Partner has no slots",IF(SETTINGS!$B$4&gt;=V31,IF(Q31=0,"Missed deadline: never tried","Missed deadline: tried, not booked"),IF(Q31&gt;=SETTINGS!$B$6,"No reply after max tries","Open"))))))))))</f>
        <v>Scheduled within 24h</v>
      </c>
      <c r="AM31" s="46">
        <f>IF(M31=1,IF(_xlfn.MINIFS(LOG!$G$2:$G$2001,LOG!$C$2:$C$2001,F31,LOG!$E$2:$E$2001,B31,LOG!$D$2:$D$2001,"*BOOKED")=0,_xlfn.MINIFS(LOG!$G$2:$G$2001,LOG!$C$2:$C$2001,F31,LOG!$E$2:$E$2001,"",LOG!$D$2:$D$2001,"*BOOKED"),IF(_xlfn.MINIFS(LOG!$G$2:$G$2001,LOG!$C$2:$C$2001,F31,LOG!$E$2:$E$2001,"",LOG!$D$2:$D$2001,"*BOOKED")=0,_xlfn.MINIFS(LOG!$G$2:$G$2001,LOG!$C$2:$C$2001,F31,LOG!$E$2:$E$2001,B31,LOG!$D$2:$D$2001,"*BOOKED"),MIN(_xlfn.MINIFS(LOG!$G$2:$G$2001,LOG!$C$2:$C$2001,F31,LOG!$E$2:$E$2001,B31,LOG!$D$2:$D$2001,"*BOOKED"),_xlfn.MINIFS(LOG!$G$2:$G$2001,LOG!$C$2:$C$2001,F31,LOG!$E$2:$E$2001,"",LOG!$D$2:$D$2001,"*BOOKED")))),"")</f>
        <v>46309.552292990593</v>
      </c>
      <c r="AN31" s="28">
        <f t="shared" si="7"/>
        <v>17.405031774309464</v>
      </c>
      <c r="AO31" s="28">
        <f>IF(AND(M31=1,AN31&lt;&gt;""),IF(AN31&lt;=SETTINGS!$B$5,1,0),0)</f>
        <v>1</v>
      </c>
      <c r="AP31" s="28">
        <f>IF(M31=1,IF(COUNTIFS(LOG!$C$2:$C$2001,F31,LOG!$E$2:$E$2001,B31,LOG!$D$2:$D$2001,"BOOKED")+COUNTIFS(LOG!$C$2:$C$2001,F31,LOG!$E$2:$E$2001,"",LOG!$D$2:$D$2001,"BOOKED")&gt;0,1,0),0)</f>
        <v>1</v>
      </c>
      <c r="AQ31" s="28" t="str">
        <f t="shared" si="8"/>
        <v>Aarav</v>
      </c>
      <c r="AR31" s="28">
        <f>IF(AND(AK31=1,K31="OK"),COUNTIFS($AK$2:AK31,1,$K$2:K31,"OK"),"")</f>
        <v>29</v>
      </c>
      <c r="AS31" s="28" t="str">
        <f>IF(L31=1,IFERROR(INDEX(MESSAGES!$J$9:$J$1008,MATCH(F31,MESSAGES!$M$9:$M$1008,0))&amp;"",""),"")</f>
        <v/>
      </c>
      <c r="AT31" s="28" t="str">
        <f>IF(L31=1,IFERROR(INDEX(MESSAGES!$K$9:$K$1008,MATCH(F31,MESSAGES!$M$9:$M$1008,0))&amp;"",""),"")</f>
        <v/>
      </c>
      <c r="AU31" s="28">
        <f t="shared" ca="1" si="9"/>
        <v>0</v>
      </c>
      <c r="AV31" s="28" t="str">
        <f t="shared" si="10"/>
        <v>SEND</v>
      </c>
    </row>
    <row r="32" spans="1:48" x14ac:dyDescent="0.35">
      <c r="A32" s="28">
        <v>31</v>
      </c>
      <c r="B32" s="28" t="str">
        <f>IF(INPUT!A32="","",TRIM(INPUT!A32))</f>
        <v>Partner 026</v>
      </c>
      <c r="C32" s="28" t="str">
        <f>IF(B32="","",INPUT!C32)</f>
        <v>interviewer2@partner026.example.com</v>
      </c>
      <c r="D32" s="28" t="str">
        <f>IF(B32="","",INPUT!D32)</f>
        <v>Dev L.</v>
      </c>
      <c r="E32" s="28" t="str">
        <f>IF(B32="","",INPUT!E32)</f>
        <v>dev.l312@example.com</v>
      </c>
      <c r="F32" s="43" t="str">
        <f>IF(B32="","",TRIM(INPUT!F32&amp;""))</f>
        <v>9000004063</v>
      </c>
      <c r="G32" s="28" t="str">
        <f>IF(B32="","",INPUT!H32)</f>
        <v>Round1</v>
      </c>
      <c r="H32" s="46">
        <f>IF(B32="","",INPUT!I32)</f>
        <v>46308.82708333333</v>
      </c>
      <c r="I32" s="28" t="str">
        <f>IF(B32="","",IF(INPUT!J32="","None",INPUT!J32))</f>
        <v>Opened</v>
      </c>
      <c r="J32" s="28" t="str">
        <f t="shared" si="0"/>
        <v>dev.l312@example.com|partner 026|Round1|interviewer2@partner026.example.com</v>
      </c>
      <c r="K32" s="28" t="str">
        <f>IF(B32="","",IF(SUMPRODUCT(($J$2:$J$601=J32)*($H$2:$H$601&lt;H32))+SUMPRODUCT(($J$2:J32=J32)*($H$2:H32=H32))-1&gt;0,"DUPLICATE",IF(AND(ISNUMBER(SEARCH("@",E32)),ISNUMBER(SEARCH(".",E32)),LEN(F32)=10,ISNUMBER(VALUE(F32))),"OK","BAD CONTACT")))</f>
        <v>OK</v>
      </c>
      <c r="L32" s="28">
        <f t="shared" si="1"/>
        <v>1</v>
      </c>
      <c r="M32" s="28">
        <f>IF(L32=1,IF(COUNTIFS(LOG!$C$2:$C$2001,F32,LOG!$E$2:$E$2001,B32,LOG!$D$2:$D$2001,"*BOOKED")+COUNTIFS(LOG!$C$2:$C$2001,F32,LOG!$E$2:$E$2001,"",LOG!$D$2:$D$2001,"*BOOKED")&gt;0,1,0),0)</f>
        <v>0</v>
      </c>
      <c r="N32" s="28">
        <f>IF(L32=1,IF(COUNTIFS(LOG!$C$2:$C$2001,F32,LOG!$E$2:$E$2001,B32,LOG!$D$2:$D$2001,"NOT_INTERESTED")+COUNTIFS(LOG!$C$2:$C$2001,F32,LOG!$E$2:$E$2001,"",LOG!$D$2:$D$2001,"NOT_INTERESTED")&gt;0,1,0),0)</f>
        <v>0</v>
      </c>
      <c r="O32" s="28">
        <f>IF(L32=1,IF(COUNTIFS(LOG!$C$2:$C$2001,F32,LOG!$D$2:$D$2001,"STOP")+COUNTIFS(LOG!$C$2:$C$2001,F32,LOG!$D$2:$D$2001,"WRONG_NUMBER")&gt;0,1,IF(ISNUMBER(SEARCH("STOP",AT32)),1,0)),0)</f>
        <v>0</v>
      </c>
      <c r="P32" s="28">
        <f>IF(L32=1,IF(IFERROR(INDEX(PARTNERS!$D$2:$D$88,MATCH(B32,PARTNERS!$A$2:$A$88,0)),"")="NO SLOTS",1,IF(AND(IFERROR(INDEX(PARTNERS!$D$2:$D$88,MATCH(B32,PARTNERS!$A$2:$A$88,0)),"")&lt;&gt;"REOPENED",COUNTIFS(LOG!$E$2:$E$2001,B32,LOG!$D$2:$D$2001,"NO_SLOTS")&gt;0),1,0)),0)</f>
        <v>0</v>
      </c>
      <c r="Q32" s="28">
        <f>IF(L32=1,COUNTIFS(LOG!$C$2:$C$2001,F32,LOG!$H$2:$H$2001,1),0)</f>
        <v>0</v>
      </c>
      <c r="R32" s="46">
        <f>IF(Q32&gt;0,_xlfn.MAXIFS(LOG!$G$2:$G$2001,LOG!$C$2:$C$2001,F32,LOG!$H$2:$H$2001,1),0)</f>
        <v>0</v>
      </c>
      <c r="S32" s="28" t="str">
        <f>IF(Q32&gt;0,IFERROR(INDEX(LOG!$D$2:$D$2001,MATCH(F32&amp;"|"&amp;Q32,LOG!$I$2:$I$2001,0)),""),"")</f>
        <v/>
      </c>
      <c r="T32" s="28">
        <f>IF(S32="",0,IFERROR(VLOOKUP(S32,LISTS!$A$2:$E$10,4,FALSE),0))</f>
        <v>0</v>
      </c>
      <c r="U32" s="46">
        <f t="shared" si="2"/>
        <v>0</v>
      </c>
      <c r="V32" s="46">
        <f>IF(L32=1,H32+SETTINGS!$B$5/24,"")</f>
        <v>46309.82708333333</v>
      </c>
      <c r="W32" s="28">
        <f ca="1">IF(L32=1,(V32-SETTINGS!$B$4)*24,"")</f>
        <v>-1.6666666720993817E-2</v>
      </c>
      <c r="X32" s="28">
        <f ca="1">IF(AND(L32=1,K32="OK",M32=0,N32=0,O32=0,P32=0,SETTINGS!$B$4&lt;V32,Q32&lt;SETTINGS!$B$6),1,0)</f>
        <v>0</v>
      </c>
      <c r="Y32" s="28">
        <f ca="1">IF(AND(X32=1,SETTINGS!$B$4&gt;=H32,SETTINGS!$B$4&gt;=U32,ROUND(MOD(SETTINGS!$B$4,1)*1440,0)&gt;=ROUND(SETTINGS!$B$7*1440,0),ROUND(MOD(SETTINGS!$B$4,1)*1440,0)&lt;ROUND(SETTINGS!$B$8*1440,0)),1,0)</f>
        <v>0</v>
      </c>
      <c r="Z32" s="28" t="str">
        <f ca="1">IF(B32="","",IF(ROUND(MOD(SETTINGS!$B$4,1)*1440,0)&lt;ROUND(SETTINGS!$B$11*1440,0),"Ram",IF(ROUND(MOD(SETTINGS!$B$4,1)*1440,0)&gt;=ROUND(SETTINGS!$B$10*1440,0),"Shyam",IF(MOD(IFERROR(VALUE(RIGHT(F32,2)),0),2)=0,"Ram","Shyam"))))</f>
        <v>Shyam</v>
      </c>
      <c r="AA32" s="28">
        <f t="shared" ca="1" si="3"/>
        <v>0</v>
      </c>
      <c r="AB32" s="28">
        <f ca="1">IF(X32=1,COUNTIFS($F$2:F32,F32,$X$2:X32,1),0)</f>
        <v>0</v>
      </c>
      <c r="AC32" s="28" t="str">
        <f>IF(L32=1,IF(IFERROR(INDEX(PARTNERS!$C$2:$C$88,MATCH(B32,PARTNERS!$A$2:$A$88,0)),"")="YES","YES","NO"),"")</f>
        <v>YES</v>
      </c>
      <c r="AD32" s="28" t="str">
        <f>IF(L32=1,IFERROR(INDEX(PARTNERS!$B$2:$B$88,MATCH(B32,PARTNERS!$A$2:$A$88,0)),""),"")</f>
        <v>https://calendly.com/partner026/interview</v>
      </c>
      <c r="AE32" s="28">
        <f ca="1">IF(X32=1,IFERROR(INDEX(SETTINGS!$B$34:$D$36,MATCH(I32,SETTINGS!$A$34:$A$36,0),MIN(Q32,2)+1),SETTINGS!$B$36),0)</f>
        <v>0</v>
      </c>
      <c r="AF32" s="28">
        <f t="shared" si="4"/>
        <v>1</v>
      </c>
      <c r="AG32" s="28">
        <f ca="1">IF(AND(Y32=1,AB32=1),ROUND(AA32*AE32*IF(AF32&gt;1,SETTINGS!$B$16,1)*IF(W32&lt;=SETTINGS!$B$14,SETTINGS!$B$15,1)*IF(AU32=1,SETTINGS!$B$21,1),6),0)</f>
        <v>0</v>
      </c>
      <c r="AH32" s="28" t="str">
        <f ca="1">IF(AG32&gt;0,COUNTIFS($Z$2:$Z$601,Z32,$AG$2:$AG$601,"&gt;"&amp;AG32)+COUNTIFS($Z$2:Z32,Z32,$AG$2:AG32,AG32),"")</f>
        <v/>
      </c>
      <c r="AI32" s="28" t="str">
        <f t="shared" ca="1" si="5"/>
        <v/>
      </c>
      <c r="AJ32" s="28" t="str">
        <f t="shared" ca="1" si="6"/>
        <v/>
      </c>
      <c r="AK32" s="28">
        <f>IF(L32=1,IF(COUNTIFS($F$2:F32,F32,$L$2:L32,1)=1,1,0),0)</f>
        <v>1</v>
      </c>
      <c r="AL32" s="28" t="str">
        <f ca="1">IF(B32="","",IF(K32="DUPLICATE","Duplicate (removed)",IF(AO32=1,"Scheduled within 24h",IF(M32=1,"Scheduled late",IF(K32="BAD CONTACT","Bad contact details",IF(O32=1,"Stopped / wrong number",IF(N32=1,"Not interested",IF(P32=1,"Partner has no slots",IF(SETTINGS!$B$4&gt;=V32,IF(Q32=0,"Missed deadline: never tried","Missed deadline: tried, not booked"),IF(Q32&gt;=SETTINGS!$B$6,"No reply after max tries","Open"))))))))))</f>
        <v>Missed deadline: never tried</v>
      </c>
      <c r="AM32" s="46" t="str">
        <f>IF(M32=1,IF(_xlfn.MINIFS(LOG!$G$2:$G$2001,LOG!$C$2:$C$2001,F32,LOG!$E$2:$E$2001,B32,LOG!$D$2:$D$2001,"*BOOKED")=0,_xlfn.MINIFS(LOG!$G$2:$G$2001,LOG!$C$2:$C$2001,F32,LOG!$E$2:$E$2001,"",LOG!$D$2:$D$2001,"*BOOKED"),IF(_xlfn.MINIFS(LOG!$G$2:$G$2001,LOG!$C$2:$C$2001,F32,LOG!$E$2:$E$2001,"",LOG!$D$2:$D$2001,"*BOOKED")=0,_xlfn.MINIFS(LOG!$G$2:$G$2001,LOG!$C$2:$C$2001,F32,LOG!$E$2:$E$2001,B32,LOG!$D$2:$D$2001,"*BOOKED"),MIN(_xlfn.MINIFS(LOG!$G$2:$G$2001,LOG!$C$2:$C$2001,F32,LOG!$E$2:$E$2001,B32,LOG!$D$2:$D$2001,"*BOOKED"),_xlfn.MINIFS(LOG!$G$2:$G$2001,LOG!$C$2:$C$2001,F32,LOG!$E$2:$E$2001,"",LOG!$D$2:$D$2001,"*BOOKED")))),"")</f>
        <v/>
      </c>
      <c r="AN32" s="28" t="str">
        <f t="shared" si="7"/>
        <v/>
      </c>
      <c r="AO32" s="28">
        <f>IF(AND(M32=1,AN32&lt;&gt;""),IF(AN32&lt;=SETTINGS!$B$5,1,0),0)</f>
        <v>0</v>
      </c>
      <c r="AP32" s="28">
        <f>IF(M32=1,IF(COUNTIFS(LOG!$C$2:$C$2001,F32,LOG!$E$2:$E$2001,B32,LOG!$D$2:$D$2001,"BOOKED")+COUNTIFS(LOG!$C$2:$C$2001,F32,LOG!$E$2:$E$2001,"",LOG!$D$2:$D$2001,"BOOKED")&gt;0,1,0),0)</f>
        <v>0</v>
      </c>
      <c r="AQ32" s="28" t="str">
        <f t="shared" si="8"/>
        <v>Dev</v>
      </c>
      <c r="AR32" s="28">
        <f>IF(AND(AK32=1,K32="OK"),COUNTIFS($AK$2:AK32,1,$K$2:K32,"OK"),"")</f>
        <v>30</v>
      </c>
      <c r="AS32" s="28" t="str">
        <f>IF(L32=1,IFERROR(INDEX(MESSAGES!$J$9:$J$1008,MATCH(F32,MESSAGES!$M$9:$M$1008,0))&amp;"",""),"")</f>
        <v/>
      </c>
      <c r="AT32" s="28" t="str">
        <f>IF(L32=1,IFERROR(INDEX(MESSAGES!$K$9:$K$1008,MATCH(F32,MESSAGES!$M$9:$M$1008,0))&amp;"",""),"")</f>
        <v/>
      </c>
      <c r="AU32" s="28">
        <f t="shared" ca="1" si="9"/>
        <v>0</v>
      </c>
      <c r="AV32" s="28" t="str">
        <f t="shared" si="10"/>
        <v>SEND</v>
      </c>
    </row>
    <row r="33" spans="1:48" x14ac:dyDescent="0.35">
      <c r="A33" s="28">
        <v>32</v>
      </c>
      <c r="B33" s="28" t="str">
        <f>IF(INPUT!A33="","",TRIM(INPUT!A33))</f>
        <v>Partner 017</v>
      </c>
      <c r="C33" s="28" t="str">
        <f>IF(B33="","",INPUT!C33)</f>
        <v>interviewer1@partner017.example.com</v>
      </c>
      <c r="D33" s="28" t="str">
        <f>IF(B33="","",INPUT!D33)</f>
        <v>Rahul N.</v>
      </c>
      <c r="E33" s="28" t="str">
        <f>IF(B33="","",INPUT!E33)</f>
        <v>rahul.n386@example.com</v>
      </c>
      <c r="F33" s="43" t="str">
        <f>IF(B33="","",TRIM(INPUT!F33&amp;""))</f>
        <v>9000005025</v>
      </c>
      <c r="G33" s="28" t="str">
        <f>IF(B33="","",INPUT!H33)</f>
        <v>Round1</v>
      </c>
      <c r="H33" s="46">
        <f>IF(B33="","",INPUT!I33)</f>
        <v>46308.82708333333</v>
      </c>
      <c r="I33" s="28" t="str">
        <f>IF(B33="","",IF(INPUT!J33="","None",INPUT!J33))</f>
        <v>None</v>
      </c>
      <c r="J33" s="28" t="str">
        <f t="shared" si="0"/>
        <v>rahul.n386@example.com|partner 017|Round1|interviewer1@partner017.example.com</v>
      </c>
      <c r="K33" s="28" t="str">
        <f>IF(B33="","",IF(SUMPRODUCT(($J$2:$J$601=J33)*($H$2:$H$601&lt;H33))+SUMPRODUCT(($J$2:J33=J33)*($H$2:H33=H33))-1&gt;0,"DUPLICATE",IF(AND(ISNUMBER(SEARCH("@",E33)),ISNUMBER(SEARCH(".",E33)),LEN(F33)=10,ISNUMBER(VALUE(F33))),"OK","BAD CONTACT")))</f>
        <v>OK</v>
      </c>
      <c r="L33" s="28">
        <f t="shared" si="1"/>
        <v>1</v>
      </c>
      <c r="M33" s="28">
        <f>IF(L33=1,IF(COUNTIFS(LOG!$C$2:$C$2001,F33,LOG!$E$2:$E$2001,B33,LOG!$D$2:$D$2001,"*BOOKED")+COUNTIFS(LOG!$C$2:$C$2001,F33,LOG!$E$2:$E$2001,"",LOG!$D$2:$D$2001,"*BOOKED")&gt;0,1,0),0)</f>
        <v>0</v>
      </c>
      <c r="N33" s="28">
        <f>IF(L33=1,IF(COUNTIFS(LOG!$C$2:$C$2001,F33,LOG!$E$2:$E$2001,B33,LOG!$D$2:$D$2001,"NOT_INTERESTED")+COUNTIFS(LOG!$C$2:$C$2001,F33,LOG!$E$2:$E$2001,"",LOG!$D$2:$D$2001,"NOT_INTERESTED")&gt;0,1,0),0)</f>
        <v>0</v>
      </c>
      <c r="O33" s="28">
        <f>IF(L33=1,IF(COUNTIFS(LOG!$C$2:$C$2001,F33,LOG!$D$2:$D$2001,"STOP")+COUNTIFS(LOG!$C$2:$C$2001,F33,LOG!$D$2:$D$2001,"WRONG_NUMBER")&gt;0,1,IF(ISNUMBER(SEARCH("STOP",AT33)),1,0)),0)</f>
        <v>0</v>
      </c>
      <c r="P33" s="28">
        <f>IF(L33=1,IF(IFERROR(INDEX(PARTNERS!$D$2:$D$88,MATCH(B33,PARTNERS!$A$2:$A$88,0)),"")="NO SLOTS",1,IF(AND(IFERROR(INDEX(PARTNERS!$D$2:$D$88,MATCH(B33,PARTNERS!$A$2:$A$88,0)),"")&lt;&gt;"REOPENED",COUNTIFS(LOG!$E$2:$E$2001,B33,LOG!$D$2:$D$2001,"NO_SLOTS")&gt;0),1,0)),0)</f>
        <v>0</v>
      </c>
      <c r="Q33" s="28">
        <f>IF(L33=1,COUNTIFS(LOG!$C$2:$C$2001,F33,LOG!$H$2:$H$2001,1),0)</f>
        <v>0</v>
      </c>
      <c r="R33" s="46">
        <f>IF(Q33&gt;0,_xlfn.MAXIFS(LOG!$G$2:$G$2001,LOG!$C$2:$C$2001,F33,LOG!$H$2:$H$2001,1),0)</f>
        <v>0</v>
      </c>
      <c r="S33" s="28" t="str">
        <f>IF(Q33&gt;0,IFERROR(INDEX(LOG!$D$2:$D$2001,MATCH(F33&amp;"|"&amp;Q33,LOG!$I$2:$I$2001,0)),""),"")</f>
        <v/>
      </c>
      <c r="T33" s="28">
        <f>IF(S33="",0,IFERROR(VLOOKUP(S33,LISTS!$A$2:$E$10,4,FALSE),0))</f>
        <v>0</v>
      </c>
      <c r="U33" s="46">
        <f t="shared" si="2"/>
        <v>0</v>
      </c>
      <c r="V33" s="46">
        <f>IF(L33=1,H33+SETTINGS!$B$5/24,"")</f>
        <v>46309.82708333333</v>
      </c>
      <c r="W33" s="28">
        <f ca="1">IF(L33=1,(V33-SETTINGS!$B$4)*24,"")</f>
        <v>-1.6666666720993817E-2</v>
      </c>
      <c r="X33" s="28">
        <f ca="1">IF(AND(L33=1,K33="OK",M33=0,N33=0,O33=0,P33=0,SETTINGS!$B$4&lt;V33,Q33&lt;SETTINGS!$B$6),1,0)</f>
        <v>0</v>
      </c>
      <c r="Y33" s="28">
        <f ca="1">IF(AND(X33=1,SETTINGS!$B$4&gt;=H33,SETTINGS!$B$4&gt;=U33,ROUND(MOD(SETTINGS!$B$4,1)*1440,0)&gt;=ROUND(SETTINGS!$B$7*1440,0),ROUND(MOD(SETTINGS!$B$4,1)*1440,0)&lt;ROUND(SETTINGS!$B$8*1440,0)),1,0)</f>
        <v>0</v>
      </c>
      <c r="Z33" s="28" t="str">
        <f ca="1">IF(B33="","",IF(ROUND(MOD(SETTINGS!$B$4,1)*1440,0)&lt;ROUND(SETTINGS!$B$11*1440,0),"Ram",IF(ROUND(MOD(SETTINGS!$B$4,1)*1440,0)&gt;=ROUND(SETTINGS!$B$10*1440,0),"Shyam",IF(MOD(IFERROR(VALUE(RIGHT(F33,2)),0),2)=0,"Ram","Shyam"))))</f>
        <v>Shyam</v>
      </c>
      <c r="AA33" s="28">
        <f t="shared" ca="1" si="3"/>
        <v>0</v>
      </c>
      <c r="AB33" s="28">
        <f ca="1">IF(X33=1,COUNTIFS($F$2:F33,F33,$X$2:X33,1),0)</f>
        <v>0</v>
      </c>
      <c r="AC33" s="28" t="str">
        <f>IF(L33=1,IF(IFERROR(INDEX(PARTNERS!$C$2:$C$88,MATCH(B33,PARTNERS!$A$2:$A$88,0)),"")="YES","YES","NO"),"")</f>
        <v>YES</v>
      </c>
      <c r="AD33" s="28" t="str">
        <f>IF(L33=1,IFERROR(INDEX(PARTNERS!$B$2:$B$88,MATCH(B33,PARTNERS!$A$2:$A$88,0)),""),"")</f>
        <v>https://calendly.com/partner017/interview</v>
      </c>
      <c r="AE33" s="28">
        <f ca="1">IF(X33=1,IFERROR(INDEX(SETTINGS!$B$34:$D$36,MATCH(I33,SETTINGS!$A$34:$A$36,0),MIN(Q33,2)+1),SETTINGS!$B$36),0)</f>
        <v>0</v>
      </c>
      <c r="AF33" s="28">
        <f t="shared" si="4"/>
        <v>1</v>
      </c>
      <c r="AG33" s="28">
        <f ca="1">IF(AND(Y33=1,AB33=1),ROUND(AA33*AE33*IF(AF33&gt;1,SETTINGS!$B$16,1)*IF(W33&lt;=SETTINGS!$B$14,SETTINGS!$B$15,1)*IF(AU33=1,SETTINGS!$B$21,1),6),0)</f>
        <v>0</v>
      </c>
      <c r="AH33" s="28" t="str">
        <f ca="1">IF(AG33&gt;0,COUNTIFS($Z$2:$Z$601,Z33,$AG$2:$AG$601,"&gt;"&amp;AG33)+COUNTIFS($Z$2:Z33,Z33,$AG$2:AG33,AG33),"")</f>
        <v/>
      </c>
      <c r="AI33" s="28" t="str">
        <f t="shared" ca="1" si="5"/>
        <v/>
      </c>
      <c r="AJ33" s="28" t="str">
        <f t="shared" ca="1" si="6"/>
        <v/>
      </c>
      <c r="AK33" s="28">
        <f>IF(L33=1,IF(COUNTIFS($F$2:F33,F33,$L$2:L33,1)=1,1,0),0)</f>
        <v>1</v>
      </c>
      <c r="AL33" s="28" t="str">
        <f ca="1">IF(B33="","",IF(K33="DUPLICATE","Duplicate (removed)",IF(AO33=1,"Scheduled within 24h",IF(M33=1,"Scheduled late",IF(K33="BAD CONTACT","Bad contact details",IF(O33=1,"Stopped / wrong number",IF(N33=1,"Not interested",IF(P33=1,"Partner has no slots",IF(SETTINGS!$B$4&gt;=V33,IF(Q33=0,"Missed deadline: never tried","Missed deadline: tried, not booked"),IF(Q33&gt;=SETTINGS!$B$6,"No reply after max tries","Open"))))))))))</f>
        <v>Missed deadline: never tried</v>
      </c>
      <c r="AM33" s="46" t="str">
        <f>IF(M33=1,IF(_xlfn.MINIFS(LOG!$G$2:$G$2001,LOG!$C$2:$C$2001,F33,LOG!$E$2:$E$2001,B33,LOG!$D$2:$D$2001,"*BOOKED")=0,_xlfn.MINIFS(LOG!$G$2:$G$2001,LOG!$C$2:$C$2001,F33,LOG!$E$2:$E$2001,"",LOG!$D$2:$D$2001,"*BOOKED"),IF(_xlfn.MINIFS(LOG!$G$2:$G$2001,LOG!$C$2:$C$2001,F33,LOG!$E$2:$E$2001,"",LOG!$D$2:$D$2001,"*BOOKED")=0,_xlfn.MINIFS(LOG!$G$2:$G$2001,LOG!$C$2:$C$2001,F33,LOG!$E$2:$E$2001,B33,LOG!$D$2:$D$2001,"*BOOKED"),MIN(_xlfn.MINIFS(LOG!$G$2:$G$2001,LOG!$C$2:$C$2001,F33,LOG!$E$2:$E$2001,B33,LOG!$D$2:$D$2001,"*BOOKED"),_xlfn.MINIFS(LOG!$G$2:$G$2001,LOG!$C$2:$C$2001,F33,LOG!$E$2:$E$2001,"",LOG!$D$2:$D$2001,"*BOOKED")))),"")</f>
        <v/>
      </c>
      <c r="AN33" s="28" t="str">
        <f t="shared" si="7"/>
        <v/>
      </c>
      <c r="AO33" s="28">
        <f>IF(AND(M33=1,AN33&lt;&gt;""),IF(AN33&lt;=SETTINGS!$B$5,1,0),0)</f>
        <v>0</v>
      </c>
      <c r="AP33" s="28">
        <f>IF(M33=1,IF(COUNTIFS(LOG!$C$2:$C$2001,F33,LOG!$E$2:$E$2001,B33,LOG!$D$2:$D$2001,"BOOKED")+COUNTIFS(LOG!$C$2:$C$2001,F33,LOG!$E$2:$E$2001,"",LOG!$D$2:$D$2001,"BOOKED")&gt;0,1,0),0)</f>
        <v>0</v>
      </c>
      <c r="AQ33" s="28" t="str">
        <f t="shared" si="8"/>
        <v>Rahul</v>
      </c>
      <c r="AR33" s="28">
        <f>IF(AND(AK33=1,K33="OK"),COUNTIFS($AK$2:AK33,1,$K$2:K33,"OK"),"")</f>
        <v>31</v>
      </c>
      <c r="AS33" s="28" t="str">
        <f>IF(L33=1,IFERROR(INDEX(MESSAGES!$J$9:$J$1008,MATCH(F33,MESSAGES!$M$9:$M$1008,0))&amp;"",""),"")</f>
        <v/>
      </c>
      <c r="AT33" s="28" t="str">
        <f>IF(L33=1,IFERROR(INDEX(MESSAGES!$K$9:$K$1008,MATCH(F33,MESSAGES!$M$9:$M$1008,0))&amp;"",""),"")</f>
        <v/>
      </c>
      <c r="AU33" s="28">
        <f t="shared" ca="1" si="9"/>
        <v>0</v>
      </c>
      <c r="AV33" s="28" t="str">
        <f t="shared" si="10"/>
        <v>SEND</v>
      </c>
    </row>
    <row r="34" spans="1:48" x14ac:dyDescent="0.35">
      <c r="A34" s="28">
        <v>33</v>
      </c>
      <c r="B34" s="28" t="str">
        <f>IF(INPUT!A34="","",TRIM(INPUT!A34))</f>
        <v>Partner 008</v>
      </c>
      <c r="C34" s="28" t="str">
        <f>IF(B34="","",INPUT!C34)</f>
        <v>interviewer1@partner008.example.com</v>
      </c>
      <c r="D34" s="28" t="str">
        <f>IF(B34="","",INPUT!D34)</f>
        <v>Sneha P.</v>
      </c>
      <c r="E34" s="28" t="str">
        <f>IF(B34="","",INPUT!E34)</f>
        <v>sneha.p413@example.com</v>
      </c>
      <c r="F34" s="43" t="str">
        <f>IF(B34="","",TRIM(INPUT!F34&amp;""))</f>
        <v>9000005376</v>
      </c>
      <c r="G34" s="28" t="str">
        <f>IF(B34="","",INPUT!H34)</f>
        <v>Round1</v>
      </c>
      <c r="H34" s="46">
        <f>IF(B34="","",INPUT!I34)</f>
        <v>46308.82708333333</v>
      </c>
      <c r="I34" s="28" t="str">
        <f>IF(B34="","",IF(INPUT!J34="","None",INPUT!J34))</f>
        <v>Clicked</v>
      </c>
      <c r="J34" s="28" t="str">
        <f t="shared" si="0"/>
        <v>sneha.p413@example.com|partner 008|Round1|interviewer1@partner008.example.com</v>
      </c>
      <c r="K34" s="28" t="str">
        <f>IF(B34="","",IF(SUMPRODUCT(($J$2:$J$601=J34)*($H$2:$H$601&lt;H34))+SUMPRODUCT(($J$2:J34=J34)*($H$2:H34=H34))-1&gt;0,"DUPLICATE",IF(AND(ISNUMBER(SEARCH("@",E34)),ISNUMBER(SEARCH(".",E34)),LEN(F34)=10,ISNUMBER(VALUE(F34))),"OK","BAD CONTACT")))</f>
        <v>OK</v>
      </c>
      <c r="L34" s="28">
        <f t="shared" si="1"/>
        <v>1</v>
      </c>
      <c r="M34" s="28">
        <f>IF(L34=1,IF(COUNTIFS(LOG!$C$2:$C$2001,F34,LOG!$E$2:$E$2001,B34,LOG!$D$2:$D$2001,"*BOOKED")+COUNTIFS(LOG!$C$2:$C$2001,F34,LOG!$E$2:$E$2001,"",LOG!$D$2:$D$2001,"*BOOKED")&gt;0,1,0),0)</f>
        <v>0</v>
      </c>
      <c r="N34" s="28">
        <f>IF(L34=1,IF(COUNTIFS(LOG!$C$2:$C$2001,F34,LOG!$E$2:$E$2001,B34,LOG!$D$2:$D$2001,"NOT_INTERESTED")+COUNTIFS(LOG!$C$2:$C$2001,F34,LOG!$E$2:$E$2001,"",LOG!$D$2:$D$2001,"NOT_INTERESTED")&gt;0,1,0),0)</f>
        <v>0</v>
      </c>
      <c r="O34" s="28">
        <f>IF(L34=1,IF(COUNTIFS(LOG!$C$2:$C$2001,F34,LOG!$D$2:$D$2001,"STOP")+COUNTIFS(LOG!$C$2:$C$2001,F34,LOG!$D$2:$D$2001,"WRONG_NUMBER")&gt;0,1,IF(ISNUMBER(SEARCH("STOP",AT34)),1,0)),0)</f>
        <v>0</v>
      </c>
      <c r="P34" s="28">
        <f>IF(L34=1,IF(IFERROR(INDEX(PARTNERS!$D$2:$D$88,MATCH(B34,PARTNERS!$A$2:$A$88,0)),"")="NO SLOTS",1,IF(AND(IFERROR(INDEX(PARTNERS!$D$2:$D$88,MATCH(B34,PARTNERS!$A$2:$A$88,0)),"")&lt;&gt;"REOPENED",COUNTIFS(LOG!$E$2:$E$2001,B34,LOG!$D$2:$D$2001,"NO_SLOTS")&gt;0),1,0)),0)</f>
        <v>0</v>
      </c>
      <c r="Q34" s="28">
        <f>IF(L34=1,COUNTIFS(LOG!$C$2:$C$2001,F34,LOG!$H$2:$H$2001,1),0)</f>
        <v>2</v>
      </c>
      <c r="R34" s="46">
        <f>IF(Q34&gt;0,_xlfn.MAXIFS(LOG!$G$2:$G$2001,LOG!$C$2:$C$2001,F34,LOG!$H$2:$H$2001,1),0)</f>
        <v>46309.699267655589</v>
      </c>
      <c r="S34" s="28" t="str">
        <f>IF(Q34&gt;0,IFERROR(INDEX(LOG!$D$2:$D$2001,MATCH(F34&amp;"|"&amp;Q34,LOG!$I$2:$I$2001,0)),""),"")</f>
        <v>CALL_BACK</v>
      </c>
      <c r="T34" s="28">
        <f>IF(S34="",0,IFERROR(VLOOKUP(S34,LISTS!$A$2:$E$10,4,FALSE),0))</f>
        <v>120</v>
      </c>
      <c r="U34" s="46">
        <f t="shared" si="2"/>
        <v>46309.782600988925</v>
      </c>
      <c r="V34" s="46">
        <f>IF(L34=1,H34+SETTINGS!$B$5/24,"")</f>
        <v>46309.82708333333</v>
      </c>
      <c r="W34" s="28">
        <f ca="1">IF(L34=1,(V34-SETTINGS!$B$4)*24,"")</f>
        <v>-1.6666666720993817E-2</v>
      </c>
      <c r="X34" s="28">
        <f ca="1">IF(AND(L34=1,K34="OK",M34=0,N34=0,O34=0,P34=0,SETTINGS!$B$4&lt;V34,Q34&lt;SETTINGS!$B$6),1,0)</f>
        <v>0</v>
      </c>
      <c r="Y34" s="28">
        <f ca="1">IF(AND(X34=1,SETTINGS!$B$4&gt;=H34,SETTINGS!$B$4&gt;=U34,ROUND(MOD(SETTINGS!$B$4,1)*1440,0)&gt;=ROUND(SETTINGS!$B$7*1440,0),ROUND(MOD(SETTINGS!$B$4,1)*1440,0)&lt;ROUND(SETTINGS!$B$8*1440,0)),1,0)</f>
        <v>0</v>
      </c>
      <c r="Z34" s="28" t="str">
        <f ca="1">IF(B34="","",IF(ROUND(MOD(SETTINGS!$B$4,1)*1440,0)&lt;ROUND(SETTINGS!$B$11*1440,0),"Ram",IF(ROUND(MOD(SETTINGS!$B$4,1)*1440,0)&gt;=ROUND(SETTINGS!$B$10*1440,0),"Shyam",IF(MOD(IFERROR(VALUE(RIGHT(F34,2)),0),2)=0,"Ram","Shyam"))))</f>
        <v>Shyam</v>
      </c>
      <c r="AA34" s="28">
        <f t="shared" ca="1" si="3"/>
        <v>0</v>
      </c>
      <c r="AB34" s="28">
        <f ca="1">IF(X34=1,COUNTIFS($F$2:F34,F34,$X$2:X34,1),0)</f>
        <v>0</v>
      </c>
      <c r="AC34" s="28" t="str">
        <f>IF(L34=1,IF(IFERROR(INDEX(PARTNERS!$C$2:$C$88,MATCH(B34,PARTNERS!$A$2:$A$88,0)),"")="YES","YES","NO"),"")</f>
        <v>YES</v>
      </c>
      <c r="AD34" s="28" t="str">
        <f>IF(L34=1,IFERROR(INDEX(PARTNERS!$B$2:$B$88,MATCH(B34,PARTNERS!$A$2:$A$88,0)),""),"")</f>
        <v>https://calendly.com/partner008/interview</v>
      </c>
      <c r="AE34" s="28">
        <f ca="1">IF(X34=1,IFERROR(INDEX(SETTINGS!$B$34:$D$36,MATCH(I34,SETTINGS!$A$34:$A$36,0),MIN(Q34,2)+1),SETTINGS!$B$36),0)</f>
        <v>0</v>
      </c>
      <c r="AF34" s="28">
        <f t="shared" si="4"/>
        <v>1</v>
      </c>
      <c r="AG34" s="28">
        <f ca="1">IF(AND(Y34=1,AB34=1),ROUND(AA34*AE34*IF(AF34&gt;1,SETTINGS!$B$16,1)*IF(W34&lt;=SETTINGS!$B$14,SETTINGS!$B$15,1)*IF(AU34=1,SETTINGS!$B$21,1),6),0)</f>
        <v>0</v>
      </c>
      <c r="AH34" s="28" t="str">
        <f ca="1">IF(AG34&gt;0,COUNTIFS($Z$2:$Z$601,Z34,$AG$2:$AG$601,"&gt;"&amp;AG34)+COUNTIFS($Z$2:Z34,Z34,$AG$2:AG34,AG34),"")</f>
        <v/>
      </c>
      <c r="AI34" s="28" t="str">
        <f t="shared" ca="1" si="5"/>
        <v/>
      </c>
      <c r="AJ34" s="28" t="str">
        <f t="shared" ca="1" si="6"/>
        <v/>
      </c>
      <c r="AK34" s="28">
        <f>IF(L34=1,IF(COUNTIFS($F$2:F34,F34,$L$2:L34,1)=1,1,0),0)</f>
        <v>1</v>
      </c>
      <c r="AL34" s="28" t="str">
        <f ca="1">IF(B34="","",IF(K34="DUPLICATE","Duplicate (removed)",IF(AO34=1,"Scheduled within 24h",IF(M34=1,"Scheduled late",IF(K34="BAD CONTACT","Bad contact details",IF(O34=1,"Stopped / wrong number",IF(N34=1,"Not interested",IF(P34=1,"Partner has no slots",IF(SETTINGS!$B$4&gt;=V34,IF(Q34=0,"Missed deadline: never tried","Missed deadline: tried, not booked"),IF(Q34&gt;=SETTINGS!$B$6,"No reply after max tries","Open"))))))))))</f>
        <v>Missed deadline: tried, not booked</v>
      </c>
      <c r="AM34" s="46" t="str">
        <f>IF(M34=1,IF(_xlfn.MINIFS(LOG!$G$2:$G$2001,LOG!$C$2:$C$2001,F34,LOG!$E$2:$E$2001,B34,LOG!$D$2:$D$2001,"*BOOKED")=0,_xlfn.MINIFS(LOG!$G$2:$G$2001,LOG!$C$2:$C$2001,F34,LOG!$E$2:$E$2001,"",LOG!$D$2:$D$2001,"*BOOKED"),IF(_xlfn.MINIFS(LOG!$G$2:$G$2001,LOG!$C$2:$C$2001,F34,LOG!$E$2:$E$2001,"",LOG!$D$2:$D$2001,"*BOOKED")=0,_xlfn.MINIFS(LOG!$G$2:$G$2001,LOG!$C$2:$C$2001,F34,LOG!$E$2:$E$2001,B34,LOG!$D$2:$D$2001,"*BOOKED"),MIN(_xlfn.MINIFS(LOG!$G$2:$G$2001,LOG!$C$2:$C$2001,F34,LOG!$E$2:$E$2001,B34,LOG!$D$2:$D$2001,"*BOOKED"),_xlfn.MINIFS(LOG!$G$2:$G$2001,LOG!$C$2:$C$2001,F34,LOG!$E$2:$E$2001,"",LOG!$D$2:$D$2001,"*BOOKED")))),"")</f>
        <v/>
      </c>
      <c r="AN34" s="28" t="str">
        <f t="shared" si="7"/>
        <v/>
      </c>
      <c r="AO34" s="28">
        <f>IF(AND(M34=1,AN34&lt;&gt;""),IF(AN34&lt;=SETTINGS!$B$5,1,0),0)</f>
        <v>0</v>
      </c>
      <c r="AP34" s="28">
        <f>IF(M34=1,IF(COUNTIFS(LOG!$C$2:$C$2001,F34,LOG!$E$2:$E$2001,B34,LOG!$D$2:$D$2001,"BOOKED")+COUNTIFS(LOG!$C$2:$C$2001,F34,LOG!$E$2:$E$2001,"",LOG!$D$2:$D$2001,"BOOKED")&gt;0,1,0),0)</f>
        <v>0</v>
      </c>
      <c r="AQ34" s="28" t="str">
        <f t="shared" si="8"/>
        <v>Sneha</v>
      </c>
      <c r="AR34" s="28">
        <f>IF(AND(AK34=1,K34="OK"),COUNTIFS($AK$2:AK34,1,$K$2:K34,"OK"),"")</f>
        <v>32</v>
      </c>
      <c r="AS34" s="28" t="str">
        <f>IF(L34=1,IFERROR(INDEX(MESSAGES!$J$9:$J$1008,MATCH(F34,MESSAGES!$M$9:$M$1008,0))&amp;"",""),"")</f>
        <v/>
      </c>
      <c r="AT34" s="28" t="str">
        <f>IF(L34=1,IFERROR(INDEX(MESSAGES!$K$9:$K$1008,MATCH(F34,MESSAGES!$M$9:$M$1008,0))&amp;"",""),"")</f>
        <v/>
      </c>
      <c r="AU34" s="28">
        <f t="shared" ca="1" si="9"/>
        <v>0</v>
      </c>
      <c r="AV34" s="28" t="str">
        <f t="shared" si="10"/>
        <v>HOLD</v>
      </c>
    </row>
    <row r="35" spans="1:48" x14ac:dyDescent="0.35">
      <c r="A35" s="28">
        <v>34</v>
      </c>
      <c r="B35" s="28" t="str">
        <f>IF(INPUT!A35="","",TRIM(INPUT!A35))</f>
        <v>Partner 053</v>
      </c>
      <c r="C35" s="28" t="str">
        <f>IF(B35="","",INPUT!C35)</f>
        <v>interviewer0@partner053.example.com</v>
      </c>
      <c r="D35" s="28" t="str">
        <f>IF(B35="","",INPUT!D35)</f>
        <v>Varun P.</v>
      </c>
      <c r="E35" s="28" t="str">
        <f>IF(B35="","",INPUT!E35)</f>
        <v>varun.p418@example.com</v>
      </c>
      <c r="F35" s="43" t="str">
        <f>IF(B35="","",TRIM(INPUT!F35&amp;""))</f>
        <v>9000005441</v>
      </c>
      <c r="G35" s="28" t="str">
        <f>IF(B35="","",INPUT!H35)</f>
        <v>Round1</v>
      </c>
      <c r="H35" s="46">
        <f>IF(B35="","",INPUT!I35)</f>
        <v>46308.82708333333</v>
      </c>
      <c r="I35" s="28" t="str">
        <f>IF(B35="","",IF(INPUT!J35="","None",INPUT!J35))</f>
        <v>Clicked</v>
      </c>
      <c r="J35" s="28" t="str">
        <f t="shared" si="0"/>
        <v>varun.p418@example.com|partner 053|Round1|interviewer0@partner053.example.com</v>
      </c>
      <c r="K35" s="28" t="str">
        <f>IF(B35="","",IF(SUMPRODUCT(($J$2:$J$601=J35)*($H$2:$H$601&lt;H35))+SUMPRODUCT(($J$2:J35=J35)*($H$2:H35=H35))-1&gt;0,"DUPLICATE",IF(AND(ISNUMBER(SEARCH("@",E35)),ISNUMBER(SEARCH(".",E35)),LEN(F35)=10,ISNUMBER(VALUE(F35))),"OK","BAD CONTACT")))</f>
        <v>OK</v>
      </c>
      <c r="L35" s="28">
        <f t="shared" si="1"/>
        <v>1</v>
      </c>
      <c r="M35" s="28">
        <f>IF(L35=1,IF(COUNTIFS(LOG!$C$2:$C$2001,F35,LOG!$E$2:$E$2001,B35,LOG!$D$2:$D$2001,"*BOOKED")+COUNTIFS(LOG!$C$2:$C$2001,F35,LOG!$E$2:$E$2001,"",LOG!$D$2:$D$2001,"*BOOKED")&gt;0,1,0),0)</f>
        <v>1</v>
      </c>
      <c r="N35" s="28">
        <f>IF(L35=1,IF(COUNTIFS(LOG!$C$2:$C$2001,F35,LOG!$E$2:$E$2001,B35,LOG!$D$2:$D$2001,"NOT_INTERESTED")+COUNTIFS(LOG!$C$2:$C$2001,F35,LOG!$E$2:$E$2001,"",LOG!$D$2:$D$2001,"NOT_INTERESTED")&gt;0,1,0),0)</f>
        <v>0</v>
      </c>
      <c r="O35" s="28">
        <f>IF(L35=1,IF(COUNTIFS(LOG!$C$2:$C$2001,F35,LOG!$D$2:$D$2001,"STOP")+COUNTIFS(LOG!$C$2:$C$2001,F35,LOG!$D$2:$D$2001,"WRONG_NUMBER")&gt;0,1,IF(ISNUMBER(SEARCH("STOP",AT35)),1,0)),0)</f>
        <v>0</v>
      </c>
      <c r="P35" s="28">
        <f>IF(L35=1,IF(IFERROR(INDEX(PARTNERS!$D$2:$D$88,MATCH(B35,PARTNERS!$A$2:$A$88,0)),"")="NO SLOTS",1,IF(AND(IFERROR(INDEX(PARTNERS!$D$2:$D$88,MATCH(B35,PARTNERS!$A$2:$A$88,0)),"")&lt;&gt;"REOPENED",COUNTIFS(LOG!$E$2:$E$2001,B35,LOG!$D$2:$D$2001,"NO_SLOTS")&gt;0),1,0)),0)</f>
        <v>0</v>
      </c>
      <c r="Q35" s="28">
        <f>IF(L35=1,COUNTIFS(LOG!$C$2:$C$2001,F35,LOG!$H$2:$H$2001,1),0)</f>
        <v>0</v>
      </c>
      <c r="R35" s="46">
        <f>IF(Q35&gt;0,_xlfn.MAXIFS(LOG!$G$2:$G$2001,LOG!$C$2:$C$2001,F35,LOG!$H$2:$H$2001,1),0)</f>
        <v>0</v>
      </c>
      <c r="S35" s="28" t="str">
        <f>IF(Q35&gt;0,IFERROR(INDEX(LOG!$D$2:$D$2001,MATCH(F35&amp;"|"&amp;Q35,LOG!$I$2:$I$2001,0)),""),"")</f>
        <v/>
      </c>
      <c r="T35" s="28">
        <f>IF(S35="",0,IFERROR(VLOOKUP(S35,LISTS!$A$2:$E$10,4,FALSE),0))</f>
        <v>0</v>
      </c>
      <c r="U35" s="46">
        <f t="shared" si="2"/>
        <v>0</v>
      </c>
      <c r="V35" s="46">
        <f>IF(L35=1,H35+SETTINGS!$B$5/24,"")</f>
        <v>46309.82708333333</v>
      </c>
      <c r="W35" s="28">
        <f ca="1">IF(L35=1,(V35-SETTINGS!$B$4)*24,"")</f>
        <v>-1.6666666720993817E-2</v>
      </c>
      <c r="X35" s="28">
        <f ca="1">IF(AND(L35=1,K35="OK",M35=0,N35=0,O35=0,P35=0,SETTINGS!$B$4&lt;V35,Q35&lt;SETTINGS!$B$6),1,0)</f>
        <v>0</v>
      </c>
      <c r="Y35" s="28">
        <f ca="1">IF(AND(X35=1,SETTINGS!$B$4&gt;=H35,SETTINGS!$B$4&gt;=U35,ROUND(MOD(SETTINGS!$B$4,1)*1440,0)&gt;=ROUND(SETTINGS!$B$7*1440,0),ROUND(MOD(SETTINGS!$B$4,1)*1440,0)&lt;ROUND(SETTINGS!$B$8*1440,0)),1,0)</f>
        <v>0</v>
      </c>
      <c r="Z35" s="28" t="str">
        <f ca="1">IF(B35="","",IF(ROUND(MOD(SETTINGS!$B$4,1)*1440,0)&lt;ROUND(SETTINGS!$B$11*1440,0),"Ram",IF(ROUND(MOD(SETTINGS!$B$4,1)*1440,0)&gt;=ROUND(SETTINGS!$B$10*1440,0),"Shyam",IF(MOD(IFERROR(VALUE(RIGHT(F35,2)),0),2)=0,"Ram","Shyam"))))</f>
        <v>Shyam</v>
      </c>
      <c r="AA35" s="28">
        <f t="shared" ca="1" si="3"/>
        <v>0</v>
      </c>
      <c r="AB35" s="28">
        <f ca="1">IF(X35=1,COUNTIFS($F$2:F35,F35,$X$2:X35,1),0)</f>
        <v>0</v>
      </c>
      <c r="AC35" s="28" t="str">
        <f>IF(L35=1,IF(IFERROR(INDEX(PARTNERS!$C$2:$C$88,MATCH(B35,PARTNERS!$A$2:$A$88,0)),"")="YES","YES","NO"),"")</f>
        <v>YES</v>
      </c>
      <c r="AD35" s="28" t="str">
        <f>IF(L35=1,IFERROR(INDEX(PARTNERS!$B$2:$B$88,MATCH(B35,PARTNERS!$A$2:$A$88,0)),""),"")</f>
        <v>https://calendly.com/partner053/interview</v>
      </c>
      <c r="AE35" s="28">
        <f ca="1">IF(X35=1,IFERROR(INDEX(SETTINGS!$B$34:$D$36,MATCH(I35,SETTINGS!$A$34:$A$36,0),MIN(Q35,2)+1),SETTINGS!$B$36),0)</f>
        <v>0</v>
      </c>
      <c r="AF35" s="28">
        <f t="shared" si="4"/>
        <v>1</v>
      </c>
      <c r="AG35" s="28">
        <f ca="1">IF(AND(Y35=1,AB35=1),ROUND(AA35*AE35*IF(AF35&gt;1,SETTINGS!$B$16,1)*IF(W35&lt;=SETTINGS!$B$14,SETTINGS!$B$15,1)*IF(AU35=1,SETTINGS!$B$21,1),6),0)</f>
        <v>0</v>
      </c>
      <c r="AH35" s="28" t="str">
        <f ca="1">IF(AG35&gt;0,COUNTIFS($Z$2:$Z$601,Z35,$AG$2:$AG$601,"&gt;"&amp;AG35)+COUNTIFS($Z$2:Z35,Z35,$AG$2:AG35,AG35),"")</f>
        <v/>
      </c>
      <c r="AI35" s="28" t="str">
        <f t="shared" ca="1" si="5"/>
        <v/>
      </c>
      <c r="AJ35" s="28" t="str">
        <f t="shared" ca="1" si="6"/>
        <v/>
      </c>
      <c r="AK35" s="28">
        <f>IF(L35=1,IF(COUNTIFS($F$2:F35,F35,$L$2:L35,1)=1,1,0),0)</f>
        <v>1</v>
      </c>
      <c r="AL35" s="28" t="str">
        <f>IF(B35="","",IF(K35="DUPLICATE","Duplicate (removed)",IF(AO35=1,"Scheduled within 24h",IF(M35=1,"Scheduled late",IF(K35="BAD CONTACT","Bad contact details",IF(O35=1,"Stopped / wrong number",IF(N35=1,"Not interested",IF(P35=1,"Partner has no slots",IF(SETTINGS!$B$4&gt;=V35,IF(Q35=0,"Missed deadline: never tried","Missed deadline: tried, not booked"),IF(Q35&gt;=SETTINGS!$B$6,"No reply after max tries","Open"))))))))))</f>
        <v>Scheduled within 24h</v>
      </c>
      <c r="AM35" s="46">
        <f>IF(M35=1,IF(_xlfn.MINIFS(LOG!$G$2:$G$2001,LOG!$C$2:$C$2001,F35,LOG!$E$2:$E$2001,B35,LOG!$D$2:$D$2001,"*BOOKED")=0,_xlfn.MINIFS(LOG!$G$2:$G$2001,LOG!$C$2:$C$2001,F35,LOG!$E$2:$E$2001,"",LOG!$D$2:$D$2001,"*BOOKED"),IF(_xlfn.MINIFS(LOG!$G$2:$G$2001,LOG!$C$2:$C$2001,F35,LOG!$E$2:$E$2001,"",LOG!$D$2:$D$2001,"*BOOKED")=0,_xlfn.MINIFS(LOG!$G$2:$G$2001,LOG!$C$2:$C$2001,F35,LOG!$E$2:$E$2001,B35,LOG!$D$2:$D$2001,"*BOOKED"),MIN(_xlfn.MINIFS(LOG!$G$2:$G$2001,LOG!$C$2:$C$2001,F35,LOG!$E$2:$E$2001,B35,LOG!$D$2:$D$2001,"*BOOKED"),_xlfn.MINIFS(LOG!$G$2:$G$2001,LOG!$C$2:$C$2001,F35,LOG!$E$2:$E$2001,"",LOG!$D$2:$D$2001,"*BOOKED")))),"")</f>
        <v>46309.355401448207</v>
      </c>
      <c r="AN35" s="28">
        <f t="shared" si="7"/>
        <v>12.679634757048916</v>
      </c>
      <c r="AO35" s="28">
        <f>IF(AND(M35=1,AN35&lt;&gt;""),IF(AN35&lt;=SETTINGS!$B$5,1,0),0)</f>
        <v>1</v>
      </c>
      <c r="AP35" s="28">
        <f>IF(M35=1,IF(COUNTIFS(LOG!$C$2:$C$2001,F35,LOG!$E$2:$E$2001,B35,LOG!$D$2:$D$2001,"BOOKED")+COUNTIFS(LOG!$C$2:$C$2001,F35,LOG!$E$2:$E$2001,"",LOG!$D$2:$D$2001,"BOOKED")&gt;0,1,0),0)</f>
        <v>0</v>
      </c>
      <c r="AQ35" s="28" t="str">
        <f t="shared" si="8"/>
        <v>Varun</v>
      </c>
      <c r="AR35" s="28">
        <f>IF(AND(AK35=1,K35="OK"),COUNTIFS($AK$2:AK35,1,$K$2:K35,"OK"),"")</f>
        <v>33</v>
      </c>
      <c r="AS35" s="28" t="str">
        <f>IF(L35=1,IFERROR(INDEX(MESSAGES!$J$9:$J$1008,MATCH(F35,MESSAGES!$M$9:$M$1008,0))&amp;"",""),"")</f>
        <v/>
      </c>
      <c r="AT35" s="28" t="str">
        <f>IF(L35=1,IFERROR(INDEX(MESSAGES!$K$9:$K$1008,MATCH(F35,MESSAGES!$M$9:$M$1008,0))&amp;"",""),"")</f>
        <v/>
      </c>
      <c r="AU35" s="28">
        <f t="shared" ca="1" si="9"/>
        <v>0</v>
      </c>
      <c r="AV35" s="28" t="str">
        <f t="shared" si="10"/>
        <v>SEND</v>
      </c>
    </row>
    <row r="36" spans="1:48" x14ac:dyDescent="0.35">
      <c r="A36" s="28">
        <v>35</v>
      </c>
      <c r="B36" s="28" t="str">
        <f>IF(INPUT!A36="","",TRIM(INPUT!A36))</f>
        <v>Partner 000</v>
      </c>
      <c r="C36" s="28" t="str">
        <f>IF(B36="","",INPUT!C36)</f>
        <v>interviewer1@partner000.example.com</v>
      </c>
      <c r="D36" s="28" t="str">
        <f>IF(B36="","",INPUT!D36)</f>
        <v>Yash L.</v>
      </c>
      <c r="E36" s="28" t="str">
        <f>IF(B36="","",INPUT!E36)</f>
        <v>yash.l316@example.com</v>
      </c>
      <c r="F36" s="43" t="str">
        <f>IF(B36="","",TRIM(INPUT!F36&amp;""))</f>
        <v>9000004115</v>
      </c>
      <c r="G36" s="28" t="str">
        <f>IF(B36="","",INPUT!H36)</f>
        <v>Round1</v>
      </c>
      <c r="H36" s="46">
        <f>IF(B36="","",INPUT!I36)</f>
        <v>46308.82708333333</v>
      </c>
      <c r="I36" s="28" t="str">
        <f>IF(B36="","",IF(INPUT!J36="","None",INPUT!J36))</f>
        <v>Opened</v>
      </c>
      <c r="J36" s="28" t="str">
        <f t="shared" si="0"/>
        <v>yash.l316@example.com|partner 000|Round1|interviewer1@partner000.example.com</v>
      </c>
      <c r="K36" s="28" t="str">
        <f>IF(B36="","",IF(SUMPRODUCT(($J$2:$J$601=J36)*($H$2:$H$601&lt;H36))+SUMPRODUCT(($J$2:J36=J36)*($H$2:H36=H36))-1&gt;0,"DUPLICATE",IF(AND(ISNUMBER(SEARCH("@",E36)),ISNUMBER(SEARCH(".",E36)),LEN(F36)=10,ISNUMBER(VALUE(F36))),"OK","BAD CONTACT")))</f>
        <v>OK</v>
      </c>
      <c r="L36" s="28">
        <f t="shared" si="1"/>
        <v>1</v>
      </c>
      <c r="M36" s="28">
        <f>IF(L36=1,IF(COUNTIFS(LOG!$C$2:$C$2001,F36,LOG!$E$2:$E$2001,B36,LOG!$D$2:$D$2001,"*BOOKED")+COUNTIFS(LOG!$C$2:$C$2001,F36,LOG!$E$2:$E$2001,"",LOG!$D$2:$D$2001,"*BOOKED")&gt;0,1,0),0)</f>
        <v>1</v>
      </c>
      <c r="N36" s="28">
        <f>IF(L36=1,IF(COUNTIFS(LOG!$C$2:$C$2001,F36,LOG!$E$2:$E$2001,B36,LOG!$D$2:$D$2001,"NOT_INTERESTED")+COUNTIFS(LOG!$C$2:$C$2001,F36,LOG!$E$2:$E$2001,"",LOG!$D$2:$D$2001,"NOT_INTERESTED")&gt;0,1,0),0)</f>
        <v>0</v>
      </c>
      <c r="O36" s="28">
        <f>IF(L36=1,IF(COUNTIFS(LOG!$C$2:$C$2001,F36,LOG!$D$2:$D$2001,"STOP")+COUNTIFS(LOG!$C$2:$C$2001,F36,LOG!$D$2:$D$2001,"WRONG_NUMBER")&gt;0,1,IF(ISNUMBER(SEARCH("STOP",AT36)),1,0)),0)</f>
        <v>0</v>
      </c>
      <c r="P36" s="28">
        <f>IF(L36=1,IF(IFERROR(INDEX(PARTNERS!$D$2:$D$88,MATCH(B36,PARTNERS!$A$2:$A$88,0)),"")="NO SLOTS",1,IF(AND(IFERROR(INDEX(PARTNERS!$D$2:$D$88,MATCH(B36,PARTNERS!$A$2:$A$88,0)),"")&lt;&gt;"REOPENED",COUNTIFS(LOG!$E$2:$E$2001,B36,LOG!$D$2:$D$2001,"NO_SLOTS")&gt;0),1,0)),0)</f>
        <v>0</v>
      </c>
      <c r="Q36" s="28">
        <f>IF(L36=1,COUNTIFS(LOG!$C$2:$C$2001,F36,LOG!$H$2:$H$2001,1),0)</f>
        <v>0</v>
      </c>
      <c r="R36" s="46">
        <f>IF(Q36&gt;0,_xlfn.MAXIFS(LOG!$G$2:$G$2001,LOG!$C$2:$C$2001,F36,LOG!$H$2:$H$2001,1),0)</f>
        <v>0</v>
      </c>
      <c r="S36" s="28" t="str">
        <f>IF(Q36&gt;0,IFERROR(INDEX(LOG!$D$2:$D$2001,MATCH(F36&amp;"|"&amp;Q36,LOG!$I$2:$I$2001,0)),""),"")</f>
        <v/>
      </c>
      <c r="T36" s="28">
        <f>IF(S36="",0,IFERROR(VLOOKUP(S36,LISTS!$A$2:$E$10,4,FALSE),0))</f>
        <v>0</v>
      </c>
      <c r="U36" s="46">
        <f t="shared" si="2"/>
        <v>0</v>
      </c>
      <c r="V36" s="46">
        <f>IF(L36=1,H36+SETTINGS!$B$5/24,"")</f>
        <v>46309.82708333333</v>
      </c>
      <c r="W36" s="28">
        <f ca="1">IF(L36=1,(V36-SETTINGS!$B$4)*24,"")</f>
        <v>-1.6666666720993817E-2</v>
      </c>
      <c r="X36" s="28">
        <f ca="1">IF(AND(L36=1,K36="OK",M36=0,N36=0,O36=0,P36=0,SETTINGS!$B$4&lt;V36,Q36&lt;SETTINGS!$B$6),1,0)</f>
        <v>0</v>
      </c>
      <c r="Y36" s="28">
        <f ca="1">IF(AND(X36=1,SETTINGS!$B$4&gt;=H36,SETTINGS!$B$4&gt;=U36,ROUND(MOD(SETTINGS!$B$4,1)*1440,0)&gt;=ROUND(SETTINGS!$B$7*1440,0),ROUND(MOD(SETTINGS!$B$4,1)*1440,0)&lt;ROUND(SETTINGS!$B$8*1440,0)),1,0)</f>
        <v>0</v>
      </c>
      <c r="Z36" s="28" t="str">
        <f ca="1">IF(B36="","",IF(ROUND(MOD(SETTINGS!$B$4,1)*1440,0)&lt;ROUND(SETTINGS!$B$11*1440,0),"Ram",IF(ROUND(MOD(SETTINGS!$B$4,1)*1440,0)&gt;=ROUND(SETTINGS!$B$10*1440,0),"Shyam",IF(MOD(IFERROR(VALUE(RIGHT(F36,2)),0),2)=0,"Ram","Shyam"))))</f>
        <v>Shyam</v>
      </c>
      <c r="AA36" s="28">
        <f t="shared" ca="1" si="3"/>
        <v>0</v>
      </c>
      <c r="AB36" s="28">
        <f ca="1">IF(X36=1,COUNTIFS($F$2:F36,F36,$X$2:X36,1),0)</f>
        <v>0</v>
      </c>
      <c r="AC36" s="28" t="str">
        <f>IF(L36=1,IF(IFERROR(INDEX(PARTNERS!$C$2:$C$88,MATCH(B36,PARTNERS!$A$2:$A$88,0)),"")="YES","YES","NO"),"")</f>
        <v>NO</v>
      </c>
      <c r="AD36" s="28" t="str">
        <f>IF(L36=1,IFERROR(INDEX(PARTNERS!$B$2:$B$88,MATCH(B36,PARTNERS!$A$2:$A$88,0)),""),"")</f>
        <v>https://calendly.com/partner000/interview</v>
      </c>
      <c r="AE36" s="28">
        <f ca="1">IF(X36=1,IFERROR(INDEX(SETTINGS!$B$34:$D$36,MATCH(I36,SETTINGS!$A$34:$A$36,0),MIN(Q36,2)+1),SETTINGS!$B$36),0)</f>
        <v>0</v>
      </c>
      <c r="AF36" s="28">
        <f t="shared" si="4"/>
        <v>1</v>
      </c>
      <c r="AG36" s="28">
        <f ca="1">IF(AND(Y36=1,AB36=1),ROUND(AA36*AE36*IF(AF36&gt;1,SETTINGS!$B$16,1)*IF(W36&lt;=SETTINGS!$B$14,SETTINGS!$B$15,1)*IF(AU36=1,SETTINGS!$B$21,1),6),0)</f>
        <v>0</v>
      </c>
      <c r="AH36" s="28" t="str">
        <f ca="1">IF(AG36&gt;0,COUNTIFS($Z$2:$Z$601,Z36,$AG$2:$AG$601,"&gt;"&amp;AG36)+COUNTIFS($Z$2:Z36,Z36,$AG$2:AG36,AG36),"")</f>
        <v/>
      </c>
      <c r="AI36" s="28" t="str">
        <f t="shared" ca="1" si="5"/>
        <v/>
      </c>
      <c r="AJ36" s="28" t="str">
        <f t="shared" ca="1" si="6"/>
        <v/>
      </c>
      <c r="AK36" s="28">
        <f>IF(L36=1,IF(COUNTIFS($F$2:F36,F36,$L$2:L36,1)=1,1,0),0)</f>
        <v>1</v>
      </c>
      <c r="AL36" s="28" t="str">
        <f>IF(B36="","",IF(K36="DUPLICATE","Duplicate (removed)",IF(AO36=1,"Scheduled within 24h",IF(M36=1,"Scheduled late",IF(K36="BAD CONTACT","Bad contact details",IF(O36=1,"Stopped / wrong number",IF(N36=1,"Not interested",IF(P36=1,"Partner has no slots",IF(SETTINGS!$B$4&gt;=V36,IF(Q36=0,"Missed deadline: never tried","Missed deadline: tried, not booked"),IF(Q36&gt;=SETTINGS!$B$6,"No reply after max tries","Open"))))))))))</f>
        <v>Scheduled within 24h</v>
      </c>
      <c r="AM36" s="46">
        <f>IF(M36=1,IF(_xlfn.MINIFS(LOG!$G$2:$G$2001,LOG!$C$2:$C$2001,F36,LOG!$E$2:$E$2001,B36,LOG!$D$2:$D$2001,"*BOOKED")=0,_xlfn.MINIFS(LOG!$G$2:$G$2001,LOG!$C$2:$C$2001,F36,LOG!$E$2:$E$2001,"",LOG!$D$2:$D$2001,"*BOOKED"),IF(_xlfn.MINIFS(LOG!$G$2:$G$2001,LOG!$C$2:$C$2001,F36,LOG!$E$2:$E$2001,"",LOG!$D$2:$D$2001,"*BOOKED")=0,_xlfn.MINIFS(LOG!$G$2:$G$2001,LOG!$C$2:$C$2001,F36,LOG!$E$2:$E$2001,B36,LOG!$D$2:$D$2001,"*BOOKED"),MIN(_xlfn.MINIFS(LOG!$G$2:$G$2001,LOG!$C$2:$C$2001,F36,LOG!$E$2:$E$2001,B36,LOG!$D$2:$D$2001,"*BOOKED"),_xlfn.MINIFS(LOG!$G$2:$G$2001,LOG!$C$2:$C$2001,F36,LOG!$E$2:$E$2001,"",LOG!$D$2:$D$2001,"*BOOKED")))),"")</f>
        <v>46309.467643768432</v>
      </c>
      <c r="AN36" s="28">
        <f t="shared" si="7"/>
        <v>15.373450442450121</v>
      </c>
      <c r="AO36" s="28">
        <f>IF(AND(M36=1,AN36&lt;&gt;""),IF(AN36&lt;=SETTINGS!$B$5,1,0),0)</f>
        <v>1</v>
      </c>
      <c r="AP36" s="28">
        <f>IF(M36=1,IF(COUNTIFS(LOG!$C$2:$C$2001,F36,LOG!$E$2:$E$2001,B36,LOG!$D$2:$D$2001,"BOOKED")+COUNTIFS(LOG!$C$2:$C$2001,F36,LOG!$E$2:$E$2001,"",LOG!$D$2:$D$2001,"BOOKED")&gt;0,1,0),0)</f>
        <v>0</v>
      </c>
      <c r="AQ36" s="28" t="str">
        <f t="shared" si="8"/>
        <v>Yash</v>
      </c>
      <c r="AR36" s="28">
        <f>IF(AND(AK36=1,K36="OK"),COUNTIFS($AK$2:AK36,1,$K$2:K36,"OK"),"")</f>
        <v>34</v>
      </c>
      <c r="AS36" s="28" t="str">
        <f>IF(L36=1,IFERROR(INDEX(MESSAGES!$J$9:$J$1008,MATCH(F36,MESSAGES!$M$9:$M$1008,0))&amp;"",""),"")</f>
        <v/>
      </c>
      <c r="AT36" s="28" t="str">
        <f>IF(L36=1,IFERROR(INDEX(MESSAGES!$K$9:$K$1008,MATCH(F36,MESSAGES!$M$9:$M$1008,0))&amp;"",""),"")</f>
        <v/>
      </c>
      <c r="AU36" s="28">
        <f t="shared" ca="1" si="9"/>
        <v>0</v>
      </c>
      <c r="AV36" s="28" t="str">
        <f t="shared" si="10"/>
        <v>HOLD</v>
      </c>
    </row>
    <row r="37" spans="1:48" x14ac:dyDescent="0.35">
      <c r="A37" s="28">
        <v>36</v>
      </c>
      <c r="B37" s="28" t="str">
        <f>IF(INPUT!A37="","",TRIM(INPUT!A37))</f>
        <v>Partner 000</v>
      </c>
      <c r="C37" s="28" t="str">
        <f>IF(B37="","",INPUT!C37)</f>
        <v>interviewer0@partner000.example.com</v>
      </c>
      <c r="D37" s="28" t="str">
        <f>IF(B37="","",INPUT!D37)</f>
        <v>Pooja P.</v>
      </c>
      <c r="E37" s="28" t="str">
        <f>IF(B37="","",INPUT!E37)</f>
        <v>pooja.p411@example.com</v>
      </c>
      <c r="F37" s="43" t="str">
        <f>IF(B37="","",TRIM(INPUT!F37&amp;""))</f>
        <v>9000005350</v>
      </c>
      <c r="G37" s="28" t="str">
        <f>IF(B37="","",INPUT!H37)</f>
        <v>Round1</v>
      </c>
      <c r="H37" s="46">
        <f>IF(B37="","",INPUT!I37)</f>
        <v>46308.82708333333</v>
      </c>
      <c r="I37" s="28" t="str">
        <f>IF(B37="","",IF(INPUT!J37="","None",INPUT!J37))</f>
        <v>Opened</v>
      </c>
      <c r="J37" s="28" t="str">
        <f t="shared" si="0"/>
        <v>pooja.p411@example.com|partner 000|Round1|interviewer0@partner000.example.com</v>
      </c>
      <c r="K37" s="28" t="str">
        <f>IF(B37="","",IF(SUMPRODUCT(($J$2:$J$601=J37)*($H$2:$H$601&lt;H37))+SUMPRODUCT(($J$2:J37=J37)*($H$2:H37=H37))-1&gt;0,"DUPLICATE",IF(AND(ISNUMBER(SEARCH("@",E37)),ISNUMBER(SEARCH(".",E37)),LEN(F37)=10,ISNUMBER(VALUE(F37))),"OK","BAD CONTACT")))</f>
        <v>OK</v>
      </c>
      <c r="L37" s="28">
        <f t="shared" si="1"/>
        <v>1</v>
      </c>
      <c r="M37" s="28">
        <f>IF(L37=1,IF(COUNTIFS(LOG!$C$2:$C$2001,F37,LOG!$E$2:$E$2001,B37,LOG!$D$2:$D$2001,"*BOOKED")+COUNTIFS(LOG!$C$2:$C$2001,F37,LOG!$E$2:$E$2001,"",LOG!$D$2:$D$2001,"*BOOKED")&gt;0,1,0),0)</f>
        <v>1</v>
      </c>
      <c r="N37" s="28">
        <f>IF(L37=1,IF(COUNTIFS(LOG!$C$2:$C$2001,F37,LOG!$E$2:$E$2001,B37,LOG!$D$2:$D$2001,"NOT_INTERESTED")+COUNTIFS(LOG!$C$2:$C$2001,F37,LOG!$E$2:$E$2001,"",LOG!$D$2:$D$2001,"NOT_INTERESTED")&gt;0,1,0),0)</f>
        <v>0</v>
      </c>
      <c r="O37" s="28">
        <f>IF(L37=1,IF(COUNTIFS(LOG!$C$2:$C$2001,F37,LOG!$D$2:$D$2001,"STOP")+COUNTIFS(LOG!$C$2:$C$2001,F37,LOG!$D$2:$D$2001,"WRONG_NUMBER")&gt;0,1,IF(ISNUMBER(SEARCH("STOP",AT37)),1,0)),0)</f>
        <v>0</v>
      </c>
      <c r="P37" s="28">
        <f>IF(L37=1,IF(IFERROR(INDEX(PARTNERS!$D$2:$D$88,MATCH(B37,PARTNERS!$A$2:$A$88,0)),"")="NO SLOTS",1,IF(AND(IFERROR(INDEX(PARTNERS!$D$2:$D$88,MATCH(B37,PARTNERS!$A$2:$A$88,0)),"")&lt;&gt;"REOPENED",COUNTIFS(LOG!$E$2:$E$2001,B37,LOG!$D$2:$D$2001,"NO_SLOTS")&gt;0),1,0)),0)</f>
        <v>0</v>
      </c>
      <c r="Q37" s="28">
        <f>IF(L37=1,COUNTIFS(LOG!$C$2:$C$2001,F37,LOG!$H$2:$H$2001,1),0)</f>
        <v>0</v>
      </c>
      <c r="R37" s="46">
        <f>IF(Q37&gt;0,_xlfn.MAXIFS(LOG!$G$2:$G$2001,LOG!$C$2:$C$2001,F37,LOG!$H$2:$H$2001,1),0)</f>
        <v>0</v>
      </c>
      <c r="S37" s="28" t="str">
        <f>IF(Q37&gt;0,IFERROR(INDEX(LOG!$D$2:$D$2001,MATCH(F37&amp;"|"&amp;Q37,LOG!$I$2:$I$2001,0)),""),"")</f>
        <v/>
      </c>
      <c r="T37" s="28">
        <f>IF(S37="",0,IFERROR(VLOOKUP(S37,LISTS!$A$2:$E$10,4,FALSE),0))</f>
        <v>0</v>
      </c>
      <c r="U37" s="46">
        <f t="shared" si="2"/>
        <v>0</v>
      </c>
      <c r="V37" s="46">
        <f>IF(L37=1,H37+SETTINGS!$B$5/24,"")</f>
        <v>46309.82708333333</v>
      </c>
      <c r="W37" s="28">
        <f ca="1">IF(L37=1,(V37-SETTINGS!$B$4)*24,"")</f>
        <v>-1.6666666720993817E-2</v>
      </c>
      <c r="X37" s="28">
        <f ca="1">IF(AND(L37=1,K37="OK",M37=0,N37=0,O37=0,P37=0,SETTINGS!$B$4&lt;V37,Q37&lt;SETTINGS!$B$6),1,0)</f>
        <v>0</v>
      </c>
      <c r="Y37" s="28">
        <f ca="1">IF(AND(X37=1,SETTINGS!$B$4&gt;=H37,SETTINGS!$B$4&gt;=U37,ROUND(MOD(SETTINGS!$B$4,1)*1440,0)&gt;=ROUND(SETTINGS!$B$7*1440,0),ROUND(MOD(SETTINGS!$B$4,1)*1440,0)&lt;ROUND(SETTINGS!$B$8*1440,0)),1,0)</f>
        <v>0</v>
      </c>
      <c r="Z37" s="28" t="str">
        <f ca="1">IF(B37="","",IF(ROUND(MOD(SETTINGS!$B$4,1)*1440,0)&lt;ROUND(SETTINGS!$B$11*1440,0),"Ram",IF(ROUND(MOD(SETTINGS!$B$4,1)*1440,0)&gt;=ROUND(SETTINGS!$B$10*1440,0),"Shyam",IF(MOD(IFERROR(VALUE(RIGHT(F37,2)),0),2)=0,"Ram","Shyam"))))</f>
        <v>Shyam</v>
      </c>
      <c r="AA37" s="28">
        <f t="shared" ca="1" si="3"/>
        <v>0</v>
      </c>
      <c r="AB37" s="28">
        <f ca="1">IF(X37=1,COUNTIFS($F$2:F37,F37,$X$2:X37,1),0)</f>
        <v>0</v>
      </c>
      <c r="AC37" s="28" t="str">
        <f>IF(L37=1,IF(IFERROR(INDEX(PARTNERS!$C$2:$C$88,MATCH(B37,PARTNERS!$A$2:$A$88,0)),"")="YES","YES","NO"),"")</f>
        <v>NO</v>
      </c>
      <c r="AD37" s="28" t="str">
        <f>IF(L37=1,IFERROR(INDEX(PARTNERS!$B$2:$B$88,MATCH(B37,PARTNERS!$A$2:$A$88,0)),""),"")</f>
        <v>https://calendly.com/partner000/interview</v>
      </c>
      <c r="AE37" s="28">
        <f ca="1">IF(X37=1,IFERROR(INDEX(SETTINGS!$B$34:$D$36,MATCH(I37,SETTINGS!$A$34:$A$36,0),MIN(Q37,2)+1),SETTINGS!$B$36),0)</f>
        <v>0</v>
      </c>
      <c r="AF37" s="28">
        <f t="shared" si="4"/>
        <v>1</v>
      </c>
      <c r="AG37" s="28">
        <f ca="1">IF(AND(Y37=1,AB37=1),ROUND(AA37*AE37*IF(AF37&gt;1,SETTINGS!$B$16,1)*IF(W37&lt;=SETTINGS!$B$14,SETTINGS!$B$15,1)*IF(AU37=1,SETTINGS!$B$21,1),6),0)</f>
        <v>0</v>
      </c>
      <c r="AH37" s="28" t="str">
        <f ca="1">IF(AG37&gt;0,COUNTIFS($Z$2:$Z$601,Z37,$AG$2:$AG$601,"&gt;"&amp;AG37)+COUNTIFS($Z$2:Z37,Z37,$AG$2:AG37,AG37),"")</f>
        <v/>
      </c>
      <c r="AI37" s="28" t="str">
        <f t="shared" ca="1" si="5"/>
        <v/>
      </c>
      <c r="AJ37" s="28" t="str">
        <f t="shared" ca="1" si="6"/>
        <v/>
      </c>
      <c r="AK37" s="28">
        <f>IF(L37=1,IF(COUNTIFS($F$2:F37,F37,$L$2:L37,1)=1,1,0),0)</f>
        <v>1</v>
      </c>
      <c r="AL37" s="28" t="str">
        <f>IF(B37="","",IF(K37="DUPLICATE","Duplicate (removed)",IF(AO37=1,"Scheduled within 24h",IF(M37=1,"Scheduled late",IF(K37="BAD CONTACT","Bad contact details",IF(O37=1,"Stopped / wrong number",IF(N37=1,"Not interested",IF(P37=1,"Partner has no slots",IF(SETTINGS!$B$4&gt;=V37,IF(Q37=0,"Missed deadline: never tried","Missed deadline: tried, not booked"),IF(Q37&gt;=SETTINGS!$B$6,"No reply after max tries","Open"))))))))))</f>
        <v>Scheduled within 24h</v>
      </c>
      <c r="AM37" s="46">
        <f>IF(M37=1,IF(_xlfn.MINIFS(LOG!$G$2:$G$2001,LOG!$C$2:$C$2001,F37,LOG!$E$2:$E$2001,B37,LOG!$D$2:$D$2001,"*BOOKED")=0,_xlfn.MINIFS(LOG!$G$2:$G$2001,LOG!$C$2:$C$2001,F37,LOG!$E$2:$E$2001,"",LOG!$D$2:$D$2001,"*BOOKED"),IF(_xlfn.MINIFS(LOG!$G$2:$G$2001,LOG!$C$2:$C$2001,F37,LOG!$E$2:$E$2001,"",LOG!$D$2:$D$2001,"*BOOKED")=0,_xlfn.MINIFS(LOG!$G$2:$G$2001,LOG!$C$2:$C$2001,F37,LOG!$E$2:$E$2001,B37,LOG!$D$2:$D$2001,"*BOOKED"),MIN(_xlfn.MINIFS(LOG!$G$2:$G$2001,LOG!$C$2:$C$2001,F37,LOG!$E$2:$E$2001,B37,LOG!$D$2:$D$2001,"*BOOKED"),_xlfn.MINIFS(LOG!$G$2:$G$2001,LOG!$C$2:$C$2001,F37,LOG!$E$2:$E$2001,"",LOG!$D$2:$D$2001,"*BOOKED")))),"")</f>
        <v>46308.951481199547</v>
      </c>
      <c r="AN37" s="28">
        <f t="shared" si="7"/>
        <v>2.9855487892054953</v>
      </c>
      <c r="AO37" s="28">
        <f>IF(AND(M37=1,AN37&lt;&gt;""),IF(AN37&lt;=SETTINGS!$B$5,1,0),0)</f>
        <v>1</v>
      </c>
      <c r="AP37" s="28">
        <f>IF(M37=1,IF(COUNTIFS(LOG!$C$2:$C$2001,F37,LOG!$E$2:$E$2001,B37,LOG!$D$2:$D$2001,"BOOKED")+COUNTIFS(LOG!$C$2:$C$2001,F37,LOG!$E$2:$E$2001,"",LOG!$D$2:$D$2001,"BOOKED")&gt;0,1,0),0)</f>
        <v>0</v>
      </c>
      <c r="AQ37" s="28" t="str">
        <f t="shared" si="8"/>
        <v>Pooja</v>
      </c>
      <c r="AR37" s="28">
        <f>IF(AND(AK37=1,K37="OK"),COUNTIFS($AK$2:AK37,1,$K$2:K37,"OK"),"")</f>
        <v>35</v>
      </c>
      <c r="AS37" s="28" t="str">
        <f>IF(L37=1,IFERROR(INDEX(MESSAGES!$J$9:$J$1008,MATCH(F37,MESSAGES!$M$9:$M$1008,0))&amp;"",""),"")</f>
        <v/>
      </c>
      <c r="AT37" s="28" t="str">
        <f>IF(L37=1,IFERROR(INDEX(MESSAGES!$K$9:$K$1008,MATCH(F37,MESSAGES!$M$9:$M$1008,0))&amp;"",""),"")</f>
        <v/>
      </c>
      <c r="AU37" s="28">
        <f t="shared" ca="1" si="9"/>
        <v>0</v>
      </c>
      <c r="AV37" s="28" t="str">
        <f t="shared" si="10"/>
        <v>HOLD</v>
      </c>
    </row>
    <row r="38" spans="1:48" x14ac:dyDescent="0.35">
      <c r="A38" s="28">
        <v>37</v>
      </c>
      <c r="B38" s="28" t="str">
        <f>IF(INPUT!A38="","",TRIM(INPUT!A38))</f>
        <v>Partner 046</v>
      </c>
      <c r="C38" s="28" t="str">
        <f>IF(B38="","",INPUT!C38)</f>
        <v>interviewer0@partner046.example.com</v>
      </c>
      <c r="D38" s="28" t="str">
        <f>IF(B38="","",INPUT!D38)</f>
        <v>Ishaan B.</v>
      </c>
      <c r="E38" s="28" t="str">
        <f>IF(B38="","",INPUT!E38)</f>
        <v>ishaan.b044@example.com</v>
      </c>
      <c r="F38" s="43" t="str">
        <f>IF(B38="","",TRIM(INPUT!F38&amp;""))</f>
        <v>9000000579</v>
      </c>
      <c r="G38" s="28" t="str">
        <f>IF(B38="","",INPUT!H38)</f>
        <v>Round3</v>
      </c>
      <c r="H38" s="46">
        <f>IF(B38="","",INPUT!I38)</f>
        <v>46308.82708333333</v>
      </c>
      <c r="I38" s="28" t="str">
        <f>IF(B38="","",IF(INPUT!J38="","None",INPUT!J38))</f>
        <v>Opened</v>
      </c>
      <c r="J38" s="28" t="str">
        <f t="shared" si="0"/>
        <v>ishaan.b044@example.com|partner 046|Round3|interviewer0@partner046.example.com</v>
      </c>
      <c r="K38" s="28" t="str">
        <f>IF(B38="","",IF(SUMPRODUCT(($J$2:$J$601=J38)*($H$2:$H$601&lt;H38))+SUMPRODUCT(($J$2:J38=J38)*($H$2:H38=H38))-1&gt;0,"DUPLICATE",IF(AND(ISNUMBER(SEARCH("@",E38)),ISNUMBER(SEARCH(".",E38)),LEN(F38)=10,ISNUMBER(VALUE(F38))),"OK","BAD CONTACT")))</f>
        <v>OK</v>
      </c>
      <c r="L38" s="28">
        <f t="shared" si="1"/>
        <v>1</v>
      </c>
      <c r="M38" s="28">
        <f>IF(L38=1,IF(COUNTIFS(LOG!$C$2:$C$2001,F38,LOG!$E$2:$E$2001,B38,LOG!$D$2:$D$2001,"*BOOKED")+COUNTIFS(LOG!$C$2:$C$2001,F38,LOG!$E$2:$E$2001,"",LOG!$D$2:$D$2001,"*BOOKED")&gt;0,1,0),0)</f>
        <v>0</v>
      </c>
      <c r="N38" s="28">
        <f>IF(L38=1,IF(COUNTIFS(LOG!$C$2:$C$2001,F38,LOG!$E$2:$E$2001,B38,LOG!$D$2:$D$2001,"NOT_INTERESTED")+COUNTIFS(LOG!$C$2:$C$2001,F38,LOG!$E$2:$E$2001,"",LOG!$D$2:$D$2001,"NOT_INTERESTED")&gt;0,1,0),0)</f>
        <v>0</v>
      </c>
      <c r="O38" s="28">
        <f>IF(L38=1,IF(COUNTIFS(LOG!$C$2:$C$2001,F38,LOG!$D$2:$D$2001,"STOP")+COUNTIFS(LOG!$C$2:$C$2001,F38,LOG!$D$2:$D$2001,"WRONG_NUMBER")&gt;0,1,IF(ISNUMBER(SEARCH("STOP",AT38)),1,0)),0)</f>
        <v>0</v>
      </c>
      <c r="P38" s="28">
        <f>IF(L38=1,IF(IFERROR(INDEX(PARTNERS!$D$2:$D$88,MATCH(B38,PARTNERS!$A$2:$A$88,0)),"")="NO SLOTS",1,IF(AND(IFERROR(INDEX(PARTNERS!$D$2:$D$88,MATCH(B38,PARTNERS!$A$2:$A$88,0)),"")&lt;&gt;"REOPENED",COUNTIFS(LOG!$E$2:$E$2001,B38,LOG!$D$2:$D$2001,"NO_SLOTS")&gt;0),1,0)),0)</f>
        <v>0</v>
      </c>
      <c r="Q38" s="28">
        <f>IF(L38=1,COUNTIFS(LOG!$C$2:$C$2001,F38,LOG!$H$2:$H$2001,1),0)</f>
        <v>1</v>
      </c>
      <c r="R38" s="46">
        <f>IF(Q38&gt;0,_xlfn.MAXIFS(LOG!$G$2:$G$2001,LOG!$C$2:$C$2001,F38,LOG!$H$2:$H$2001,1),0)</f>
        <v>46309.789891050081</v>
      </c>
      <c r="S38" s="28" t="str">
        <f>IF(Q38&gt;0,IFERROR(INDEX(LOG!$D$2:$D$2001,MATCH(F38&amp;"|"&amp;Q38,LOG!$I$2:$I$2001,0)),""),"")</f>
        <v>NO_ANSWER</v>
      </c>
      <c r="T38" s="28">
        <f>IF(S38="",0,IFERROR(VLOOKUP(S38,LISTS!$A$2:$E$10,4,FALSE),0))</f>
        <v>120</v>
      </c>
      <c r="U38" s="46">
        <f t="shared" si="2"/>
        <v>46309.873224383417</v>
      </c>
      <c r="V38" s="46">
        <f>IF(L38=1,H38+SETTINGS!$B$5/24,"")</f>
        <v>46309.82708333333</v>
      </c>
      <c r="W38" s="28">
        <f ca="1">IF(L38=1,(V38-SETTINGS!$B$4)*24,"")</f>
        <v>-1.6666666720993817E-2</v>
      </c>
      <c r="X38" s="28">
        <f ca="1">IF(AND(L38=1,K38="OK",M38=0,N38=0,O38=0,P38=0,SETTINGS!$B$4&lt;V38,Q38&lt;SETTINGS!$B$6),1,0)</f>
        <v>0</v>
      </c>
      <c r="Y38" s="28">
        <f ca="1">IF(AND(X38=1,SETTINGS!$B$4&gt;=H38,SETTINGS!$B$4&gt;=U38,ROUND(MOD(SETTINGS!$B$4,1)*1440,0)&gt;=ROUND(SETTINGS!$B$7*1440,0),ROUND(MOD(SETTINGS!$B$4,1)*1440,0)&lt;ROUND(SETTINGS!$B$8*1440,0)),1,0)</f>
        <v>0</v>
      </c>
      <c r="Z38" s="28" t="str">
        <f ca="1">IF(B38="","",IF(ROUND(MOD(SETTINGS!$B$4,1)*1440,0)&lt;ROUND(SETTINGS!$B$11*1440,0),"Ram",IF(ROUND(MOD(SETTINGS!$B$4,1)*1440,0)&gt;=ROUND(SETTINGS!$B$10*1440,0),"Shyam",IF(MOD(IFERROR(VALUE(RIGHT(F38,2)),0),2)=0,"Ram","Shyam"))))</f>
        <v>Shyam</v>
      </c>
      <c r="AA38" s="28">
        <f t="shared" ca="1" si="3"/>
        <v>0</v>
      </c>
      <c r="AB38" s="28">
        <f ca="1">IF(X38=1,COUNTIFS($F$2:F38,F38,$X$2:X38,1),0)</f>
        <v>0</v>
      </c>
      <c r="AC38" s="28" t="str">
        <f>IF(L38=1,IF(IFERROR(INDEX(PARTNERS!$C$2:$C$88,MATCH(B38,PARTNERS!$A$2:$A$88,0)),"")="YES","YES","NO"),"")</f>
        <v>YES</v>
      </c>
      <c r="AD38" s="28" t="str">
        <f>IF(L38=1,IFERROR(INDEX(PARTNERS!$B$2:$B$88,MATCH(B38,PARTNERS!$A$2:$A$88,0)),""),"")</f>
        <v>https://calendly.com/partner046/interview</v>
      </c>
      <c r="AE38" s="28">
        <f ca="1">IF(X38=1,IFERROR(INDEX(SETTINGS!$B$34:$D$36,MATCH(I38,SETTINGS!$A$34:$A$36,0),MIN(Q38,2)+1),SETTINGS!$B$36),0)</f>
        <v>0</v>
      </c>
      <c r="AF38" s="28">
        <f t="shared" si="4"/>
        <v>3</v>
      </c>
      <c r="AG38" s="28">
        <f ca="1">IF(AND(Y38=1,AB38=1),ROUND(AA38*AE38*IF(AF38&gt;1,SETTINGS!$B$16,1)*IF(W38&lt;=SETTINGS!$B$14,SETTINGS!$B$15,1)*IF(AU38=1,SETTINGS!$B$21,1),6),0)</f>
        <v>0</v>
      </c>
      <c r="AH38" s="28" t="str">
        <f ca="1">IF(AG38&gt;0,COUNTIFS($Z$2:$Z$601,Z38,$AG$2:$AG$601,"&gt;"&amp;AG38)+COUNTIFS($Z$2:Z38,Z38,$AG$2:AG38,AG38),"")</f>
        <v/>
      </c>
      <c r="AI38" s="28" t="str">
        <f t="shared" ca="1" si="5"/>
        <v/>
      </c>
      <c r="AJ38" s="28" t="str">
        <f t="shared" ca="1" si="6"/>
        <v/>
      </c>
      <c r="AK38" s="28">
        <f>IF(L38=1,IF(COUNTIFS($F$2:F38,F38,$L$2:L38,1)=1,1,0),0)</f>
        <v>1</v>
      </c>
      <c r="AL38" s="28" t="str">
        <f ca="1">IF(B38="","",IF(K38="DUPLICATE","Duplicate (removed)",IF(AO38=1,"Scheduled within 24h",IF(M38=1,"Scheduled late",IF(K38="BAD CONTACT","Bad contact details",IF(O38=1,"Stopped / wrong number",IF(N38=1,"Not interested",IF(P38=1,"Partner has no slots",IF(SETTINGS!$B$4&gt;=V38,IF(Q38=0,"Missed deadline: never tried","Missed deadline: tried, not booked"),IF(Q38&gt;=SETTINGS!$B$6,"No reply after max tries","Open"))))))))))</f>
        <v>Missed deadline: tried, not booked</v>
      </c>
      <c r="AM38" s="46" t="str">
        <f>IF(M38=1,IF(_xlfn.MINIFS(LOG!$G$2:$G$2001,LOG!$C$2:$C$2001,F38,LOG!$E$2:$E$2001,B38,LOG!$D$2:$D$2001,"*BOOKED")=0,_xlfn.MINIFS(LOG!$G$2:$G$2001,LOG!$C$2:$C$2001,F38,LOG!$E$2:$E$2001,"",LOG!$D$2:$D$2001,"*BOOKED"),IF(_xlfn.MINIFS(LOG!$G$2:$G$2001,LOG!$C$2:$C$2001,F38,LOG!$E$2:$E$2001,"",LOG!$D$2:$D$2001,"*BOOKED")=0,_xlfn.MINIFS(LOG!$G$2:$G$2001,LOG!$C$2:$C$2001,F38,LOG!$E$2:$E$2001,B38,LOG!$D$2:$D$2001,"*BOOKED"),MIN(_xlfn.MINIFS(LOG!$G$2:$G$2001,LOG!$C$2:$C$2001,F38,LOG!$E$2:$E$2001,B38,LOG!$D$2:$D$2001,"*BOOKED"),_xlfn.MINIFS(LOG!$G$2:$G$2001,LOG!$C$2:$C$2001,F38,LOG!$E$2:$E$2001,"",LOG!$D$2:$D$2001,"*BOOKED")))),"")</f>
        <v/>
      </c>
      <c r="AN38" s="28" t="str">
        <f t="shared" si="7"/>
        <v/>
      </c>
      <c r="AO38" s="28">
        <f>IF(AND(M38=1,AN38&lt;&gt;""),IF(AN38&lt;=SETTINGS!$B$5,1,0),0)</f>
        <v>0</v>
      </c>
      <c r="AP38" s="28">
        <f>IF(M38=1,IF(COUNTIFS(LOG!$C$2:$C$2001,F38,LOG!$E$2:$E$2001,B38,LOG!$D$2:$D$2001,"BOOKED")+COUNTIFS(LOG!$C$2:$C$2001,F38,LOG!$E$2:$E$2001,"",LOG!$D$2:$D$2001,"BOOKED")&gt;0,1,0),0)</f>
        <v>0</v>
      </c>
      <c r="AQ38" s="28" t="str">
        <f t="shared" si="8"/>
        <v>Ishaan</v>
      </c>
      <c r="AR38" s="28">
        <f>IF(AND(AK38=1,K38="OK"),COUNTIFS($AK$2:AK38,1,$K$2:K38,"OK"),"")</f>
        <v>36</v>
      </c>
      <c r="AS38" s="28" t="str">
        <f>IF(L38=1,IFERROR(INDEX(MESSAGES!$J$9:$J$1008,MATCH(F38,MESSAGES!$M$9:$M$1008,0))&amp;"",""),"")</f>
        <v/>
      </c>
      <c r="AT38" s="28" t="str">
        <f>IF(L38=1,IFERROR(INDEX(MESSAGES!$K$9:$K$1008,MATCH(F38,MESSAGES!$M$9:$M$1008,0))&amp;"",""),"")</f>
        <v/>
      </c>
      <c r="AU38" s="28">
        <f t="shared" ca="1" si="9"/>
        <v>0</v>
      </c>
      <c r="AV38" s="28" t="str">
        <f t="shared" si="10"/>
        <v>HOLD</v>
      </c>
    </row>
    <row r="39" spans="1:48" x14ac:dyDescent="0.35">
      <c r="A39" s="28">
        <v>38</v>
      </c>
      <c r="B39" s="28" t="str">
        <f>IF(INPUT!A39="","",TRIM(INPUT!A39))</f>
        <v>Partner 003</v>
      </c>
      <c r="C39" s="28" t="str">
        <f>IF(B39="","",INPUT!C39)</f>
        <v>interviewer1@partner003.example.com</v>
      </c>
      <c r="D39" s="28" t="str">
        <f>IF(B39="","",INPUT!D39)</f>
        <v>Vihaan R.</v>
      </c>
      <c r="E39" s="28" t="str">
        <f>IF(B39="","",INPUT!E39)</f>
        <v>vihaan.r424@example.com</v>
      </c>
      <c r="F39" s="43" t="str">
        <f>IF(B39="","",TRIM(INPUT!F39&amp;""))</f>
        <v>9000005519</v>
      </c>
      <c r="G39" s="28" t="str">
        <f>IF(B39="","",INPUT!H39)</f>
        <v>Round1</v>
      </c>
      <c r="H39" s="46">
        <f>IF(B39="","",INPUT!I39)</f>
        <v>46308.82708333333</v>
      </c>
      <c r="I39" s="28" t="str">
        <f>IF(B39="","",IF(INPUT!J39="","None",INPUT!J39))</f>
        <v>Clicked</v>
      </c>
      <c r="J39" s="28" t="str">
        <f t="shared" si="0"/>
        <v>vihaan.r424@example.com|partner 003|Round1|interviewer1@partner003.example.com</v>
      </c>
      <c r="K39" s="28" t="str">
        <f>IF(B39="","",IF(SUMPRODUCT(($J$2:$J$601=J39)*($H$2:$H$601&lt;H39))+SUMPRODUCT(($J$2:J39=J39)*($H$2:H39=H39))-1&gt;0,"DUPLICATE",IF(AND(ISNUMBER(SEARCH("@",E39)),ISNUMBER(SEARCH(".",E39)),LEN(F39)=10,ISNUMBER(VALUE(F39))),"OK","BAD CONTACT")))</f>
        <v>OK</v>
      </c>
      <c r="L39" s="28">
        <f t="shared" si="1"/>
        <v>1</v>
      </c>
      <c r="M39" s="28">
        <f>IF(L39=1,IF(COUNTIFS(LOG!$C$2:$C$2001,F39,LOG!$E$2:$E$2001,B39,LOG!$D$2:$D$2001,"*BOOKED")+COUNTIFS(LOG!$C$2:$C$2001,F39,LOG!$E$2:$E$2001,"",LOG!$D$2:$D$2001,"*BOOKED")&gt;0,1,0),0)</f>
        <v>0</v>
      </c>
      <c r="N39" s="28">
        <f>IF(L39=1,IF(COUNTIFS(LOG!$C$2:$C$2001,F39,LOG!$E$2:$E$2001,B39,LOG!$D$2:$D$2001,"NOT_INTERESTED")+COUNTIFS(LOG!$C$2:$C$2001,F39,LOG!$E$2:$E$2001,"",LOG!$D$2:$D$2001,"NOT_INTERESTED")&gt;0,1,0),0)</f>
        <v>0</v>
      </c>
      <c r="O39" s="28">
        <f>IF(L39=1,IF(COUNTIFS(LOG!$C$2:$C$2001,F39,LOG!$D$2:$D$2001,"STOP")+COUNTIFS(LOG!$C$2:$C$2001,F39,LOG!$D$2:$D$2001,"WRONG_NUMBER")&gt;0,1,IF(ISNUMBER(SEARCH("STOP",AT39)),1,0)),0)</f>
        <v>0</v>
      </c>
      <c r="P39" s="28">
        <f>IF(L39=1,IF(IFERROR(INDEX(PARTNERS!$D$2:$D$88,MATCH(B39,PARTNERS!$A$2:$A$88,0)),"")="NO SLOTS",1,IF(AND(IFERROR(INDEX(PARTNERS!$D$2:$D$88,MATCH(B39,PARTNERS!$A$2:$A$88,0)),"")&lt;&gt;"REOPENED",COUNTIFS(LOG!$E$2:$E$2001,B39,LOG!$D$2:$D$2001,"NO_SLOTS")&gt;0),1,0)),0)</f>
        <v>0</v>
      </c>
      <c r="Q39" s="28">
        <f>IF(L39=1,COUNTIFS(LOG!$C$2:$C$2001,F39,LOG!$H$2:$H$2001,1),0)</f>
        <v>2</v>
      </c>
      <c r="R39" s="46">
        <f>IF(Q39&gt;0,_xlfn.MAXIFS(LOG!$G$2:$G$2001,LOG!$C$2:$C$2001,F39,LOG!$H$2:$H$2001,1),0)</f>
        <v>46309.702599829361</v>
      </c>
      <c r="S39" s="28" t="str">
        <f>IF(Q39&gt;0,IFERROR(INDEX(LOG!$D$2:$D$2001,MATCH(F39&amp;"|"&amp;Q39,LOG!$I$2:$I$2001,0)),""),"")</f>
        <v>SENT_LINK</v>
      </c>
      <c r="T39" s="28">
        <f>IF(S39="",0,IFERROR(VLOOKUP(S39,LISTS!$A$2:$E$10,4,FALSE),0))</f>
        <v>180</v>
      </c>
      <c r="U39" s="46">
        <f t="shared" si="2"/>
        <v>46309.827599829361</v>
      </c>
      <c r="V39" s="46">
        <f>IF(L39=1,H39+SETTINGS!$B$5/24,"")</f>
        <v>46309.82708333333</v>
      </c>
      <c r="W39" s="28">
        <f ca="1">IF(L39=1,(V39-SETTINGS!$B$4)*24,"")</f>
        <v>-1.6666666720993817E-2</v>
      </c>
      <c r="X39" s="28">
        <f ca="1">IF(AND(L39=1,K39="OK",M39=0,N39=0,O39=0,P39=0,SETTINGS!$B$4&lt;V39,Q39&lt;SETTINGS!$B$6),1,0)</f>
        <v>0</v>
      </c>
      <c r="Y39" s="28">
        <f ca="1">IF(AND(X39=1,SETTINGS!$B$4&gt;=H39,SETTINGS!$B$4&gt;=U39,ROUND(MOD(SETTINGS!$B$4,1)*1440,0)&gt;=ROUND(SETTINGS!$B$7*1440,0),ROUND(MOD(SETTINGS!$B$4,1)*1440,0)&lt;ROUND(SETTINGS!$B$8*1440,0)),1,0)</f>
        <v>0</v>
      </c>
      <c r="Z39" s="28" t="str">
        <f ca="1">IF(B39="","",IF(ROUND(MOD(SETTINGS!$B$4,1)*1440,0)&lt;ROUND(SETTINGS!$B$11*1440,0),"Ram",IF(ROUND(MOD(SETTINGS!$B$4,1)*1440,0)&gt;=ROUND(SETTINGS!$B$10*1440,0),"Shyam",IF(MOD(IFERROR(VALUE(RIGHT(F39,2)),0),2)=0,"Ram","Shyam"))))</f>
        <v>Shyam</v>
      </c>
      <c r="AA39" s="28">
        <f t="shared" ca="1" si="3"/>
        <v>0</v>
      </c>
      <c r="AB39" s="28">
        <f ca="1">IF(X39=1,COUNTIFS($F$2:F39,F39,$X$2:X39,1),0)</f>
        <v>0</v>
      </c>
      <c r="AC39" s="28" t="str">
        <f>IF(L39=1,IF(IFERROR(INDEX(PARTNERS!$C$2:$C$88,MATCH(B39,PARTNERS!$A$2:$A$88,0)),"")="YES","YES","NO"),"")</f>
        <v>NO</v>
      </c>
      <c r="AD39" s="28" t="str">
        <f>IF(L39=1,IFERROR(INDEX(PARTNERS!$B$2:$B$88,MATCH(B39,PARTNERS!$A$2:$A$88,0)),""),"")</f>
        <v>https://calendly.com/partner003/interview</v>
      </c>
      <c r="AE39" s="28">
        <f ca="1">IF(X39=1,IFERROR(INDEX(SETTINGS!$B$34:$D$36,MATCH(I39,SETTINGS!$A$34:$A$36,0),MIN(Q39,2)+1),SETTINGS!$B$36),0)</f>
        <v>0</v>
      </c>
      <c r="AF39" s="28">
        <f t="shared" si="4"/>
        <v>1</v>
      </c>
      <c r="AG39" s="28">
        <f ca="1">IF(AND(Y39=1,AB39=1),ROUND(AA39*AE39*IF(AF39&gt;1,SETTINGS!$B$16,1)*IF(W39&lt;=SETTINGS!$B$14,SETTINGS!$B$15,1)*IF(AU39=1,SETTINGS!$B$21,1),6),0)</f>
        <v>0</v>
      </c>
      <c r="AH39" s="28" t="str">
        <f ca="1">IF(AG39&gt;0,COUNTIFS($Z$2:$Z$601,Z39,$AG$2:$AG$601,"&gt;"&amp;AG39)+COUNTIFS($Z$2:Z39,Z39,$AG$2:AG39,AG39),"")</f>
        <v/>
      </c>
      <c r="AI39" s="28" t="str">
        <f t="shared" ca="1" si="5"/>
        <v/>
      </c>
      <c r="AJ39" s="28" t="str">
        <f t="shared" ca="1" si="6"/>
        <v/>
      </c>
      <c r="AK39" s="28">
        <f>IF(L39=1,IF(COUNTIFS($F$2:F39,F39,$L$2:L39,1)=1,1,0),0)</f>
        <v>1</v>
      </c>
      <c r="AL39" s="28" t="str">
        <f ca="1">IF(B39="","",IF(K39="DUPLICATE","Duplicate (removed)",IF(AO39=1,"Scheduled within 24h",IF(M39=1,"Scheduled late",IF(K39="BAD CONTACT","Bad contact details",IF(O39=1,"Stopped / wrong number",IF(N39=1,"Not interested",IF(P39=1,"Partner has no slots",IF(SETTINGS!$B$4&gt;=V39,IF(Q39=0,"Missed deadline: never tried","Missed deadline: tried, not booked"),IF(Q39&gt;=SETTINGS!$B$6,"No reply after max tries","Open"))))))))))</f>
        <v>Missed deadline: tried, not booked</v>
      </c>
      <c r="AM39" s="46" t="str">
        <f>IF(M39=1,IF(_xlfn.MINIFS(LOG!$G$2:$G$2001,LOG!$C$2:$C$2001,F39,LOG!$E$2:$E$2001,B39,LOG!$D$2:$D$2001,"*BOOKED")=0,_xlfn.MINIFS(LOG!$G$2:$G$2001,LOG!$C$2:$C$2001,F39,LOG!$E$2:$E$2001,"",LOG!$D$2:$D$2001,"*BOOKED"),IF(_xlfn.MINIFS(LOG!$G$2:$G$2001,LOG!$C$2:$C$2001,F39,LOG!$E$2:$E$2001,"",LOG!$D$2:$D$2001,"*BOOKED")=0,_xlfn.MINIFS(LOG!$G$2:$G$2001,LOG!$C$2:$C$2001,F39,LOG!$E$2:$E$2001,B39,LOG!$D$2:$D$2001,"*BOOKED"),MIN(_xlfn.MINIFS(LOG!$G$2:$G$2001,LOG!$C$2:$C$2001,F39,LOG!$E$2:$E$2001,B39,LOG!$D$2:$D$2001,"*BOOKED"),_xlfn.MINIFS(LOG!$G$2:$G$2001,LOG!$C$2:$C$2001,F39,LOG!$E$2:$E$2001,"",LOG!$D$2:$D$2001,"*BOOKED")))),"")</f>
        <v/>
      </c>
      <c r="AN39" s="28" t="str">
        <f t="shared" si="7"/>
        <v/>
      </c>
      <c r="AO39" s="28">
        <f>IF(AND(M39=1,AN39&lt;&gt;""),IF(AN39&lt;=SETTINGS!$B$5,1,0),0)</f>
        <v>0</v>
      </c>
      <c r="AP39" s="28">
        <f>IF(M39=1,IF(COUNTIFS(LOG!$C$2:$C$2001,F39,LOG!$E$2:$E$2001,B39,LOG!$D$2:$D$2001,"BOOKED")+COUNTIFS(LOG!$C$2:$C$2001,F39,LOG!$E$2:$E$2001,"",LOG!$D$2:$D$2001,"BOOKED")&gt;0,1,0),0)</f>
        <v>0</v>
      </c>
      <c r="AQ39" s="28" t="str">
        <f t="shared" si="8"/>
        <v>Vihaan</v>
      </c>
      <c r="AR39" s="28">
        <f>IF(AND(AK39=1,K39="OK"),COUNTIFS($AK$2:AK39,1,$K$2:K39,"OK"),"")</f>
        <v>37</v>
      </c>
      <c r="AS39" s="28" t="str">
        <f>IF(L39=1,IFERROR(INDEX(MESSAGES!$J$9:$J$1008,MATCH(F39,MESSAGES!$M$9:$M$1008,0))&amp;"",""),"")</f>
        <v/>
      </c>
      <c r="AT39" s="28" t="str">
        <f>IF(L39=1,IFERROR(INDEX(MESSAGES!$K$9:$K$1008,MATCH(F39,MESSAGES!$M$9:$M$1008,0))&amp;"",""),"")</f>
        <v/>
      </c>
      <c r="AU39" s="28">
        <f t="shared" ca="1" si="9"/>
        <v>0</v>
      </c>
      <c r="AV39" s="28" t="str">
        <f t="shared" si="10"/>
        <v>HOLD</v>
      </c>
    </row>
    <row r="40" spans="1:48" x14ac:dyDescent="0.35">
      <c r="A40" s="28">
        <v>39</v>
      </c>
      <c r="B40" s="28" t="str">
        <f>IF(INPUT!A40="","",TRIM(INPUT!A40))</f>
        <v>Partner 011</v>
      </c>
      <c r="C40" s="28" t="str">
        <f>IF(B40="","",INPUT!C40)</f>
        <v>interviewer0@partner011.example.com</v>
      </c>
      <c r="D40" s="28" t="str">
        <f>IF(B40="","",INPUT!D40)</f>
        <v>Navya M.</v>
      </c>
      <c r="E40" s="28" t="str">
        <f>IF(B40="","",INPUT!E40)</f>
        <v>navya.m343@example.com</v>
      </c>
      <c r="F40" s="43" t="str">
        <f>IF(B40="","",TRIM(INPUT!F40&amp;""))</f>
        <v>9000004466</v>
      </c>
      <c r="G40" s="28" t="str">
        <f>IF(B40="","",INPUT!H40)</f>
        <v>Round1</v>
      </c>
      <c r="H40" s="46">
        <f>IF(B40="","",INPUT!I40)</f>
        <v>46308.82708333333</v>
      </c>
      <c r="I40" s="28" t="str">
        <f>IF(B40="","",IF(INPUT!J40="","None",INPUT!J40))</f>
        <v>Clicked</v>
      </c>
      <c r="J40" s="28" t="str">
        <f t="shared" si="0"/>
        <v>navya.m343@example.com|partner 011|Round1|interviewer0@partner011.example.com</v>
      </c>
      <c r="K40" s="28" t="str">
        <f>IF(B40="","",IF(SUMPRODUCT(($J$2:$J$601=J40)*($H$2:$H$601&lt;H40))+SUMPRODUCT(($J$2:J40=J40)*($H$2:H40=H40))-1&gt;0,"DUPLICATE",IF(AND(ISNUMBER(SEARCH("@",E40)),ISNUMBER(SEARCH(".",E40)),LEN(F40)=10,ISNUMBER(VALUE(F40))),"OK","BAD CONTACT")))</f>
        <v>OK</v>
      </c>
      <c r="L40" s="28">
        <f t="shared" si="1"/>
        <v>1</v>
      </c>
      <c r="M40" s="28">
        <f>IF(L40=1,IF(COUNTIFS(LOG!$C$2:$C$2001,F40,LOG!$E$2:$E$2001,B40,LOG!$D$2:$D$2001,"*BOOKED")+COUNTIFS(LOG!$C$2:$C$2001,F40,LOG!$E$2:$E$2001,"",LOG!$D$2:$D$2001,"*BOOKED")&gt;0,1,0),0)</f>
        <v>1</v>
      </c>
      <c r="N40" s="28">
        <f>IF(L40=1,IF(COUNTIFS(LOG!$C$2:$C$2001,F40,LOG!$E$2:$E$2001,B40,LOG!$D$2:$D$2001,"NOT_INTERESTED")+COUNTIFS(LOG!$C$2:$C$2001,F40,LOG!$E$2:$E$2001,"",LOG!$D$2:$D$2001,"NOT_INTERESTED")&gt;0,1,0),0)</f>
        <v>0</v>
      </c>
      <c r="O40" s="28">
        <f>IF(L40=1,IF(COUNTIFS(LOG!$C$2:$C$2001,F40,LOG!$D$2:$D$2001,"STOP")+COUNTIFS(LOG!$C$2:$C$2001,F40,LOG!$D$2:$D$2001,"WRONG_NUMBER")&gt;0,1,IF(ISNUMBER(SEARCH("STOP",AT40)),1,0)),0)</f>
        <v>0</v>
      </c>
      <c r="P40" s="28">
        <f>IF(L40=1,IF(IFERROR(INDEX(PARTNERS!$D$2:$D$88,MATCH(B40,PARTNERS!$A$2:$A$88,0)),"")="NO SLOTS",1,IF(AND(IFERROR(INDEX(PARTNERS!$D$2:$D$88,MATCH(B40,PARTNERS!$A$2:$A$88,0)),"")&lt;&gt;"REOPENED",COUNTIFS(LOG!$E$2:$E$2001,B40,LOG!$D$2:$D$2001,"NO_SLOTS")&gt;0),1,0)),0)</f>
        <v>0</v>
      </c>
      <c r="Q40" s="28">
        <f>IF(L40=1,COUNTIFS(LOG!$C$2:$C$2001,F40,LOG!$H$2:$H$2001,1),0)</f>
        <v>1</v>
      </c>
      <c r="R40" s="46">
        <f>IF(Q40&gt;0,_xlfn.MAXIFS(LOG!$G$2:$G$2001,LOG!$C$2:$C$2001,F40,LOG!$H$2:$H$2001,1),0)</f>
        <v>46309.559838626563</v>
      </c>
      <c r="S40" s="28" t="str">
        <f>IF(Q40&gt;0,IFERROR(INDEX(LOG!$D$2:$D$2001,MATCH(F40&amp;"|"&amp;Q40,LOG!$I$2:$I$2001,0)),""),"")</f>
        <v>BOOKED</v>
      </c>
      <c r="T40" s="28">
        <f>IF(S40="",0,IFERROR(VLOOKUP(S40,LISTS!$A$2:$E$10,4,FALSE),0))</f>
        <v>0</v>
      </c>
      <c r="U40" s="46">
        <f t="shared" si="2"/>
        <v>46309.559838626563</v>
      </c>
      <c r="V40" s="46">
        <f>IF(L40=1,H40+SETTINGS!$B$5/24,"")</f>
        <v>46309.82708333333</v>
      </c>
      <c r="W40" s="28">
        <f ca="1">IF(L40=1,(V40-SETTINGS!$B$4)*24,"")</f>
        <v>-1.6666666720993817E-2</v>
      </c>
      <c r="X40" s="28">
        <f ca="1">IF(AND(L40=1,K40="OK",M40=0,N40=0,O40=0,P40=0,SETTINGS!$B$4&lt;V40,Q40&lt;SETTINGS!$B$6),1,0)</f>
        <v>0</v>
      </c>
      <c r="Y40" s="28">
        <f ca="1">IF(AND(X40=1,SETTINGS!$B$4&gt;=H40,SETTINGS!$B$4&gt;=U40,ROUND(MOD(SETTINGS!$B$4,1)*1440,0)&gt;=ROUND(SETTINGS!$B$7*1440,0),ROUND(MOD(SETTINGS!$B$4,1)*1440,0)&lt;ROUND(SETTINGS!$B$8*1440,0)),1,0)</f>
        <v>0</v>
      </c>
      <c r="Z40" s="28" t="str">
        <f ca="1">IF(B40="","",IF(ROUND(MOD(SETTINGS!$B$4,1)*1440,0)&lt;ROUND(SETTINGS!$B$11*1440,0),"Ram",IF(ROUND(MOD(SETTINGS!$B$4,1)*1440,0)&gt;=ROUND(SETTINGS!$B$10*1440,0),"Shyam",IF(MOD(IFERROR(VALUE(RIGHT(F40,2)),0),2)=0,"Ram","Shyam"))))</f>
        <v>Shyam</v>
      </c>
      <c r="AA40" s="28">
        <f t="shared" ca="1" si="3"/>
        <v>0</v>
      </c>
      <c r="AB40" s="28">
        <f ca="1">IF(X40=1,COUNTIFS($F$2:F40,F40,$X$2:X40,1),0)</f>
        <v>0</v>
      </c>
      <c r="AC40" s="28" t="str">
        <f>IF(L40=1,IF(IFERROR(INDEX(PARTNERS!$C$2:$C$88,MATCH(B40,PARTNERS!$A$2:$A$88,0)),"")="YES","YES","NO"),"")</f>
        <v>YES</v>
      </c>
      <c r="AD40" s="28" t="str">
        <f>IF(L40=1,IFERROR(INDEX(PARTNERS!$B$2:$B$88,MATCH(B40,PARTNERS!$A$2:$A$88,0)),""),"")</f>
        <v>https://calendly.com/partner011/interview</v>
      </c>
      <c r="AE40" s="28">
        <f ca="1">IF(X40=1,IFERROR(INDEX(SETTINGS!$B$34:$D$36,MATCH(I40,SETTINGS!$A$34:$A$36,0),MIN(Q40,2)+1),SETTINGS!$B$36),0)</f>
        <v>0</v>
      </c>
      <c r="AF40" s="28">
        <f t="shared" si="4"/>
        <v>1</v>
      </c>
      <c r="AG40" s="28">
        <f ca="1">IF(AND(Y40=1,AB40=1),ROUND(AA40*AE40*IF(AF40&gt;1,SETTINGS!$B$16,1)*IF(W40&lt;=SETTINGS!$B$14,SETTINGS!$B$15,1)*IF(AU40=1,SETTINGS!$B$21,1),6),0)</f>
        <v>0</v>
      </c>
      <c r="AH40" s="28" t="str">
        <f ca="1">IF(AG40&gt;0,COUNTIFS($Z$2:$Z$601,Z40,$AG$2:$AG$601,"&gt;"&amp;AG40)+COUNTIFS($Z$2:Z40,Z40,$AG$2:AG40,AG40),"")</f>
        <v/>
      </c>
      <c r="AI40" s="28" t="str">
        <f t="shared" ca="1" si="5"/>
        <v/>
      </c>
      <c r="AJ40" s="28" t="str">
        <f t="shared" ca="1" si="6"/>
        <v/>
      </c>
      <c r="AK40" s="28">
        <f>IF(L40=1,IF(COUNTIFS($F$2:F40,F40,$L$2:L40,1)=1,1,0),0)</f>
        <v>1</v>
      </c>
      <c r="AL40" s="28" t="str">
        <f>IF(B40="","",IF(K40="DUPLICATE","Duplicate (removed)",IF(AO40=1,"Scheduled within 24h",IF(M40=1,"Scheduled late",IF(K40="BAD CONTACT","Bad contact details",IF(O40=1,"Stopped / wrong number",IF(N40=1,"Not interested",IF(P40=1,"Partner has no slots",IF(SETTINGS!$B$4&gt;=V40,IF(Q40=0,"Missed deadline: never tried","Missed deadline: tried, not booked"),IF(Q40&gt;=SETTINGS!$B$6,"No reply after max tries","Open"))))))))))</f>
        <v>Scheduled within 24h</v>
      </c>
      <c r="AM40" s="46">
        <f>IF(M40=1,IF(_xlfn.MINIFS(LOG!$G$2:$G$2001,LOG!$C$2:$C$2001,F40,LOG!$E$2:$E$2001,B40,LOG!$D$2:$D$2001,"*BOOKED")=0,_xlfn.MINIFS(LOG!$G$2:$G$2001,LOG!$C$2:$C$2001,F40,LOG!$E$2:$E$2001,"",LOG!$D$2:$D$2001,"*BOOKED"),IF(_xlfn.MINIFS(LOG!$G$2:$G$2001,LOG!$C$2:$C$2001,F40,LOG!$E$2:$E$2001,"",LOG!$D$2:$D$2001,"*BOOKED")=0,_xlfn.MINIFS(LOG!$G$2:$G$2001,LOG!$C$2:$C$2001,F40,LOG!$E$2:$E$2001,B40,LOG!$D$2:$D$2001,"*BOOKED"),MIN(_xlfn.MINIFS(LOG!$G$2:$G$2001,LOG!$C$2:$C$2001,F40,LOG!$E$2:$E$2001,B40,LOG!$D$2:$D$2001,"*BOOKED"),_xlfn.MINIFS(LOG!$G$2:$G$2001,LOG!$C$2:$C$2001,F40,LOG!$E$2:$E$2001,"",LOG!$D$2:$D$2001,"*BOOKED")))),"")</f>
        <v>46309.559838626563</v>
      </c>
      <c r="AN40" s="28">
        <f t="shared" si="7"/>
        <v>17.586127037589904</v>
      </c>
      <c r="AO40" s="28">
        <f>IF(AND(M40=1,AN40&lt;&gt;""),IF(AN40&lt;=SETTINGS!$B$5,1,0),0)</f>
        <v>1</v>
      </c>
      <c r="AP40" s="28">
        <f>IF(M40=1,IF(COUNTIFS(LOG!$C$2:$C$2001,F40,LOG!$E$2:$E$2001,B40,LOG!$D$2:$D$2001,"BOOKED")+COUNTIFS(LOG!$C$2:$C$2001,F40,LOG!$E$2:$E$2001,"",LOG!$D$2:$D$2001,"BOOKED")&gt;0,1,0),0)</f>
        <v>1</v>
      </c>
      <c r="AQ40" s="28" t="str">
        <f t="shared" si="8"/>
        <v>Navya</v>
      </c>
      <c r="AR40" s="28">
        <f>IF(AND(AK40=1,K40="OK"),COUNTIFS($AK$2:AK40,1,$K$2:K40,"OK"),"")</f>
        <v>38</v>
      </c>
      <c r="AS40" s="28" t="str">
        <f>IF(L40=1,IFERROR(INDEX(MESSAGES!$J$9:$J$1008,MATCH(F40,MESSAGES!$M$9:$M$1008,0))&amp;"",""),"")</f>
        <v/>
      </c>
      <c r="AT40" s="28" t="str">
        <f>IF(L40=1,IFERROR(INDEX(MESSAGES!$K$9:$K$1008,MATCH(F40,MESSAGES!$M$9:$M$1008,0))&amp;"",""),"")</f>
        <v/>
      </c>
      <c r="AU40" s="28">
        <f t="shared" ca="1" si="9"/>
        <v>0</v>
      </c>
      <c r="AV40" s="28" t="str">
        <f t="shared" si="10"/>
        <v>SEND</v>
      </c>
    </row>
    <row r="41" spans="1:48" x14ac:dyDescent="0.35">
      <c r="A41" s="28">
        <v>40</v>
      </c>
      <c r="B41" s="28" t="str">
        <f>IF(INPUT!A41="","",TRIM(INPUT!A41))</f>
        <v>Partner 022</v>
      </c>
      <c r="C41" s="28" t="str">
        <f>IF(B41="","",INPUT!C41)</f>
        <v>interviewer2@partner022.example.com</v>
      </c>
      <c r="D41" s="28" t="str">
        <f>IF(B41="","",INPUT!D41)</f>
        <v>Yash N.</v>
      </c>
      <c r="E41" s="28" t="str">
        <f>IF(B41="","",INPUT!E41)</f>
        <v>yash.n376@example.com</v>
      </c>
      <c r="F41" s="43" t="str">
        <f>IF(B41="","",TRIM(INPUT!F41&amp;""))</f>
        <v>9000004895</v>
      </c>
      <c r="G41" s="28" t="str">
        <f>IF(B41="","",INPUT!H41)</f>
        <v>Round1</v>
      </c>
      <c r="H41" s="46">
        <f>IF(B41="","",INPUT!I41)</f>
        <v>46308.82708333333</v>
      </c>
      <c r="I41" s="28" t="str">
        <f>IF(B41="","",IF(INPUT!J41="","None",INPUT!J41))</f>
        <v>None</v>
      </c>
      <c r="J41" s="28" t="str">
        <f t="shared" si="0"/>
        <v>yash.n376@example.com|partner 022|Round1|interviewer2@partner022.example.com</v>
      </c>
      <c r="K41" s="28" t="str">
        <f>IF(B41="","",IF(SUMPRODUCT(($J$2:$J$601=J41)*($H$2:$H$601&lt;H41))+SUMPRODUCT(($J$2:J41=J41)*($H$2:H41=H41))-1&gt;0,"DUPLICATE",IF(AND(ISNUMBER(SEARCH("@",E41)),ISNUMBER(SEARCH(".",E41)),LEN(F41)=10,ISNUMBER(VALUE(F41))),"OK","BAD CONTACT")))</f>
        <v>OK</v>
      </c>
      <c r="L41" s="28">
        <f t="shared" si="1"/>
        <v>1</v>
      </c>
      <c r="M41" s="28">
        <f>IF(L41=1,IF(COUNTIFS(LOG!$C$2:$C$2001,F41,LOG!$E$2:$E$2001,B41,LOG!$D$2:$D$2001,"*BOOKED")+COUNTIFS(LOG!$C$2:$C$2001,F41,LOG!$E$2:$E$2001,"",LOG!$D$2:$D$2001,"*BOOKED")&gt;0,1,0),0)</f>
        <v>1</v>
      </c>
      <c r="N41" s="28">
        <f>IF(L41=1,IF(COUNTIFS(LOG!$C$2:$C$2001,F41,LOG!$E$2:$E$2001,B41,LOG!$D$2:$D$2001,"NOT_INTERESTED")+COUNTIFS(LOG!$C$2:$C$2001,F41,LOG!$E$2:$E$2001,"",LOG!$D$2:$D$2001,"NOT_INTERESTED")&gt;0,1,0),0)</f>
        <v>0</v>
      </c>
      <c r="O41" s="28">
        <f>IF(L41=1,IF(COUNTIFS(LOG!$C$2:$C$2001,F41,LOG!$D$2:$D$2001,"STOP")+COUNTIFS(LOG!$C$2:$C$2001,F41,LOG!$D$2:$D$2001,"WRONG_NUMBER")&gt;0,1,IF(ISNUMBER(SEARCH("STOP",AT41)),1,0)),0)</f>
        <v>0</v>
      </c>
      <c r="P41" s="28">
        <f>IF(L41=1,IF(IFERROR(INDEX(PARTNERS!$D$2:$D$88,MATCH(B41,PARTNERS!$A$2:$A$88,0)),"")="NO SLOTS",1,IF(AND(IFERROR(INDEX(PARTNERS!$D$2:$D$88,MATCH(B41,PARTNERS!$A$2:$A$88,0)),"")&lt;&gt;"REOPENED",COUNTIFS(LOG!$E$2:$E$2001,B41,LOG!$D$2:$D$2001,"NO_SLOTS")&gt;0),1,0)),0)</f>
        <v>0</v>
      </c>
      <c r="Q41" s="28">
        <f>IF(L41=1,COUNTIFS(LOG!$C$2:$C$2001,F41,LOG!$H$2:$H$2001,1),0)</f>
        <v>0</v>
      </c>
      <c r="R41" s="46">
        <f>IF(Q41&gt;0,_xlfn.MAXIFS(LOG!$G$2:$G$2001,LOG!$C$2:$C$2001,F41,LOG!$H$2:$H$2001,1),0)</f>
        <v>0</v>
      </c>
      <c r="S41" s="28" t="str">
        <f>IF(Q41&gt;0,IFERROR(INDEX(LOG!$D$2:$D$2001,MATCH(F41&amp;"|"&amp;Q41,LOG!$I$2:$I$2001,0)),""),"")</f>
        <v/>
      </c>
      <c r="T41" s="28">
        <f>IF(S41="",0,IFERROR(VLOOKUP(S41,LISTS!$A$2:$E$10,4,FALSE),0))</f>
        <v>0</v>
      </c>
      <c r="U41" s="46">
        <f t="shared" si="2"/>
        <v>0</v>
      </c>
      <c r="V41" s="46">
        <f>IF(L41=1,H41+SETTINGS!$B$5/24,"")</f>
        <v>46309.82708333333</v>
      </c>
      <c r="W41" s="28">
        <f ca="1">IF(L41=1,(V41-SETTINGS!$B$4)*24,"")</f>
        <v>-1.6666666720993817E-2</v>
      </c>
      <c r="X41" s="28">
        <f ca="1">IF(AND(L41=1,K41="OK",M41=0,N41=0,O41=0,P41=0,SETTINGS!$B$4&lt;V41,Q41&lt;SETTINGS!$B$6),1,0)</f>
        <v>0</v>
      </c>
      <c r="Y41" s="28">
        <f ca="1">IF(AND(X41=1,SETTINGS!$B$4&gt;=H41,SETTINGS!$B$4&gt;=U41,ROUND(MOD(SETTINGS!$B$4,1)*1440,0)&gt;=ROUND(SETTINGS!$B$7*1440,0),ROUND(MOD(SETTINGS!$B$4,1)*1440,0)&lt;ROUND(SETTINGS!$B$8*1440,0)),1,0)</f>
        <v>0</v>
      </c>
      <c r="Z41" s="28" t="str">
        <f ca="1">IF(B41="","",IF(ROUND(MOD(SETTINGS!$B$4,1)*1440,0)&lt;ROUND(SETTINGS!$B$11*1440,0),"Ram",IF(ROUND(MOD(SETTINGS!$B$4,1)*1440,0)&gt;=ROUND(SETTINGS!$B$10*1440,0),"Shyam",IF(MOD(IFERROR(VALUE(RIGHT(F41,2)),0),2)=0,"Ram","Shyam"))))</f>
        <v>Shyam</v>
      </c>
      <c r="AA41" s="28">
        <f t="shared" ca="1" si="3"/>
        <v>0</v>
      </c>
      <c r="AB41" s="28">
        <f ca="1">IF(X41=1,COUNTIFS($F$2:F41,F41,$X$2:X41,1),0)</f>
        <v>0</v>
      </c>
      <c r="AC41" s="28" t="str">
        <f>IF(L41=1,IF(IFERROR(INDEX(PARTNERS!$C$2:$C$88,MATCH(B41,PARTNERS!$A$2:$A$88,0)),"")="YES","YES","NO"),"")</f>
        <v>YES</v>
      </c>
      <c r="AD41" s="28" t="str">
        <f>IF(L41=1,IFERROR(INDEX(PARTNERS!$B$2:$B$88,MATCH(B41,PARTNERS!$A$2:$A$88,0)),""),"")</f>
        <v>https://calendly.com/partner022/interview</v>
      </c>
      <c r="AE41" s="28">
        <f ca="1">IF(X41=1,IFERROR(INDEX(SETTINGS!$B$34:$D$36,MATCH(I41,SETTINGS!$A$34:$A$36,0),MIN(Q41,2)+1),SETTINGS!$B$36),0)</f>
        <v>0</v>
      </c>
      <c r="AF41" s="28">
        <f t="shared" si="4"/>
        <v>1</v>
      </c>
      <c r="AG41" s="28">
        <f ca="1">IF(AND(Y41=1,AB41=1),ROUND(AA41*AE41*IF(AF41&gt;1,SETTINGS!$B$16,1)*IF(W41&lt;=SETTINGS!$B$14,SETTINGS!$B$15,1)*IF(AU41=1,SETTINGS!$B$21,1),6),0)</f>
        <v>0</v>
      </c>
      <c r="AH41" s="28" t="str">
        <f ca="1">IF(AG41&gt;0,COUNTIFS($Z$2:$Z$601,Z41,$AG$2:$AG$601,"&gt;"&amp;AG41)+COUNTIFS($Z$2:Z41,Z41,$AG$2:AG41,AG41),"")</f>
        <v/>
      </c>
      <c r="AI41" s="28" t="str">
        <f t="shared" ca="1" si="5"/>
        <v/>
      </c>
      <c r="AJ41" s="28" t="str">
        <f t="shared" ca="1" si="6"/>
        <v/>
      </c>
      <c r="AK41" s="28">
        <f>IF(L41=1,IF(COUNTIFS($F$2:F41,F41,$L$2:L41,1)=1,1,0),0)</f>
        <v>1</v>
      </c>
      <c r="AL41" s="28" t="str">
        <f>IF(B41="","",IF(K41="DUPLICATE","Duplicate (removed)",IF(AO41=1,"Scheduled within 24h",IF(M41=1,"Scheduled late",IF(K41="BAD CONTACT","Bad contact details",IF(O41=1,"Stopped / wrong number",IF(N41=1,"Not interested",IF(P41=1,"Partner has no slots",IF(SETTINGS!$B$4&gt;=V41,IF(Q41=0,"Missed deadline: never tried","Missed deadline: tried, not booked"),IF(Q41&gt;=SETTINGS!$B$6,"No reply after max tries","Open"))))))))))</f>
        <v>Scheduled within 24h</v>
      </c>
      <c r="AM41" s="46">
        <f>IF(M41=1,IF(_xlfn.MINIFS(LOG!$G$2:$G$2001,LOG!$C$2:$C$2001,F41,LOG!$E$2:$E$2001,B41,LOG!$D$2:$D$2001,"*BOOKED")=0,_xlfn.MINIFS(LOG!$G$2:$G$2001,LOG!$C$2:$C$2001,F41,LOG!$E$2:$E$2001,"",LOG!$D$2:$D$2001,"*BOOKED"),IF(_xlfn.MINIFS(LOG!$G$2:$G$2001,LOG!$C$2:$C$2001,F41,LOG!$E$2:$E$2001,"",LOG!$D$2:$D$2001,"*BOOKED")=0,_xlfn.MINIFS(LOG!$G$2:$G$2001,LOG!$C$2:$C$2001,F41,LOG!$E$2:$E$2001,B41,LOG!$D$2:$D$2001,"*BOOKED"),MIN(_xlfn.MINIFS(LOG!$G$2:$G$2001,LOG!$C$2:$C$2001,F41,LOG!$E$2:$E$2001,B41,LOG!$D$2:$D$2001,"*BOOKED"),_xlfn.MINIFS(LOG!$G$2:$G$2001,LOG!$C$2:$C$2001,F41,LOG!$E$2:$E$2001,"",LOG!$D$2:$D$2001,"*BOOKED")))),"")</f>
        <v>46309.540598635991</v>
      </c>
      <c r="AN41" s="28">
        <f t="shared" si="7"/>
        <v>17.124367263866588</v>
      </c>
      <c r="AO41" s="28">
        <f>IF(AND(M41=1,AN41&lt;&gt;""),IF(AN41&lt;=SETTINGS!$B$5,1,0),0)</f>
        <v>1</v>
      </c>
      <c r="AP41" s="28">
        <f>IF(M41=1,IF(COUNTIFS(LOG!$C$2:$C$2001,F41,LOG!$E$2:$E$2001,B41,LOG!$D$2:$D$2001,"BOOKED")+COUNTIFS(LOG!$C$2:$C$2001,F41,LOG!$E$2:$E$2001,"",LOG!$D$2:$D$2001,"BOOKED")&gt;0,1,0),0)</f>
        <v>0</v>
      </c>
      <c r="AQ41" s="28" t="str">
        <f t="shared" si="8"/>
        <v>Yash</v>
      </c>
      <c r="AR41" s="28">
        <f>IF(AND(AK41=1,K41="OK"),COUNTIFS($AK$2:AK41,1,$K$2:K41,"OK"),"")</f>
        <v>39</v>
      </c>
      <c r="AS41" s="28" t="str">
        <f>IF(L41=1,IFERROR(INDEX(MESSAGES!$J$9:$J$1008,MATCH(F41,MESSAGES!$M$9:$M$1008,0))&amp;"",""),"")</f>
        <v/>
      </c>
      <c r="AT41" s="28" t="str">
        <f>IF(L41=1,IFERROR(INDEX(MESSAGES!$K$9:$K$1008,MATCH(F41,MESSAGES!$M$9:$M$1008,0))&amp;"",""),"")</f>
        <v/>
      </c>
      <c r="AU41" s="28">
        <f t="shared" ca="1" si="9"/>
        <v>0</v>
      </c>
      <c r="AV41" s="28" t="str">
        <f t="shared" si="10"/>
        <v>HOLD</v>
      </c>
    </row>
    <row r="42" spans="1:48" x14ac:dyDescent="0.35">
      <c r="A42" s="28">
        <v>41</v>
      </c>
      <c r="B42" s="28" t="str">
        <f>IF(INPUT!A42="","",TRIM(INPUT!A42))</f>
        <v>Partner 008</v>
      </c>
      <c r="C42" s="28" t="str">
        <f>IF(B42="","",INPUT!C42)</f>
        <v>interviewer2@partner008.example.com</v>
      </c>
      <c r="D42" s="28" t="str">
        <f>IF(B42="","",INPUT!D42)</f>
        <v>Tara M.</v>
      </c>
      <c r="E42" s="28" t="str">
        <f>IF(B42="","",INPUT!E42)</f>
        <v>tara.m345@example.com</v>
      </c>
      <c r="F42" s="43" t="str">
        <f>IF(B42="","",TRIM(INPUT!F42&amp;""))</f>
        <v>9000004492</v>
      </c>
      <c r="G42" s="28" t="str">
        <f>IF(B42="","",INPUT!H42)</f>
        <v>Round1</v>
      </c>
      <c r="H42" s="46">
        <f>IF(B42="","",INPUT!I42)</f>
        <v>46308.82708333333</v>
      </c>
      <c r="I42" s="28" t="str">
        <f>IF(B42="","",IF(INPUT!J42="","None",INPUT!J42))</f>
        <v>Clicked</v>
      </c>
      <c r="J42" s="28" t="str">
        <f t="shared" si="0"/>
        <v>tara.m345@example.com|partner 008|Round1|interviewer2@partner008.example.com</v>
      </c>
      <c r="K42" s="28" t="str">
        <f>IF(B42="","",IF(SUMPRODUCT(($J$2:$J$601=J42)*($H$2:$H$601&lt;H42))+SUMPRODUCT(($J$2:J42=J42)*($H$2:H42=H42))-1&gt;0,"DUPLICATE",IF(AND(ISNUMBER(SEARCH("@",E42)),ISNUMBER(SEARCH(".",E42)),LEN(F42)=10,ISNUMBER(VALUE(F42))),"OK","BAD CONTACT")))</f>
        <v>OK</v>
      </c>
      <c r="L42" s="28">
        <f t="shared" si="1"/>
        <v>1</v>
      </c>
      <c r="M42" s="28">
        <f>IF(L42=1,IF(COUNTIFS(LOG!$C$2:$C$2001,F42,LOG!$E$2:$E$2001,B42,LOG!$D$2:$D$2001,"*BOOKED")+COUNTIFS(LOG!$C$2:$C$2001,F42,LOG!$E$2:$E$2001,"",LOG!$D$2:$D$2001,"*BOOKED")&gt;0,1,0),0)</f>
        <v>0</v>
      </c>
      <c r="N42" s="28">
        <f>IF(L42=1,IF(COUNTIFS(LOG!$C$2:$C$2001,F42,LOG!$E$2:$E$2001,B42,LOG!$D$2:$D$2001,"NOT_INTERESTED")+COUNTIFS(LOG!$C$2:$C$2001,F42,LOG!$E$2:$E$2001,"",LOG!$D$2:$D$2001,"NOT_INTERESTED")&gt;0,1,0),0)</f>
        <v>0</v>
      </c>
      <c r="O42" s="28">
        <f>IF(L42=1,IF(COUNTIFS(LOG!$C$2:$C$2001,F42,LOG!$D$2:$D$2001,"STOP")+COUNTIFS(LOG!$C$2:$C$2001,F42,LOG!$D$2:$D$2001,"WRONG_NUMBER")&gt;0,1,IF(ISNUMBER(SEARCH("STOP",AT42)),1,0)),0)</f>
        <v>1</v>
      </c>
      <c r="P42" s="28">
        <f>IF(L42=1,IF(IFERROR(INDEX(PARTNERS!$D$2:$D$88,MATCH(B42,PARTNERS!$A$2:$A$88,0)),"")="NO SLOTS",1,IF(AND(IFERROR(INDEX(PARTNERS!$D$2:$D$88,MATCH(B42,PARTNERS!$A$2:$A$88,0)),"")&lt;&gt;"REOPENED",COUNTIFS(LOG!$E$2:$E$2001,B42,LOG!$D$2:$D$2001,"NO_SLOTS")&gt;0),1,0)),0)</f>
        <v>0</v>
      </c>
      <c r="Q42" s="28">
        <f>IF(L42=1,COUNTIFS(LOG!$C$2:$C$2001,F42,LOG!$H$2:$H$2001,1),0)</f>
        <v>1</v>
      </c>
      <c r="R42" s="46">
        <f>IF(Q42&gt;0,_xlfn.MAXIFS(LOG!$G$2:$G$2001,LOG!$C$2:$C$2001,F42,LOG!$H$2:$H$2001,1),0)</f>
        <v>46309.562459259905</v>
      </c>
      <c r="S42" s="28" t="str">
        <f>IF(Q42&gt;0,IFERROR(INDEX(LOG!$D$2:$D$2001,MATCH(F42&amp;"|"&amp;Q42,LOG!$I$2:$I$2001,0)),""),"")</f>
        <v>STOP</v>
      </c>
      <c r="T42" s="28">
        <f>IF(S42="",0,IFERROR(VLOOKUP(S42,LISTS!$A$2:$E$10,4,FALSE),0))</f>
        <v>0</v>
      </c>
      <c r="U42" s="46">
        <f t="shared" si="2"/>
        <v>46309.562459259905</v>
      </c>
      <c r="V42" s="46">
        <f>IF(L42=1,H42+SETTINGS!$B$5/24,"")</f>
        <v>46309.82708333333</v>
      </c>
      <c r="W42" s="28">
        <f ca="1">IF(L42=1,(V42-SETTINGS!$B$4)*24,"")</f>
        <v>-1.6666666720993817E-2</v>
      </c>
      <c r="X42" s="28">
        <f ca="1">IF(AND(L42=1,K42="OK",M42=0,N42=0,O42=0,P42=0,SETTINGS!$B$4&lt;V42,Q42&lt;SETTINGS!$B$6),1,0)</f>
        <v>0</v>
      </c>
      <c r="Y42" s="28">
        <f ca="1">IF(AND(X42=1,SETTINGS!$B$4&gt;=H42,SETTINGS!$B$4&gt;=U42,ROUND(MOD(SETTINGS!$B$4,1)*1440,0)&gt;=ROUND(SETTINGS!$B$7*1440,0),ROUND(MOD(SETTINGS!$B$4,1)*1440,0)&lt;ROUND(SETTINGS!$B$8*1440,0)),1,0)</f>
        <v>0</v>
      </c>
      <c r="Z42" s="28" t="str">
        <f ca="1">IF(B42="","",IF(ROUND(MOD(SETTINGS!$B$4,1)*1440,0)&lt;ROUND(SETTINGS!$B$11*1440,0),"Ram",IF(ROUND(MOD(SETTINGS!$B$4,1)*1440,0)&gt;=ROUND(SETTINGS!$B$10*1440,0),"Shyam",IF(MOD(IFERROR(VALUE(RIGHT(F42,2)),0),2)=0,"Ram","Shyam"))))</f>
        <v>Shyam</v>
      </c>
      <c r="AA42" s="28">
        <f t="shared" ca="1" si="3"/>
        <v>0</v>
      </c>
      <c r="AB42" s="28">
        <f ca="1">IF(X42=1,COUNTIFS($F$2:F42,F42,$X$2:X42,1),0)</f>
        <v>0</v>
      </c>
      <c r="AC42" s="28" t="str">
        <f>IF(L42=1,IF(IFERROR(INDEX(PARTNERS!$C$2:$C$88,MATCH(B42,PARTNERS!$A$2:$A$88,0)),"")="YES","YES","NO"),"")</f>
        <v>YES</v>
      </c>
      <c r="AD42" s="28" t="str">
        <f>IF(L42=1,IFERROR(INDEX(PARTNERS!$B$2:$B$88,MATCH(B42,PARTNERS!$A$2:$A$88,0)),""),"")</f>
        <v>https://calendly.com/partner008/interview</v>
      </c>
      <c r="AE42" s="28">
        <f ca="1">IF(X42=1,IFERROR(INDEX(SETTINGS!$B$34:$D$36,MATCH(I42,SETTINGS!$A$34:$A$36,0),MIN(Q42,2)+1),SETTINGS!$B$36),0)</f>
        <v>0</v>
      </c>
      <c r="AF42" s="28">
        <f t="shared" si="4"/>
        <v>1</v>
      </c>
      <c r="AG42" s="28">
        <f ca="1">IF(AND(Y42=1,AB42=1),ROUND(AA42*AE42*IF(AF42&gt;1,SETTINGS!$B$16,1)*IF(W42&lt;=SETTINGS!$B$14,SETTINGS!$B$15,1)*IF(AU42=1,SETTINGS!$B$21,1),6),0)</f>
        <v>0</v>
      </c>
      <c r="AH42" s="28" t="str">
        <f ca="1">IF(AG42&gt;0,COUNTIFS($Z$2:$Z$601,Z42,$AG$2:$AG$601,"&gt;"&amp;AG42)+COUNTIFS($Z$2:Z42,Z42,$AG$2:AG42,AG42),"")</f>
        <v/>
      </c>
      <c r="AI42" s="28" t="str">
        <f t="shared" ca="1" si="5"/>
        <v/>
      </c>
      <c r="AJ42" s="28" t="str">
        <f t="shared" ca="1" si="6"/>
        <v/>
      </c>
      <c r="AK42" s="28">
        <f>IF(L42=1,IF(COUNTIFS($F$2:F42,F42,$L$2:L42,1)=1,1,0),0)</f>
        <v>1</v>
      </c>
      <c r="AL42" s="28" t="str">
        <f>IF(B42="","",IF(K42="DUPLICATE","Duplicate (removed)",IF(AO42=1,"Scheduled within 24h",IF(M42=1,"Scheduled late",IF(K42="BAD CONTACT","Bad contact details",IF(O42=1,"Stopped / wrong number",IF(N42=1,"Not interested",IF(P42=1,"Partner has no slots",IF(SETTINGS!$B$4&gt;=V42,IF(Q42=0,"Missed deadline: never tried","Missed deadline: tried, not booked"),IF(Q42&gt;=SETTINGS!$B$6,"No reply after max tries","Open"))))))))))</f>
        <v>Stopped / wrong number</v>
      </c>
      <c r="AM42" s="46" t="str">
        <f>IF(M42=1,IF(_xlfn.MINIFS(LOG!$G$2:$G$2001,LOG!$C$2:$C$2001,F42,LOG!$E$2:$E$2001,B42,LOG!$D$2:$D$2001,"*BOOKED")=0,_xlfn.MINIFS(LOG!$G$2:$G$2001,LOG!$C$2:$C$2001,F42,LOG!$E$2:$E$2001,"",LOG!$D$2:$D$2001,"*BOOKED"),IF(_xlfn.MINIFS(LOG!$G$2:$G$2001,LOG!$C$2:$C$2001,F42,LOG!$E$2:$E$2001,"",LOG!$D$2:$D$2001,"*BOOKED")=0,_xlfn.MINIFS(LOG!$G$2:$G$2001,LOG!$C$2:$C$2001,F42,LOG!$E$2:$E$2001,B42,LOG!$D$2:$D$2001,"*BOOKED"),MIN(_xlfn.MINIFS(LOG!$G$2:$G$2001,LOG!$C$2:$C$2001,F42,LOG!$E$2:$E$2001,B42,LOG!$D$2:$D$2001,"*BOOKED"),_xlfn.MINIFS(LOG!$G$2:$G$2001,LOG!$C$2:$C$2001,F42,LOG!$E$2:$E$2001,"",LOG!$D$2:$D$2001,"*BOOKED")))),"")</f>
        <v/>
      </c>
      <c r="AN42" s="28" t="str">
        <f t="shared" si="7"/>
        <v/>
      </c>
      <c r="AO42" s="28">
        <f>IF(AND(M42=1,AN42&lt;&gt;""),IF(AN42&lt;=SETTINGS!$B$5,1,0),0)</f>
        <v>0</v>
      </c>
      <c r="AP42" s="28">
        <f>IF(M42=1,IF(COUNTIFS(LOG!$C$2:$C$2001,F42,LOG!$E$2:$E$2001,B42,LOG!$D$2:$D$2001,"BOOKED")+COUNTIFS(LOG!$C$2:$C$2001,F42,LOG!$E$2:$E$2001,"",LOG!$D$2:$D$2001,"BOOKED")&gt;0,1,0),0)</f>
        <v>0</v>
      </c>
      <c r="AQ42" s="28" t="str">
        <f t="shared" si="8"/>
        <v>Tara</v>
      </c>
      <c r="AR42" s="28">
        <f>IF(AND(AK42=1,K42="OK"),COUNTIFS($AK$2:AK42,1,$K$2:K42,"OK"),"")</f>
        <v>40</v>
      </c>
      <c r="AS42" s="28" t="str">
        <f>IF(L42=1,IFERROR(INDEX(MESSAGES!$J$9:$J$1008,MATCH(F42,MESSAGES!$M$9:$M$1008,0))&amp;"",""),"")</f>
        <v/>
      </c>
      <c r="AT42" s="28" t="str">
        <f>IF(L42=1,IFERROR(INDEX(MESSAGES!$K$9:$K$1008,MATCH(F42,MESSAGES!$M$9:$M$1008,0))&amp;"",""),"")</f>
        <v/>
      </c>
      <c r="AU42" s="28">
        <f t="shared" ca="1" si="9"/>
        <v>0</v>
      </c>
      <c r="AV42" s="28" t="str">
        <f t="shared" si="10"/>
        <v>HOLD</v>
      </c>
    </row>
    <row r="43" spans="1:48" x14ac:dyDescent="0.35">
      <c r="A43" s="28">
        <v>42</v>
      </c>
      <c r="B43" s="28" t="str">
        <f>IF(INPUT!A43="","",TRIM(INPUT!A43))</f>
        <v>Partner 024</v>
      </c>
      <c r="C43" s="28" t="str">
        <f>IF(B43="","",INPUT!C43)</f>
        <v>interviewer0@partner024.example.com</v>
      </c>
      <c r="D43" s="28" t="str">
        <f>IF(B43="","",INPUT!D43)</f>
        <v>Pooja N.</v>
      </c>
      <c r="E43" s="28" t="str">
        <f>IF(B43="","",INPUT!E43)</f>
        <v>pooja.n381@example.com</v>
      </c>
      <c r="F43" s="43" t="str">
        <f>IF(B43="","",TRIM(INPUT!F43&amp;""))</f>
        <v>9000004960</v>
      </c>
      <c r="G43" s="28" t="str">
        <f>IF(B43="","",INPUT!H43)</f>
        <v>Round1</v>
      </c>
      <c r="H43" s="46">
        <f>IF(B43="","",INPUT!I43)</f>
        <v>46308.82708333333</v>
      </c>
      <c r="I43" s="28" t="str">
        <f>IF(B43="","",IF(INPUT!J43="","None",INPUT!J43))</f>
        <v>Opened</v>
      </c>
      <c r="J43" s="28" t="str">
        <f t="shared" si="0"/>
        <v>pooja.n381@example.com|partner 024|Round1|interviewer0@partner024.example.com</v>
      </c>
      <c r="K43" s="28" t="str">
        <f>IF(B43="","",IF(SUMPRODUCT(($J$2:$J$601=J43)*($H$2:$H$601&lt;H43))+SUMPRODUCT(($J$2:J43=J43)*($H$2:H43=H43))-1&gt;0,"DUPLICATE",IF(AND(ISNUMBER(SEARCH("@",E43)),ISNUMBER(SEARCH(".",E43)),LEN(F43)=10,ISNUMBER(VALUE(F43))),"OK","BAD CONTACT")))</f>
        <v>OK</v>
      </c>
      <c r="L43" s="28">
        <f t="shared" si="1"/>
        <v>1</v>
      </c>
      <c r="M43" s="28">
        <f>IF(L43=1,IF(COUNTIFS(LOG!$C$2:$C$2001,F43,LOG!$E$2:$E$2001,B43,LOG!$D$2:$D$2001,"*BOOKED")+COUNTIFS(LOG!$C$2:$C$2001,F43,LOG!$E$2:$E$2001,"",LOG!$D$2:$D$2001,"*BOOKED")&gt;0,1,0),0)</f>
        <v>0</v>
      </c>
      <c r="N43" s="28">
        <f>IF(L43=1,IF(COUNTIFS(LOG!$C$2:$C$2001,F43,LOG!$E$2:$E$2001,B43,LOG!$D$2:$D$2001,"NOT_INTERESTED")+COUNTIFS(LOG!$C$2:$C$2001,F43,LOG!$E$2:$E$2001,"",LOG!$D$2:$D$2001,"NOT_INTERESTED")&gt;0,1,0),0)</f>
        <v>0</v>
      </c>
      <c r="O43" s="28">
        <f>IF(L43=1,IF(COUNTIFS(LOG!$C$2:$C$2001,F43,LOG!$D$2:$D$2001,"STOP")+COUNTIFS(LOG!$C$2:$C$2001,F43,LOG!$D$2:$D$2001,"WRONG_NUMBER")&gt;0,1,IF(ISNUMBER(SEARCH("STOP",AT43)),1,0)),0)</f>
        <v>0</v>
      </c>
      <c r="P43" s="28">
        <f>IF(L43=1,IF(IFERROR(INDEX(PARTNERS!$D$2:$D$88,MATCH(B43,PARTNERS!$A$2:$A$88,0)),"")="NO SLOTS",1,IF(AND(IFERROR(INDEX(PARTNERS!$D$2:$D$88,MATCH(B43,PARTNERS!$A$2:$A$88,0)),"")&lt;&gt;"REOPENED",COUNTIFS(LOG!$E$2:$E$2001,B43,LOG!$D$2:$D$2001,"NO_SLOTS")&gt;0),1,0)),0)</f>
        <v>0</v>
      </c>
      <c r="Q43" s="28">
        <f>IF(L43=1,COUNTIFS(LOG!$C$2:$C$2001,F43,LOG!$H$2:$H$2001,1),0)</f>
        <v>0</v>
      </c>
      <c r="R43" s="46">
        <f>IF(Q43&gt;0,_xlfn.MAXIFS(LOG!$G$2:$G$2001,LOG!$C$2:$C$2001,F43,LOG!$H$2:$H$2001,1),0)</f>
        <v>0</v>
      </c>
      <c r="S43" s="28" t="str">
        <f>IF(Q43&gt;0,IFERROR(INDEX(LOG!$D$2:$D$2001,MATCH(F43&amp;"|"&amp;Q43,LOG!$I$2:$I$2001,0)),""),"")</f>
        <v/>
      </c>
      <c r="T43" s="28">
        <f>IF(S43="",0,IFERROR(VLOOKUP(S43,LISTS!$A$2:$E$10,4,FALSE),0))</f>
        <v>0</v>
      </c>
      <c r="U43" s="46">
        <f t="shared" si="2"/>
        <v>0</v>
      </c>
      <c r="V43" s="46">
        <f>IF(L43=1,H43+SETTINGS!$B$5/24,"")</f>
        <v>46309.82708333333</v>
      </c>
      <c r="W43" s="28">
        <f ca="1">IF(L43=1,(V43-SETTINGS!$B$4)*24,"")</f>
        <v>-1.6666666720993817E-2</v>
      </c>
      <c r="X43" s="28">
        <f ca="1">IF(AND(L43=1,K43="OK",M43=0,N43=0,O43=0,P43=0,SETTINGS!$B$4&lt;V43,Q43&lt;SETTINGS!$B$6),1,0)</f>
        <v>0</v>
      </c>
      <c r="Y43" s="28">
        <f ca="1">IF(AND(X43=1,SETTINGS!$B$4&gt;=H43,SETTINGS!$B$4&gt;=U43,ROUND(MOD(SETTINGS!$B$4,1)*1440,0)&gt;=ROUND(SETTINGS!$B$7*1440,0),ROUND(MOD(SETTINGS!$B$4,1)*1440,0)&lt;ROUND(SETTINGS!$B$8*1440,0)),1,0)</f>
        <v>0</v>
      </c>
      <c r="Z43" s="28" t="str">
        <f ca="1">IF(B43="","",IF(ROUND(MOD(SETTINGS!$B$4,1)*1440,0)&lt;ROUND(SETTINGS!$B$11*1440,0),"Ram",IF(ROUND(MOD(SETTINGS!$B$4,1)*1440,0)&gt;=ROUND(SETTINGS!$B$10*1440,0),"Shyam",IF(MOD(IFERROR(VALUE(RIGHT(F43,2)),0),2)=0,"Ram","Shyam"))))</f>
        <v>Shyam</v>
      </c>
      <c r="AA43" s="28">
        <f t="shared" ca="1" si="3"/>
        <v>0</v>
      </c>
      <c r="AB43" s="28">
        <f ca="1">IF(X43=1,COUNTIFS($F$2:F43,F43,$X$2:X43,1),0)</f>
        <v>0</v>
      </c>
      <c r="AC43" s="28" t="str">
        <f>IF(L43=1,IF(IFERROR(INDEX(PARTNERS!$C$2:$C$88,MATCH(B43,PARTNERS!$A$2:$A$88,0)),"")="YES","YES","NO"),"")</f>
        <v>YES</v>
      </c>
      <c r="AD43" s="28" t="str">
        <f>IF(L43=1,IFERROR(INDEX(PARTNERS!$B$2:$B$88,MATCH(B43,PARTNERS!$A$2:$A$88,0)),""),"")</f>
        <v>https://calendly.com/partner024/interview</v>
      </c>
      <c r="AE43" s="28">
        <f ca="1">IF(X43=1,IFERROR(INDEX(SETTINGS!$B$34:$D$36,MATCH(I43,SETTINGS!$A$34:$A$36,0),MIN(Q43,2)+1),SETTINGS!$B$36),0)</f>
        <v>0</v>
      </c>
      <c r="AF43" s="28">
        <f t="shared" si="4"/>
        <v>1</v>
      </c>
      <c r="AG43" s="28">
        <f ca="1">IF(AND(Y43=1,AB43=1),ROUND(AA43*AE43*IF(AF43&gt;1,SETTINGS!$B$16,1)*IF(W43&lt;=SETTINGS!$B$14,SETTINGS!$B$15,1)*IF(AU43=1,SETTINGS!$B$21,1),6),0)</f>
        <v>0</v>
      </c>
      <c r="AH43" s="28" t="str">
        <f ca="1">IF(AG43&gt;0,COUNTIFS($Z$2:$Z$601,Z43,$AG$2:$AG$601,"&gt;"&amp;AG43)+COUNTIFS($Z$2:Z43,Z43,$AG$2:AG43,AG43),"")</f>
        <v/>
      </c>
      <c r="AI43" s="28" t="str">
        <f t="shared" ca="1" si="5"/>
        <v/>
      </c>
      <c r="AJ43" s="28" t="str">
        <f t="shared" ca="1" si="6"/>
        <v/>
      </c>
      <c r="AK43" s="28">
        <f>IF(L43=1,IF(COUNTIFS($F$2:F43,F43,$L$2:L43,1)=1,1,0),0)</f>
        <v>1</v>
      </c>
      <c r="AL43" s="28" t="str">
        <f ca="1">IF(B43="","",IF(K43="DUPLICATE","Duplicate (removed)",IF(AO43=1,"Scheduled within 24h",IF(M43=1,"Scheduled late",IF(K43="BAD CONTACT","Bad contact details",IF(O43=1,"Stopped / wrong number",IF(N43=1,"Not interested",IF(P43=1,"Partner has no slots",IF(SETTINGS!$B$4&gt;=V43,IF(Q43=0,"Missed deadline: never tried","Missed deadline: tried, not booked"),IF(Q43&gt;=SETTINGS!$B$6,"No reply after max tries","Open"))))))))))</f>
        <v>Missed deadline: never tried</v>
      </c>
      <c r="AM43" s="46" t="str">
        <f>IF(M43=1,IF(_xlfn.MINIFS(LOG!$G$2:$G$2001,LOG!$C$2:$C$2001,F43,LOG!$E$2:$E$2001,B43,LOG!$D$2:$D$2001,"*BOOKED")=0,_xlfn.MINIFS(LOG!$G$2:$G$2001,LOG!$C$2:$C$2001,F43,LOG!$E$2:$E$2001,"",LOG!$D$2:$D$2001,"*BOOKED"),IF(_xlfn.MINIFS(LOG!$G$2:$G$2001,LOG!$C$2:$C$2001,F43,LOG!$E$2:$E$2001,"",LOG!$D$2:$D$2001,"*BOOKED")=0,_xlfn.MINIFS(LOG!$G$2:$G$2001,LOG!$C$2:$C$2001,F43,LOG!$E$2:$E$2001,B43,LOG!$D$2:$D$2001,"*BOOKED"),MIN(_xlfn.MINIFS(LOG!$G$2:$G$2001,LOG!$C$2:$C$2001,F43,LOG!$E$2:$E$2001,B43,LOG!$D$2:$D$2001,"*BOOKED"),_xlfn.MINIFS(LOG!$G$2:$G$2001,LOG!$C$2:$C$2001,F43,LOG!$E$2:$E$2001,"",LOG!$D$2:$D$2001,"*BOOKED")))),"")</f>
        <v/>
      </c>
      <c r="AN43" s="28" t="str">
        <f t="shared" si="7"/>
        <v/>
      </c>
      <c r="AO43" s="28">
        <f>IF(AND(M43=1,AN43&lt;&gt;""),IF(AN43&lt;=SETTINGS!$B$5,1,0),0)</f>
        <v>0</v>
      </c>
      <c r="AP43" s="28">
        <f>IF(M43=1,IF(COUNTIFS(LOG!$C$2:$C$2001,F43,LOG!$E$2:$E$2001,B43,LOG!$D$2:$D$2001,"BOOKED")+COUNTIFS(LOG!$C$2:$C$2001,F43,LOG!$E$2:$E$2001,"",LOG!$D$2:$D$2001,"BOOKED")&gt;0,1,0),0)</f>
        <v>0</v>
      </c>
      <c r="AQ43" s="28" t="str">
        <f t="shared" si="8"/>
        <v>Pooja</v>
      </c>
      <c r="AR43" s="28">
        <f>IF(AND(AK43=1,K43="OK"),COUNTIFS($AK$2:AK43,1,$K$2:K43,"OK"),"")</f>
        <v>41</v>
      </c>
      <c r="AS43" s="28" t="str">
        <f>IF(L43=1,IFERROR(INDEX(MESSAGES!$J$9:$J$1008,MATCH(F43,MESSAGES!$M$9:$M$1008,0))&amp;"",""),"")</f>
        <v/>
      </c>
      <c r="AT43" s="28" t="str">
        <f>IF(L43=1,IFERROR(INDEX(MESSAGES!$K$9:$K$1008,MATCH(F43,MESSAGES!$M$9:$M$1008,0))&amp;"",""),"")</f>
        <v/>
      </c>
      <c r="AU43" s="28">
        <f t="shared" ca="1" si="9"/>
        <v>0</v>
      </c>
      <c r="AV43" s="28" t="str">
        <f t="shared" si="10"/>
        <v>SEND</v>
      </c>
    </row>
    <row r="44" spans="1:48" x14ac:dyDescent="0.35">
      <c r="A44" s="28">
        <v>43</v>
      </c>
      <c r="B44" s="28" t="str">
        <f>IF(INPUT!A44="","",TRIM(INPUT!A44))</f>
        <v>Partner 008</v>
      </c>
      <c r="C44" s="28" t="str">
        <f>IF(B44="","",INPUT!C44)</f>
        <v>interviewer1@partner008.example.com</v>
      </c>
      <c r="D44" s="28" t="str">
        <f>IF(B44="","",INPUT!D44)</f>
        <v>Kavya P.</v>
      </c>
      <c r="E44" s="28" t="str">
        <f>IF(B44="","",INPUT!E44)</f>
        <v>kavya.p419@example.com</v>
      </c>
      <c r="F44" s="43" t="str">
        <f>IF(B44="","",TRIM(INPUT!F44&amp;""))</f>
        <v>9000005454</v>
      </c>
      <c r="G44" s="28" t="str">
        <f>IF(B44="","",INPUT!H44)</f>
        <v>Round1</v>
      </c>
      <c r="H44" s="46">
        <f>IF(B44="","",INPUT!I44)</f>
        <v>46308.82708333333</v>
      </c>
      <c r="I44" s="28" t="str">
        <f>IF(B44="","",IF(INPUT!J44="","None",INPUT!J44))</f>
        <v>None</v>
      </c>
      <c r="J44" s="28" t="str">
        <f t="shared" si="0"/>
        <v>kavya.p419@example.com|partner 008|Round1|interviewer1@partner008.example.com</v>
      </c>
      <c r="K44" s="28" t="str">
        <f>IF(B44="","",IF(SUMPRODUCT(($J$2:$J$601=J44)*($H$2:$H$601&lt;H44))+SUMPRODUCT(($J$2:J44=J44)*($H$2:H44=H44))-1&gt;0,"DUPLICATE",IF(AND(ISNUMBER(SEARCH("@",E44)),ISNUMBER(SEARCH(".",E44)),LEN(F44)=10,ISNUMBER(VALUE(F44))),"OK","BAD CONTACT")))</f>
        <v>OK</v>
      </c>
      <c r="L44" s="28">
        <f t="shared" si="1"/>
        <v>1</v>
      </c>
      <c r="M44" s="28">
        <f>IF(L44=1,IF(COUNTIFS(LOG!$C$2:$C$2001,F44,LOG!$E$2:$E$2001,B44,LOG!$D$2:$D$2001,"*BOOKED")+COUNTIFS(LOG!$C$2:$C$2001,F44,LOG!$E$2:$E$2001,"",LOG!$D$2:$D$2001,"*BOOKED")&gt;0,1,0),0)</f>
        <v>0</v>
      </c>
      <c r="N44" s="28">
        <f>IF(L44=1,IF(COUNTIFS(LOG!$C$2:$C$2001,F44,LOG!$E$2:$E$2001,B44,LOG!$D$2:$D$2001,"NOT_INTERESTED")+COUNTIFS(LOG!$C$2:$C$2001,F44,LOG!$E$2:$E$2001,"",LOG!$D$2:$D$2001,"NOT_INTERESTED")&gt;0,1,0),0)</f>
        <v>0</v>
      </c>
      <c r="O44" s="28">
        <f>IF(L44=1,IF(COUNTIFS(LOG!$C$2:$C$2001,F44,LOG!$D$2:$D$2001,"STOP")+COUNTIFS(LOG!$C$2:$C$2001,F44,LOG!$D$2:$D$2001,"WRONG_NUMBER")&gt;0,1,IF(ISNUMBER(SEARCH("STOP",AT44)),1,0)),0)</f>
        <v>0</v>
      </c>
      <c r="P44" s="28">
        <f>IF(L44=1,IF(IFERROR(INDEX(PARTNERS!$D$2:$D$88,MATCH(B44,PARTNERS!$A$2:$A$88,0)),"")="NO SLOTS",1,IF(AND(IFERROR(INDEX(PARTNERS!$D$2:$D$88,MATCH(B44,PARTNERS!$A$2:$A$88,0)),"")&lt;&gt;"REOPENED",COUNTIFS(LOG!$E$2:$E$2001,B44,LOG!$D$2:$D$2001,"NO_SLOTS")&gt;0),1,0)),0)</f>
        <v>0</v>
      </c>
      <c r="Q44" s="28">
        <f>IF(L44=1,COUNTIFS(LOG!$C$2:$C$2001,F44,LOG!$H$2:$H$2001,1),0)</f>
        <v>0</v>
      </c>
      <c r="R44" s="46">
        <f>IF(Q44&gt;0,_xlfn.MAXIFS(LOG!$G$2:$G$2001,LOG!$C$2:$C$2001,F44,LOG!$H$2:$H$2001,1),0)</f>
        <v>0</v>
      </c>
      <c r="S44" s="28" t="str">
        <f>IF(Q44&gt;0,IFERROR(INDEX(LOG!$D$2:$D$2001,MATCH(F44&amp;"|"&amp;Q44,LOG!$I$2:$I$2001,0)),""),"")</f>
        <v/>
      </c>
      <c r="T44" s="28">
        <f>IF(S44="",0,IFERROR(VLOOKUP(S44,LISTS!$A$2:$E$10,4,FALSE),0))</f>
        <v>0</v>
      </c>
      <c r="U44" s="46">
        <f t="shared" si="2"/>
        <v>0</v>
      </c>
      <c r="V44" s="46">
        <f>IF(L44=1,H44+SETTINGS!$B$5/24,"")</f>
        <v>46309.82708333333</v>
      </c>
      <c r="W44" s="28">
        <f ca="1">IF(L44=1,(V44-SETTINGS!$B$4)*24,"")</f>
        <v>-1.6666666720993817E-2</v>
      </c>
      <c r="X44" s="28">
        <f ca="1">IF(AND(L44=1,K44="OK",M44=0,N44=0,O44=0,P44=0,SETTINGS!$B$4&lt;V44,Q44&lt;SETTINGS!$B$6),1,0)</f>
        <v>0</v>
      </c>
      <c r="Y44" s="28">
        <f ca="1">IF(AND(X44=1,SETTINGS!$B$4&gt;=H44,SETTINGS!$B$4&gt;=U44,ROUND(MOD(SETTINGS!$B$4,1)*1440,0)&gt;=ROUND(SETTINGS!$B$7*1440,0),ROUND(MOD(SETTINGS!$B$4,1)*1440,0)&lt;ROUND(SETTINGS!$B$8*1440,0)),1,0)</f>
        <v>0</v>
      </c>
      <c r="Z44" s="28" t="str">
        <f ca="1">IF(B44="","",IF(ROUND(MOD(SETTINGS!$B$4,1)*1440,0)&lt;ROUND(SETTINGS!$B$11*1440,0),"Ram",IF(ROUND(MOD(SETTINGS!$B$4,1)*1440,0)&gt;=ROUND(SETTINGS!$B$10*1440,0),"Shyam",IF(MOD(IFERROR(VALUE(RIGHT(F44,2)),0),2)=0,"Ram","Shyam"))))</f>
        <v>Shyam</v>
      </c>
      <c r="AA44" s="28">
        <f t="shared" ca="1" si="3"/>
        <v>0</v>
      </c>
      <c r="AB44" s="28">
        <f ca="1">IF(X44=1,COUNTIFS($F$2:F44,F44,$X$2:X44,1),0)</f>
        <v>0</v>
      </c>
      <c r="AC44" s="28" t="str">
        <f>IF(L44=1,IF(IFERROR(INDEX(PARTNERS!$C$2:$C$88,MATCH(B44,PARTNERS!$A$2:$A$88,0)),"")="YES","YES","NO"),"")</f>
        <v>YES</v>
      </c>
      <c r="AD44" s="28" t="str">
        <f>IF(L44=1,IFERROR(INDEX(PARTNERS!$B$2:$B$88,MATCH(B44,PARTNERS!$A$2:$A$88,0)),""),"")</f>
        <v>https://calendly.com/partner008/interview</v>
      </c>
      <c r="AE44" s="28">
        <f ca="1">IF(X44=1,IFERROR(INDEX(SETTINGS!$B$34:$D$36,MATCH(I44,SETTINGS!$A$34:$A$36,0),MIN(Q44,2)+1),SETTINGS!$B$36),0)</f>
        <v>0</v>
      </c>
      <c r="AF44" s="28">
        <f t="shared" si="4"/>
        <v>1</v>
      </c>
      <c r="AG44" s="28">
        <f ca="1">IF(AND(Y44=1,AB44=1),ROUND(AA44*AE44*IF(AF44&gt;1,SETTINGS!$B$16,1)*IF(W44&lt;=SETTINGS!$B$14,SETTINGS!$B$15,1)*IF(AU44=1,SETTINGS!$B$21,1),6),0)</f>
        <v>0</v>
      </c>
      <c r="AH44" s="28" t="str">
        <f ca="1">IF(AG44&gt;0,COUNTIFS($Z$2:$Z$601,Z44,$AG$2:$AG$601,"&gt;"&amp;AG44)+COUNTIFS($Z$2:Z44,Z44,$AG$2:AG44,AG44),"")</f>
        <v/>
      </c>
      <c r="AI44" s="28" t="str">
        <f t="shared" ca="1" si="5"/>
        <v/>
      </c>
      <c r="AJ44" s="28" t="str">
        <f t="shared" ca="1" si="6"/>
        <v/>
      </c>
      <c r="AK44" s="28">
        <f>IF(L44=1,IF(COUNTIFS($F$2:F44,F44,$L$2:L44,1)=1,1,0),0)</f>
        <v>1</v>
      </c>
      <c r="AL44" s="28" t="str">
        <f ca="1">IF(B44="","",IF(K44="DUPLICATE","Duplicate (removed)",IF(AO44=1,"Scheduled within 24h",IF(M44=1,"Scheduled late",IF(K44="BAD CONTACT","Bad contact details",IF(O44=1,"Stopped / wrong number",IF(N44=1,"Not interested",IF(P44=1,"Partner has no slots",IF(SETTINGS!$B$4&gt;=V44,IF(Q44=0,"Missed deadline: never tried","Missed deadline: tried, not booked"),IF(Q44&gt;=SETTINGS!$B$6,"No reply after max tries","Open"))))))))))</f>
        <v>Missed deadline: never tried</v>
      </c>
      <c r="AM44" s="46" t="str">
        <f>IF(M44=1,IF(_xlfn.MINIFS(LOG!$G$2:$G$2001,LOG!$C$2:$C$2001,F44,LOG!$E$2:$E$2001,B44,LOG!$D$2:$D$2001,"*BOOKED")=0,_xlfn.MINIFS(LOG!$G$2:$G$2001,LOG!$C$2:$C$2001,F44,LOG!$E$2:$E$2001,"",LOG!$D$2:$D$2001,"*BOOKED"),IF(_xlfn.MINIFS(LOG!$G$2:$G$2001,LOG!$C$2:$C$2001,F44,LOG!$E$2:$E$2001,"",LOG!$D$2:$D$2001,"*BOOKED")=0,_xlfn.MINIFS(LOG!$G$2:$G$2001,LOG!$C$2:$C$2001,F44,LOG!$E$2:$E$2001,B44,LOG!$D$2:$D$2001,"*BOOKED"),MIN(_xlfn.MINIFS(LOG!$G$2:$G$2001,LOG!$C$2:$C$2001,F44,LOG!$E$2:$E$2001,B44,LOG!$D$2:$D$2001,"*BOOKED"),_xlfn.MINIFS(LOG!$G$2:$G$2001,LOG!$C$2:$C$2001,F44,LOG!$E$2:$E$2001,"",LOG!$D$2:$D$2001,"*BOOKED")))),"")</f>
        <v/>
      </c>
      <c r="AN44" s="28" t="str">
        <f t="shared" si="7"/>
        <v/>
      </c>
      <c r="AO44" s="28">
        <f>IF(AND(M44=1,AN44&lt;&gt;""),IF(AN44&lt;=SETTINGS!$B$5,1,0),0)</f>
        <v>0</v>
      </c>
      <c r="AP44" s="28">
        <f>IF(M44=1,IF(COUNTIFS(LOG!$C$2:$C$2001,F44,LOG!$E$2:$E$2001,B44,LOG!$D$2:$D$2001,"BOOKED")+COUNTIFS(LOG!$C$2:$C$2001,F44,LOG!$E$2:$E$2001,"",LOG!$D$2:$D$2001,"BOOKED")&gt;0,1,0),0)</f>
        <v>0</v>
      </c>
      <c r="AQ44" s="28" t="str">
        <f t="shared" si="8"/>
        <v>Kavya</v>
      </c>
      <c r="AR44" s="28">
        <f>IF(AND(AK44=1,K44="OK"),COUNTIFS($AK$2:AK44,1,$K$2:K44,"OK"),"")</f>
        <v>42</v>
      </c>
      <c r="AS44" s="28" t="str">
        <f>IF(L44=1,IFERROR(INDEX(MESSAGES!$J$9:$J$1008,MATCH(F44,MESSAGES!$M$9:$M$1008,0))&amp;"",""),"")</f>
        <v/>
      </c>
      <c r="AT44" s="28" t="str">
        <f>IF(L44=1,IFERROR(INDEX(MESSAGES!$K$9:$K$1008,MATCH(F44,MESSAGES!$M$9:$M$1008,0))&amp;"",""),"")</f>
        <v/>
      </c>
      <c r="AU44" s="28">
        <f t="shared" ca="1" si="9"/>
        <v>0</v>
      </c>
      <c r="AV44" s="28" t="str">
        <f t="shared" si="10"/>
        <v>HOLD</v>
      </c>
    </row>
    <row r="45" spans="1:48" x14ac:dyDescent="0.35">
      <c r="A45" s="28">
        <v>44</v>
      </c>
      <c r="B45" s="28" t="str">
        <f>IF(INPUT!A45="","",TRIM(INPUT!A45))</f>
        <v>Partner 027</v>
      </c>
      <c r="C45" s="28" t="str">
        <f>IF(B45="","",INPUT!C45)</f>
        <v>interviewer2@partner027.example.com</v>
      </c>
      <c r="D45" s="28" t="str">
        <f>IF(B45="","",INPUT!D45)</f>
        <v>Zoya F.</v>
      </c>
      <c r="E45" s="28" t="str">
        <f>IF(B45="","",INPUT!E45)</f>
        <v>zoya.f167@example.com</v>
      </c>
      <c r="F45" s="43" t="str">
        <f>IF(B45="","",TRIM(INPUT!F45&amp;""))</f>
        <v>9000002178</v>
      </c>
      <c r="G45" s="28" t="str">
        <f>IF(B45="","",INPUT!H45)</f>
        <v>Round1</v>
      </c>
      <c r="H45" s="46">
        <f>IF(B45="","",INPUT!I45)</f>
        <v>46308.82708333333</v>
      </c>
      <c r="I45" s="28" t="str">
        <f>IF(B45="","",IF(INPUT!J45="","None",INPUT!J45))</f>
        <v>None</v>
      </c>
      <c r="J45" s="28" t="str">
        <f t="shared" si="0"/>
        <v>zoya.f167@example.com|partner 027|Round1|interviewer2@partner027.example.com</v>
      </c>
      <c r="K45" s="28" t="str">
        <f>IF(B45="","",IF(SUMPRODUCT(($J$2:$J$601=J45)*($H$2:$H$601&lt;H45))+SUMPRODUCT(($J$2:J45=J45)*($H$2:H45=H45))-1&gt;0,"DUPLICATE",IF(AND(ISNUMBER(SEARCH("@",E45)),ISNUMBER(SEARCH(".",E45)),LEN(F45)=10,ISNUMBER(VALUE(F45))),"OK","BAD CONTACT")))</f>
        <v>OK</v>
      </c>
      <c r="L45" s="28">
        <f t="shared" si="1"/>
        <v>1</v>
      </c>
      <c r="M45" s="28">
        <f>IF(L45=1,IF(COUNTIFS(LOG!$C$2:$C$2001,F45,LOG!$E$2:$E$2001,B45,LOG!$D$2:$D$2001,"*BOOKED")+COUNTIFS(LOG!$C$2:$C$2001,F45,LOG!$E$2:$E$2001,"",LOG!$D$2:$D$2001,"*BOOKED")&gt;0,1,0),0)</f>
        <v>0</v>
      </c>
      <c r="N45" s="28">
        <f>IF(L45=1,IF(COUNTIFS(LOG!$C$2:$C$2001,F45,LOG!$E$2:$E$2001,B45,LOG!$D$2:$D$2001,"NOT_INTERESTED")+COUNTIFS(LOG!$C$2:$C$2001,F45,LOG!$E$2:$E$2001,"",LOG!$D$2:$D$2001,"NOT_INTERESTED")&gt;0,1,0),0)</f>
        <v>0</v>
      </c>
      <c r="O45" s="28">
        <f>IF(L45=1,IF(COUNTIFS(LOG!$C$2:$C$2001,F45,LOG!$D$2:$D$2001,"STOP")+COUNTIFS(LOG!$C$2:$C$2001,F45,LOG!$D$2:$D$2001,"WRONG_NUMBER")&gt;0,1,IF(ISNUMBER(SEARCH("STOP",AT45)),1,0)),0)</f>
        <v>0</v>
      </c>
      <c r="P45" s="28">
        <f>IF(L45=1,IF(IFERROR(INDEX(PARTNERS!$D$2:$D$88,MATCH(B45,PARTNERS!$A$2:$A$88,0)),"")="NO SLOTS",1,IF(AND(IFERROR(INDEX(PARTNERS!$D$2:$D$88,MATCH(B45,PARTNERS!$A$2:$A$88,0)),"")&lt;&gt;"REOPENED",COUNTIFS(LOG!$E$2:$E$2001,B45,LOG!$D$2:$D$2001,"NO_SLOTS")&gt;0),1,0)),0)</f>
        <v>0</v>
      </c>
      <c r="Q45" s="28">
        <f>IF(L45=1,COUNTIFS(LOG!$C$2:$C$2001,F45,LOG!$H$2:$H$2001,1),0)</f>
        <v>0</v>
      </c>
      <c r="R45" s="46">
        <f>IF(Q45&gt;0,_xlfn.MAXIFS(LOG!$G$2:$G$2001,LOG!$C$2:$C$2001,F45,LOG!$H$2:$H$2001,1),0)</f>
        <v>0</v>
      </c>
      <c r="S45" s="28" t="str">
        <f>IF(Q45&gt;0,IFERROR(INDEX(LOG!$D$2:$D$2001,MATCH(F45&amp;"|"&amp;Q45,LOG!$I$2:$I$2001,0)),""),"")</f>
        <v/>
      </c>
      <c r="T45" s="28">
        <f>IF(S45="",0,IFERROR(VLOOKUP(S45,LISTS!$A$2:$E$10,4,FALSE),0))</f>
        <v>0</v>
      </c>
      <c r="U45" s="46">
        <f t="shared" si="2"/>
        <v>0</v>
      </c>
      <c r="V45" s="46">
        <f>IF(L45=1,H45+SETTINGS!$B$5/24,"")</f>
        <v>46309.82708333333</v>
      </c>
      <c r="W45" s="28">
        <f ca="1">IF(L45=1,(V45-SETTINGS!$B$4)*24,"")</f>
        <v>-1.6666666720993817E-2</v>
      </c>
      <c r="X45" s="28">
        <f ca="1">IF(AND(L45=1,K45="OK",M45=0,N45=0,O45=0,P45=0,SETTINGS!$B$4&lt;V45,Q45&lt;SETTINGS!$B$6),1,0)</f>
        <v>0</v>
      </c>
      <c r="Y45" s="28">
        <f ca="1">IF(AND(X45=1,SETTINGS!$B$4&gt;=H45,SETTINGS!$B$4&gt;=U45,ROUND(MOD(SETTINGS!$B$4,1)*1440,0)&gt;=ROUND(SETTINGS!$B$7*1440,0),ROUND(MOD(SETTINGS!$B$4,1)*1440,0)&lt;ROUND(SETTINGS!$B$8*1440,0)),1,0)</f>
        <v>0</v>
      </c>
      <c r="Z45" s="28" t="str">
        <f ca="1">IF(B45="","",IF(ROUND(MOD(SETTINGS!$B$4,1)*1440,0)&lt;ROUND(SETTINGS!$B$11*1440,0),"Ram",IF(ROUND(MOD(SETTINGS!$B$4,1)*1440,0)&gt;=ROUND(SETTINGS!$B$10*1440,0),"Shyam",IF(MOD(IFERROR(VALUE(RIGHT(F45,2)),0),2)=0,"Ram","Shyam"))))</f>
        <v>Shyam</v>
      </c>
      <c r="AA45" s="28">
        <f t="shared" ca="1" si="3"/>
        <v>0</v>
      </c>
      <c r="AB45" s="28">
        <f ca="1">IF(X45=1,COUNTIFS($F$2:F45,F45,$X$2:X45,1),0)</f>
        <v>0</v>
      </c>
      <c r="AC45" s="28" t="str">
        <f>IF(L45=1,IF(IFERROR(INDEX(PARTNERS!$C$2:$C$88,MATCH(B45,PARTNERS!$A$2:$A$88,0)),"")="YES","YES","NO"),"")</f>
        <v>YES</v>
      </c>
      <c r="AD45" s="28" t="str">
        <f>IF(L45=1,IFERROR(INDEX(PARTNERS!$B$2:$B$88,MATCH(B45,PARTNERS!$A$2:$A$88,0)),""),"")</f>
        <v>https://calendly.com/partner027/interview</v>
      </c>
      <c r="AE45" s="28">
        <f ca="1">IF(X45=1,IFERROR(INDEX(SETTINGS!$B$34:$D$36,MATCH(I45,SETTINGS!$A$34:$A$36,0),MIN(Q45,2)+1),SETTINGS!$B$36),0)</f>
        <v>0</v>
      </c>
      <c r="AF45" s="28">
        <f t="shared" si="4"/>
        <v>1</v>
      </c>
      <c r="AG45" s="28">
        <f ca="1">IF(AND(Y45=1,AB45=1),ROUND(AA45*AE45*IF(AF45&gt;1,SETTINGS!$B$16,1)*IF(W45&lt;=SETTINGS!$B$14,SETTINGS!$B$15,1)*IF(AU45=1,SETTINGS!$B$21,1),6),0)</f>
        <v>0</v>
      </c>
      <c r="AH45" s="28" t="str">
        <f ca="1">IF(AG45&gt;0,COUNTIFS($Z$2:$Z$601,Z45,$AG$2:$AG$601,"&gt;"&amp;AG45)+COUNTIFS($Z$2:Z45,Z45,$AG$2:AG45,AG45),"")</f>
        <v/>
      </c>
      <c r="AI45" s="28" t="str">
        <f t="shared" ca="1" si="5"/>
        <v/>
      </c>
      <c r="AJ45" s="28" t="str">
        <f t="shared" ca="1" si="6"/>
        <v/>
      </c>
      <c r="AK45" s="28">
        <f>IF(L45=1,IF(COUNTIFS($F$2:F45,F45,$L$2:L45,1)=1,1,0),0)</f>
        <v>1</v>
      </c>
      <c r="AL45" s="28" t="str">
        <f ca="1">IF(B45="","",IF(K45="DUPLICATE","Duplicate (removed)",IF(AO45=1,"Scheduled within 24h",IF(M45=1,"Scheduled late",IF(K45="BAD CONTACT","Bad contact details",IF(O45=1,"Stopped / wrong number",IF(N45=1,"Not interested",IF(P45=1,"Partner has no slots",IF(SETTINGS!$B$4&gt;=V45,IF(Q45=0,"Missed deadline: never tried","Missed deadline: tried, not booked"),IF(Q45&gt;=SETTINGS!$B$6,"No reply after max tries","Open"))))))))))</f>
        <v>Missed deadline: never tried</v>
      </c>
      <c r="AM45" s="46" t="str">
        <f>IF(M45=1,IF(_xlfn.MINIFS(LOG!$G$2:$G$2001,LOG!$C$2:$C$2001,F45,LOG!$E$2:$E$2001,B45,LOG!$D$2:$D$2001,"*BOOKED")=0,_xlfn.MINIFS(LOG!$G$2:$G$2001,LOG!$C$2:$C$2001,F45,LOG!$E$2:$E$2001,"",LOG!$D$2:$D$2001,"*BOOKED"),IF(_xlfn.MINIFS(LOG!$G$2:$G$2001,LOG!$C$2:$C$2001,F45,LOG!$E$2:$E$2001,"",LOG!$D$2:$D$2001,"*BOOKED")=0,_xlfn.MINIFS(LOG!$G$2:$G$2001,LOG!$C$2:$C$2001,F45,LOG!$E$2:$E$2001,B45,LOG!$D$2:$D$2001,"*BOOKED"),MIN(_xlfn.MINIFS(LOG!$G$2:$G$2001,LOG!$C$2:$C$2001,F45,LOG!$E$2:$E$2001,B45,LOG!$D$2:$D$2001,"*BOOKED"),_xlfn.MINIFS(LOG!$G$2:$G$2001,LOG!$C$2:$C$2001,F45,LOG!$E$2:$E$2001,"",LOG!$D$2:$D$2001,"*BOOKED")))),"")</f>
        <v/>
      </c>
      <c r="AN45" s="28" t="str">
        <f t="shared" si="7"/>
        <v/>
      </c>
      <c r="AO45" s="28">
        <f>IF(AND(M45=1,AN45&lt;&gt;""),IF(AN45&lt;=SETTINGS!$B$5,1,0),0)</f>
        <v>0</v>
      </c>
      <c r="AP45" s="28">
        <f>IF(M45=1,IF(COUNTIFS(LOG!$C$2:$C$2001,F45,LOG!$E$2:$E$2001,B45,LOG!$D$2:$D$2001,"BOOKED")+COUNTIFS(LOG!$C$2:$C$2001,F45,LOG!$E$2:$E$2001,"",LOG!$D$2:$D$2001,"BOOKED")&gt;0,1,0),0)</f>
        <v>0</v>
      </c>
      <c r="AQ45" s="28" t="str">
        <f t="shared" si="8"/>
        <v>Zoya</v>
      </c>
      <c r="AR45" s="28">
        <f>IF(AND(AK45=1,K45="OK"),COUNTIFS($AK$2:AK45,1,$K$2:K45,"OK"),"")</f>
        <v>43</v>
      </c>
      <c r="AS45" s="28" t="str">
        <f>IF(L45=1,IFERROR(INDEX(MESSAGES!$J$9:$J$1008,MATCH(F45,MESSAGES!$M$9:$M$1008,0))&amp;"",""),"")</f>
        <v/>
      </c>
      <c r="AT45" s="28" t="str">
        <f>IF(L45=1,IFERROR(INDEX(MESSAGES!$K$9:$K$1008,MATCH(F45,MESSAGES!$M$9:$M$1008,0))&amp;"",""),"")</f>
        <v/>
      </c>
      <c r="AU45" s="28">
        <f t="shared" ca="1" si="9"/>
        <v>0</v>
      </c>
      <c r="AV45" s="28" t="str">
        <f t="shared" si="10"/>
        <v>HOLD</v>
      </c>
    </row>
    <row r="46" spans="1:48" x14ac:dyDescent="0.35">
      <c r="A46" s="28">
        <v>45</v>
      </c>
      <c r="B46" s="28" t="str">
        <f>IF(INPUT!A46="","",TRIM(INPUT!A46))</f>
        <v>Partner 026</v>
      </c>
      <c r="C46" s="28" t="str">
        <f>IF(B46="","",INPUT!C46)</f>
        <v>interviewer0@partner026.example.com</v>
      </c>
      <c r="D46" s="28" t="str">
        <f>IF(B46="","",INPUT!D46)</f>
        <v>Riya P.</v>
      </c>
      <c r="E46" s="28" t="str">
        <f>IF(B46="","",INPUT!E46)</f>
        <v>riya.p409@example.com</v>
      </c>
      <c r="F46" s="43" t="str">
        <f>IF(B46="","",TRIM(INPUT!F46&amp;""))</f>
        <v>9000005324</v>
      </c>
      <c r="G46" s="28" t="str">
        <f>IF(B46="","",INPUT!H46)</f>
        <v>Round1</v>
      </c>
      <c r="H46" s="46">
        <f>IF(B46="","",INPUT!I46)</f>
        <v>46308.82708333333</v>
      </c>
      <c r="I46" s="28" t="str">
        <f>IF(B46="","",IF(INPUT!J46="","None",INPUT!J46))</f>
        <v>None</v>
      </c>
      <c r="J46" s="28" t="str">
        <f t="shared" si="0"/>
        <v>riya.p409@example.com|partner 026|Round1|interviewer0@partner026.example.com</v>
      </c>
      <c r="K46" s="28" t="str">
        <f>IF(B46="","",IF(SUMPRODUCT(($J$2:$J$601=J46)*($H$2:$H$601&lt;H46))+SUMPRODUCT(($J$2:J46=J46)*($H$2:H46=H46))-1&gt;0,"DUPLICATE",IF(AND(ISNUMBER(SEARCH("@",E46)),ISNUMBER(SEARCH(".",E46)),LEN(F46)=10,ISNUMBER(VALUE(F46))),"OK","BAD CONTACT")))</f>
        <v>OK</v>
      </c>
      <c r="L46" s="28">
        <f t="shared" si="1"/>
        <v>1</v>
      </c>
      <c r="M46" s="28">
        <f>IF(L46=1,IF(COUNTIFS(LOG!$C$2:$C$2001,F46,LOG!$E$2:$E$2001,B46,LOG!$D$2:$D$2001,"*BOOKED")+COUNTIFS(LOG!$C$2:$C$2001,F46,LOG!$E$2:$E$2001,"",LOG!$D$2:$D$2001,"*BOOKED")&gt;0,1,0),0)</f>
        <v>0</v>
      </c>
      <c r="N46" s="28">
        <f>IF(L46=1,IF(COUNTIFS(LOG!$C$2:$C$2001,F46,LOG!$E$2:$E$2001,B46,LOG!$D$2:$D$2001,"NOT_INTERESTED")+COUNTIFS(LOG!$C$2:$C$2001,F46,LOG!$E$2:$E$2001,"",LOG!$D$2:$D$2001,"NOT_INTERESTED")&gt;0,1,0),0)</f>
        <v>0</v>
      </c>
      <c r="O46" s="28">
        <f>IF(L46=1,IF(COUNTIFS(LOG!$C$2:$C$2001,F46,LOG!$D$2:$D$2001,"STOP")+COUNTIFS(LOG!$C$2:$C$2001,F46,LOG!$D$2:$D$2001,"WRONG_NUMBER")&gt;0,1,IF(ISNUMBER(SEARCH("STOP",AT46)),1,0)),0)</f>
        <v>0</v>
      </c>
      <c r="P46" s="28">
        <f>IF(L46=1,IF(IFERROR(INDEX(PARTNERS!$D$2:$D$88,MATCH(B46,PARTNERS!$A$2:$A$88,0)),"")="NO SLOTS",1,IF(AND(IFERROR(INDEX(PARTNERS!$D$2:$D$88,MATCH(B46,PARTNERS!$A$2:$A$88,0)),"")&lt;&gt;"REOPENED",COUNTIFS(LOG!$E$2:$E$2001,B46,LOG!$D$2:$D$2001,"NO_SLOTS")&gt;0),1,0)),0)</f>
        <v>0</v>
      </c>
      <c r="Q46" s="28">
        <f>IF(L46=1,COUNTIFS(LOG!$C$2:$C$2001,F46,LOG!$H$2:$H$2001,1),0)</f>
        <v>0</v>
      </c>
      <c r="R46" s="46">
        <f>IF(Q46&gt;0,_xlfn.MAXIFS(LOG!$G$2:$G$2001,LOG!$C$2:$C$2001,F46,LOG!$H$2:$H$2001,1),0)</f>
        <v>0</v>
      </c>
      <c r="S46" s="28" t="str">
        <f>IF(Q46&gt;0,IFERROR(INDEX(LOG!$D$2:$D$2001,MATCH(F46&amp;"|"&amp;Q46,LOG!$I$2:$I$2001,0)),""),"")</f>
        <v/>
      </c>
      <c r="T46" s="28">
        <f>IF(S46="",0,IFERROR(VLOOKUP(S46,LISTS!$A$2:$E$10,4,FALSE),0))</f>
        <v>0</v>
      </c>
      <c r="U46" s="46">
        <f t="shared" si="2"/>
        <v>0</v>
      </c>
      <c r="V46" s="46">
        <f>IF(L46=1,H46+SETTINGS!$B$5/24,"")</f>
        <v>46309.82708333333</v>
      </c>
      <c r="W46" s="28">
        <f ca="1">IF(L46=1,(V46-SETTINGS!$B$4)*24,"")</f>
        <v>-1.6666666720993817E-2</v>
      </c>
      <c r="X46" s="28">
        <f ca="1">IF(AND(L46=1,K46="OK",M46=0,N46=0,O46=0,P46=0,SETTINGS!$B$4&lt;V46,Q46&lt;SETTINGS!$B$6),1,0)</f>
        <v>0</v>
      </c>
      <c r="Y46" s="28">
        <f ca="1">IF(AND(X46=1,SETTINGS!$B$4&gt;=H46,SETTINGS!$B$4&gt;=U46,ROUND(MOD(SETTINGS!$B$4,1)*1440,0)&gt;=ROUND(SETTINGS!$B$7*1440,0),ROUND(MOD(SETTINGS!$B$4,1)*1440,0)&lt;ROUND(SETTINGS!$B$8*1440,0)),1,0)</f>
        <v>0</v>
      </c>
      <c r="Z46" s="28" t="str">
        <f ca="1">IF(B46="","",IF(ROUND(MOD(SETTINGS!$B$4,1)*1440,0)&lt;ROUND(SETTINGS!$B$11*1440,0),"Ram",IF(ROUND(MOD(SETTINGS!$B$4,1)*1440,0)&gt;=ROUND(SETTINGS!$B$10*1440,0),"Shyam",IF(MOD(IFERROR(VALUE(RIGHT(F46,2)),0),2)=0,"Ram","Shyam"))))</f>
        <v>Shyam</v>
      </c>
      <c r="AA46" s="28">
        <f t="shared" ca="1" si="3"/>
        <v>0</v>
      </c>
      <c r="AB46" s="28">
        <f ca="1">IF(X46=1,COUNTIFS($F$2:F46,F46,$X$2:X46,1),0)</f>
        <v>0</v>
      </c>
      <c r="AC46" s="28" t="str">
        <f>IF(L46=1,IF(IFERROR(INDEX(PARTNERS!$C$2:$C$88,MATCH(B46,PARTNERS!$A$2:$A$88,0)),"")="YES","YES","NO"),"")</f>
        <v>YES</v>
      </c>
      <c r="AD46" s="28" t="str">
        <f>IF(L46=1,IFERROR(INDEX(PARTNERS!$B$2:$B$88,MATCH(B46,PARTNERS!$A$2:$A$88,0)),""),"")</f>
        <v>https://calendly.com/partner026/interview</v>
      </c>
      <c r="AE46" s="28">
        <f ca="1">IF(X46=1,IFERROR(INDEX(SETTINGS!$B$34:$D$36,MATCH(I46,SETTINGS!$A$34:$A$36,0),MIN(Q46,2)+1),SETTINGS!$B$36),0)</f>
        <v>0</v>
      </c>
      <c r="AF46" s="28">
        <f t="shared" si="4"/>
        <v>1</v>
      </c>
      <c r="AG46" s="28">
        <f ca="1">IF(AND(Y46=1,AB46=1),ROUND(AA46*AE46*IF(AF46&gt;1,SETTINGS!$B$16,1)*IF(W46&lt;=SETTINGS!$B$14,SETTINGS!$B$15,1)*IF(AU46=1,SETTINGS!$B$21,1),6),0)</f>
        <v>0</v>
      </c>
      <c r="AH46" s="28" t="str">
        <f ca="1">IF(AG46&gt;0,COUNTIFS($Z$2:$Z$601,Z46,$AG$2:$AG$601,"&gt;"&amp;AG46)+COUNTIFS($Z$2:Z46,Z46,$AG$2:AG46,AG46),"")</f>
        <v/>
      </c>
      <c r="AI46" s="28" t="str">
        <f t="shared" ca="1" si="5"/>
        <v/>
      </c>
      <c r="AJ46" s="28" t="str">
        <f t="shared" ca="1" si="6"/>
        <v/>
      </c>
      <c r="AK46" s="28">
        <f>IF(L46=1,IF(COUNTIFS($F$2:F46,F46,$L$2:L46,1)=1,1,0),0)</f>
        <v>1</v>
      </c>
      <c r="AL46" s="28" t="str">
        <f ca="1">IF(B46="","",IF(K46="DUPLICATE","Duplicate (removed)",IF(AO46=1,"Scheduled within 24h",IF(M46=1,"Scheduled late",IF(K46="BAD CONTACT","Bad contact details",IF(O46=1,"Stopped / wrong number",IF(N46=1,"Not interested",IF(P46=1,"Partner has no slots",IF(SETTINGS!$B$4&gt;=V46,IF(Q46=0,"Missed deadline: never tried","Missed deadline: tried, not booked"),IF(Q46&gt;=SETTINGS!$B$6,"No reply after max tries","Open"))))))))))</f>
        <v>Missed deadline: never tried</v>
      </c>
      <c r="AM46" s="46" t="str">
        <f>IF(M46=1,IF(_xlfn.MINIFS(LOG!$G$2:$G$2001,LOG!$C$2:$C$2001,F46,LOG!$E$2:$E$2001,B46,LOG!$D$2:$D$2001,"*BOOKED")=0,_xlfn.MINIFS(LOG!$G$2:$G$2001,LOG!$C$2:$C$2001,F46,LOG!$E$2:$E$2001,"",LOG!$D$2:$D$2001,"*BOOKED"),IF(_xlfn.MINIFS(LOG!$G$2:$G$2001,LOG!$C$2:$C$2001,F46,LOG!$E$2:$E$2001,"",LOG!$D$2:$D$2001,"*BOOKED")=0,_xlfn.MINIFS(LOG!$G$2:$G$2001,LOG!$C$2:$C$2001,F46,LOG!$E$2:$E$2001,B46,LOG!$D$2:$D$2001,"*BOOKED"),MIN(_xlfn.MINIFS(LOG!$G$2:$G$2001,LOG!$C$2:$C$2001,F46,LOG!$E$2:$E$2001,B46,LOG!$D$2:$D$2001,"*BOOKED"),_xlfn.MINIFS(LOG!$G$2:$G$2001,LOG!$C$2:$C$2001,F46,LOG!$E$2:$E$2001,"",LOG!$D$2:$D$2001,"*BOOKED")))),"")</f>
        <v/>
      </c>
      <c r="AN46" s="28" t="str">
        <f t="shared" si="7"/>
        <v/>
      </c>
      <c r="AO46" s="28">
        <f>IF(AND(M46=1,AN46&lt;&gt;""),IF(AN46&lt;=SETTINGS!$B$5,1,0),0)</f>
        <v>0</v>
      </c>
      <c r="AP46" s="28">
        <f>IF(M46=1,IF(COUNTIFS(LOG!$C$2:$C$2001,F46,LOG!$E$2:$E$2001,B46,LOG!$D$2:$D$2001,"BOOKED")+COUNTIFS(LOG!$C$2:$C$2001,F46,LOG!$E$2:$E$2001,"",LOG!$D$2:$D$2001,"BOOKED")&gt;0,1,0),0)</f>
        <v>0</v>
      </c>
      <c r="AQ46" s="28" t="str">
        <f t="shared" si="8"/>
        <v>Riya</v>
      </c>
      <c r="AR46" s="28">
        <f>IF(AND(AK46=1,K46="OK"),COUNTIFS($AK$2:AK46,1,$K$2:K46,"OK"),"")</f>
        <v>44</v>
      </c>
      <c r="AS46" s="28" t="str">
        <f>IF(L46=1,IFERROR(INDEX(MESSAGES!$J$9:$J$1008,MATCH(F46,MESSAGES!$M$9:$M$1008,0))&amp;"",""),"")</f>
        <v/>
      </c>
      <c r="AT46" s="28" t="str">
        <f>IF(L46=1,IFERROR(INDEX(MESSAGES!$K$9:$K$1008,MATCH(F46,MESSAGES!$M$9:$M$1008,0))&amp;"",""),"")</f>
        <v/>
      </c>
      <c r="AU46" s="28">
        <f t="shared" ca="1" si="9"/>
        <v>0</v>
      </c>
      <c r="AV46" s="28" t="str">
        <f t="shared" si="10"/>
        <v>SEND</v>
      </c>
    </row>
    <row r="47" spans="1:48" x14ac:dyDescent="0.35">
      <c r="A47" s="28">
        <v>46</v>
      </c>
      <c r="B47" s="28" t="str">
        <f>IF(INPUT!A47="","",TRIM(INPUT!A47))</f>
        <v>Partner 006</v>
      </c>
      <c r="C47" s="28" t="str">
        <f>IF(B47="","",INPUT!C47)</f>
        <v>interviewer1@partner006.example.com</v>
      </c>
      <c r="D47" s="28" t="str">
        <f>IF(B47="","",INPUT!D47)</f>
        <v>Aditya H.</v>
      </c>
      <c r="E47" s="28" t="str">
        <f>IF(B47="","",INPUT!E47)</f>
        <v>aditya.h232@example.com</v>
      </c>
      <c r="F47" s="43" t="str">
        <f>IF(B47="","",TRIM(INPUT!F47&amp;""))</f>
        <v>9000003023</v>
      </c>
      <c r="G47" s="28" t="str">
        <f>IF(B47="","",INPUT!H47)</f>
        <v>Round1</v>
      </c>
      <c r="H47" s="46">
        <f>IF(B47="","",INPUT!I47)</f>
        <v>46308.82708333333</v>
      </c>
      <c r="I47" s="28" t="str">
        <f>IF(B47="","",IF(INPUT!J47="","None",INPUT!J47))</f>
        <v>None</v>
      </c>
      <c r="J47" s="28" t="str">
        <f t="shared" si="0"/>
        <v>aditya.h232@example.com|partner 006|Round1|interviewer1@partner006.example.com</v>
      </c>
      <c r="K47" s="28" t="str">
        <f>IF(B47="","",IF(SUMPRODUCT(($J$2:$J$601=J47)*($H$2:$H$601&lt;H47))+SUMPRODUCT(($J$2:J47=J47)*($H$2:H47=H47))-1&gt;0,"DUPLICATE",IF(AND(ISNUMBER(SEARCH("@",E47)),ISNUMBER(SEARCH(".",E47)),LEN(F47)=10,ISNUMBER(VALUE(F47))),"OK","BAD CONTACT")))</f>
        <v>OK</v>
      </c>
      <c r="L47" s="28">
        <f t="shared" si="1"/>
        <v>1</v>
      </c>
      <c r="M47" s="28">
        <f>IF(L47=1,IF(COUNTIFS(LOG!$C$2:$C$2001,F47,LOG!$E$2:$E$2001,B47,LOG!$D$2:$D$2001,"*BOOKED")+COUNTIFS(LOG!$C$2:$C$2001,F47,LOG!$E$2:$E$2001,"",LOG!$D$2:$D$2001,"*BOOKED")&gt;0,1,0),0)</f>
        <v>0</v>
      </c>
      <c r="N47" s="28">
        <f>IF(L47=1,IF(COUNTIFS(LOG!$C$2:$C$2001,F47,LOG!$E$2:$E$2001,B47,LOG!$D$2:$D$2001,"NOT_INTERESTED")+COUNTIFS(LOG!$C$2:$C$2001,F47,LOG!$E$2:$E$2001,"",LOG!$D$2:$D$2001,"NOT_INTERESTED")&gt;0,1,0),0)</f>
        <v>0</v>
      </c>
      <c r="O47" s="28">
        <f>IF(L47=1,IF(COUNTIFS(LOG!$C$2:$C$2001,F47,LOG!$D$2:$D$2001,"STOP")+COUNTIFS(LOG!$C$2:$C$2001,F47,LOG!$D$2:$D$2001,"WRONG_NUMBER")&gt;0,1,IF(ISNUMBER(SEARCH("STOP",AT47)),1,0)),0)</f>
        <v>0</v>
      </c>
      <c r="P47" s="28">
        <f>IF(L47=1,IF(IFERROR(INDEX(PARTNERS!$D$2:$D$88,MATCH(B47,PARTNERS!$A$2:$A$88,0)),"")="NO SLOTS",1,IF(AND(IFERROR(INDEX(PARTNERS!$D$2:$D$88,MATCH(B47,PARTNERS!$A$2:$A$88,0)),"")&lt;&gt;"REOPENED",COUNTIFS(LOG!$E$2:$E$2001,B47,LOG!$D$2:$D$2001,"NO_SLOTS")&gt;0),1,0)),0)</f>
        <v>0</v>
      </c>
      <c r="Q47" s="28">
        <f>IF(L47=1,COUNTIFS(LOG!$C$2:$C$2001,F47,LOG!$H$2:$H$2001,1),0)</f>
        <v>1</v>
      </c>
      <c r="R47" s="46">
        <f>IF(Q47&gt;0,_xlfn.MAXIFS(LOG!$G$2:$G$2001,LOG!$C$2:$C$2001,F47,LOG!$H$2:$H$2001,1),0)</f>
        <v>46309.817069146658</v>
      </c>
      <c r="S47" s="28" t="str">
        <f>IF(Q47&gt;0,IFERROR(INDEX(LOG!$D$2:$D$2001,MATCH(F47&amp;"|"&amp;Q47,LOG!$I$2:$I$2001,0)),""),"")</f>
        <v>NO_ANSWER</v>
      </c>
      <c r="T47" s="28">
        <f>IF(S47="",0,IFERROR(VLOOKUP(S47,LISTS!$A$2:$E$10,4,FALSE),0))</f>
        <v>120</v>
      </c>
      <c r="U47" s="46">
        <f t="shared" si="2"/>
        <v>46309.900402479994</v>
      </c>
      <c r="V47" s="46">
        <f>IF(L47=1,H47+SETTINGS!$B$5/24,"")</f>
        <v>46309.82708333333</v>
      </c>
      <c r="W47" s="28">
        <f ca="1">IF(L47=1,(V47-SETTINGS!$B$4)*24,"")</f>
        <v>-1.6666666720993817E-2</v>
      </c>
      <c r="X47" s="28">
        <f ca="1">IF(AND(L47=1,K47="OK",M47=0,N47=0,O47=0,P47=0,SETTINGS!$B$4&lt;V47,Q47&lt;SETTINGS!$B$6),1,0)</f>
        <v>0</v>
      </c>
      <c r="Y47" s="28">
        <f ca="1">IF(AND(X47=1,SETTINGS!$B$4&gt;=H47,SETTINGS!$B$4&gt;=U47,ROUND(MOD(SETTINGS!$B$4,1)*1440,0)&gt;=ROUND(SETTINGS!$B$7*1440,0),ROUND(MOD(SETTINGS!$B$4,1)*1440,0)&lt;ROUND(SETTINGS!$B$8*1440,0)),1,0)</f>
        <v>0</v>
      </c>
      <c r="Z47" s="28" t="str">
        <f ca="1">IF(B47="","",IF(ROUND(MOD(SETTINGS!$B$4,1)*1440,0)&lt;ROUND(SETTINGS!$B$11*1440,0),"Ram",IF(ROUND(MOD(SETTINGS!$B$4,1)*1440,0)&gt;=ROUND(SETTINGS!$B$10*1440,0),"Shyam",IF(MOD(IFERROR(VALUE(RIGHT(F47,2)),0),2)=0,"Ram","Shyam"))))</f>
        <v>Shyam</v>
      </c>
      <c r="AA47" s="28">
        <f t="shared" ca="1" si="3"/>
        <v>0</v>
      </c>
      <c r="AB47" s="28">
        <f ca="1">IF(X47=1,COUNTIFS($F$2:F47,F47,$X$2:X47,1),0)</f>
        <v>0</v>
      </c>
      <c r="AC47" s="28" t="str">
        <f>IF(L47=1,IF(IFERROR(INDEX(PARTNERS!$C$2:$C$88,MATCH(B47,PARTNERS!$A$2:$A$88,0)),"")="YES","YES","NO"),"")</f>
        <v>YES</v>
      </c>
      <c r="AD47" s="28" t="str">
        <f>IF(L47=1,IFERROR(INDEX(PARTNERS!$B$2:$B$88,MATCH(B47,PARTNERS!$A$2:$A$88,0)),""),"")</f>
        <v>https://calendly.com/partner006/interview</v>
      </c>
      <c r="AE47" s="28">
        <f ca="1">IF(X47=1,IFERROR(INDEX(SETTINGS!$B$34:$D$36,MATCH(I47,SETTINGS!$A$34:$A$36,0),MIN(Q47,2)+1),SETTINGS!$B$36),0)</f>
        <v>0</v>
      </c>
      <c r="AF47" s="28">
        <f t="shared" si="4"/>
        <v>1</v>
      </c>
      <c r="AG47" s="28">
        <f ca="1">IF(AND(Y47=1,AB47=1),ROUND(AA47*AE47*IF(AF47&gt;1,SETTINGS!$B$16,1)*IF(W47&lt;=SETTINGS!$B$14,SETTINGS!$B$15,1)*IF(AU47=1,SETTINGS!$B$21,1),6),0)</f>
        <v>0</v>
      </c>
      <c r="AH47" s="28" t="str">
        <f ca="1">IF(AG47&gt;0,COUNTIFS($Z$2:$Z$601,Z47,$AG$2:$AG$601,"&gt;"&amp;AG47)+COUNTIFS($Z$2:Z47,Z47,$AG$2:AG47,AG47),"")</f>
        <v/>
      </c>
      <c r="AI47" s="28" t="str">
        <f t="shared" ca="1" si="5"/>
        <v/>
      </c>
      <c r="AJ47" s="28" t="str">
        <f t="shared" ca="1" si="6"/>
        <v/>
      </c>
      <c r="AK47" s="28">
        <f>IF(L47=1,IF(COUNTIFS($F$2:F47,F47,$L$2:L47,1)=1,1,0),0)</f>
        <v>1</v>
      </c>
      <c r="AL47" s="28" t="str">
        <f ca="1">IF(B47="","",IF(K47="DUPLICATE","Duplicate (removed)",IF(AO47=1,"Scheduled within 24h",IF(M47=1,"Scheduled late",IF(K47="BAD CONTACT","Bad contact details",IF(O47=1,"Stopped / wrong number",IF(N47=1,"Not interested",IF(P47=1,"Partner has no slots",IF(SETTINGS!$B$4&gt;=V47,IF(Q47=0,"Missed deadline: never tried","Missed deadline: tried, not booked"),IF(Q47&gt;=SETTINGS!$B$6,"No reply after max tries","Open"))))))))))</f>
        <v>Missed deadline: tried, not booked</v>
      </c>
      <c r="AM47" s="46" t="str">
        <f>IF(M47=1,IF(_xlfn.MINIFS(LOG!$G$2:$G$2001,LOG!$C$2:$C$2001,F47,LOG!$E$2:$E$2001,B47,LOG!$D$2:$D$2001,"*BOOKED")=0,_xlfn.MINIFS(LOG!$G$2:$G$2001,LOG!$C$2:$C$2001,F47,LOG!$E$2:$E$2001,"",LOG!$D$2:$D$2001,"*BOOKED"),IF(_xlfn.MINIFS(LOG!$G$2:$G$2001,LOG!$C$2:$C$2001,F47,LOG!$E$2:$E$2001,"",LOG!$D$2:$D$2001,"*BOOKED")=0,_xlfn.MINIFS(LOG!$G$2:$G$2001,LOG!$C$2:$C$2001,F47,LOG!$E$2:$E$2001,B47,LOG!$D$2:$D$2001,"*BOOKED"),MIN(_xlfn.MINIFS(LOG!$G$2:$G$2001,LOG!$C$2:$C$2001,F47,LOG!$E$2:$E$2001,B47,LOG!$D$2:$D$2001,"*BOOKED"),_xlfn.MINIFS(LOG!$G$2:$G$2001,LOG!$C$2:$C$2001,F47,LOG!$E$2:$E$2001,"",LOG!$D$2:$D$2001,"*BOOKED")))),"")</f>
        <v/>
      </c>
      <c r="AN47" s="28" t="str">
        <f t="shared" si="7"/>
        <v/>
      </c>
      <c r="AO47" s="28">
        <f>IF(AND(M47=1,AN47&lt;&gt;""),IF(AN47&lt;=SETTINGS!$B$5,1,0),0)</f>
        <v>0</v>
      </c>
      <c r="AP47" s="28">
        <f>IF(M47=1,IF(COUNTIFS(LOG!$C$2:$C$2001,F47,LOG!$E$2:$E$2001,B47,LOG!$D$2:$D$2001,"BOOKED")+COUNTIFS(LOG!$C$2:$C$2001,F47,LOG!$E$2:$E$2001,"",LOG!$D$2:$D$2001,"BOOKED")&gt;0,1,0),0)</f>
        <v>0</v>
      </c>
      <c r="AQ47" s="28" t="str">
        <f t="shared" si="8"/>
        <v>Aditya</v>
      </c>
      <c r="AR47" s="28">
        <f>IF(AND(AK47=1,K47="OK"),COUNTIFS($AK$2:AK47,1,$K$2:K47,"OK"),"")</f>
        <v>45</v>
      </c>
      <c r="AS47" s="28" t="str">
        <f>IF(L47=1,IFERROR(INDEX(MESSAGES!$J$9:$J$1008,MATCH(F47,MESSAGES!$M$9:$M$1008,0))&amp;"",""),"")</f>
        <v/>
      </c>
      <c r="AT47" s="28" t="str">
        <f>IF(L47=1,IFERROR(INDEX(MESSAGES!$K$9:$K$1008,MATCH(F47,MESSAGES!$M$9:$M$1008,0))&amp;"",""),"")</f>
        <v/>
      </c>
      <c r="AU47" s="28">
        <f t="shared" ca="1" si="9"/>
        <v>0</v>
      </c>
      <c r="AV47" s="28" t="str">
        <f t="shared" si="10"/>
        <v>SEND</v>
      </c>
    </row>
    <row r="48" spans="1:48" x14ac:dyDescent="0.35">
      <c r="A48" s="28">
        <v>47</v>
      </c>
      <c r="B48" s="28" t="str">
        <f>IF(INPUT!A48="","",TRIM(INPUT!A48))</f>
        <v>Partner 002</v>
      </c>
      <c r="C48" s="28" t="str">
        <f>IF(B48="","",INPUT!C48)</f>
        <v>interviewer1@partner002.example.com</v>
      </c>
      <c r="D48" s="28" t="str">
        <f>IF(B48="","",INPUT!D48)</f>
        <v>Ira H.</v>
      </c>
      <c r="E48" s="28" t="str">
        <f>IF(B48="","",INPUT!E48)</f>
        <v>ira.h215@example.com</v>
      </c>
      <c r="F48" s="43" t="str">
        <f>IF(B48="","",TRIM(INPUT!F48&amp;""))</f>
        <v>9000002802</v>
      </c>
      <c r="G48" s="28" t="str">
        <f>IF(B48="","",INPUT!H48)</f>
        <v>Round1</v>
      </c>
      <c r="H48" s="46">
        <f>IF(B48="","",INPUT!I48)</f>
        <v>46308.82708333333</v>
      </c>
      <c r="I48" s="28" t="str">
        <f>IF(B48="","",IF(INPUT!J48="","None",INPUT!J48))</f>
        <v>Opened</v>
      </c>
      <c r="J48" s="28" t="str">
        <f t="shared" si="0"/>
        <v>ira.h215@example.com|partner 002|Round1|interviewer1@partner002.example.com</v>
      </c>
      <c r="K48" s="28" t="str">
        <f>IF(B48="","",IF(SUMPRODUCT(($J$2:$J$601=J48)*($H$2:$H$601&lt;H48))+SUMPRODUCT(($J$2:J48=J48)*($H$2:H48=H48))-1&gt;0,"DUPLICATE",IF(AND(ISNUMBER(SEARCH("@",E48)),ISNUMBER(SEARCH(".",E48)),LEN(F48)=10,ISNUMBER(VALUE(F48))),"OK","BAD CONTACT")))</f>
        <v>OK</v>
      </c>
      <c r="L48" s="28">
        <f t="shared" si="1"/>
        <v>1</v>
      </c>
      <c r="M48" s="28">
        <f>IF(L48=1,IF(COUNTIFS(LOG!$C$2:$C$2001,F48,LOG!$E$2:$E$2001,B48,LOG!$D$2:$D$2001,"*BOOKED")+COUNTIFS(LOG!$C$2:$C$2001,F48,LOG!$E$2:$E$2001,"",LOG!$D$2:$D$2001,"*BOOKED")&gt;0,1,0),0)</f>
        <v>1</v>
      </c>
      <c r="N48" s="28">
        <f>IF(L48=1,IF(COUNTIFS(LOG!$C$2:$C$2001,F48,LOG!$E$2:$E$2001,B48,LOG!$D$2:$D$2001,"NOT_INTERESTED")+COUNTIFS(LOG!$C$2:$C$2001,F48,LOG!$E$2:$E$2001,"",LOG!$D$2:$D$2001,"NOT_INTERESTED")&gt;0,1,0),0)</f>
        <v>0</v>
      </c>
      <c r="O48" s="28">
        <f>IF(L48=1,IF(COUNTIFS(LOG!$C$2:$C$2001,F48,LOG!$D$2:$D$2001,"STOP")+COUNTIFS(LOG!$C$2:$C$2001,F48,LOG!$D$2:$D$2001,"WRONG_NUMBER")&gt;0,1,IF(ISNUMBER(SEARCH("STOP",AT48)),1,0)),0)</f>
        <v>0</v>
      </c>
      <c r="P48" s="28">
        <f>IF(L48=1,IF(IFERROR(INDEX(PARTNERS!$D$2:$D$88,MATCH(B48,PARTNERS!$A$2:$A$88,0)),"")="NO SLOTS",1,IF(AND(IFERROR(INDEX(PARTNERS!$D$2:$D$88,MATCH(B48,PARTNERS!$A$2:$A$88,0)),"")&lt;&gt;"REOPENED",COUNTIFS(LOG!$E$2:$E$2001,B48,LOG!$D$2:$D$2001,"NO_SLOTS")&gt;0),1,0)),0)</f>
        <v>0</v>
      </c>
      <c r="Q48" s="28">
        <f>IF(L48=1,COUNTIFS(LOG!$C$2:$C$2001,F48,LOG!$H$2:$H$2001,1),0)</f>
        <v>0</v>
      </c>
      <c r="R48" s="46">
        <f>IF(Q48&gt;0,_xlfn.MAXIFS(LOG!$G$2:$G$2001,LOG!$C$2:$C$2001,F48,LOG!$H$2:$H$2001,1),0)</f>
        <v>0</v>
      </c>
      <c r="S48" s="28" t="str">
        <f>IF(Q48&gt;0,IFERROR(INDEX(LOG!$D$2:$D$2001,MATCH(F48&amp;"|"&amp;Q48,LOG!$I$2:$I$2001,0)),""),"")</f>
        <v/>
      </c>
      <c r="T48" s="28">
        <f>IF(S48="",0,IFERROR(VLOOKUP(S48,LISTS!$A$2:$E$10,4,FALSE),0))</f>
        <v>0</v>
      </c>
      <c r="U48" s="46">
        <f t="shared" si="2"/>
        <v>0</v>
      </c>
      <c r="V48" s="46">
        <f>IF(L48=1,H48+SETTINGS!$B$5/24,"")</f>
        <v>46309.82708333333</v>
      </c>
      <c r="W48" s="28">
        <f ca="1">IF(L48=1,(V48-SETTINGS!$B$4)*24,"")</f>
        <v>-1.6666666720993817E-2</v>
      </c>
      <c r="X48" s="28">
        <f ca="1">IF(AND(L48=1,K48="OK",M48=0,N48=0,O48=0,P48=0,SETTINGS!$B$4&lt;V48,Q48&lt;SETTINGS!$B$6),1,0)</f>
        <v>0</v>
      </c>
      <c r="Y48" s="28">
        <f ca="1">IF(AND(X48=1,SETTINGS!$B$4&gt;=H48,SETTINGS!$B$4&gt;=U48,ROUND(MOD(SETTINGS!$B$4,1)*1440,0)&gt;=ROUND(SETTINGS!$B$7*1440,0),ROUND(MOD(SETTINGS!$B$4,1)*1440,0)&lt;ROUND(SETTINGS!$B$8*1440,0)),1,0)</f>
        <v>0</v>
      </c>
      <c r="Z48" s="28" t="str">
        <f ca="1">IF(B48="","",IF(ROUND(MOD(SETTINGS!$B$4,1)*1440,0)&lt;ROUND(SETTINGS!$B$11*1440,0),"Ram",IF(ROUND(MOD(SETTINGS!$B$4,1)*1440,0)&gt;=ROUND(SETTINGS!$B$10*1440,0),"Shyam",IF(MOD(IFERROR(VALUE(RIGHT(F48,2)),0),2)=0,"Ram","Shyam"))))</f>
        <v>Shyam</v>
      </c>
      <c r="AA48" s="28">
        <f t="shared" ca="1" si="3"/>
        <v>0</v>
      </c>
      <c r="AB48" s="28">
        <f ca="1">IF(X48=1,COUNTIFS($F$2:F48,F48,$X$2:X48,1),0)</f>
        <v>0</v>
      </c>
      <c r="AC48" s="28" t="str">
        <f>IF(L48=1,IF(IFERROR(INDEX(PARTNERS!$C$2:$C$88,MATCH(B48,PARTNERS!$A$2:$A$88,0)),"")="YES","YES","NO"),"")</f>
        <v>YES</v>
      </c>
      <c r="AD48" s="28" t="str">
        <f>IF(L48=1,IFERROR(INDEX(PARTNERS!$B$2:$B$88,MATCH(B48,PARTNERS!$A$2:$A$88,0)),""),"")</f>
        <v>https://calendly.com/partner002/interview</v>
      </c>
      <c r="AE48" s="28">
        <f ca="1">IF(X48=1,IFERROR(INDEX(SETTINGS!$B$34:$D$36,MATCH(I48,SETTINGS!$A$34:$A$36,0),MIN(Q48,2)+1),SETTINGS!$B$36),0)</f>
        <v>0</v>
      </c>
      <c r="AF48" s="28">
        <f t="shared" si="4"/>
        <v>1</v>
      </c>
      <c r="AG48" s="28">
        <f ca="1">IF(AND(Y48=1,AB48=1),ROUND(AA48*AE48*IF(AF48&gt;1,SETTINGS!$B$16,1)*IF(W48&lt;=SETTINGS!$B$14,SETTINGS!$B$15,1)*IF(AU48=1,SETTINGS!$B$21,1),6),0)</f>
        <v>0</v>
      </c>
      <c r="AH48" s="28" t="str">
        <f ca="1">IF(AG48&gt;0,COUNTIFS($Z$2:$Z$601,Z48,$AG$2:$AG$601,"&gt;"&amp;AG48)+COUNTIFS($Z$2:Z48,Z48,$AG$2:AG48,AG48),"")</f>
        <v/>
      </c>
      <c r="AI48" s="28" t="str">
        <f t="shared" ca="1" si="5"/>
        <v/>
      </c>
      <c r="AJ48" s="28" t="str">
        <f t="shared" ca="1" si="6"/>
        <v/>
      </c>
      <c r="AK48" s="28">
        <f>IF(L48=1,IF(COUNTIFS($F$2:F48,F48,$L$2:L48,1)=1,1,0),0)</f>
        <v>1</v>
      </c>
      <c r="AL48" s="28" t="str">
        <f>IF(B48="","",IF(K48="DUPLICATE","Duplicate (removed)",IF(AO48=1,"Scheduled within 24h",IF(M48=1,"Scheduled late",IF(K48="BAD CONTACT","Bad contact details",IF(O48=1,"Stopped / wrong number",IF(N48=1,"Not interested",IF(P48=1,"Partner has no slots",IF(SETTINGS!$B$4&gt;=V48,IF(Q48=0,"Missed deadline: never tried","Missed deadline: tried, not booked"),IF(Q48&gt;=SETTINGS!$B$6,"No reply after max tries","Open"))))))))))</f>
        <v>Scheduled within 24h</v>
      </c>
      <c r="AM48" s="46">
        <f>IF(M48=1,IF(_xlfn.MINIFS(LOG!$G$2:$G$2001,LOG!$C$2:$C$2001,F48,LOG!$E$2:$E$2001,B48,LOG!$D$2:$D$2001,"*BOOKED")=0,_xlfn.MINIFS(LOG!$G$2:$G$2001,LOG!$C$2:$C$2001,F48,LOG!$E$2:$E$2001,"",LOG!$D$2:$D$2001,"*BOOKED"),IF(_xlfn.MINIFS(LOG!$G$2:$G$2001,LOG!$C$2:$C$2001,F48,LOG!$E$2:$E$2001,"",LOG!$D$2:$D$2001,"*BOOKED")=0,_xlfn.MINIFS(LOG!$G$2:$G$2001,LOG!$C$2:$C$2001,F48,LOG!$E$2:$E$2001,B48,LOG!$D$2:$D$2001,"*BOOKED"),MIN(_xlfn.MINIFS(LOG!$G$2:$G$2001,LOG!$C$2:$C$2001,F48,LOG!$E$2:$E$2001,B48,LOG!$D$2:$D$2001,"*BOOKED"),_xlfn.MINIFS(LOG!$G$2:$G$2001,LOG!$C$2:$C$2001,F48,LOG!$E$2:$E$2001,"",LOG!$D$2:$D$2001,"*BOOKED")))),"")</f>
        <v>46309.491160385936</v>
      </c>
      <c r="AN48" s="28">
        <f t="shared" si="7"/>
        <v>15.937849262554664</v>
      </c>
      <c r="AO48" s="28">
        <f>IF(AND(M48=1,AN48&lt;&gt;""),IF(AN48&lt;=SETTINGS!$B$5,1,0),0)</f>
        <v>1</v>
      </c>
      <c r="AP48" s="28">
        <f>IF(M48=1,IF(COUNTIFS(LOG!$C$2:$C$2001,F48,LOG!$E$2:$E$2001,B48,LOG!$D$2:$D$2001,"BOOKED")+COUNTIFS(LOG!$C$2:$C$2001,F48,LOG!$E$2:$E$2001,"",LOG!$D$2:$D$2001,"BOOKED")&gt;0,1,0),0)</f>
        <v>0</v>
      </c>
      <c r="AQ48" s="28" t="str">
        <f t="shared" si="8"/>
        <v>Ira</v>
      </c>
      <c r="AR48" s="28">
        <f>IF(AND(AK48=1,K48="OK"),COUNTIFS($AK$2:AK48,1,$K$2:K48,"OK"),"")</f>
        <v>46</v>
      </c>
      <c r="AS48" s="28" t="str">
        <f>IF(L48=1,IFERROR(INDEX(MESSAGES!$J$9:$J$1008,MATCH(F48,MESSAGES!$M$9:$M$1008,0))&amp;"",""),"")</f>
        <v/>
      </c>
      <c r="AT48" s="28" t="str">
        <f>IF(L48=1,IFERROR(INDEX(MESSAGES!$K$9:$K$1008,MATCH(F48,MESSAGES!$M$9:$M$1008,0))&amp;"",""),"")</f>
        <v/>
      </c>
      <c r="AU48" s="28">
        <f t="shared" ca="1" si="9"/>
        <v>0</v>
      </c>
      <c r="AV48" s="28" t="str">
        <f t="shared" si="10"/>
        <v>SEND</v>
      </c>
    </row>
    <row r="49" spans="1:48" x14ac:dyDescent="0.35">
      <c r="A49" s="28">
        <v>48</v>
      </c>
      <c r="B49" s="28" t="str">
        <f>IF(INPUT!A49="","",TRIM(INPUT!A49))</f>
        <v>Partner 003</v>
      </c>
      <c r="C49" s="28" t="str">
        <f>IF(B49="","",INPUT!C49)</f>
        <v>interviewer0@partner003.example.com</v>
      </c>
      <c r="D49" s="28" t="str">
        <f>IF(B49="","",INPUT!D49)</f>
        <v>Aarav E.</v>
      </c>
      <c r="E49" s="28" t="str">
        <f>IF(B49="","",INPUT!E49)</f>
        <v>aarav.e120@example.com</v>
      </c>
      <c r="F49" s="43" t="str">
        <f>IF(B49="","",TRIM(INPUT!F49&amp;""))</f>
        <v>9000001567</v>
      </c>
      <c r="G49" s="28" t="str">
        <f>IF(B49="","",INPUT!H49)</f>
        <v>Round1</v>
      </c>
      <c r="H49" s="46">
        <f>IF(B49="","",INPUT!I49)</f>
        <v>46308.82708333333</v>
      </c>
      <c r="I49" s="28" t="str">
        <f>IF(B49="","",IF(INPUT!J49="","None",INPUT!J49))</f>
        <v>Clicked</v>
      </c>
      <c r="J49" s="28" t="str">
        <f t="shared" si="0"/>
        <v>aarav.e120@example.com|partner 003|Round1|interviewer0@partner003.example.com</v>
      </c>
      <c r="K49" s="28" t="str">
        <f>IF(B49="","",IF(SUMPRODUCT(($J$2:$J$601=J49)*($H$2:$H$601&lt;H49))+SUMPRODUCT(($J$2:J49=J49)*($H$2:H49=H49))-1&gt;0,"DUPLICATE",IF(AND(ISNUMBER(SEARCH("@",E49)),ISNUMBER(SEARCH(".",E49)),LEN(F49)=10,ISNUMBER(VALUE(F49))),"OK","BAD CONTACT")))</f>
        <v>OK</v>
      </c>
      <c r="L49" s="28">
        <f t="shared" si="1"/>
        <v>1</v>
      </c>
      <c r="M49" s="28">
        <f>IF(L49=1,IF(COUNTIFS(LOG!$C$2:$C$2001,F49,LOG!$E$2:$E$2001,B49,LOG!$D$2:$D$2001,"*BOOKED")+COUNTIFS(LOG!$C$2:$C$2001,F49,LOG!$E$2:$E$2001,"",LOG!$D$2:$D$2001,"*BOOKED")&gt;0,1,0),0)</f>
        <v>1</v>
      </c>
      <c r="N49" s="28">
        <f>IF(L49=1,IF(COUNTIFS(LOG!$C$2:$C$2001,F49,LOG!$E$2:$E$2001,B49,LOG!$D$2:$D$2001,"NOT_INTERESTED")+COUNTIFS(LOG!$C$2:$C$2001,F49,LOG!$E$2:$E$2001,"",LOG!$D$2:$D$2001,"NOT_INTERESTED")&gt;0,1,0),0)</f>
        <v>0</v>
      </c>
      <c r="O49" s="28">
        <f>IF(L49=1,IF(COUNTIFS(LOG!$C$2:$C$2001,F49,LOG!$D$2:$D$2001,"STOP")+COUNTIFS(LOG!$C$2:$C$2001,F49,LOG!$D$2:$D$2001,"WRONG_NUMBER")&gt;0,1,IF(ISNUMBER(SEARCH("STOP",AT49)),1,0)),0)</f>
        <v>0</v>
      </c>
      <c r="P49" s="28">
        <f>IF(L49=1,IF(IFERROR(INDEX(PARTNERS!$D$2:$D$88,MATCH(B49,PARTNERS!$A$2:$A$88,0)),"")="NO SLOTS",1,IF(AND(IFERROR(INDEX(PARTNERS!$D$2:$D$88,MATCH(B49,PARTNERS!$A$2:$A$88,0)),"")&lt;&gt;"REOPENED",COUNTIFS(LOG!$E$2:$E$2001,B49,LOG!$D$2:$D$2001,"NO_SLOTS")&gt;0),1,0)),0)</f>
        <v>0</v>
      </c>
      <c r="Q49" s="28">
        <f>IF(L49=1,COUNTIFS(LOG!$C$2:$C$2001,F49,LOG!$H$2:$H$2001,1),0)</f>
        <v>1</v>
      </c>
      <c r="R49" s="46">
        <f>IF(Q49&gt;0,_xlfn.MAXIFS(LOG!$G$2:$G$2001,LOG!$C$2:$C$2001,F49,LOG!$H$2:$H$2001,1),0)</f>
        <v>46309.55847786097</v>
      </c>
      <c r="S49" s="28" t="str">
        <f>IF(Q49&gt;0,IFERROR(INDEX(LOG!$D$2:$D$2001,MATCH(F49&amp;"|"&amp;Q49,LOG!$I$2:$I$2001,0)),""),"")</f>
        <v>SENT_LINK</v>
      </c>
      <c r="T49" s="28">
        <f>IF(S49="",0,IFERROR(VLOOKUP(S49,LISTS!$A$2:$E$10,4,FALSE),0))</f>
        <v>180</v>
      </c>
      <c r="U49" s="46">
        <f t="shared" si="2"/>
        <v>46309.68347786097</v>
      </c>
      <c r="V49" s="46">
        <f>IF(L49=1,H49+SETTINGS!$B$5/24,"")</f>
        <v>46309.82708333333</v>
      </c>
      <c r="W49" s="28">
        <f ca="1">IF(L49=1,(V49-SETTINGS!$B$4)*24,"")</f>
        <v>-1.6666666720993817E-2</v>
      </c>
      <c r="X49" s="28">
        <f ca="1">IF(AND(L49=1,K49="OK",M49=0,N49=0,O49=0,P49=0,SETTINGS!$B$4&lt;V49,Q49&lt;SETTINGS!$B$6),1,0)</f>
        <v>0</v>
      </c>
      <c r="Y49" s="28">
        <f ca="1">IF(AND(X49=1,SETTINGS!$B$4&gt;=H49,SETTINGS!$B$4&gt;=U49,ROUND(MOD(SETTINGS!$B$4,1)*1440,0)&gt;=ROUND(SETTINGS!$B$7*1440,0),ROUND(MOD(SETTINGS!$B$4,1)*1440,0)&lt;ROUND(SETTINGS!$B$8*1440,0)),1,0)</f>
        <v>0</v>
      </c>
      <c r="Z49" s="28" t="str">
        <f ca="1">IF(B49="","",IF(ROUND(MOD(SETTINGS!$B$4,1)*1440,0)&lt;ROUND(SETTINGS!$B$11*1440,0),"Ram",IF(ROUND(MOD(SETTINGS!$B$4,1)*1440,0)&gt;=ROUND(SETTINGS!$B$10*1440,0),"Shyam",IF(MOD(IFERROR(VALUE(RIGHT(F49,2)),0),2)=0,"Ram","Shyam"))))</f>
        <v>Shyam</v>
      </c>
      <c r="AA49" s="28">
        <f t="shared" ca="1" si="3"/>
        <v>0</v>
      </c>
      <c r="AB49" s="28">
        <f ca="1">IF(X49=1,COUNTIFS($F$2:F49,F49,$X$2:X49,1),0)</f>
        <v>0</v>
      </c>
      <c r="AC49" s="28" t="str">
        <f>IF(L49=1,IF(IFERROR(INDEX(PARTNERS!$C$2:$C$88,MATCH(B49,PARTNERS!$A$2:$A$88,0)),"")="YES","YES","NO"),"")</f>
        <v>NO</v>
      </c>
      <c r="AD49" s="28" t="str">
        <f>IF(L49=1,IFERROR(INDEX(PARTNERS!$B$2:$B$88,MATCH(B49,PARTNERS!$A$2:$A$88,0)),""),"")</f>
        <v>https://calendly.com/partner003/interview</v>
      </c>
      <c r="AE49" s="28">
        <f ca="1">IF(X49=1,IFERROR(INDEX(SETTINGS!$B$34:$D$36,MATCH(I49,SETTINGS!$A$34:$A$36,0),MIN(Q49,2)+1),SETTINGS!$B$36),0)</f>
        <v>0</v>
      </c>
      <c r="AF49" s="28">
        <f t="shared" si="4"/>
        <v>1</v>
      </c>
      <c r="AG49" s="28">
        <f ca="1">IF(AND(Y49=1,AB49=1),ROUND(AA49*AE49*IF(AF49&gt;1,SETTINGS!$B$16,1)*IF(W49&lt;=SETTINGS!$B$14,SETTINGS!$B$15,1)*IF(AU49=1,SETTINGS!$B$21,1),6),0)</f>
        <v>0</v>
      </c>
      <c r="AH49" s="28" t="str">
        <f ca="1">IF(AG49&gt;0,COUNTIFS($Z$2:$Z$601,Z49,$AG$2:$AG$601,"&gt;"&amp;AG49)+COUNTIFS($Z$2:Z49,Z49,$AG$2:AG49,AG49),"")</f>
        <v/>
      </c>
      <c r="AI49" s="28" t="str">
        <f t="shared" ca="1" si="5"/>
        <v/>
      </c>
      <c r="AJ49" s="28" t="str">
        <f t="shared" ca="1" si="6"/>
        <v/>
      </c>
      <c r="AK49" s="28">
        <f>IF(L49=1,IF(COUNTIFS($F$2:F49,F49,$L$2:L49,1)=1,1,0),0)</f>
        <v>1</v>
      </c>
      <c r="AL49" s="28" t="str">
        <f>IF(B49="","",IF(K49="DUPLICATE","Duplicate (removed)",IF(AO49=1,"Scheduled within 24h",IF(M49=1,"Scheduled late",IF(K49="BAD CONTACT","Bad contact details",IF(O49=1,"Stopped / wrong number",IF(N49=1,"Not interested",IF(P49=1,"Partner has no slots",IF(SETTINGS!$B$4&gt;=V49,IF(Q49=0,"Missed deadline: never tried","Missed deadline: tried, not booked"),IF(Q49&gt;=SETTINGS!$B$6,"No reply after max tries","Open"))))))))))</f>
        <v>Scheduled within 24h</v>
      </c>
      <c r="AM49" s="46">
        <f>IF(M49=1,IF(_xlfn.MINIFS(LOG!$G$2:$G$2001,LOG!$C$2:$C$2001,F49,LOG!$E$2:$E$2001,B49,LOG!$D$2:$D$2001,"*BOOKED")=0,_xlfn.MINIFS(LOG!$G$2:$G$2001,LOG!$C$2:$C$2001,F49,LOG!$E$2:$E$2001,"",LOG!$D$2:$D$2001,"*BOOKED"),IF(_xlfn.MINIFS(LOG!$G$2:$G$2001,LOG!$C$2:$C$2001,F49,LOG!$E$2:$E$2001,"",LOG!$D$2:$D$2001,"*BOOKED")=0,_xlfn.MINIFS(LOG!$G$2:$G$2001,LOG!$C$2:$C$2001,F49,LOG!$E$2:$E$2001,B49,LOG!$D$2:$D$2001,"*BOOKED"),MIN(_xlfn.MINIFS(LOG!$G$2:$G$2001,LOG!$C$2:$C$2001,F49,LOG!$E$2:$E$2001,B49,LOG!$D$2:$D$2001,"*BOOKED"),_xlfn.MINIFS(LOG!$G$2:$G$2001,LOG!$C$2:$C$2001,F49,LOG!$E$2:$E$2001,"",LOG!$D$2:$D$2001,"*BOOKED")))),"")</f>
        <v>46309.599668469433</v>
      </c>
      <c r="AN49" s="28">
        <f t="shared" si="7"/>
        <v>18.542043266468681</v>
      </c>
      <c r="AO49" s="28">
        <f>IF(AND(M49=1,AN49&lt;&gt;""),IF(AN49&lt;=SETTINGS!$B$5,1,0),0)</f>
        <v>1</v>
      </c>
      <c r="AP49" s="28">
        <f>IF(M49=1,IF(COUNTIFS(LOG!$C$2:$C$2001,F49,LOG!$E$2:$E$2001,B49,LOG!$D$2:$D$2001,"BOOKED")+COUNTIFS(LOG!$C$2:$C$2001,F49,LOG!$E$2:$E$2001,"",LOG!$D$2:$D$2001,"BOOKED")&gt;0,1,0),0)</f>
        <v>0</v>
      </c>
      <c r="AQ49" s="28" t="str">
        <f t="shared" si="8"/>
        <v>Aarav</v>
      </c>
      <c r="AR49" s="28">
        <f>IF(AND(AK49=1,K49="OK"),COUNTIFS($AK$2:AK49,1,$K$2:K49,"OK"),"")</f>
        <v>47</v>
      </c>
      <c r="AS49" s="28" t="str">
        <f>IF(L49=1,IFERROR(INDEX(MESSAGES!$J$9:$J$1008,MATCH(F49,MESSAGES!$M$9:$M$1008,0))&amp;"",""),"")</f>
        <v/>
      </c>
      <c r="AT49" s="28" t="str">
        <f>IF(L49=1,IFERROR(INDEX(MESSAGES!$K$9:$K$1008,MATCH(F49,MESSAGES!$M$9:$M$1008,0))&amp;"",""),"")</f>
        <v/>
      </c>
      <c r="AU49" s="28">
        <f t="shared" ca="1" si="9"/>
        <v>0</v>
      </c>
      <c r="AV49" s="28" t="str">
        <f t="shared" si="10"/>
        <v>SEND</v>
      </c>
    </row>
    <row r="50" spans="1:48" x14ac:dyDescent="0.35">
      <c r="A50" s="28">
        <v>49</v>
      </c>
      <c r="B50" s="28" t="str">
        <f>IF(INPUT!A50="","",TRIM(INPUT!A50))</f>
        <v>Partner 000</v>
      </c>
      <c r="C50" s="28" t="str">
        <f>IF(B50="","",INPUT!C50)</f>
        <v>interviewer0@partner000.example.com</v>
      </c>
      <c r="D50" s="28" t="str">
        <f>IF(B50="","",INPUT!D50)</f>
        <v>Tara N.</v>
      </c>
      <c r="E50" s="28" t="str">
        <f>IF(B50="","",INPUT!E50)</f>
        <v>tara.n375@example.com</v>
      </c>
      <c r="F50" s="43" t="str">
        <f>IF(B50="","",TRIM(INPUT!F50&amp;""))</f>
        <v>9000004882</v>
      </c>
      <c r="G50" s="28" t="str">
        <f>IF(B50="","",INPUT!H50)</f>
        <v>Round1</v>
      </c>
      <c r="H50" s="46">
        <f>IF(B50="","",INPUT!I50)</f>
        <v>46308.830555555563</v>
      </c>
      <c r="I50" s="28" t="str">
        <f>IF(B50="","",IF(INPUT!J50="","None",INPUT!J50))</f>
        <v>Opened</v>
      </c>
      <c r="J50" s="28" t="str">
        <f t="shared" si="0"/>
        <v>tara.n375@example.com|partner 000|Round1|interviewer0@partner000.example.com</v>
      </c>
      <c r="K50" s="28" t="str">
        <f>IF(B50="","",IF(SUMPRODUCT(($J$2:$J$601=J50)*($H$2:$H$601&lt;H50))+SUMPRODUCT(($J$2:J50=J50)*($H$2:H50=H50))-1&gt;0,"DUPLICATE",IF(AND(ISNUMBER(SEARCH("@",E50)),ISNUMBER(SEARCH(".",E50)),LEN(F50)=10,ISNUMBER(VALUE(F50))),"OK","BAD CONTACT")))</f>
        <v>DUPLICATE</v>
      </c>
      <c r="L50" s="28">
        <f t="shared" si="1"/>
        <v>0</v>
      </c>
      <c r="M50" s="28">
        <f>IF(L50=1,IF(COUNTIFS(LOG!$C$2:$C$2001,F50,LOG!$E$2:$E$2001,B50,LOG!$D$2:$D$2001,"*BOOKED")+COUNTIFS(LOG!$C$2:$C$2001,F50,LOG!$E$2:$E$2001,"",LOG!$D$2:$D$2001,"*BOOKED")&gt;0,1,0),0)</f>
        <v>0</v>
      </c>
      <c r="N50" s="28">
        <f>IF(L50=1,IF(COUNTIFS(LOG!$C$2:$C$2001,F50,LOG!$E$2:$E$2001,B50,LOG!$D$2:$D$2001,"NOT_INTERESTED")+COUNTIFS(LOG!$C$2:$C$2001,F50,LOG!$E$2:$E$2001,"",LOG!$D$2:$D$2001,"NOT_INTERESTED")&gt;0,1,0),0)</f>
        <v>0</v>
      </c>
      <c r="O50" s="28">
        <f>IF(L50=1,IF(COUNTIFS(LOG!$C$2:$C$2001,F50,LOG!$D$2:$D$2001,"STOP")+COUNTIFS(LOG!$C$2:$C$2001,F50,LOG!$D$2:$D$2001,"WRONG_NUMBER")&gt;0,1,IF(ISNUMBER(SEARCH("STOP",AT50)),1,0)),0)</f>
        <v>0</v>
      </c>
      <c r="P50" s="28">
        <f>IF(L50=1,IF(IFERROR(INDEX(PARTNERS!$D$2:$D$88,MATCH(B50,PARTNERS!$A$2:$A$88,0)),"")="NO SLOTS",1,IF(AND(IFERROR(INDEX(PARTNERS!$D$2:$D$88,MATCH(B50,PARTNERS!$A$2:$A$88,0)),"")&lt;&gt;"REOPENED",COUNTIFS(LOG!$E$2:$E$2001,B50,LOG!$D$2:$D$2001,"NO_SLOTS")&gt;0),1,0)),0)</f>
        <v>0</v>
      </c>
      <c r="Q50" s="28">
        <f>IF(L50=1,COUNTIFS(LOG!$C$2:$C$2001,F50,LOG!$H$2:$H$2001,1),0)</f>
        <v>0</v>
      </c>
      <c r="R50" s="46">
        <f>IF(Q50&gt;0,_xlfn.MAXIFS(LOG!$G$2:$G$2001,LOG!$C$2:$C$2001,F50,LOG!$H$2:$H$2001,1),0)</f>
        <v>0</v>
      </c>
      <c r="S50" s="28" t="str">
        <f>IF(Q50&gt;0,IFERROR(INDEX(LOG!$D$2:$D$2001,MATCH(F50&amp;"|"&amp;Q50,LOG!$I$2:$I$2001,0)),""),"")</f>
        <v/>
      </c>
      <c r="T50" s="28">
        <f>IF(S50="",0,IFERROR(VLOOKUP(S50,LISTS!$A$2:$E$10,4,FALSE),0))</f>
        <v>0</v>
      </c>
      <c r="U50" s="46">
        <f t="shared" si="2"/>
        <v>0</v>
      </c>
      <c r="V50" s="46" t="str">
        <f>IF(L50=1,H50+SETTINGS!$B$5/24,"")</f>
        <v/>
      </c>
      <c r="W50" s="28" t="str">
        <f>IF(L50=1,(V50-SETTINGS!$B$4)*24,"")</f>
        <v/>
      </c>
      <c r="X50" s="28">
        <f ca="1">IF(AND(L50=1,K50="OK",M50=0,N50=0,O50=0,P50=0,SETTINGS!$B$4&lt;V50,Q50&lt;SETTINGS!$B$6),1,0)</f>
        <v>0</v>
      </c>
      <c r="Y50" s="28">
        <f ca="1">IF(AND(X50=1,SETTINGS!$B$4&gt;=H50,SETTINGS!$B$4&gt;=U50,ROUND(MOD(SETTINGS!$B$4,1)*1440,0)&gt;=ROUND(SETTINGS!$B$7*1440,0),ROUND(MOD(SETTINGS!$B$4,1)*1440,0)&lt;ROUND(SETTINGS!$B$8*1440,0)),1,0)</f>
        <v>0</v>
      </c>
      <c r="Z50" s="28" t="str">
        <f ca="1">IF(B50="","",IF(ROUND(MOD(SETTINGS!$B$4,1)*1440,0)&lt;ROUND(SETTINGS!$B$11*1440,0),"Ram",IF(ROUND(MOD(SETTINGS!$B$4,1)*1440,0)&gt;=ROUND(SETTINGS!$B$10*1440,0),"Shyam",IF(MOD(IFERROR(VALUE(RIGHT(F50,2)),0),2)=0,"Ram","Shyam"))))</f>
        <v>Shyam</v>
      </c>
      <c r="AA50" s="28">
        <f t="shared" ca="1" si="3"/>
        <v>0</v>
      </c>
      <c r="AB50" s="28">
        <f ca="1">IF(X50=1,COUNTIFS($F$2:F50,F50,$X$2:X50,1),0)</f>
        <v>0</v>
      </c>
      <c r="AC50" s="28" t="str">
        <f>IF(L50=1,IF(IFERROR(INDEX(PARTNERS!$C$2:$C$88,MATCH(B50,PARTNERS!$A$2:$A$88,0)),"")="YES","YES","NO"),"")</f>
        <v/>
      </c>
      <c r="AD50" s="28" t="str">
        <f>IF(L50=1,IFERROR(INDEX(PARTNERS!$B$2:$B$88,MATCH(B50,PARTNERS!$A$2:$A$88,0)),""),"")</f>
        <v/>
      </c>
      <c r="AE50" s="28">
        <f ca="1">IF(X50=1,IFERROR(INDEX(SETTINGS!$B$34:$D$36,MATCH(I50,SETTINGS!$A$34:$A$36,0),MIN(Q50,2)+1),SETTINGS!$B$36),0)</f>
        <v>0</v>
      </c>
      <c r="AF50" s="28">
        <f t="shared" si="4"/>
        <v>0</v>
      </c>
      <c r="AG50" s="28">
        <f ca="1">IF(AND(Y50=1,AB50=1),ROUND(AA50*AE50*IF(AF50&gt;1,SETTINGS!$B$16,1)*IF(W50&lt;=SETTINGS!$B$14,SETTINGS!$B$15,1)*IF(AU50=1,SETTINGS!$B$21,1),6),0)</f>
        <v>0</v>
      </c>
      <c r="AH50" s="28" t="str">
        <f ca="1">IF(AG50&gt;0,COUNTIFS($Z$2:$Z$601,Z50,$AG$2:$AG$601,"&gt;"&amp;AG50)+COUNTIFS($Z$2:Z50,Z50,$AG$2:AG50,AG50),"")</f>
        <v/>
      </c>
      <c r="AI50" s="28" t="str">
        <f t="shared" ca="1" si="5"/>
        <v/>
      </c>
      <c r="AJ50" s="28" t="str">
        <f t="shared" ca="1" si="6"/>
        <v/>
      </c>
      <c r="AK50" s="28">
        <f>IF(L50=1,IF(COUNTIFS($F$2:F50,F50,$L$2:L50,1)=1,1,0),0)</f>
        <v>0</v>
      </c>
      <c r="AL50" s="28" t="str">
        <f>IF(B50="","",IF(K50="DUPLICATE","Duplicate (removed)",IF(AO50=1,"Scheduled within 24h",IF(M50=1,"Scheduled late",IF(K50="BAD CONTACT","Bad contact details",IF(O50=1,"Stopped / wrong number",IF(N50=1,"Not interested",IF(P50=1,"Partner has no slots",IF(SETTINGS!$B$4&gt;=V50,IF(Q50=0,"Missed deadline: never tried","Missed deadline: tried, not booked"),IF(Q50&gt;=SETTINGS!$B$6,"No reply after max tries","Open"))))))))))</f>
        <v>Duplicate (removed)</v>
      </c>
      <c r="AM50" s="46" t="str">
        <f>IF(M50=1,IF(_xlfn.MINIFS(LOG!$G$2:$G$2001,LOG!$C$2:$C$2001,F50,LOG!$E$2:$E$2001,B50,LOG!$D$2:$D$2001,"*BOOKED")=0,_xlfn.MINIFS(LOG!$G$2:$G$2001,LOG!$C$2:$C$2001,F50,LOG!$E$2:$E$2001,"",LOG!$D$2:$D$2001,"*BOOKED"),IF(_xlfn.MINIFS(LOG!$G$2:$G$2001,LOG!$C$2:$C$2001,F50,LOG!$E$2:$E$2001,"",LOG!$D$2:$D$2001,"*BOOKED")=0,_xlfn.MINIFS(LOG!$G$2:$G$2001,LOG!$C$2:$C$2001,F50,LOG!$E$2:$E$2001,B50,LOG!$D$2:$D$2001,"*BOOKED"),MIN(_xlfn.MINIFS(LOG!$G$2:$G$2001,LOG!$C$2:$C$2001,F50,LOG!$E$2:$E$2001,B50,LOG!$D$2:$D$2001,"*BOOKED"),_xlfn.MINIFS(LOG!$G$2:$G$2001,LOG!$C$2:$C$2001,F50,LOG!$E$2:$E$2001,"",LOG!$D$2:$D$2001,"*BOOKED")))),"")</f>
        <v/>
      </c>
      <c r="AN50" s="28" t="str">
        <f t="shared" si="7"/>
        <v/>
      </c>
      <c r="AO50" s="28">
        <f>IF(AND(M50=1,AN50&lt;&gt;""),IF(AN50&lt;=SETTINGS!$B$5,1,0),0)</f>
        <v>0</v>
      </c>
      <c r="AP50" s="28">
        <f>IF(M50=1,IF(COUNTIFS(LOG!$C$2:$C$2001,F50,LOG!$E$2:$E$2001,B50,LOG!$D$2:$D$2001,"BOOKED")+COUNTIFS(LOG!$C$2:$C$2001,F50,LOG!$E$2:$E$2001,"",LOG!$D$2:$D$2001,"BOOKED")&gt;0,1,0),0)</f>
        <v>0</v>
      </c>
      <c r="AQ50" s="28" t="str">
        <f t="shared" si="8"/>
        <v>Tara</v>
      </c>
      <c r="AR50" s="28" t="str">
        <f>IF(AND(AK50=1,K50="OK"),COUNTIFS($AK$2:AK50,1,$K$2:K50,"OK"),"")</f>
        <v/>
      </c>
      <c r="AS50" s="28" t="str">
        <f>IF(L50=1,IFERROR(INDEX(MESSAGES!$J$9:$J$1008,MATCH(F50,MESSAGES!$M$9:$M$1008,0))&amp;"",""),"")</f>
        <v/>
      </c>
      <c r="AT50" s="28" t="str">
        <f>IF(L50=1,IFERROR(INDEX(MESSAGES!$K$9:$K$1008,MATCH(F50,MESSAGES!$M$9:$M$1008,0))&amp;"",""),"")</f>
        <v/>
      </c>
      <c r="AU50" s="28">
        <f t="shared" ca="1" si="9"/>
        <v>0</v>
      </c>
      <c r="AV50" s="28" t="str">
        <f t="shared" si="10"/>
        <v/>
      </c>
    </row>
    <row r="51" spans="1:48" x14ac:dyDescent="0.35">
      <c r="A51" s="28">
        <v>50</v>
      </c>
      <c r="B51" s="28" t="str">
        <f>IF(INPUT!A51="","",TRIM(INPUT!A51))</f>
        <v>Partner 004</v>
      </c>
      <c r="C51" s="28" t="str">
        <f>IF(B51="","",INPUT!C51)</f>
        <v>interviewer2@partner004.example.com</v>
      </c>
      <c r="D51" s="28" t="str">
        <f>IF(B51="","",INPUT!D51)</f>
        <v>Yash G.</v>
      </c>
      <c r="E51" s="28" t="str">
        <f>IF(B51="","",INPUT!E51)</f>
        <v>yash.g196@example.com</v>
      </c>
      <c r="F51" s="43" t="str">
        <f>IF(B51="","",TRIM(INPUT!F51&amp;""))</f>
        <v>9000002555</v>
      </c>
      <c r="G51" s="28" t="str">
        <f>IF(B51="","",INPUT!H51)</f>
        <v>Round1</v>
      </c>
      <c r="H51" s="46">
        <f>IF(B51="","",INPUT!I51)</f>
        <v>46308.82708333333</v>
      </c>
      <c r="I51" s="28" t="str">
        <f>IF(B51="","",IF(INPUT!J51="","None",INPUT!J51))</f>
        <v>None</v>
      </c>
      <c r="J51" s="28" t="str">
        <f t="shared" si="0"/>
        <v>yash.g196@example.com|partner 004|Round1|interviewer2@partner004.example.com</v>
      </c>
      <c r="K51" s="28" t="str">
        <f>IF(B51="","",IF(SUMPRODUCT(($J$2:$J$601=J51)*($H$2:$H$601&lt;H51))+SUMPRODUCT(($J$2:J51=J51)*($H$2:H51=H51))-1&gt;0,"DUPLICATE",IF(AND(ISNUMBER(SEARCH("@",E51)),ISNUMBER(SEARCH(".",E51)),LEN(F51)=10,ISNUMBER(VALUE(F51))),"OK","BAD CONTACT")))</f>
        <v>OK</v>
      </c>
      <c r="L51" s="28">
        <f t="shared" si="1"/>
        <v>1</v>
      </c>
      <c r="M51" s="28">
        <f>IF(L51=1,IF(COUNTIFS(LOG!$C$2:$C$2001,F51,LOG!$E$2:$E$2001,B51,LOG!$D$2:$D$2001,"*BOOKED")+COUNTIFS(LOG!$C$2:$C$2001,F51,LOG!$E$2:$E$2001,"",LOG!$D$2:$D$2001,"*BOOKED")&gt;0,1,0),0)</f>
        <v>1</v>
      </c>
      <c r="N51" s="28">
        <f>IF(L51=1,IF(COUNTIFS(LOG!$C$2:$C$2001,F51,LOG!$E$2:$E$2001,B51,LOG!$D$2:$D$2001,"NOT_INTERESTED")+COUNTIFS(LOG!$C$2:$C$2001,F51,LOG!$E$2:$E$2001,"",LOG!$D$2:$D$2001,"NOT_INTERESTED")&gt;0,1,0),0)</f>
        <v>0</v>
      </c>
      <c r="O51" s="28">
        <f>IF(L51=1,IF(COUNTIFS(LOG!$C$2:$C$2001,F51,LOG!$D$2:$D$2001,"STOP")+COUNTIFS(LOG!$C$2:$C$2001,F51,LOG!$D$2:$D$2001,"WRONG_NUMBER")&gt;0,1,IF(ISNUMBER(SEARCH("STOP",AT51)),1,0)),0)</f>
        <v>0</v>
      </c>
      <c r="P51" s="28">
        <f>IF(L51=1,IF(IFERROR(INDEX(PARTNERS!$D$2:$D$88,MATCH(B51,PARTNERS!$A$2:$A$88,0)),"")="NO SLOTS",1,IF(AND(IFERROR(INDEX(PARTNERS!$D$2:$D$88,MATCH(B51,PARTNERS!$A$2:$A$88,0)),"")&lt;&gt;"REOPENED",COUNTIFS(LOG!$E$2:$E$2001,B51,LOG!$D$2:$D$2001,"NO_SLOTS")&gt;0),1,0)),0)</f>
        <v>0</v>
      </c>
      <c r="Q51" s="28">
        <f>IF(L51=1,COUNTIFS(LOG!$C$2:$C$2001,F51,LOG!$H$2:$H$2001,1),0)</f>
        <v>0</v>
      </c>
      <c r="R51" s="46">
        <f>IF(Q51&gt;0,_xlfn.MAXIFS(LOG!$G$2:$G$2001,LOG!$C$2:$C$2001,F51,LOG!$H$2:$H$2001,1),0)</f>
        <v>0</v>
      </c>
      <c r="S51" s="28" t="str">
        <f>IF(Q51&gt;0,IFERROR(INDEX(LOG!$D$2:$D$2001,MATCH(F51&amp;"|"&amp;Q51,LOG!$I$2:$I$2001,0)),""),"")</f>
        <v/>
      </c>
      <c r="T51" s="28">
        <f>IF(S51="",0,IFERROR(VLOOKUP(S51,LISTS!$A$2:$E$10,4,FALSE),0))</f>
        <v>0</v>
      </c>
      <c r="U51" s="46">
        <f t="shared" si="2"/>
        <v>0</v>
      </c>
      <c r="V51" s="46">
        <f>IF(L51=1,H51+SETTINGS!$B$5/24,"")</f>
        <v>46309.82708333333</v>
      </c>
      <c r="W51" s="28">
        <f ca="1">IF(L51=1,(V51-SETTINGS!$B$4)*24,"")</f>
        <v>-1.6666666720993817E-2</v>
      </c>
      <c r="X51" s="28">
        <f ca="1">IF(AND(L51=1,K51="OK",M51=0,N51=0,O51=0,P51=0,SETTINGS!$B$4&lt;V51,Q51&lt;SETTINGS!$B$6),1,0)</f>
        <v>0</v>
      </c>
      <c r="Y51" s="28">
        <f ca="1">IF(AND(X51=1,SETTINGS!$B$4&gt;=H51,SETTINGS!$B$4&gt;=U51,ROUND(MOD(SETTINGS!$B$4,1)*1440,0)&gt;=ROUND(SETTINGS!$B$7*1440,0),ROUND(MOD(SETTINGS!$B$4,1)*1440,0)&lt;ROUND(SETTINGS!$B$8*1440,0)),1,0)</f>
        <v>0</v>
      </c>
      <c r="Z51" s="28" t="str">
        <f ca="1">IF(B51="","",IF(ROUND(MOD(SETTINGS!$B$4,1)*1440,0)&lt;ROUND(SETTINGS!$B$11*1440,0),"Ram",IF(ROUND(MOD(SETTINGS!$B$4,1)*1440,0)&gt;=ROUND(SETTINGS!$B$10*1440,0),"Shyam",IF(MOD(IFERROR(VALUE(RIGHT(F51,2)),0),2)=0,"Ram","Shyam"))))</f>
        <v>Shyam</v>
      </c>
      <c r="AA51" s="28">
        <f t="shared" ca="1" si="3"/>
        <v>0</v>
      </c>
      <c r="AB51" s="28">
        <f ca="1">IF(X51=1,COUNTIFS($F$2:F51,F51,$X$2:X51,1),0)</f>
        <v>0</v>
      </c>
      <c r="AC51" s="28" t="str">
        <f>IF(L51=1,IF(IFERROR(INDEX(PARTNERS!$C$2:$C$88,MATCH(B51,PARTNERS!$A$2:$A$88,0)),"")="YES","YES","NO"),"")</f>
        <v>YES</v>
      </c>
      <c r="AD51" s="28" t="str">
        <f>IF(L51=1,IFERROR(INDEX(PARTNERS!$B$2:$B$88,MATCH(B51,PARTNERS!$A$2:$A$88,0)),""),"")</f>
        <v>https://calendly.com/partner004/interview</v>
      </c>
      <c r="AE51" s="28">
        <f ca="1">IF(X51=1,IFERROR(INDEX(SETTINGS!$B$34:$D$36,MATCH(I51,SETTINGS!$A$34:$A$36,0),MIN(Q51,2)+1),SETTINGS!$B$36),0)</f>
        <v>0</v>
      </c>
      <c r="AF51" s="28">
        <f t="shared" si="4"/>
        <v>1</v>
      </c>
      <c r="AG51" s="28">
        <f ca="1">IF(AND(Y51=1,AB51=1),ROUND(AA51*AE51*IF(AF51&gt;1,SETTINGS!$B$16,1)*IF(W51&lt;=SETTINGS!$B$14,SETTINGS!$B$15,1)*IF(AU51=1,SETTINGS!$B$21,1),6),0)</f>
        <v>0</v>
      </c>
      <c r="AH51" s="28" t="str">
        <f ca="1">IF(AG51&gt;0,COUNTIFS($Z$2:$Z$601,Z51,$AG$2:$AG$601,"&gt;"&amp;AG51)+COUNTIFS($Z$2:Z51,Z51,$AG$2:AG51,AG51),"")</f>
        <v/>
      </c>
      <c r="AI51" s="28" t="str">
        <f t="shared" ca="1" si="5"/>
        <v/>
      </c>
      <c r="AJ51" s="28" t="str">
        <f t="shared" ca="1" si="6"/>
        <v/>
      </c>
      <c r="AK51" s="28">
        <f>IF(L51=1,IF(COUNTIFS($F$2:F51,F51,$L$2:L51,1)=1,1,0),0)</f>
        <v>1</v>
      </c>
      <c r="AL51" s="28" t="str">
        <f>IF(B51="","",IF(K51="DUPLICATE","Duplicate (removed)",IF(AO51=1,"Scheduled within 24h",IF(M51=1,"Scheduled late",IF(K51="BAD CONTACT","Bad contact details",IF(O51=1,"Stopped / wrong number",IF(N51=1,"Not interested",IF(P51=1,"Partner has no slots",IF(SETTINGS!$B$4&gt;=V51,IF(Q51=0,"Missed deadline: never tried","Missed deadline: tried, not booked"),IF(Q51&gt;=SETTINGS!$B$6,"No reply after max tries","Open"))))))))))</f>
        <v>Scheduled within 24h</v>
      </c>
      <c r="AM51" s="46">
        <f>IF(M51=1,IF(_xlfn.MINIFS(LOG!$G$2:$G$2001,LOG!$C$2:$C$2001,F51,LOG!$E$2:$E$2001,B51,LOG!$D$2:$D$2001,"*BOOKED")=0,_xlfn.MINIFS(LOG!$G$2:$G$2001,LOG!$C$2:$C$2001,F51,LOG!$E$2:$E$2001,"",LOG!$D$2:$D$2001,"*BOOKED"),IF(_xlfn.MINIFS(LOG!$G$2:$G$2001,LOG!$C$2:$C$2001,F51,LOG!$E$2:$E$2001,"",LOG!$D$2:$D$2001,"*BOOKED")=0,_xlfn.MINIFS(LOG!$G$2:$G$2001,LOG!$C$2:$C$2001,F51,LOG!$E$2:$E$2001,B51,LOG!$D$2:$D$2001,"*BOOKED"),MIN(_xlfn.MINIFS(LOG!$G$2:$G$2001,LOG!$C$2:$C$2001,F51,LOG!$E$2:$E$2001,B51,LOG!$D$2:$D$2001,"*BOOKED"),_xlfn.MINIFS(LOG!$G$2:$G$2001,LOG!$C$2:$C$2001,F51,LOG!$E$2:$E$2001,"",LOG!$D$2:$D$2001,"*BOOKED")))),"")</f>
        <v>46309.309120829523</v>
      </c>
      <c r="AN51" s="28">
        <f t="shared" si="7"/>
        <v>11.568899908626918</v>
      </c>
      <c r="AO51" s="28">
        <f>IF(AND(M51=1,AN51&lt;&gt;""),IF(AN51&lt;=SETTINGS!$B$5,1,0),0)</f>
        <v>1</v>
      </c>
      <c r="AP51" s="28">
        <f>IF(M51=1,IF(COUNTIFS(LOG!$C$2:$C$2001,F51,LOG!$E$2:$E$2001,B51,LOG!$D$2:$D$2001,"BOOKED")+COUNTIFS(LOG!$C$2:$C$2001,F51,LOG!$E$2:$E$2001,"",LOG!$D$2:$D$2001,"BOOKED")&gt;0,1,0),0)</f>
        <v>0</v>
      </c>
      <c r="AQ51" s="28" t="str">
        <f t="shared" si="8"/>
        <v>Yash</v>
      </c>
      <c r="AR51" s="28">
        <f>IF(AND(AK51=1,K51="OK"),COUNTIFS($AK$2:AK51,1,$K$2:K51,"OK"),"")</f>
        <v>48</v>
      </c>
      <c r="AS51" s="28" t="str">
        <f>IF(L51=1,IFERROR(INDEX(MESSAGES!$J$9:$J$1008,MATCH(F51,MESSAGES!$M$9:$M$1008,0))&amp;"",""),"")</f>
        <v/>
      </c>
      <c r="AT51" s="28" t="str">
        <f>IF(L51=1,IFERROR(INDEX(MESSAGES!$K$9:$K$1008,MATCH(F51,MESSAGES!$M$9:$M$1008,0))&amp;"",""),"")</f>
        <v/>
      </c>
      <c r="AU51" s="28">
        <f t="shared" ca="1" si="9"/>
        <v>0</v>
      </c>
      <c r="AV51" s="28" t="str">
        <f t="shared" si="10"/>
        <v>HOLD</v>
      </c>
    </row>
    <row r="52" spans="1:48" x14ac:dyDescent="0.35">
      <c r="A52" s="28">
        <v>51</v>
      </c>
      <c r="B52" s="28" t="str">
        <f>IF(INPUT!A52="","",TRIM(INPUT!A52))</f>
        <v>Partner 002</v>
      </c>
      <c r="C52" s="28" t="str">
        <f>IF(B52="","",INPUT!C52)</f>
        <v>interviewer1@partner002.example.com</v>
      </c>
      <c r="D52" s="28" t="str">
        <f>IF(B52="","",INPUT!D52)</f>
        <v>Zoya E.</v>
      </c>
      <c r="E52" s="28" t="str">
        <f>IF(B52="","",INPUT!E52)</f>
        <v>zoya.e137@example.com</v>
      </c>
      <c r="F52" s="43" t="str">
        <f>IF(B52="","",TRIM(INPUT!F52&amp;""))</f>
        <v>9000001788</v>
      </c>
      <c r="G52" s="28" t="str">
        <f>IF(B52="","",INPUT!H52)</f>
        <v>Round1</v>
      </c>
      <c r="H52" s="46">
        <f>IF(B52="","",INPUT!I52)</f>
        <v>46308.82708333333</v>
      </c>
      <c r="I52" s="28" t="str">
        <f>IF(B52="","",IF(INPUT!J52="","None",INPUT!J52))</f>
        <v>Clicked</v>
      </c>
      <c r="J52" s="28" t="str">
        <f t="shared" si="0"/>
        <v>zoya.e137@example.com|partner 002|Round1|interviewer1@partner002.example.com</v>
      </c>
      <c r="K52" s="28" t="str">
        <f>IF(B52="","",IF(SUMPRODUCT(($J$2:$J$601=J52)*($H$2:$H$601&lt;H52))+SUMPRODUCT(($J$2:J52=J52)*($H$2:H52=H52))-1&gt;0,"DUPLICATE",IF(AND(ISNUMBER(SEARCH("@",E52)),ISNUMBER(SEARCH(".",E52)),LEN(F52)=10,ISNUMBER(VALUE(F52))),"OK","BAD CONTACT")))</f>
        <v>OK</v>
      </c>
      <c r="L52" s="28">
        <f t="shared" si="1"/>
        <v>1</v>
      </c>
      <c r="M52" s="28">
        <f>IF(L52=1,IF(COUNTIFS(LOG!$C$2:$C$2001,F52,LOG!$E$2:$E$2001,B52,LOG!$D$2:$D$2001,"*BOOKED")+COUNTIFS(LOG!$C$2:$C$2001,F52,LOG!$E$2:$E$2001,"",LOG!$D$2:$D$2001,"*BOOKED")&gt;0,1,0),0)</f>
        <v>1</v>
      </c>
      <c r="N52" s="28">
        <f>IF(L52=1,IF(COUNTIFS(LOG!$C$2:$C$2001,F52,LOG!$E$2:$E$2001,B52,LOG!$D$2:$D$2001,"NOT_INTERESTED")+COUNTIFS(LOG!$C$2:$C$2001,F52,LOG!$E$2:$E$2001,"",LOG!$D$2:$D$2001,"NOT_INTERESTED")&gt;0,1,0),0)</f>
        <v>0</v>
      </c>
      <c r="O52" s="28">
        <f>IF(L52=1,IF(COUNTIFS(LOG!$C$2:$C$2001,F52,LOG!$D$2:$D$2001,"STOP")+COUNTIFS(LOG!$C$2:$C$2001,F52,LOG!$D$2:$D$2001,"WRONG_NUMBER")&gt;0,1,IF(ISNUMBER(SEARCH("STOP",AT52)),1,0)),0)</f>
        <v>0</v>
      </c>
      <c r="P52" s="28">
        <f>IF(L52=1,IF(IFERROR(INDEX(PARTNERS!$D$2:$D$88,MATCH(B52,PARTNERS!$A$2:$A$88,0)),"")="NO SLOTS",1,IF(AND(IFERROR(INDEX(PARTNERS!$D$2:$D$88,MATCH(B52,PARTNERS!$A$2:$A$88,0)),"")&lt;&gt;"REOPENED",COUNTIFS(LOG!$E$2:$E$2001,B52,LOG!$D$2:$D$2001,"NO_SLOTS")&gt;0),1,0)),0)</f>
        <v>0</v>
      </c>
      <c r="Q52" s="28">
        <f>IF(L52=1,COUNTIFS(LOG!$C$2:$C$2001,F52,LOG!$H$2:$H$2001,1),0)</f>
        <v>1</v>
      </c>
      <c r="R52" s="46">
        <f>IF(Q52&gt;0,_xlfn.MAXIFS(LOG!$G$2:$G$2001,LOG!$C$2:$C$2001,F52,LOG!$H$2:$H$2001,1),0)</f>
        <v>46309.570935173993</v>
      </c>
      <c r="S52" s="28" t="str">
        <f>IF(Q52&gt;0,IFERROR(INDEX(LOG!$D$2:$D$2001,MATCH(F52&amp;"|"&amp;Q52,LOG!$I$2:$I$2001,0)),""),"")</f>
        <v>BOOKED</v>
      </c>
      <c r="T52" s="28">
        <f>IF(S52="",0,IFERROR(VLOOKUP(S52,LISTS!$A$2:$E$10,4,FALSE),0))</f>
        <v>0</v>
      </c>
      <c r="U52" s="46">
        <f t="shared" si="2"/>
        <v>46309.570935173993</v>
      </c>
      <c r="V52" s="46">
        <f>IF(L52=1,H52+SETTINGS!$B$5/24,"")</f>
        <v>46309.82708333333</v>
      </c>
      <c r="W52" s="28">
        <f ca="1">IF(L52=1,(V52-SETTINGS!$B$4)*24,"")</f>
        <v>-1.6666666720993817E-2</v>
      </c>
      <c r="X52" s="28">
        <f ca="1">IF(AND(L52=1,K52="OK",M52=0,N52=0,O52=0,P52=0,SETTINGS!$B$4&lt;V52,Q52&lt;SETTINGS!$B$6),1,0)</f>
        <v>0</v>
      </c>
      <c r="Y52" s="28">
        <f ca="1">IF(AND(X52=1,SETTINGS!$B$4&gt;=H52,SETTINGS!$B$4&gt;=U52,ROUND(MOD(SETTINGS!$B$4,1)*1440,0)&gt;=ROUND(SETTINGS!$B$7*1440,0),ROUND(MOD(SETTINGS!$B$4,1)*1440,0)&lt;ROUND(SETTINGS!$B$8*1440,0)),1,0)</f>
        <v>0</v>
      </c>
      <c r="Z52" s="28" t="str">
        <f ca="1">IF(B52="","",IF(ROUND(MOD(SETTINGS!$B$4,1)*1440,0)&lt;ROUND(SETTINGS!$B$11*1440,0),"Ram",IF(ROUND(MOD(SETTINGS!$B$4,1)*1440,0)&gt;=ROUND(SETTINGS!$B$10*1440,0),"Shyam",IF(MOD(IFERROR(VALUE(RIGHT(F52,2)),0),2)=0,"Ram","Shyam"))))</f>
        <v>Shyam</v>
      </c>
      <c r="AA52" s="28">
        <f t="shared" ca="1" si="3"/>
        <v>0</v>
      </c>
      <c r="AB52" s="28">
        <f ca="1">IF(X52=1,COUNTIFS($F$2:F52,F52,$X$2:X52,1),0)</f>
        <v>0</v>
      </c>
      <c r="AC52" s="28" t="str">
        <f>IF(L52=1,IF(IFERROR(INDEX(PARTNERS!$C$2:$C$88,MATCH(B52,PARTNERS!$A$2:$A$88,0)),"")="YES","YES","NO"),"")</f>
        <v>YES</v>
      </c>
      <c r="AD52" s="28" t="str">
        <f>IF(L52=1,IFERROR(INDEX(PARTNERS!$B$2:$B$88,MATCH(B52,PARTNERS!$A$2:$A$88,0)),""),"")</f>
        <v>https://calendly.com/partner002/interview</v>
      </c>
      <c r="AE52" s="28">
        <f ca="1">IF(X52=1,IFERROR(INDEX(SETTINGS!$B$34:$D$36,MATCH(I52,SETTINGS!$A$34:$A$36,0),MIN(Q52,2)+1),SETTINGS!$B$36),0)</f>
        <v>0</v>
      </c>
      <c r="AF52" s="28">
        <f t="shared" si="4"/>
        <v>1</v>
      </c>
      <c r="AG52" s="28">
        <f ca="1">IF(AND(Y52=1,AB52=1),ROUND(AA52*AE52*IF(AF52&gt;1,SETTINGS!$B$16,1)*IF(W52&lt;=SETTINGS!$B$14,SETTINGS!$B$15,1)*IF(AU52=1,SETTINGS!$B$21,1),6),0)</f>
        <v>0</v>
      </c>
      <c r="AH52" s="28" t="str">
        <f ca="1">IF(AG52&gt;0,COUNTIFS($Z$2:$Z$601,Z52,$AG$2:$AG$601,"&gt;"&amp;AG52)+COUNTIFS($Z$2:Z52,Z52,$AG$2:AG52,AG52),"")</f>
        <v/>
      </c>
      <c r="AI52" s="28" t="str">
        <f t="shared" ca="1" si="5"/>
        <v/>
      </c>
      <c r="AJ52" s="28" t="str">
        <f t="shared" ca="1" si="6"/>
        <v/>
      </c>
      <c r="AK52" s="28">
        <f>IF(L52=1,IF(COUNTIFS($F$2:F52,F52,$L$2:L52,1)=1,1,0),0)</f>
        <v>1</v>
      </c>
      <c r="AL52" s="28" t="str">
        <f>IF(B52="","",IF(K52="DUPLICATE","Duplicate (removed)",IF(AO52=1,"Scheduled within 24h",IF(M52=1,"Scheduled late",IF(K52="BAD CONTACT","Bad contact details",IF(O52=1,"Stopped / wrong number",IF(N52=1,"Not interested",IF(P52=1,"Partner has no slots",IF(SETTINGS!$B$4&gt;=V52,IF(Q52=0,"Missed deadline: never tried","Missed deadline: tried, not booked"),IF(Q52&gt;=SETTINGS!$B$6,"No reply after max tries","Open"))))))))))</f>
        <v>Scheduled within 24h</v>
      </c>
      <c r="AM52" s="46">
        <f>IF(M52=1,IF(_xlfn.MINIFS(LOG!$G$2:$G$2001,LOG!$C$2:$C$2001,F52,LOG!$E$2:$E$2001,B52,LOG!$D$2:$D$2001,"*BOOKED")=0,_xlfn.MINIFS(LOG!$G$2:$G$2001,LOG!$C$2:$C$2001,F52,LOG!$E$2:$E$2001,"",LOG!$D$2:$D$2001,"*BOOKED"),IF(_xlfn.MINIFS(LOG!$G$2:$G$2001,LOG!$C$2:$C$2001,F52,LOG!$E$2:$E$2001,"",LOG!$D$2:$D$2001,"*BOOKED")=0,_xlfn.MINIFS(LOG!$G$2:$G$2001,LOG!$C$2:$C$2001,F52,LOG!$E$2:$E$2001,B52,LOG!$D$2:$D$2001,"*BOOKED"),MIN(_xlfn.MINIFS(LOG!$G$2:$G$2001,LOG!$C$2:$C$2001,F52,LOG!$E$2:$E$2001,B52,LOG!$D$2:$D$2001,"*BOOKED"),_xlfn.MINIFS(LOG!$G$2:$G$2001,LOG!$C$2:$C$2001,F52,LOG!$E$2:$E$2001,"",LOG!$D$2:$D$2001,"*BOOKED")))),"")</f>
        <v>46309.570935173993</v>
      </c>
      <c r="AN52" s="28">
        <f t="shared" si="7"/>
        <v>17.852444175921846</v>
      </c>
      <c r="AO52" s="28">
        <f>IF(AND(M52=1,AN52&lt;&gt;""),IF(AN52&lt;=SETTINGS!$B$5,1,0),0)</f>
        <v>1</v>
      </c>
      <c r="AP52" s="28">
        <f>IF(M52=1,IF(COUNTIFS(LOG!$C$2:$C$2001,F52,LOG!$E$2:$E$2001,B52,LOG!$D$2:$D$2001,"BOOKED")+COUNTIFS(LOG!$C$2:$C$2001,F52,LOG!$E$2:$E$2001,"",LOG!$D$2:$D$2001,"BOOKED")&gt;0,1,0),0)</f>
        <v>1</v>
      </c>
      <c r="AQ52" s="28" t="str">
        <f t="shared" si="8"/>
        <v>Zoya</v>
      </c>
      <c r="AR52" s="28">
        <f>IF(AND(AK52=1,K52="OK"),COUNTIFS($AK$2:AK52,1,$K$2:K52,"OK"),"")</f>
        <v>49</v>
      </c>
      <c r="AS52" s="28" t="str">
        <f>IF(L52=1,IFERROR(INDEX(MESSAGES!$J$9:$J$1008,MATCH(F52,MESSAGES!$M$9:$M$1008,0))&amp;"",""),"")</f>
        <v/>
      </c>
      <c r="AT52" s="28" t="str">
        <f>IF(L52=1,IFERROR(INDEX(MESSAGES!$K$9:$K$1008,MATCH(F52,MESSAGES!$M$9:$M$1008,0))&amp;"",""),"")</f>
        <v/>
      </c>
      <c r="AU52" s="28">
        <f t="shared" ca="1" si="9"/>
        <v>0</v>
      </c>
      <c r="AV52" s="28" t="str">
        <f t="shared" si="10"/>
        <v>SEND</v>
      </c>
    </row>
    <row r="53" spans="1:48" x14ac:dyDescent="0.35">
      <c r="A53" s="28">
        <v>52</v>
      </c>
      <c r="B53" s="28" t="str">
        <f>IF(INPUT!A53="","",TRIM(INPUT!A53))</f>
        <v>Partner 003</v>
      </c>
      <c r="C53" s="28" t="str">
        <f>IF(B53="","",INPUT!C53)</f>
        <v>interviewer0@partner003.example.com</v>
      </c>
      <c r="D53" s="28" t="str">
        <f>IF(B53="","",INPUT!D53)</f>
        <v>Manav N.</v>
      </c>
      <c r="E53" s="28" t="str">
        <f>IF(B53="","",INPUT!E53)</f>
        <v>manav.n384@example.com</v>
      </c>
      <c r="F53" s="43" t="str">
        <f>IF(B53="","",TRIM(INPUT!F53&amp;""))</f>
        <v>9000004999</v>
      </c>
      <c r="G53" s="28" t="str">
        <f>IF(B53="","",INPUT!H53)</f>
        <v>Round1</v>
      </c>
      <c r="H53" s="46">
        <f>IF(B53="","",INPUT!I53)</f>
        <v>46308.82708333333</v>
      </c>
      <c r="I53" s="28" t="str">
        <f>IF(B53="","",IF(INPUT!J53="","None",INPUT!J53))</f>
        <v>None</v>
      </c>
      <c r="J53" s="28" t="str">
        <f t="shared" si="0"/>
        <v>manav.n384@example.com|partner 003|Round1|interviewer0@partner003.example.com</v>
      </c>
      <c r="K53" s="28" t="str">
        <f>IF(B53="","",IF(SUMPRODUCT(($J$2:$J$601=J53)*($H$2:$H$601&lt;H53))+SUMPRODUCT(($J$2:J53=J53)*($H$2:H53=H53))-1&gt;0,"DUPLICATE",IF(AND(ISNUMBER(SEARCH("@",E53)),ISNUMBER(SEARCH(".",E53)),LEN(F53)=10,ISNUMBER(VALUE(F53))),"OK","BAD CONTACT")))</f>
        <v>OK</v>
      </c>
      <c r="L53" s="28">
        <f t="shared" si="1"/>
        <v>1</v>
      </c>
      <c r="M53" s="28">
        <f>IF(L53=1,IF(COUNTIFS(LOG!$C$2:$C$2001,F53,LOG!$E$2:$E$2001,B53,LOG!$D$2:$D$2001,"*BOOKED")+COUNTIFS(LOG!$C$2:$C$2001,F53,LOG!$E$2:$E$2001,"",LOG!$D$2:$D$2001,"*BOOKED")&gt;0,1,0),0)</f>
        <v>0</v>
      </c>
      <c r="N53" s="28">
        <f>IF(L53=1,IF(COUNTIFS(LOG!$C$2:$C$2001,F53,LOG!$E$2:$E$2001,B53,LOG!$D$2:$D$2001,"NOT_INTERESTED")+COUNTIFS(LOG!$C$2:$C$2001,F53,LOG!$E$2:$E$2001,"",LOG!$D$2:$D$2001,"NOT_INTERESTED")&gt;0,1,0),0)</f>
        <v>0</v>
      </c>
      <c r="O53" s="28">
        <f>IF(L53=1,IF(COUNTIFS(LOG!$C$2:$C$2001,F53,LOG!$D$2:$D$2001,"STOP")+COUNTIFS(LOG!$C$2:$C$2001,F53,LOG!$D$2:$D$2001,"WRONG_NUMBER")&gt;0,1,IF(ISNUMBER(SEARCH("STOP",AT53)),1,0)),0)</f>
        <v>0</v>
      </c>
      <c r="P53" s="28">
        <f>IF(L53=1,IF(IFERROR(INDEX(PARTNERS!$D$2:$D$88,MATCH(B53,PARTNERS!$A$2:$A$88,0)),"")="NO SLOTS",1,IF(AND(IFERROR(INDEX(PARTNERS!$D$2:$D$88,MATCH(B53,PARTNERS!$A$2:$A$88,0)),"")&lt;&gt;"REOPENED",COUNTIFS(LOG!$E$2:$E$2001,B53,LOG!$D$2:$D$2001,"NO_SLOTS")&gt;0),1,0)),0)</f>
        <v>0</v>
      </c>
      <c r="Q53" s="28">
        <f>IF(L53=1,COUNTIFS(LOG!$C$2:$C$2001,F53,LOG!$H$2:$H$2001,1),0)</f>
        <v>0</v>
      </c>
      <c r="R53" s="46">
        <f>IF(Q53&gt;0,_xlfn.MAXIFS(LOG!$G$2:$G$2001,LOG!$C$2:$C$2001,F53,LOG!$H$2:$H$2001,1),0)</f>
        <v>0</v>
      </c>
      <c r="S53" s="28" t="str">
        <f>IF(Q53&gt;0,IFERROR(INDEX(LOG!$D$2:$D$2001,MATCH(F53&amp;"|"&amp;Q53,LOG!$I$2:$I$2001,0)),""),"")</f>
        <v/>
      </c>
      <c r="T53" s="28">
        <f>IF(S53="",0,IFERROR(VLOOKUP(S53,LISTS!$A$2:$E$10,4,FALSE),0))</f>
        <v>0</v>
      </c>
      <c r="U53" s="46">
        <f t="shared" si="2"/>
        <v>0</v>
      </c>
      <c r="V53" s="46">
        <f>IF(L53=1,H53+SETTINGS!$B$5/24,"")</f>
        <v>46309.82708333333</v>
      </c>
      <c r="W53" s="28">
        <f ca="1">IF(L53=1,(V53-SETTINGS!$B$4)*24,"")</f>
        <v>-1.6666666720993817E-2</v>
      </c>
      <c r="X53" s="28">
        <f ca="1">IF(AND(L53=1,K53="OK",M53=0,N53=0,O53=0,P53=0,SETTINGS!$B$4&lt;V53,Q53&lt;SETTINGS!$B$6),1,0)</f>
        <v>0</v>
      </c>
      <c r="Y53" s="28">
        <f ca="1">IF(AND(X53=1,SETTINGS!$B$4&gt;=H53,SETTINGS!$B$4&gt;=U53,ROUND(MOD(SETTINGS!$B$4,1)*1440,0)&gt;=ROUND(SETTINGS!$B$7*1440,0),ROUND(MOD(SETTINGS!$B$4,1)*1440,0)&lt;ROUND(SETTINGS!$B$8*1440,0)),1,0)</f>
        <v>0</v>
      </c>
      <c r="Z53" s="28" t="str">
        <f ca="1">IF(B53="","",IF(ROUND(MOD(SETTINGS!$B$4,1)*1440,0)&lt;ROUND(SETTINGS!$B$11*1440,0),"Ram",IF(ROUND(MOD(SETTINGS!$B$4,1)*1440,0)&gt;=ROUND(SETTINGS!$B$10*1440,0),"Shyam",IF(MOD(IFERROR(VALUE(RIGHT(F53,2)),0),2)=0,"Ram","Shyam"))))</f>
        <v>Shyam</v>
      </c>
      <c r="AA53" s="28">
        <f t="shared" ca="1" si="3"/>
        <v>0</v>
      </c>
      <c r="AB53" s="28">
        <f ca="1">IF(X53=1,COUNTIFS($F$2:F53,F53,$X$2:X53,1),0)</f>
        <v>0</v>
      </c>
      <c r="AC53" s="28" t="str">
        <f>IF(L53=1,IF(IFERROR(INDEX(PARTNERS!$C$2:$C$88,MATCH(B53,PARTNERS!$A$2:$A$88,0)),"")="YES","YES","NO"),"")</f>
        <v>NO</v>
      </c>
      <c r="AD53" s="28" t="str">
        <f>IF(L53=1,IFERROR(INDEX(PARTNERS!$B$2:$B$88,MATCH(B53,PARTNERS!$A$2:$A$88,0)),""),"")</f>
        <v>https://calendly.com/partner003/interview</v>
      </c>
      <c r="AE53" s="28">
        <f ca="1">IF(X53=1,IFERROR(INDEX(SETTINGS!$B$34:$D$36,MATCH(I53,SETTINGS!$A$34:$A$36,0),MIN(Q53,2)+1),SETTINGS!$B$36),0)</f>
        <v>0</v>
      </c>
      <c r="AF53" s="28">
        <f t="shared" si="4"/>
        <v>1</v>
      </c>
      <c r="AG53" s="28">
        <f ca="1">IF(AND(Y53=1,AB53=1),ROUND(AA53*AE53*IF(AF53&gt;1,SETTINGS!$B$16,1)*IF(W53&lt;=SETTINGS!$B$14,SETTINGS!$B$15,1)*IF(AU53=1,SETTINGS!$B$21,1),6),0)</f>
        <v>0</v>
      </c>
      <c r="AH53" s="28" t="str">
        <f ca="1">IF(AG53&gt;0,COUNTIFS($Z$2:$Z$601,Z53,$AG$2:$AG$601,"&gt;"&amp;AG53)+COUNTIFS($Z$2:Z53,Z53,$AG$2:AG53,AG53),"")</f>
        <v/>
      </c>
      <c r="AI53" s="28" t="str">
        <f t="shared" ca="1" si="5"/>
        <v/>
      </c>
      <c r="AJ53" s="28" t="str">
        <f t="shared" ca="1" si="6"/>
        <v/>
      </c>
      <c r="AK53" s="28">
        <f>IF(L53=1,IF(COUNTIFS($F$2:F53,F53,$L$2:L53,1)=1,1,0),0)</f>
        <v>1</v>
      </c>
      <c r="AL53" s="28" t="str">
        <f ca="1">IF(B53="","",IF(K53="DUPLICATE","Duplicate (removed)",IF(AO53=1,"Scheduled within 24h",IF(M53=1,"Scheduled late",IF(K53="BAD CONTACT","Bad contact details",IF(O53=1,"Stopped / wrong number",IF(N53=1,"Not interested",IF(P53=1,"Partner has no slots",IF(SETTINGS!$B$4&gt;=V53,IF(Q53=0,"Missed deadline: never tried","Missed deadline: tried, not booked"),IF(Q53&gt;=SETTINGS!$B$6,"No reply after max tries","Open"))))))))))</f>
        <v>Missed deadline: never tried</v>
      </c>
      <c r="AM53" s="46" t="str">
        <f>IF(M53=1,IF(_xlfn.MINIFS(LOG!$G$2:$G$2001,LOG!$C$2:$C$2001,F53,LOG!$E$2:$E$2001,B53,LOG!$D$2:$D$2001,"*BOOKED")=0,_xlfn.MINIFS(LOG!$G$2:$G$2001,LOG!$C$2:$C$2001,F53,LOG!$E$2:$E$2001,"",LOG!$D$2:$D$2001,"*BOOKED"),IF(_xlfn.MINIFS(LOG!$G$2:$G$2001,LOG!$C$2:$C$2001,F53,LOG!$E$2:$E$2001,"",LOG!$D$2:$D$2001,"*BOOKED")=0,_xlfn.MINIFS(LOG!$G$2:$G$2001,LOG!$C$2:$C$2001,F53,LOG!$E$2:$E$2001,B53,LOG!$D$2:$D$2001,"*BOOKED"),MIN(_xlfn.MINIFS(LOG!$G$2:$G$2001,LOG!$C$2:$C$2001,F53,LOG!$E$2:$E$2001,B53,LOG!$D$2:$D$2001,"*BOOKED"),_xlfn.MINIFS(LOG!$G$2:$G$2001,LOG!$C$2:$C$2001,F53,LOG!$E$2:$E$2001,"",LOG!$D$2:$D$2001,"*BOOKED")))),"")</f>
        <v/>
      </c>
      <c r="AN53" s="28" t="str">
        <f t="shared" si="7"/>
        <v/>
      </c>
      <c r="AO53" s="28">
        <f>IF(AND(M53=1,AN53&lt;&gt;""),IF(AN53&lt;=SETTINGS!$B$5,1,0),0)</f>
        <v>0</v>
      </c>
      <c r="AP53" s="28">
        <f>IF(M53=1,IF(COUNTIFS(LOG!$C$2:$C$2001,F53,LOG!$E$2:$E$2001,B53,LOG!$D$2:$D$2001,"BOOKED")+COUNTIFS(LOG!$C$2:$C$2001,F53,LOG!$E$2:$E$2001,"",LOG!$D$2:$D$2001,"BOOKED")&gt;0,1,0),0)</f>
        <v>0</v>
      </c>
      <c r="AQ53" s="28" t="str">
        <f t="shared" si="8"/>
        <v>Manav</v>
      </c>
      <c r="AR53" s="28">
        <f>IF(AND(AK53=1,K53="OK"),COUNTIFS($AK$2:AK53,1,$K$2:K53,"OK"),"")</f>
        <v>50</v>
      </c>
      <c r="AS53" s="28" t="str">
        <f>IF(L53=1,IFERROR(INDEX(MESSAGES!$J$9:$J$1008,MATCH(F53,MESSAGES!$M$9:$M$1008,0))&amp;"",""),"")</f>
        <v/>
      </c>
      <c r="AT53" s="28" t="str">
        <f>IF(L53=1,IFERROR(INDEX(MESSAGES!$K$9:$K$1008,MATCH(F53,MESSAGES!$M$9:$M$1008,0))&amp;"",""),"")</f>
        <v/>
      </c>
      <c r="AU53" s="28">
        <f t="shared" ca="1" si="9"/>
        <v>0</v>
      </c>
      <c r="AV53" s="28" t="str">
        <f t="shared" si="10"/>
        <v>HOLD</v>
      </c>
    </row>
    <row r="54" spans="1:48" x14ac:dyDescent="0.35">
      <c r="A54" s="28">
        <v>53</v>
      </c>
      <c r="B54" s="28" t="str">
        <f>IF(INPUT!A54="","",TRIM(INPUT!A54))</f>
        <v>Partner 000</v>
      </c>
      <c r="C54" s="28" t="str">
        <f>IF(B54="","",INPUT!C54)</f>
        <v>interviewer2@partner000.example.com</v>
      </c>
      <c r="D54" s="28" t="str">
        <f>IF(B54="","",INPUT!D54)</f>
        <v>Rahul A.</v>
      </c>
      <c r="E54" s="28" t="str">
        <f>IF(B54="","",INPUT!E54)</f>
        <v>rahul.a026@example.com</v>
      </c>
      <c r="F54" s="43" t="str">
        <f>IF(B54="","",TRIM(INPUT!F54&amp;""))</f>
        <v>9000000345</v>
      </c>
      <c r="G54" s="28" t="str">
        <f>IF(B54="","",INPUT!H54)</f>
        <v>Round1</v>
      </c>
      <c r="H54" s="46">
        <f>IF(B54="","",INPUT!I54)</f>
        <v>46308.82708333333</v>
      </c>
      <c r="I54" s="28" t="str">
        <f>IF(B54="","",IF(INPUT!J54="","None",INPUT!J54))</f>
        <v>Opened</v>
      </c>
      <c r="J54" s="28" t="str">
        <f t="shared" si="0"/>
        <v>rahul.a026@example.com|partner 000|Round1|interviewer2@partner000.example.com</v>
      </c>
      <c r="K54" s="28" t="str">
        <f>IF(B54="","",IF(SUMPRODUCT(($J$2:$J$601=J54)*($H$2:$H$601&lt;H54))+SUMPRODUCT(($J$2:J54=J54)*($H$2:H54=H54))-1&gt;0,"DUPLICATE",IF(AND(ISNUMBER(SEARCH("@",E54)),ISNUMBER(SEARCH(".",E54)),LEN(F54)=10,ISNUMBER(VALUE(F54))),"OK","BAD CONTACT")))</f>
        <v>OK</v>
      </c>
      <c r="L54" s="28">
        <f t="shared" si="1"/>
        <v>1</v>
      </c>
      <c r="M54" s="28">
        <f>IF(L54=1,IF(COUNTIFS(LOG!$C$2:$C$2001,F54,LOG!$E$2:$E$2001,B54,LOG!$D$2:$D$2001,"*BOOKED")+COUNTIFS(LOG!$C$2:$C$2001,F54,LOG!$E$2:$E$2001,"",LOG!$D$2:$D$2001,"*BOOKED")&gt;0,1,0),0)</f>
        <v>0</v>
      </c>
      <c r="N54" s="28">
        <f>IF(L54=1,IF(COUNTIFS(LOG!$C$2:$C$2001,F54,LOG!$E$2:$E$2001,B54,LOG!$D$2:$D$2001,"NOT_INTERESTED")+COUNTIFS(LOG!$C$2:$C$2001,F54,LOG!$E$2:$E$2001,"",LOG!$D$2:$D$2001,"NOT_INTERESTED")&gt;0,1,0),0)</f>
        <v>0</v>
      </c>
      <c r="O54" s="28">
        <f>IF(L54=1,IF(COUNTIFS(LOG!$C$2:$C$2001,F54,LOG!$D$2:$D$2001,"STOP")+COUNTIFS(LOG!$C$2:$C$2001,F54,LOG!$D$2:$D$2001,"WRONG_NUMBER")&gt;0,1,IF(ISNUMBER(SEARCH("STOP",AT54)),1,0)),0)</f>
        <v>0</v>
      </c>
      <c r="P54" s="28">
        <f>IF(L54=1,IF(IFERROR(INDEX(PARTNERS!$D$2:$D$88,MATCH(B54,PARTNERS!$A$2:$A$88,0)),"")="NO SLOTS",1,IF(AND(IFERROR(INDEX(PARTNERS!$D$2:$D$88,MATCH(B54,PARTNERS!$A$2:$A$88,0)),"")&lt;&gt;"REOPENED",COUNTIFS(LOG!$E$2:$E$2001,B54,LOG!$D$2:$D$2001,"NO_SLOTS")&gt;0),1,0)),0)</f>
        <v>0</v>
      </c>
      <c r="Q54" s="28">
        <f>IF(L54=1,COUNTIFS(LOG!$C$2:$C$2001,F54,LOG!$H$2:$H$2001,1),0)</f>
        <v>0</v>
      </c>
      <c r="R54" s="46">
        <f>IF(Q54&gt;0,_xlfn.MAXIFS(LOG!$G$2:$G$2001,LOG!$C$2:$C$2001,F54,LOG!$H$2:$H$2001,1),0)</f>
        <v>0</v>
      </c>
      <c r="S54" s="28" t="str">
        <f>IF(Q54&gt;0,IFERROR(INDEX(LOG!$D$2:$D$2001,MATCH(F54&amp;"|"&amp;Q54,LOG!$I$2:$I$2001,0)),""),"")</f>
        <v/>
      </c>
      <c r="T54" s="28">
        <f>IF(S54="",0,IFERROR(VLOOKUP(S54,LISTS!$A$2:$E$10,4,FALSE),0))</f>
        <v>0</v>
      </c>
      <c r="U54" s="46">
        <f t="shared" si="2"/>
        <v>0</v>
      </c>
      <c r="V54" s="46">
        <f>IF(L54=1,H54+SETTINGS!$B$5/24,"")</f>
        <v>46309.82708333333</v>
      </c>
      <c r="W54" s="28">
        <f ca="1">IF(L54=1,(V54-SETTINGS!$B$4)*24,"")</f>
        <v>-1.6666666720993817E-2</v>
      </c>
      <c r="X54" s="28">
        <f ca="1">IF(AND(L54=1,K54="OK",M54=0,N54=0,O54=0,P54=0,SETTINGS!$B$4&lt;V54,Q54&lt;SETTINGS!$B$6),1,0)</f>
        <v>0</v>
      </c>
      <c r="Y54" s="28">
        <f ca="1">IF(AND(X54=1,SETTINGS!$B$4&gt;=H54,SETTINGS!$B$4&gt;=U54,ROUND(MOD(SETTINGS!$B$4,1)*1440,0)&gt;=ROUND(SETTINGS!$B$7*1440,0),ROUND(MOD(SETTINGS!$B$4,1)*1440,0)&lt;ROUND(SETTINGS!$B$8*1440,0)),1,0)</f>
        <v>0</v>
      </c>
      <c r="Z54" s="28" t="str">
        <f ca="1">IF(B54="","",IF(ROUND(MOD(SETTINGS!$B$4,1)*1440,0)&lt;ROUND(SETTINGS!$B$11*1440,0),"Ram",IF(ROUND(MOD(SETTINGS!$B$4,1)*1440,0)&gt;=ROUND(SETTINGS!$B$10*1440,0),"Shyam",IF(MOD(IFERROR(VALUE(RIGHT(F54,2)),0),2)=0,"Ram","Shyam"))))</f>
        <v>Shyam</v>
      </c>
      <c r="AA54" s="28">
        <f t="shared" ca="1" si="3"/>
        <v>0</v>
      </c>
      <c r="AB54" s="28">
        <f ca="1">IF(X54=1,COUNTIFS($F$2:F54,F54,$X$2:X54,1),0)</f>
        <v>0</v>
      </c>
      <c r="AC54" s="28" t="str">
        <f>IF(L54=1,IF(IFERROR(INDEX(PARTNERS!$C$2:$C$88,MATCH(B54,PARTNERS!$A$2:$A$88,0)),"")="YES","YES","NO"),"")</f>
        <v>NO</v>
      </c>
      <c r="AD54" s="28" t="str">
        <f>IF(L54=1,IFERROR(INDEX(PARTNERS!$B$2:$B$88,MATCH(B54,PARTNERS!$A$2:$A$88,0)),""),"")</f>
        <v>https://calendly.com/partner000/interview</v>
      </c>
      <c r="AE54" s="28">
        <f ca="1">IF(X54=1,IFERROR(INDEX(SETTINGS!$B$34:$D$36,MATCH(I54,SETTINGS!$A$34:$A$36,0),MIN(Q54,2)+1),SETTINGS!$B$36),0)</f>
        <v>0</v>
      </c>
      <c r="AF54" s="28">
        <f t="shared" si="4"/>
        <v>1</v>
      </c>
      <c r="AG54" s="28">
        <f ca="1">IF(AND(Y54=1,AB54=1),ROUND(AA54*AE54*IF(AF54&gt;1,SETTINGS!$B$16,1)*IF(W54&lt;=SETTINGS!$B$14,SETTINGS!$B$15,1)*IF(AU54=1,SETTINGS!$B$21,1),6),0)</f>
        <v>0</v>
      </c>
      <c r="AH54" s="28" t="str">
        <f ca="1">IF(AG54&gt;0,COUNTIFS($Z$2:$Z$601,Z54,$AG$2:$AG$601,"&gt;"&amp;AG54)+COUNTIFS($Z$2:Z54,Z54,$AG$2:AG54,AG54),"")</f>
        <v/>
      </c>
      <c r="AI54" s="28" t="str">
        <f t="shared" ca="1" si="5"/>
        <v/>
      </c>
      <c r="AJ54" s="28" t="str">
        <f t="shared" ca="1" si="6"/>
        <v/>
      </c>
      <c r="AK54" s="28">
        <f>IF(L54=1,IF(COUNTIFS($F$2:F54,F54,$L$2:L54,1)=1,1,0),0)</f>
        <v>1</v>
      </c>
      <c r="AL54" s="28" t="str">
        <f ca="1">IF(B54="","",IF(K54="DUPLICATE","Duplicate (removed)",IF(AO54=1,"Scheduled within 24h",IF(M54=1,"Scheduled late",IF(K54="BAD CONTACT","Bad contact details",IF(O54=1,"Stopped / wrong number",IF(N54=1,"Not interested",IF(P54=1,"Partner has no slots",IF(SETTINGS!$B$4&gt;=V54,IF(Q54=0,"Missed deadline: never tried","Missed deadline: tried, not booked"),IF(Q54&gt;=SETTINGS!$B$6,"No reply after max tries","Open"))))))))))</f>
        <v>Missed deadline: never tried</v>
      </c>
      <c r="AM54" s="46" t="str">
        <f>IF(M54=1,IF(_xlfn.MINIFS(LOG!$G$2:$G$2001,LOG!$C$2:$C$2001,F54,LOG!$E$2:$E$2001,B54,LOG!$D$2:$D$2001,"*BOOKED")=0,_xlfn.MINIFS(LOG!$G$2:$G$2001,LOG!$C$2:$C$2001,F54,LOG!$E$2:$E$2001,"",LOG!$D$2:$D$2001,"*BOOKED"),IF(_xlfn.MINIFS(LOG!$G$2:$G$2001,LOG!$C$2:$C$2001,F54,LOG!$E$2:$E$2001,"",LOG!$D$2:$D$2001,"*BOOKED")=0,_xlfn.MINIFS(LOG!$G$2:$G$2001,LOG!$C$2:$C$2001,F54,LOG!$E$2:$E$2001,B54,LOG!$D$2:$D$2001,"*BOOKED"),MIN(_xlfn.MINIFS(LOG!$G$2:$G$2001,LOG!$C$2:$C$2001,F54,LOG!$E$2:$E$2001,B54,LOG!$D$2:$D$2001,"*BOOKED"),_xlfn.MINIFS(LOG!$G$2:$G$2001,LOG!$C$2:$C$2001,F54,LOG!$E$2:$E$2001,"",LOG!$D$2:$D$2001,"*BOOKED")))),"")</f>
        <v/>
      </c>
      <c r="AN54" s="28" t="str">
        <f t="shared" si="7"/>
        <v/>
      </c>
      <c r="AO54" s="28">
        <f>IF(AND(M54=1,AN54&lt;&gt;""),IF(AN54&lt;=SETTINGS!$B$5,1,0),0)</f>
        <v>0</v>
      </c>
      <c r="AP54" s="28">
        <f>IF(M54=1,IF(COUNTIFS(LOG!$C$2:$C$2001,F54,LOG!$E$2:$E$2001,B54,LOG!$D$2:$D$2001,"BOOKED")+COUNTIFS(LOG!$C$2:$C$2001,F54,LOG!$E$2:$E$2001,"",LOG!$D$2:$D$2001,"BOOKED")&gt;0,1,0),0)</f>
        <v>0</v>
      </c>
      <c r="AQ54" s="28" t="str">
        <f t="shared" si="8"/>
        <v>Rahul</v>
      </c>
      <c r="AR54" s="28">
        <f>IF(AND(AK54=1,K54="OK"),COUNTIFS($AK$2:AK54,1,$K$2:K54,"OK"),"")</f>
        <v>51</v>
      </c>
      <c r="AS54" s="28" t="str">
        <f>IF(L54=1,IFERROR(INDEX(MESSAGES!$J$9:$J$1008,MATCH(F54,MESSAGES!$M$9:$M$1008,0))&amp;"",""),"")</f>
        <v/>
      </c>
      <c r="AT54" s="28" t="str">
        <f>IF(L54=1,IFERROR(INDEX(MESSAGES!$K$9:$K$1008,MATCH(F54,MESSAGES!$M$9:$M$1008,0))&amp;"",""),"")</f>
        <v/>
      </c>
      <c r="AU54" s="28">
        <f t="shared" ca="1" si="9"/>
        <v>0</v>
      </c>
      <c r="AV54" s="28" t="str">
        <f t="shared" si="10"/>
        <v>SEND</v>
      </c>
    </row>
    <row r="55" spans="1:48" x14ac:dyDescent="0.35">
      <c r="A55" s="28">
        <v>54</v>
      </c>
      <c r="B55" s="28" t="str">
        <f>IF(INPUT!A55="","",TRIM(INPUT!A55))</f>
        <v>Partner 000</v>
      </c>
      <c r="C55" s="28" t="str">
        <f>IF(B55="","",INPUT!C55)</f>
        <v>interviewer0@partner000.example.com</v>
      </c>
      <c r="D55" s="28" t="str">
        <f>IF(B55="","",INPUT!D55)</f>
        <v>Ananya K.</v>
      </c>
      <c r="E55" s="28" t="str">
        <f>IF(B55="","",INPUT!E55)</f>
        <v>ananya.k273@example.com</v>
      </c>
      <c r="F55" s="43" t="str">
        <f>IF(B55="","",TRIM(INPUT!F55&amp;""))</f>
        <v>9000003556</v>
      </c>
      <c r="G55" s="28" t="str">
        <f>IF(B55="","",INPUT!H55)</f>
        <v>Round1</v>
      </c>
      <c r="H55" s="46">
        <f>IF(B55="","",INPUT!I55)</f>
        <v>46308.82708333333</v>
      </c>
      <c r="I55" s="28" t="str">
        <f>IF(B55="","",IF(INPUT!J55="","None",INPUT!J55))</f>
        <v>None</v>
      </c>
      <c r="J55" s="28" t="str">
        <f t="shared" si="0"/>
        <v>ananya.k273@example.com|partner 000|Round1|interviewer0@partner000.example.com</v>
      </c>
      <c r="K55" s="28" t="str">
        <f>IF(B55="","",IF(SUMPRODUCT(($J$2:$J$601=J55)*($H$2:$H$601&lt;H55))+SUMPRODUCT(($J$2:J55=J55)*($H$2:H55=H55))-1&gt;0,"DUPLICATE",IF(AND(ISNUMBER(SEARCH("@",E55)),ISNUMBER(SEARCH(".",E55)),LEN(F55)=10,ISNUMBER(VALUE(F55))),"OK","BAD CONTACT")))</f>
        <v>OK</v>
      </c>
      <c r="L55" s="28">
        <f t="shared" si="1"/>
        <v>1</v>
      </c>
      <c r="M55" s="28">
        <f>IF(L55=1,IF(COUNTIFS(LOG!$C$2:$C$2001,F55,LOG!$E$2:$E$2001,B55,LOG!$D$2:$D$2001,"*BOOKED")+COUNTIFS(LOG!$C$2:$C$2001,F55,LOG!$E$2:$E$2001,"",LOG!$D$2:$D$2001,"*BOOKED")&gt;0,1,0),0)</f>
        <v>0</v>
      </c>
      <c r="N55" s="28">
        <f>IF(L55=1,IF(COUNTIFS(LOG!$C$2:$C$2001,F55,LOG!$E$2:$E$2001,B55,LOG!$D$2:$D$2001,"NOT_INTERESTED")+COUNTIFS(LOG!$C$2:$C$2001,F55,LOG!$E$2:$E$2001,"",LOG!$D$2:$D$2001,"NOT_INTERESTED")&gt;0,1,0),0)</f>
        <v>0</v>
      </c>
      <c r="O55" s="28">
        <f>IF(L55=1,IF(COUNTIFS(LOG!$C$2:$C$2001,F55,LOG!$D$2:$D$2001,"STOP")+COUNTIFS(LOG!$C$2:$C$2001,F55,LOG!$D$2:$D$2001,"WRONG_NUMBER")&gt;0,1,IF(ISNUMBER(SEARCH("STOP",AT55)),1,0)),0)</f>
        <v>0</v>
      </c>
      <c r="P55" s="28">
        <f>IF(L55=1,IF(IFERROR(INDEX(PARTNERS!$D$2:$D$88,MATCH(B55,PARTNERS!$A$2:$A$88,0)),"")="NO SLOTS",1,IF(AND(IFERROR(INDEX(PARTNERS!$D$2:$D$88,MATCH(B55,PARTNERS!$A$2:$A$88,0)),"")&lt;&gt;"REOPENED",COUNTIFS(LOG!$E$2:$E$2001,B55,LOG!$D$2:$D$2001,"NO_SLOTS")&gt;0),1,0)),0)</f>
        <v>0</v>
      </c>
      <c r="Q55" s="28">
        <f>IF(L55=1,COUNTIFS(LOG!$C$2:$C$2001,F55,LOG!$H$2:$H$2001,1),0)</f>
        <v>0</v>
      </c>
      <c r="R55" s="46">
        <f>IF(Q55&gt;0,_xlfn.MAXIFS(LOG!$G$2:$G$2001,LOG!$C$2:$C$2001,F55,LOG!$H$2:$H$2001,1),0)</f>
        <v>0</v>
      </c>
      <c r="S55" s="28" t="str">
        <f>IF(Q55&gt;0,IFERROR(INDEX(LOG!$D$2:$D$2001,MATCH(F55&amp;"|"&amp;Q55,LOG!$I$2:$I$2001,0)),""),"")</f>
        <v/>
      </c>
      <c r="T55" s="28">
        <f>IF(S55="",0,IFERROR(VLOOKUP(S55,LISTS!$A$2:$E$10,4,FALSE),0))</f>
        <v>0</v>
      </c>
      <c r="U55" s="46">
        <f t="shared" si="2"/>
        <v>0</v>
      </c>
      <c r="V55" s="46">
        <f>IF(L55=1,H55+SETTINGS!$B$5/24,"")</f>
        <v>46309.82708333333</v>
      </c>
      <c r="W55" s="28">
        <f ca="1">IF(L55=1,(V55-SETTINGS!$B$4)*24,"")</f>
        <v>-1.6666666720993817E-2</v>
      </c>
      <c r="X55" s="28">
        <f ca="1">IF(AND(L55=1,K55="OK",M55=0,N55=0,O55=0,P55=0,SETTINGS!$B$4&lt;V55,Q55&lt;SETTINGS!$B$6),1,0)</f>
        <v>0</v>
      </c>
      <c r="Y55" s="28">
        <f ca="1">IF(AND(X55=1,SETTINGS!$B$4&gt;=H55,SETTINGS!$B$4&gt;=U55,ROUND(MOD(SETTINGS!$B$4,1)*1440,0)&gt;=ROUND(SETTINGS!$B$7*1440,0),ROUND(MOD(SETTINGS!$B$4,1)*1440,0)&lt;ROUND(SETTINGS!$B$8*1440,0)),1,0)</f>
        <v>0</v>
      </c>
      <c r="Z55" s="28" t="str">
        <f ca="1">IF(B55="","",IF(ROUND(MOD(SETTINGS!$B$4,1)*1440,0)&lt;ROUND(SETTINGS!$B$11*1440,0),"Ram",IF(ROUND(MOD(SETTINGS!$B$4,1)*1440,0)&gt;=ROUND(SETTINGS!$B$10*1440,0),"Shyam",IF(MOD(IFERROR(VALUE(RIGHT(F55,2)),0),2)=0,"Ram","Shyam"))))</f>
        <v>Shyam</v>
      </c>
      <c r="AA55" s="28">
        <f t="shared" ca="1" si="3"/>
        <v>0</v>
      </c>
      <c r="AB55" s="28">
        <f ca="1">IF(X55=1,COUNTIFS($F$2:F55,F55,$X$2:X55,1),0)</f>
        <v>0</v>
      </c>
      <c r="AC55" s="28" t="str">
        <f>IF(L55=1,IF(IFERROR(INDEX(PARTNERS!$C$2:$C$88,MATCH(B55,PARTNERS!$A$2:$A$88,0)),"")="YES","YES","NO"),"")</f>
        <v>NO</v>
      </c>
      <c r="AD55" s="28" t="str">
        <f>IF(L55=1,IFERROR(INDEX(PARTNERS!$B$2:$B$88,MATCH(B55,PARTNERS!$A$2:$A$88,0)),""),"")</f>
        <v>https://calendly.com/partner000/interview</v>
      </c>
      <c r="AE55" s="28">
        <f ca="1">IF(X55=1,IFERROR(INDEX(SETTINGS!$B$34:$D$36,MATCH(I55,SETTINGS!$A$34:$A$36,0),MIN(Q55,2)+1),SETTINGS!$B$36),0)</f>
        <v>0</v>
      </c>
      <c r="AF55" s="28">
        <f t="shared" si="4"/>
        <v>1</v>
      </c>
      <c r="AG55" s="28">
        <f ca="1">IF(AND(Y55=1,AB55=1),ROUND(AA55*AE55*IF(AF55&gt;1,SETTINGS!$B$16,1)*IF(W55&lt;=SETTINGS!$B$14,SETTINGS!$B$15,1)*IF(AU55=1,SETTINGS!$B$21,1),6),0)</f>
        <v>0</v>
      </c>
      <c r="AH55" s="28" t="str">
        <f ca="1">IF(AG55&gt;0,COUNTIFS($Z$2:$Z$601,Z55,$AG$2:$AG$601,"&gt;"&amp;AG55)+COUNTIFS($Z$2:Z55,Z55,$AG$2:AG55,AG55),"")</f>
        <v/>
      </c>
      <c r="AI55" s="28" t="str">
        <f t="shared" ca="1" si="5"/>
        <v/>
      </c>
      <c r="AJ55" s="28" t="str">
        <f t="shared" ca="1" si="6"/>
        <v/>
      </c>
      <c r="AK55" s="28">
        <f>IF(L55=1,IF(COUNTIFS($F$2:F55,F55,$L$2:L55,1)=1,1,0),0)</f>
        <v>1</v>
      </c>
      <c r="AL55" s="28" t="str">
        <f ca="1">IF(B55="","",IF(K55="DUPLICATE","Duplicate (removed)",IF(AO55=1,"Scheduled within 24h",IF(M55=1,"Scheduled late",IF(K55="BAD CONTACT","Bad contact details",IF(O55=1,"Stopped / wrong number",IF(N55=1,"Not interested",IF(P55=1,"Partner has no slots",IF(SETTINGS!$B$4&gt;=V55,IF(Q55=0,"Missed deadline: never tried","Missed deadline: tried, not booked"),IF(Q55&gt;=SETTINGS!$B$6,"No reply after max tries","Open"))))))))))</f>
        <v>Missed deadline: never tried</v>
      </c>
      <c r="AM55" s="46" t="str">
        <f>IF(M55=1,IF(_xlfn.MINIFS(LOG!$G$2:$G$2001,LOG!$C$2:$C$2001,F55,LOG!$E$2:$E$2001,B55,LOG!$D$2:$D$2001,"*BOOKED")=0,_xlfn.MINIFS(LOG!$G$2:$G$2001,LOG!$C$2:$C$2001,F55,LOG!$E$2:$E$2001,"",LOG!$D$2:$D$2001,"*BOOKED"),IF(_xlfn.MINIFS(LOG!$G$2:$G$2001,LOG!$C$2:$C$2001,F55,LOG!$E$2:$E$2001,"",LOG!$D$2:$D$2001,"*BOOKED")=0,_xlfn.MINIFS(LOG!$G$2:$G$2001,LOG!$C$2:$C$2001,F55,LOG!$E$2:$E$2001,B55,LOG!$D$2:$D$2001,"*BOOKED"),MIN(_xlfn.MINIFS(LOG!$G$2:$G$2001,LOG!$C$2:$C$2001,F55,LOG!$E$2:$E$2001,B55,LOG!$D$2:$D$2001,"*BOOKED"),_xlfn.MINIFS(LOG!$G$2:$G$2001,LOG!$C$2:$C$2001,F55,LOG!$E$2:$E$2001,"",LOG!$D$2:$D$2001,"*BOOKED")))),"")</f>
        <v/>
      </c>
      <c r="AN55" s="28" t="str">
        <f t="shared" si="7"/>
        <v/>
      </c>
      <c r="AO55" s="28">
        <f>IF(AND(M55=1,AN55&lt;&gt;""),IF(AN55&lt;=SETTINGS!$B$5,1,0),0)</f>
        <v>0</v>
      </c>
      <c r="AP55" s="28">
        <f>IF(M55=1,IF(COUNTIFS(LOG!$C$2:$C$2001,F55,LOG!$E$2:$E$2001,B55,LOG!$D$2:$D$2001,"BOOKED")+COUNTIFS(LOG!$C$2:$C$2001,F55,LOG!$E$2:$E$2001,"",LOG!$D$2:$D$2001,"BOOKED")&gt;0,1,0),0)</f>
        <v>0</v>
      </c>
      <c r="AQ55" s="28" t="str">
        <f t="shared" si="8"/>
        <v>Ananya</v>
      </c>
      <c r="AR55" s="28">
        <f>IF(AND(AK55=1,K55="OK"),COUNTIFS($AK$2:AK55,1,$K$2:K55,"OK"),"")</f>
        <v>52</v>
      </c>
      <c r="AS55" s="28" t="str">
        <f>IF(L55=1,IFERROR(INDEX(MESSAGES!$J$9:$J$1008,MATCH(F55,MESSAGES!$M$9:$M$1008,0))&amp;"",""),"")</f>
        <v/>
      </c>
      <c r="AT55" s="28" t="str">
        <f>IF(L55=1,IFERROR(INDEX(MESSAGES!$K$9:$K$1008,MATCH(F55,MESSAGES!$M$9:$M$1008,0))&amp;"",""),"")</f>
        <v/>
      </c>
      <c r="AU55" s="28">
        <f t="shared" ca="1" si="9"/>
        <v>0</v>
      </c>
      <c r="AV55" s="28" t="str">
        <f t="shared" si="10"/>
        <v>HOLD</v>
      </c>
    </row>
    <row r="56" spans="1:48" x14ac:dyDescent="0.35">
      <c r="A56" s="28">
        <v>55</v>
      </c>
      <c r="B56" s="28" t="str">
        <f>IF(INPUT!A56="","",TRIM(INPUT!A56))</f>
        <v>Partner 004</v>
      </c>
      <c r="C56" s="28" t="str">
        <f>IF(B56="","",INPUT!C56)</f>
        <v>interviewer1@partner004.example.com</v>
      </c>
      <c r="D56" s="28" t="str">
        <f>IF(B56="","",INPUT!D56)</f>
        <v>Dev A.</v>
      </c>
      <c r="E56" s="28" t="str">
        <f>IF(B56="","",INPUT!E56)</f>
        <v>dev.a012@example.com</v>
      </c>
      <c r="F56" s="43" t="str">
        <f>IF(B56="","",TRIM(INPUT!F56&amp;""))</f>
        <v>9000000163</v>
      </c>
      <c r="G56" s="28" t="str">
        <f>IF(B56="","",INPUT!H56)</f>
        <v>Round1</v>
      </c>
      <c r="H56" s="46">
        <f>IF(B56="","",INPUT!I56)</f>
        <v>46308.82708333333</v>
      </c>
      <c r="I56" s="28" t="str">
        <f>IF(B56="","",IF(INPUT!J56="","None",INPUT!J56))</f>
        <v>Opened</v>
      </c>
      <c r="J56" s="28" t="str">
        <f t="shared" si="0"/>
        <v>dev.a012@example.com|partner 004|Round1|interviewer1@partner004.example.com</v>
      </c>
      <c r="K56" s="28" t="str">
        <f>IF(B56="","",IF(SUMPRODUCT(($J$2:$J$601=J56)*($H$2:$H$601&lt;H56))+SUMPRODUCT(($J$2:J56=J56)*($H$2:H56=H56))-1&gt;0,"DUPLICATE",IF(AND(ISNUMBER(SEARCH("@",E56)),ISNUMBER(SEARCH(".",E56)),LEN(F56)=10,ISNUMBER(VALUE(F56))),"OK","BAD CONTACT")))</f>
        <v>OK</v>
      </c>
      <c r="L56" s="28">
        <f t="shared" si="1"/>
        <v>1</v>
      </c>
      <c r="M56" s="28">
        <f>IF(L56=1,IF(COUNTIFS(LOG!$C$2:$C$2001,F56,LOG!$E$2:$E$2001,B56,LOG!$D$2:$D$2001,"*BOOKED")+COUNTIFS(LOG!$C$2:$C$2001,F56,LOG!$E$2:$E$2001,"",LOG!$D$2:$D$2001,"*BOOKED")&gt;0,1,0),0)</f>
        <v>0</v>
      </c>
      <c r="N56" s="28">
        <f>IF(L56=1,IF(COUNTIFS(LOG!$C$2:$C$2001,F56,LOG!$E$2:$E$2001,B56,LOG!$D$2:$D$2001,"NOT_INTERESTED")+COUNTIFS(LOG!$C$2:$C$2001,F56,LOG!$E$2:$E$2001,"",LOG!$D$2:$D$2001,"NOT_INTERESTED")&gt;0,1,0),0)</f>
        <v>0</v>
      </c>
      <c r="O56" s="28">
        <f>IF(L56=1,IF(COUNTIFS(LOG!$C$2:$C$2001,F56,LOG!$D$2:$D$2001,"STOP")+COUNTIFS(LOG!$C$2:$C$2001,F56,LOG!$D$2:$D$2001,"WRONG_NUMBER")&gt;0,1,IF(ISNUMBER(SEARCH("STOP",AT56)),1,0)),0)</f>
        <v>0</v>
      </c>
      <c r="P56" s="28">
        <f>IF(L56=1,IF(IFERROR(INDEX(PARTNERS!$D$2:$D$88,MATCH(B56,PARTNERS!$A$2:$A$88,0)),"")="NO SLOTS",1,IF(AND(IFERROR(INDEX(PARTNERS!$D$2:$D$88,MATCH(B56,PARTNERS!$A$2:$A$88,0)),"")&lt;&gt;"REOPENED",COUNTIFS(LOG!$E$2:$E$2001,B56,LOG!$D$2:$D$2001,"NO_SLOTS")&gt;0),1,0)),0)</f>
        <v>0</v>
      </c>
      <c r="Q56" s="28">
        <f>IF(L56=1,COUNTIFS(LOG!$C$2:$C$2001,F56,LOG!$H$2:$H$2001,1),0)</f>
        <v>0</v>
      </c>
      <c r="R56" s="46">
        <f>IF(Q56&gt;0,_xlfn.MAXIFS(LOG!$G$2:$G$2001,LOG!$C$2:$C$2001,F56,LOG!$H$2:$H$2001,1),0)</f>
        <v>0</v>
      </c>
      <c r="S56" s="28" t="str">
        <f>IF(Q56&gt;0,IFERROR(INDEX(LOG!$D$2:$D$2001,MATCH(F56&amp;"|"&amp;Q56,LOG!$I$2:$I$2001,0)),""),"")</f>
        <v/>
      </c>
      <c r="T56" s="28">
        <f>IF(S56="",0,IFERROR(VLOOKUP(S56,LISTS!$A$2:$E$10,4,FALSE),0))</f>
        <v>0</v>
      </c>
      <c r="U56" s="46">
        <f t="shared" si="2"/>
        <v>0</v>
      </c>
      <c r="V56" s="46">
        <f>IF(L56=1,H56+SETTINGS!$B$5/24,"")</f>
        <v>46309.82708333333</v>
      </c>
      <c r="W56" s="28">
        <f ca="1">IF(L56=1,(V56-SETTINGS!$B$4)*24,"")</f>
        <v>-1.6666666720993817E-2</v>
      </c>
      <c r="X56" s="28">
        <f ca="1">IF(AND(L56=1,K56="OK",M56=0,N56=0,O56=0,P56=0,SETTINGS!$B$4&lt;V56,Q56&lt;SETTINGS!$B$6),1,0)</f>
        <v>0</v>
      </c>
      <c r="Y56" s="28">
        <f ca="1">IF(AND(X56=1,SETTINGS!$B$4&gt;=H56,SETTINGS!$B$4&gt;=U56,ROUND(MOD(SETTINGS!$B$4,1)*1440,0)&gt;=ROUND(SETTINGS!$B$7*1440,0),ROUND(MOD(SETTINGS!$B$4,1)*1440,0)&lt;ROUND(SETTINGS!$B$8*1440,0)),1,0)</f>
        <v>0</v>
      </c>
      <c r="Z56" s="28" t="str">
        <f ca="1">IF(B56="","",IF(ROUND(MOD(SETTINGS!$B$4,1)*1440,0)&lt;ROUND(SETTINGS!$B$11*1440,0),"Ram",IF(ROUND(MOD(SETTINGS!$B$4,1)*1440,0)&gt;=ROUND(SETTINGS!$B$10*1440,0),"Shyam",IF(MOD(IFERROR(VALUE(RIGHT(F56,2)),0),2)=0,"Ram","Shyam"))))</f>
        <v>Shyam</v>
      </c>
      <c r="AA56" s="28">
        <f t="shared" ca="1" si="3"/>
        <v>0</v>
      </c>
      <c r="AB56" s="28">
        <f ca="1">IF(X56=1,COUNTIFS($F$2:F56,F56,$X$2:X56,1),0)</f>
        <v>0</v>
      </c>
      <c r="AC56" s="28" t="str">
        <f>IF(L56=1,IF(IFERROR(INDEX(PARTNERS!$C$2:$C$88,MATCH(B56,PARTNERS!$A$2:$A$88,0)),"")="YES","YES","NO"),"")</f>
        <v>YES</v>
      </c>
      <c r="AD56" s="28" t="str">
        <f>IF(L56=1,IFERROR(INDEX(PARTNERS!$B$2:$B$88,MATCH(B56,PARTNERS!$A$2:$A$88,0)),""),"")</f>
        <v>https://calendly.com/partner004/interview</v>
      </c>
      <c r="AE56" s="28">
        <f ca="1">IF(X56=1,IFERROR(INDEX(SETTINGS!$B$34:$D$36,MATCH(I56,SETTINGS!$A$34:$A$36,0),MIN(Q56,2)+1),SETTINGS!$B$36),0)</f>
        <v>0</v>
      </c>
      <c r="AF56" s="28">
        <f t="shared" si="4"/>
        <v>1</v>
      </c>
      <c r="AG56" s="28">
        <f ca="1">IF(AND(Y56=1,AB56=1),ROUND(AA56*AE56*IF(AF56&gt;1,SETTINGS!$B$16,1)*IF(W56&lt;=SETTINGS!$B$14,SETTINGS!$B$15,1)*IF(AU56=1,SETTINGS!$B$21,1),6),0)</f>
        <v>0</v>
      </c>
      <c r="AH56" s="28" t="str">
        <f ca="1">IF(AG56&gt;0,COUNTIFS($Z$2:$Z$601,Z56,$AG$2:$AG$601,"&gt;"&amp;AG56)+COUNTIFS($Z$2:Z56,Z56,$AG$2:AG56,AG56),"")</f>
        <v/>
      </c>
      <c r="AI56" s="28" t="str">
        <f t="shared" ca="1" si="5"/>
        <v/>
      </c>
      <c r="AJ56" s="28" t="str">
        <f t="shared" ca="1" si="6"/>
        <v/>
      </c>
      <c r="AK56" s="28">
        <f>IF(L56=1,IF(COUNTIFS($F$2:F56,F56,$L$2:L56,1)=1,1,0),0)</f>
        <v>1</v>
      </c>
      <c r="AL56" s="28" t="str">
        <f ca="1">IF(B56="","",IF(K56="DUPLICATE","Duplicate (removed)",IF(AO56=1,"Scheduled within 24h",IF(M56=1,"Scheduled late",IF(K56="BAD CONTACT","Bad contact details",IF(O56=1,"Stopped / wrong number",IF(N56=1,"Not interested",IF(P56=1,"Partner has no slots",IF(SETTINGS!$B$4&gt;=V56,IF(Q56=0,"Missed deadline: never tried","Missed deadline: tried, not booked"),IF(Q56&gt;=SETTINGS!$B$6,"No reply after max tries","Open"))))))))))</f>
        <v>Missed deadline: never tried</v>
      </c>
      <c r="AM56" s="46" t="str">
        <f>IF(M56=1,IF(_xlfn.MINIFS(LOG!$G$2:$G$2001,LOG!$C$2:$C$2001,F56,LOG!$E$2:$E$2001,B56,LOG!$D$2:$D$2001,"*BOOKED")=0,_xlfn.MINIFS(LOG!$G$2:$G$2001,LOG!$C$2:$C$2001,F56,LOG!$E$2:$E$2001,"",LOG!$D$2:$D$2001,"*BOOKED"),IF(_xlfn.MINIFS(LOG!$G$2:$G$2001,LOG!$C$2:$C$2001,F56,LOG!$E$2:$E$2001,"",LOG!$D$2:$D$2001,"*BOOKED")=0,_xlfn.MINIFS(LOG!$G$2:$G$2001,LOG!$C$2:$C$2001,F56,LOG!$E$2:$E$2001,B56,LOG!$D$2:$D$2001,"*BOOKED"),MIN(_xlfn.MINIFS(LOG!$G$2:$G$2001,LOG!$C$2:$C$2001,F56,LOG!$E$2:$E$2001,B56,LOG!$D$2:$D$2001,"*BOOKED"),_xlfn.MINIFS(LOG!$G$2:$G$2001,LOG!$C$2:$C$2001,F56,LOG!$E$2:$E$2001,"",LOG!$D$2:$D$2001,"*BOOKED")))),"")</f>
        <v/>
      </c>
      <c r="AN56" s="28" t="str">
        <f t="shared" si="7"/>
        <v/>
      </c>
      <c r="AO56" s="28">
        <f>IF(AND(M56=1,AN56&lt;&gt;""),IF(AN56&lt;=SETTINGS!$B$5,1,0),0)</f>
        <v>0</v>
      </c>
      <c r="AP56" s="28">
        <f>IF(M56=1,IF(COUNTIFS(LOG!$C$2:$C$2001,F56,LOG!$E$2:$E$2001,B56,LOG!$D$2:$D$2001,"BOOKED")+COUNTIFS(LOG!$C$2:$C$2001,F56,LOG!$E$2:$E$2001,"",LOG!$D$2:$D$2001,"BOOKED")&gt;0,1,0),0)</f>
        <v>0</v>
      </c>
      <c r="AQ56" s="28" t="str">
        <f t="shared" si="8"/>
        <v>Dev</v>
      </c>
      <c r="AR56" s="28">
        <f>IF(AND(AK56=1,K56="OK"),COUNTIFS($AK$2:AK56,1,$K$2:K56,"OK"),"")</f>
        <v>53</v>
      </c>
      <c r="AS56" s="28" t="str">
        <f>IF(L56=1,IFERROR(INDEX(MESSAGES!$J$9:$J$1008,MATCH(F56,MESSAGES!$M$9:$M$1008,0))&amp;"",""),"")</f>
        <v/>
      </c>
      <c r="AT56" s="28" t="str">
        <f>IF(L56=1,IFERROR(INDEX(MESSAGES!$K$9:$K$1008,MATCH(F56,MESSAGES!$M$9:$M$1008,0))&amp;"",""),"")</f>
        <v/>
      </c>
      <c r="AU56" s="28">
        <f t="shared" ca="1" si="9"/>
        <v>0</v>
      </c>
      <c r="AV56" s="28" t="str">
        <f t="shared" si="10"/>
        <v>SEND</v>
      </c>
    </row>
    <row r="57" spans="1:48" x14ac:dyDescent="0.35">
      <c r="A57" s="28">
        <v>56</v>
      </c>
      <c r="B57" s="28" t="str">
        <f>IF(INPUT!A57="","",TRIM(INPUT!A57))</f>
        <v>Partner 081</v>
      </c>
      <c r="C57" s="28" t="str">
        <f>IF(B57="","",INPUT!C57)</f>
        <v>interviewer1@partner081.example.com</v>
      </c>
      <c r="D57" s="28" t="str">
        <f>IF(B57="","",INPUT!D57)</f>
        <v>Diya G.</v>
      </c>
      <c r="E57" s="28" t="str">
        <f>IF(B57="","",INPUT!E57)</f>
        <v>diya.g181@example.com</v>
      </c>
      <c r="F57" s="43" t="str">
        <f>IF(B57="","",TRIM(INPUT!F57&amp;""))</f>
        <v>9000002360</v>
      </c>
      <c r="G57" s="28" t="str">
        <f>IF(B57="","",INPUT!H57)</f>
        <v>Round1</v>
      </c>
      <c r="H57" s="46">
        <f>IF(B57="","",INPUT!I57)</f>
        <v>46308.82708333333</v>
      </c>
      <c r="I57" s="28" t="str">
        <f>IF(B57="","",IF(INPUT!J57="","None",INPUT!J57))</f>
        <v>None</v>
      </c>
      <c r="J57" s="28" t="str">
        <f t="shared" si="0"/>
        <v>diya.g181@example.com|partner 081|Round1|interviewer1@partner081.example.com</v>
      </c>
      <c r="K57" s="28" t="str">
        <f>IF(B57="","",IF(SUMPRODUCT(($J$2:$J$601=J57)*($H$2:$H$601&lt;H57))+SUMPRODUCT(($J$2:J57=J57)*($H$2:H57=H57))-1&gt;0,"DUPLICATE",IF(AND(ISNUMBER(SEARCH("@",E57)),ISNUMBER(SEARCH(".",E57)),LEN(F57)=10,ISNUMBER(VALUE(F57))),"OK","BAD CONTACT")))</f>
        <v>OK</v>
      </c>
      <c r="L57" s="28">
        <f t="shared" si="1"/>
        <v>1</v>
      </c>
      <c r="M57" s="28">
        <f>IF(L57=1,IF(COUNTIFS(LOG!$C$2:$C$2001,F57,LOG!$E$2:$E$2001,B57,LOG!$D$2:$D$2001,"*BOOKED")+COUNTIFS(LOG!$C$2:$C$2001,F57,LOG!$E$2:$E$2001,"",LOG!$D$2:$D$2001,"*BOOKED")&gt;0,1,0),0)</f>
        <v>0</v>
      </c>
      <c r="N57" s="28">
        <f>IF(L57=1,IF(COUNTIFS(LOG!$C$2:$C$2001,F57,LOG!$E$2:$E$2001,B57,LOG!$D$2:$D$2001,"NOT_INTERESTED")+COUNTIFS(LOG!$C$2:$C$2001,F57,LOG!$E$2:$E$2001,"",LOG!$D$2:$D$2001,"NOT_INTERESTED")&gt;0,1,0),0)</f>
        <v>0</v>
      </c>
      <c r="O57" s="28">
        <f>IF(L57=1,IF(COUNTIFS(LOG!$C$2:$C$2001,F57,LOG!$D$2:$D$2001,"STOP")+COUNTIFS(LOG!$C$2:$C$2001,F57,LOG!$D$2:$D$2001,"WRONG_NUMBER")&gt;0,1,IF(ISNUMBER(SEARCH("STOP",AT57)),1,0)),0)</f>
        <v>0</v>
      </c>
      <c r="P57" s="28">
        <f>IF(L57=1,IF(IFERROR(INDEX(PARTNERS!$D$2:$D$88,MATCH(B57,PARTNERS!$A$2:$A$88,0)),"")="NO SLOTS",1,IF(AND(IFERROR(INDEX(PARTNERS!$D$2:$D$88,MATCH(B57,PARTNERS!$A$2:$A$88,0)),"")&lt;&gt;"REOPENED",COUNTIFS(LOG!$E$2:$E$2001,B57,LOG!$D$2:$D$2001,"NO_SLOTS")&gt;0),1,0)),0)</f>
        <v>0</v>
      </c>
      <c r="Q57" s="28">
        <f>IF(L57=1,COUNTIFS(LOG!$C$2:$C$2001,F57,LOG!$H$2:$H$2001,1),0)</f>
        <v>0</v>
      </c>
      <c r="R57" s="46">
        <f>IF(Q57&gt;0,_xlfn.MAXIFS(LOG!$G$2:$G$2001,LOG!$C$2:$C$2001,F57,LOG!$H$2:$H$2001,1),0)</f>
        <v>0</v>
      </c>
      <c r="S57" s="28" t="str">
        <f>IF(Q57&gt;0,IFERROR(INDEX(LOG!$D$2:$D$2001,MATCH(F57&amp;"|"&amp;Q57,LOG!$I$2:$I$2001,0)),""),"")</f>
        <v/>
      </c>
      <c r="T57" s="28">
        <f>IF(S57="",0,IFERROR(VLOOKUP(S57,LISTS!$A$2:$E$10,4,FALSE),0))</f>
        <v>0</v>
      </c>
      <c r="U57" s="46">
        <f t="shared" si="2"/>
        <v>0</v>
      </c>
      <c r="V57" s="46">
        <f>IF(L57=1,H57+SETTINGS!$B$5/24,"")</f>
        <v>46309.82708333333</v>
      </c>
      <c r="W57" s="28">
        <f ca="1">IF(L57=1,(V57-SETTINGS!$B$4)*24,"")</f>
        <v>-1.6666666720993817E-2</v>
      </c>
      <c r="X57" s="28">
        <f ca="1">IF(AND(L57=1,K57="OK",M57=0,N57=0,O57=0,P57=0,SETTINGS!$B$4&lt;V57,Q57&lt;SETTINGS!$B$6),1,0)</f>
        <v>0</v>
      </c>
      <c r="Y57" s="28">
        <f ca="1">IF(AND(X57=1,SETTINGS!$B$4&gt;=H57,SETTINGS!$B$4&gt;=U57,ROUND(MOD(SETTINGS!$B$4,1)*1440,0)&gt;=ROUND(SETTINGS!$B$7*1440,0),ROUND(MOD(SETTINGS!$B$4,1)*1440,0)&lt;ROUND(SETTINGS!$B$8*1440,0)),1,0)</f>
        <v>0</v>
      </c>
      <c r="Z57" s="28" t="str">
        <f ca="1">IF(B57="","",IF(ROUND(MOD(SETTINGS!$B$4,1)*1440,0)&lt;ROUND(SETTINGS!$B$11*1440,0),"Ram",IF(ROUND(MOD(SETTINGS!$B$4,1)*1440,0)&gt;=ROUND(SETTINGS!$B$10*1440,0),"Shyam",IF(MOD(IFERROR(VALUE(RIGHT(F57,2)),0),2)=0,"Ram","Shyam"))))</f>
        <v>Shyam</v>
      </c>
      <c r="AA57" s="28">
        <f t="shared" ca="1" si="3"/>
        <v>0</v>
      </c>
      <c r="AB57" s="28">
        <f ca="1">IF(X57=1,COUNTIFS($F$2:F57,F57,$X$2:X57,1),0)</f>
        <v>0</v>
      </c>
      <c r="AC57" s="28" t="str">
        <f>IF(L57=1,IF(IFERROR(INDEX(PARTNERS!$C$2:$C$88,MATCH(B57,PARTNERS!$A$2:$A$88,0)),"")="YES","YES","NO"),"")</f>
        <v>YES</v>
      </c>
      <c r="AD57" s="28" t="str">
        <f>IF(L57=1,IFERROR(INDEX(PARTNERS!$B$2:$B$88,MATCH(B57,PARTNERS!$A$2:$A$88,0)),""),"")</f>
        <v>https://calendly.com/partner081/interview</v>
      </c>
      <c r="AE57" s="28">
        <f ca="1">IF(X57=1,IFERROR(INDEX(SETTINGS!$B$34:$D$36,MATCH(I57,SETTINGS!$A$34:$A$36,0),MIN(Q57,2)+1),SETTINGS!$B$36),0)</f>
        <v>0</v>
      </c>
      <c r="AF57" s="28">
        <f t="shared" si="4"/>
        <v>1</v>
      </c>
      <c r="AG57" s="28">
        <f ca="1">IF(AND(Y57=1,AB57=1),ROUND(AA57*AE57*IF(AF57&gt;1,SETTINGS!$B$16,1)*IF(W57&lt;=SETTINGS!$B$14,SETTINGS!$B$15,1)*IF(AU57=1,SETTINGS!$B$21,1),6),0)</f>
        <v>0</v>
      </c>
      <c r="AH57" s="28" t="str">
        <f ca="1">IF(AG57&gt;0,COUNTIFS($Z$2:$Z$601,Z57,$AG$2:$AG$601,"&gt;"&amp;AG57)+COUNTIFS($Z$2:Z57,Z57,$AG$2:AG57,AG57),"")</f>
        <v/>
      </c>
      <c r="AI57" s="28" t="str">
        <f t="shared" ca="1" si="5"/>
        <v/>
      </c>
      <c r="AJ57" s="28" t="str">
        <f t="shared" ca="1" si="6"/>
        <v/>
      </c>
      <c r="AK57" s="28">
        <f>IF(L57=1,IF(COUNTIFS($F$2:F57,F57,$L$2:L57,1)=1,1,0),0)</f>
        <v>1</v>
      </c>
      <c r="AL57" s="28" t="str">
        <f ca="1">IF(B57="","",IF(K57="DUPLICATE","Duplicate (removed)",IF(AO57=1,"Scheduled within 24h",IF(M57=1,"Scheduled late",IF(K57="BAD CONTACT","Bad contact details",IF(O57=1,"Stopped / wrong number",IF(N57=1,"Not interested",IF(P57=1,"Partner has no slots",IF(SETTINGS!$B$4&gt;=V57,IF(Q57=0,"Missed deadline: never tried","Missed deadline: tried, not booked"),IF(Q57&gt;=SETTINGS!$B$6,"No reply after max tries","Open"))))))))))</f>
        <v>Missed deadline: never tried</v>
      </c>
      <c r="AM57" s="46" t="str">
        <f>IF(M57=1,IF(_xlfn.MINIFS(LOG!$G$2:$G$2001,LOG!$C$2:$C$2001,F57,LOG!$E$2:$E$2001,B57,LOG!$D$2:$D$2001,"*BOOKED")=0,_xlfn.MINIFS(LOG!$G$2:$G$2001,LOG!$C$2:$C$2001,F57,LOG!$E$2:$E$2001,"",LOG!$D$2:$D$2001,"*BOOKED"),IF(_xlfn.MINIFS(LOG!$G$2:$G$2001,LOG!$C$2:$C$2001,F57,LOG!$E$2:$E$2001,"",LOG!$D$2:$D$2001,"*BOOKED")=0,_xlfn.MINIFS(LOG!$G$2:$G$2001,LOG!$C$2:$C$2001,F57,LOG!$E$2:$E$2001,B57,LOG!$D$2:$D$2001,"*BOOKED"),MIN(_xlfn.MINIFS(LOG!$G$2:$G$2001,LOG!$C$2:$C$2001,F57,LOG!$E$2:$E$2001,B57,LOG!$D$2:$D$2001,"*BOOKED"),_xlfn.MINIFS(LOG!$G$2:$G$2001,LOG!$C$2:$C$2001,F57,LOG!$E$2:$E$2001,"",LOG!$D$2:$D$2001,"*BOOKED")))),"")</f>
        <v/>
      </c>
      <c r="AN57" s="28" t="str">
        <f t="shared" si="7"/>
        <v/>
      </c>
      <c r="AO57" s="28">
        <f>IF(AND(M57=1,AN57&lt;&gt;""),IF(AN57&lt;=SETTINGS!$B$5,1,0),0)</f>
        <v>0</v>
      </c>
      <c r="AP57" s="28">
        <f>IF(M57=1,IF(COUNTIFS(LOG!$C$2:$C$2001,F57,LOG!$E$2:$E$2001,B57,LOG!$D$2:$D$2001,"BOOKED")+COUNTIFS(LOG!$C$2:$C$2001,F57,LOG!$E$2:$E$2001,"",LOG!$D$2:$D$2001,"BOOKED")&gt;0,1,0),0)</f>
        <v>0</v>
      </c>
      <c r="AQ57" s="28" t="str">
        <f t="shared" si="8"/>
        <v>Diya</v>
      </c>
      <c r="AR57" s="28">
        <f>IF(AND(AK57=1,K57="OK"),COUNTIFS($AK$2:AK57,1,$K$2:K57,"OK"),"")</f>
        <v>54</v>
      </c>
      <c r="AS57" s="28" t="str">
        <f>IF(L57=1,IFERROR(INDEX(MESSAGES!$J$9:$J$1008,MATCH(F57,MESSAGES!$M$9:$M$1008,0))&amp;"",""),"")</f>
        <v/>
      </c>
      <c r="AT57" s="28" t="str">
        <f>IF(L57=1,IFERROR(INDEX(MESSAGES!$K$9:$K$1008,MATCH(F57,MESSAGES!$M$9:$M$1008,0))&amp;"",""),"")</f>
        <v/>
      </c>
      <c r="AU57" s="28">
        <f t="shared" ca="1" si="9"/>
        <v>0</v>
      </c>
      <c r="AV57" s="28" t="str">
        <f t="shared" si="10"/>
        <v>SEND</v>
      </c>
    </row>
    <row r="58" spans="1:48" x14ac:dyDescent="0.35">
      <c r="A58" s="28">
        <v>57</v>
      </c>
      <c r="B58" s="28" t="str">
        <f>IF(INPUT!A58="","",TRIM(INPUT!A58))</f>
        <v>Partner 020</v>
      </c>
      <c r="C58" s="28" t="str">
        <f>IF(B58="","",INPUT!C58)</f>
        <v>interviewer1@partner020.example.com</v>
      </c>
      <c r="D58" s="28" t="str">
        <f>IF(B58="","",INPUT!D58)</f>
        <v>Karan F.</v>
      </c>
      <c r="E58" s="28" t="str">
        <f>IF(B58="","",INPUT!E58)</f>
        <v>karan.f170@example.com</v>
      </c>
      <c r="F58" s="43" t="str">
        <f>IF(B58="","",TRIM(INPUT!F58&amp;""))</f>
        <v>9000002217</v>
      </c>
      <c r="G58" s="28" t="str">
        <f>IF(B58="","",INPUT!H58)</f>
        <v>Round1</v>
      </c>
      <c r="H58" s="46">
        <f>IF(B58="","",INPUT!I58)</f>
        <v>46308.82708333333</v>
      </c>
      <c r="I58" s="28" t="str">
        <f>IF(B58="","",IF(INPUT!J58="","None",INPUT!J58))</f>
        <v>Opened</v>
      </c>
      <c r="J58" s="28" t="str">
        <f t="shared" si="0"/>
        <v>karan.f170@example.com|partner 020|Round1|interviewer1@partner020.example.com</v>
      </c>
      <c r="K58" s="28" t="str">
        <f>IF(B58="","",IF(SUMPRODUCT(($J$2:$J$601=J58)*($H$2:$H$601&lt;H58))+SUMPRODUCT(($J$2:J58=J58)*($H$2:H58=H58))-1&gt;0,"DUPLICATE",IF(AND(ISNUMBER(SEARCH("@",E58)),ISNUMBER(SEARCH(".",E58)),LEN(F58)=10,ISNUMBER(VALUE(F58))),"OK","BAD CONTACT")))</f>
        <v>OK</v>
      </c>
      <c r="L58" s="28">
        <f t="shared" si="1"/>
        <v>1</v>
      </c>
      <c r="M58" s="28">
        <f>IF(L58=1,IF(COUNTIFS(LOG!$C$2:$C$2001,F58,LOG!$E$2:$E$2001,B58,LOG!$D$2:$D$2001,"*BOOKED")+COUNTIFS(LOG!$C$2:$C$2001,F58,LOG!$E$2:$E$2001,"",LOG!$D$2:$D$2001,"*BOOKED")&gt;0,1,0),0)</f>
        <v>0</v>
      </c>
      <c r="N58" s="28">
        <f>IF(L58=1,IF(COUNTIFS(LOG!$C$2:$C$2001,F58,LOG!$E$2:$E$2001,B58,LOG!$D$2:$D$2001,"NOT_INTERESTED")+COUNTIFS(LOG!$C$2:$C$2001,F58,LOG!$E$2:$E$2001,"",LOG!$D$2:$D$2001,"NOT_INTERESTED")&gt;0,1,0),0)</f>
        <v>0</v>
      </c>
      <c r="O58" s="28">
        <f>IF(L58=1,IF(COUNTIFS(LOG!$C$2:$C$2001,F58,LOG!$D$2:$D$2001,"STOP")+COUNTIFS(LOG!$C$2:$C$2001,F58,LOG!$D$2:$D$2001,"WRONG_NUMBER")&gt;0,1,IF(ISNUMBER(SEARCH("STOP",AT58)),1,0)),0)</f>
        <v>0</v>
      </c>
      <c r="P58" s="28">
        <f>IF(L58=1,IF(IFERROR(INDEX(PARTNERS!$D$2:$D$88,MATCH(B58,PARTNERS!$A$2:$A$88,0)),"")="NO SLOTS",1,IF(AND(IFERROR(INDEX(PARTNERS!$D$2:$D$88,MATCH(B58,PARTNERS!$A$2:$A$88,0)),"")&lt;&gt;"REOPENED",COUNTIFS(LOG!$E$2:$E$2001,B58,LOG!$D$2:$D$2001,"NO_SLOTS")&gt;0),1,0)),0)</f>
        <v>0</v>
      </c>
      <c r="Q58" s="28">
        <f>IF(L58=1,COUNTIFS(LOG!$C$2:$C$2001,F58,LOG!$H$2:$H$2001,1),0)</f>
        <v>0</v>
      </c>
      <c r="R58" s="46">
        <f>IF(Q58&gt;0,_xlfn.MAXIFS(LOG!$G$2:$G$2001,LOG!$C$2:$C$2001,F58,LOG!$H$2:$H$2001,1),0)</f>
        <v>0</v>
      </c>
      <c r="S58" s="28" t="str">
        <f>IF(Q58&gt;0,IFERROR(INDEX(LOG!$D$2:$D$2001,MATCH(F58&amp;"|"&amp;Q58,LOG!$I$2:$I$2001,0)),""),"")</f>
        <v/>
      </c>
      <c r="T58" s="28">
        <f>IF(S58="",0,IFERROR(VLOOKUP(S58,LISTS!$A$2:$E$10,4,FALSE),0))</f>
        <v>0</v>
      </c>
      <c r="U58" s="46">
        <f t="shared" si="2"/>
        <v>0</v>
      </c>
      <c r="V58" s="46">
        <f>IF(L58=1,H58+SETTINGS!$B$5/24,"")</f>
        <v>46309.82708333333</v>
      </c>
      <c r="W58" s="28">
        <f ca="1">IF(L58=1,(V58-SETTINGS!$B$4)*24,"")</f>
        <v>-1.6666666720993817E-2</v>
      </c>
      <c r="X58" s="28">
        <f ca="1">IF(AND(L58=1,K58="OK",M58=0,N58=0,O58=0,P58=0,SETTINGS!$B$4&lt;V58,Q58&lt;SETTINGS!$B$6),1,0)</f>
        <v>0</v>
      </c>
      <c r="Y58" s="28">
        <f ca="1">IF(AND(X58=1,SETTINGS!$B$4&gt;=H58,SETTINGS!$B$4&gt;=U58,ROUND(MOD(SETTINGS!$B$4,1)*1440,0)&gt;=ROUND(SETTINGS!$B$7*1440,0),ROUND(MOD(SETTINGS!$B$4,1)*1440,0)&lt;ROUND(SETTINGS!$B$8*1440,0)),1,0)</f>
        <v>0</v>
      </c>
      <c r="Z58" s="28" t="str">
        <f ca="1">IF(B58="","",IF(ROUND(MOD(SETTINGS!$B$4,1)*1440,0)&lt;ROUND(SETTINGS!$B$11*1440,0),"Ram",IF(ROUND(MOD(SETTINGS!$B$4,1)*1440,0)&gt;=ROUND(SETTINGS!$B$10*1440,0),"Shyam",IF(MOD(IFERROR(VALUE(RIGHT(F58,2)),0),2)=0,"Ram","Shyam"))))</f>
        <v>Shyam</v>
      </c>
      <c r="AA58" s="28">
        <f t="shared" ca="1" si="3"/>
        <v>0</v>
      </c>
      <c r="AB58" s="28">
        <f ca="1">IF(X58=1,COUNTIFS($F$2:F58,F58,$X$2:X58,1),0)</f>
        <v>0</v>
      </c>
      <c r="AC58" s="28" t="str">
        <f>IF(L58=1,IF(IFERROR(INDEX(PARTNERS!$C$2:$C$88,MATCH(B58,PARTNERS!$A$2:$A$88,0)),"")="YES","YES","NO"),"")</f>
        <v>YES</v>
      </c>
      <c r="AD58" s="28" t="str">
        <f>IF(L58=1,IFERROR(INDEX(PARTNERS!$B$2:$B$88,MATCH(B58,PARTNERS!$A$2:$A$88,0)),""),"")</f>
        <v>https://calendly.com/partner020/interview</v>
      </c>
      <c r="AE58" s="28">
        <f ca="1">IF(X58=1,IFERROR(INDEX(SETTINGS!$B$34:$D$36,MATCH(I58,SETTINGS!$A$34:$A$36,0),MIN(Q58,2)+1),SETTINGS!$B$36),0)</f>
        <v>0</v>
      </c>
      <c r="AF58" s="28">
        <f t="shared" si="4"/>
        <v>1</v>
      </c>
      <c r="AG58" s="28">
        <f ca="1">IF(AND(Y58=1,AB58=1),ROUND(AA58*AE58*IF(AF58&gt;1,SETTINGS!$B$16,1)*IF(W58&lt;=SETTINGS!$B$14,SETTINGS!$B$15,1)*IF(AU58=1,SETTINGS!$B$21,1),6),0)</f>
        <v>0</v>
      </c>
      <c r="AH58" s="28" t="str">
        <f ca="1">IF(AG58&gt;0,COUNTIFS($Z$2:$Z$601,Z58,$AG$2:$AG$601,"&gt;"&amp;AG58)+COUNTIFS($Z$2:Z58,Z58,$AG$2:AG58,AG58),"")</f>
        <v/>
      </c>
      <c r="AI58" s="28" t="str">
        <f t="shared" ca="1" si="5"/>
        <v/>
      </c>
      <c r="AJ58" s="28" t="str">
        <f t="shared" ca="1" si="6"/>
        <v/>
      </c>
      <c r="AK58" s="28">
        <f>IF(L58=1,IF(COUNTIFS($F$2:F58,F58,$L$2:L58,1)=1,1,0),0)</f>
        <v>1</v>
      </c>
      <c r="AL58" s="28" t="str">
        <f ca="1">IF(B58="","",IF(K58="DUPLICATE","Duplicate (removed)",IF(AO58=1,"Scheduled within 24h",IF(M58=1,"Scheduled late",IF(K58="BAD CONTACT","Bad contact details",IF(O58=1,"Stopped / wrong number",IF(N58=1,"Not interested",IF(P58=1,"Partner has no slots",IF(SETTINGS!$B$4&gt;=V58,IF(Q58=0,"Missed deadline: never tried","Missed deadline: tried, not booked"),IF(Q58&gt;=SETTINGS!$B$6,"No reply after max tries","Open"))))))))))</f>
        <v>Missed deadline: never tried</v>
      </c>
      <c r="AM58" s="46" t="str">
        <f>IF(M58=1,IF(_xlfn.MINIFS(LOG!$G$2:$G$2001,LOG!$C$2:$C$2001,F58,LOG!$E$2:$E$2001,B58,LOG!$D$2:$D$2001,"*BOOKED")=0,_xlfn.MINIFS(LOG!$G$2:$G$2001,LOG!$C$2:$C$2001,F58,LOG!$E$2:$E$2001,"",LOG!$D$2:$D$2001,"*BOOKED"),IF(_xlfn.MINIFS(LOG!$G$2:$G$2001,LOG!$C$2:$C$2001,F58,LOG!$E$2:$E$2001,"",LOG!$D$2:$D$2001,"*BOOKED")=0,_xlfn.MINIFS(LOG!$G$2:$G$2001,LOG!$C$2:$C$2001,F58,LOG!$E$2:$E$2001,B58,LOG!$D$2:$D$2001,"*BOOKED"),MIN(_xlfn.MINIFS(LOG!$G$2:$G$2001,LOG!$C$2:$C$2001,F58,LOG!$E$2:$E$2001,B58,LOG!$D$2:$D$2001,"*BOOKED"),_xlfn.MINIFS(LOG!$G$2:$G$2001,LOG!$C$2:$C$2001,F58,LOG!$E$2:$E$2001,"",LOG!$D$2:$D$2001,"*BOOKED")))),"")</f>
        <v/>
      </c>
      <c r="AN58" s="28" t="str">
        <f t="shared" si="7"/>
        <v/>
      </c>
      <c r="AO58" s="28">
        <f>IF(AND(M58=1,AN58&lt;&gt;""),IF(AN58&lt;=SETTINGS!$B$5,1,0),0)</f>
        <v>0</v>
      </c>
      <c r="AP58" s="28">
        <f>IF(M58=1,IF(COUNTIFS(LOG!$C$2:$C$2001,F58,LOG!$E$2:$E$2001,B58,LOG!$D$2:$D$2001,"BOOKED")+COUNTIFS(LOG!$C$2:$C$2001,F58,LOG!$E$2:$E$2001,"",LOG!$D$2:$D$2001,"BOOKED")&gt;0,1,0),0)</f>
        <v>0</v>
      </c>
      <c r="AQ58" s="28" t="str">
        <f t="shared" si="8"/>
        <v>Karan</v>
      </c>
      <c r="AR58" s="28">
        <f>IF(AND(AK58=1,K58="OK"),COUNTIFS($AK$2:AK58,1,$K$2:K58,"OK"),"")</f>
        <v>55</v>
      </c>
      <c r="AS58" s="28" t="str">
        <f>IF(L58=1,IFERROR(INDEX(MESSAGES!$J$9:$J$1008,MATCH(F58,MESSAGES!$M$9:$M$1008,0))&amp;"",""),"")</f>
        <v/>
      </c>
      <c r="AT58" s="28" t="str">
        <f>IF(L58=1,IFERROR(INDEX(MESSAGES!$K$9:$K$1008,MATCH(F58,MESSAGES!$M$9:$M$1008,0))&amp;"",""),"")</f>
        <v/>
      </c>
      <c r="AU58" s="28">
        <f t="shared" ca="1" si="9"/>
        <v>0</v>
      </c>
      <c r="AV58" s="28" t="str">
        <f t="shared" si="10"/>
        <v>HOLD</v>
      </c>
    </row>
    <row r="59" spans="1:48" x14ac:dyDescent="0.35">
      <c r="A59" s="28">
        <v>58</v>
      </c>
      <c r="B59" s="28" t="str">
        <f>IF(INPUT!A59="","",TRIM(INPUT!A59))</f>
        <v>Partner 014</v>
      </c>
      <c r="C59" s="28" t="str">
        <f>IF(B59="","",INPUT!C59)</f>
        <v>interviewer0@partner014.example.com</v>
      </c>
      <c r="D59" s="28" t="str">
        <f>IF(B59="","",INPUT!D59)</f>
        <v>Vihaan P.</v>
      </c>
      <c r="E59" s="28" t="str">
        <f>IF(B59="","",INPUT!E59)</f>
        <v>vihaan.p394@example.com</v>
      </c>
      <c r="F59" s="43" t="str">
        <f>IF(B59="","",TRIM(INPUT!F59&amp;""))</f>
        <v>9000005129</v>
      </c>
      <c r="G59" s="28" t="str">
        <f>IF(B59="","",INPUT!H59)</f>
        <v>Round1</v>
      </c>
      <c r="H59" s="46">
        <f>IF(B59="","",INPUT!I59)</f>
        <v>46308.82708333333</v>
      </c>
      <c r="I59" s="28" t="str">
        <f>IF(B59="","",IF(INPUT!J59="","None",INPUT!J59))</f>
        <v>None</v>
      </c>
      <c r="J59" s="28" t="str">
        <f t="shared" si="0"/>
        <v>vihaan.p394@example.com|partner 014|Round1|interviewer0@partner014.example.com</v>
      </c>
      <c r="K59" s="28" t="str">
        <f>IF(B59="","",IF(SUMPRODUCT(($J$2:$J$601=J59)*($H$2:$H$601&lt;H59))+SUMPRODUCT(($J$2:J59=J59)*($H$2:H59=H59))-1&gt;0,"DUPLICATE",IF(AND(ISNUMBER(SEARCH("@",E59)),ISNUMBER(SEARCH(".",E59)),LEN(F59)=10,ISNUMBER(VALUE(F59))),"OK","BAD CONTACT")))</f>
        <v>OK</v>
      </c>
      <c r="L59" s="28">
        <f t="shared" si="1"/>
        <v>1</v>
      </c>
      <c r="M59" s="28">
        <f>IF(L59=1,IF(COUNTIFS(LOG!$C$2:$C$2001,F59,LOG!$E$2:$E$2001,B59,LOG!$D$2:$D$2001,"*BOOKED")+COUNTIFS(LOG!$C$2:$C$2001,F59,LOG!$E$2:$E$2001,"",LOG!$D$2:$D$2001,"*BOOKED")&gt;0,1,0),0)</f>
        <v>0</v>
      </c>
      <c r="N59" s="28">
        <f>IF(L59=1,IF(COUNTIFS(LOG!$C$2:$C$2001,F59,LOG!$E$2:$E$2001,B59,LOG!$D$2:$D$2001,"NOT_INTERESTED")+COUNTIFS(LOG!$C$2:$C$2001,F59,LOG!$E$2:$E$2001,"",LOG!$D$2:$D$2001,"NOT_INTERESTED")&gt;0,1,0),0)</f>
        <v>0</v>
      </c>
      <c r="O59" s="28">
        <f>IF(L59=1,IF(COUNTIFS(LOG!$C$2:$C$2001,F59,LOG!$D$2:$D$2001,"STOP")+COUNTIFS(LOG!$C$2:$C$2001,F59,LOG!$D$2:$D$2001,"WRONG_NUMBER")&gt;0,1,IF(ISNUMBER(SEARCH("STOP",AT59)),1,0)),0)</f>
        <v>0</v>
      </c>
      <c r="P59" s="28">
        <f>IF(L59=1,IF(IFERROR(INDEX(PARTNERS!$D$2:$D$88,MATCH(B59,PARTNERS!$A$2:$A$88,0)),"")="NO SLOTS",1,IF(AND(IFERROR(INDEX(PARTNERS!$D$2:$D$88,MATCH(B59,PARTNERS!$A$2:$A$88,0)),"")&lt;&gt;"REOPENED",COUNTIFS(LOG!$E$2:$E$2001,B59,LOG!$D$2:$D$2001,"NO_SLOTS")&gt;0),1,0)),0)</f>
        <v>0</v>
      </c>
      <c r="Q59" s="28">
        <f>IF(L59=1,COUNTIFS(LOG!$C$2:$C$2001,F59,LOG!$H$2:$H$2001,1),0)</f>
        <v>0</v>
      </c>
      <c r="R59" s="46">
        <f>IF(Q59&gt;0,_xlfn.MAXIFS(LOG!$G$2:$G$2001,LOG!$C$2:$C$2001,F59,LOG!$H$2:$H$2001,1),0)</f>
        <v>0</v>
      </c>
      <c r="S59" s="28" t="str">
        <f>IF(Q59&gt;0,IFERROR(INDEX(LOG!$D$2:$D$2001,MATCH(F59&amp;"|"&amp;Q59,LOG!$I$2:$I$2001,0)),""),"")</f>
        <v/>
      </c>
      <c r="T59" s="28">
        <f>IF(S59="",0,IFERROR(VLOOKUP(S59,LISTS!$A$2:$E$10,4,FALSE),0))</f>
        <v>0</v>
      </c>
      <c r="U59" s="46">
        <f t="shared" si="2"/>
        <v>0</v>
      </c>
      <c r="V59" s="46">
        <f>IF(L59=1,H59+SETTINGS!$B$5/24,"")</f>
        <v>46309.82708333333</v>
      </c>
      <c r="W59" s="28">
        <f ca="1">IF(L59=1,(V59-SETTINGS!$B$4)*24,"")</f>
        <v>-1.6666666720993817E-2</v>
      </c>
      <c r="X59" s="28">
        <f ca="1">IF(AND(L59=1,K59="OK",M59=0,N59=0,O59=0,P59=0,SETTINGS!$B$4&lt;V59,Q59&lt;SETTINGS!$B$6),1,0)</f>
        <v>0</v>
      </c>
      <c r="Y59" s="28">
        <f ca="1">IF(AND(X59=1,SETTINGS!$B$4&gt;=H59,SETTINGS!$B$4&gt;=U59,ROUND(MOD(SETTINGS!$B$4,1)*1440,0)&gt;=ROUND(SETTINGS!$B$7*1440,0),ROUND(MOD(SETTINGS!$B$4,1)*1440,0)&lt;ROUND(SETTINGS!$B$8*1440,0)),1,0)</f>
        <v>0</v>
      </c>
      <c r="Z59" s="28" t="str">
        <f ca="1">IF(B59="","",IF(ROUND(MOD(SETTINGS!$B$4,1)*1440,0)&lt;ROUND(SETTINGS!$B$11*1440,0),"Ram",IF(ROUND(MOD(SETTINGS!$B$4,1)*1440,0)&gt;=ROUND(SETTINGS!$B$10*1440,0),"Shyam",IF(MOD(IFERROR(VALUE(RIGHT(F59,2)),0),2)=0,"Ram","Shyam"))))</f>
        <v>Shyam</v>
      </c>
      <c r="AA59" s="28">
        <f t="shared" ca="1" si="3"/>
        <v>0</v>
      </c>
      <c r="AB59" s="28">
        <f ca="1">IF(X59=1,COUNTIFS($F$2:F59,F59,$X$2:X59,1),0)</f>
        <v>0</v>
      </c>
      <c r="AC59" s="28" t="str">
        <f>IF(L59=1,IF(IFERROR(INDEX(PARTNERS!$C$2:$C$88,MATCH(B59,PARTNERS!$A$2:$A$88,0)),"")="YES","YES","NO"),"")</f>
        <v>NO</v>
      </c>
      <c r="AD59" s="28" t="str">
        <f>IF(L59=1,IFERROR(INDEX(PARTNERS!$B$2:$B$88,MATCH(B59,PARTNERS!$A$2:$A$88,0)),""),"")</f>
        <v>https://calendly.com/partner014/interview</v>
      </c>
      <c r="AE59" s="28">
        <f ca="1">IF(X59=1,IFERROR(INDEX(SETTINGS!$B$34:$D$36,MATCH(I59,SETTINGS!$A$34:$A$36,0),MIN(Q59,2)+1),SETTINGS!$B$36),0)</f>
        <v>0</v>
      </c>
      <c r="AF59" s="28">
        <f t="shared" si="4"/>
        <v>1</v>
      </c>
      <c r="AG59" s="28">
        <f ca="1">IF(AND(Y59=1,AB59=1),ROUND(AA59*AE59*IF(AF59&gt;1,SETTINGS!$B$16,1)*IF(W59&lt;=SETTINGS!$B$14,SETTINGS!$B$15,1)*IF(AU59=1,SETTINGS!$B$21,1),6),0)</f>
        <v>0</v>
      </c>
      <c r="AH59" s="28" t="str">
        <f ca="1">IF(AG59&gt;0,COUNTIFS($Z$2:$Z$601,Z59,$AG$2:$AG$601,"&gt;"&amp;AG59)+COUNTIFS($Z$2:Z59,Z59,$AG$2:AG59,AG59),"")</f>
        <v/>
      </c>
      <c r="AI59" s="28" t="str">
        <f t="shared" ca="1" si="5"/>
        <v/>
      </c>
      <c r="AJ59" s="28" t="str">
        <f t="shared" ca="1" si="6"/>
        <v/>
      </c>
      <c r="AK59" s="28">
        <f>IF(L59=1,IF(COUNTIFS($F$2:F59,F59,$L$2:L59,1)=1,1,0),0)</f>
        <v>1</v>
      </c>
      <c r="AL59" s="28" t="str">
        <f ca="1">IF(B59="","",IF(K59="DUPLICATE","Duplicate (removed)",IF(AO59=1,"Scheduled within 24h",IF(M59=1,"Scheduled late",IF(K59="BAD CONTACT","Bad contact details",IF(O59=1,"Stopped / wrong number",IF(N59=1,"Not interested",IF(P59=1,"Partner has no slots",IF(SETTINGS!$B$4&gt;=V59,IF(Q59=0,"Missed deadline: never tried","Missed deadline: tried, not booked"),IF(Q59&gt;=SETTINGS!$B$6,"No reply after max tries","Open"))))))))))</f>
        <v>Missed deadline: never tried</v>
      </c>
      <c r="AM59" s="46" t="str">
        <f>IF(M59=1,IF(_xlfn.MINIFS(LOG!$G$2:$G$2001,LOG!$C$2:$C$2001,F59,LOG!$E$2:$E$2001,B59,LOG!$D$2:$D$2001,"*BOOKED")=0,_xlfn.MINIFS(LOG!$G$2:$G$2001,LOG!$C$2:$C$2001,F59,LOG!$E$2:$E$2001,"",LOG!$D$2:$D$2001,"*BOOKED"),IF(_xlfn.MINIFS(LOG!$G$2:$G$2001,LOG!$C$2:$C$2001,F59,LOG!$E$2:$E$2001,"",LOG!$D$2:$D$2001,"*BOOKED")=0,_xlfn.MINIFS(LOG!$G$2:$G$2001,LOG!$C$2:$C$2001,F59,LOG!$E$2:$E$2001,B59,LOG!$D$2:$D$2001,"*BOOKED"),MIN(_xlfn.MINIFS(LOG!$G$2:$G$2001,LOG!$C$2:$C$2001,F59,LOG!$E$2:$E$2001,B59,LOG!$D$2:$D$2001,"*BOOKED"),_xlfn.MINIFS(LOG!$G$2:$G$2001,LOG!$C$2:$C$2001,F59,LOG!$E$2:$E$2001,"",LOG!$D$2:$D$2001,"*BOOKED")))),"")</f>
        <v/>
      </c>
      <c r="AN59" s="28" t="str">
        <f t="shared" si="7"/>
        <v/>
      </c>
      <c r="AO59" s="28">
        <f>IF(AND(M59=1,AN59&lt;&gt;""),IF(AN59&lt;=SETTINGS!$B$5,1,0),0)</f>
        <v>0</v>
      </c>
      <c r="AP59" s="28">
        <f>IF(M59=1,IF(COUNTIFS(LOG!$C$2:$C$2001,F59,LOG!$E$2:$E$2001,B59,LOG!$D$2:$D$2001,"BOOKED")+COUNTIFS(LOG!$C$2:$C$2001,F59,LOG!$E$2:$E$2001,"",LOG!$D$2:$D$2001,"BOOKED")&gt;0,1,0),0)</f>
        <v>0</v>
      </c>
      <c r="AQ59" s="28" t="str">
        <f t="shared" si="8"/>
        <v>Vihaan</v>
      </c>
      <c r="AR59" s="28">
        <f>IF(AND(AK59=1,K59="OK"),COUNTIFS($AK$2:AK59,1,$K$2:K59,"OK"),"")</f>
        <v>56</v>
      </c>
      <c r="AS59" s="28" t="str">
        <f>IF(L59=1,IFERROR(INDEX(MESSAGES!$J$9:$J$1008,MATCH(F59,MESSAGES!$M$9:$M$1008,0))&amp;"",""),"")</f>
        <v/>
      </c>
      <c r="AT59" s="28" t="str">
        <f>IF(L59=1,IFERROR(INDEX(MESSAGES!$K$9:$K$1008,MATCH(F59,MESSAGES!$M$9:$M$1008,0))&amp;"",""),"")</f>
        <v/>
      </c>
      <c r="AU59" s="28">
        <f t="shared" ca="1" si="9"/>
        <v>0</v>
      </c>
      <c r="AV59" s="28" t="str">
        <f t="shared" si="10"/>
        <v>SEND</v>
      </c>
    </row>
    <row r="60" spans="1:48" x14ac:dyDescent="0.35">
      <c r="A60" s="28">
        <v>59</v>
      </c>
      <c r="B60" s="28" t="str">
        <f>IF(INPUT!A60="","",TRIM(INPUT!A60))</f>
        <v>Partner 004</v>
      </c>
      <c r="C60" s="28" t="str">
        <f>IF(B60="","",INPUT!C60)</f>
        <v>interviewer2@partner004.example.com</v>
      </c>
      <c r="D60" s="28" t="str">
        <f>IF(B60="","",INPUT!D60)</f>
        <v>Diya E.</v>
      </c>
      <c r="E60" s="28" t="str">
        <f>IF(B60="","",INPUT!E60)</f>
        <v>diya.e121@example.com</v>
      </c>
      <c r="F60" s="43" t="str">
        <f>IF(B60="","",TRIM(INPUT!F60&amp;""))</f>
        <v>9000001580</v>
      </c>
      <c r="G60" s="28" t="str">
        <f>IF(B60="","",INPUT!H60)</f>
        <v>Round1</v>
      </c>
      <c r="H60" s="46">
        <f>IF(B60="","",INPUT!I60)</f>
        <v>46308.82708333333</v>
      </c>
      <c r="I60" s="28" t="str">
        <f>IF(B60="","",IF(INPUT!J60="","None",INPUT!J60))</f>
        <v>Clicked</v>
      </c>
      <c r="J60" s="28" t="str">
        <f t="shared" si="0"/>
        <v>diya.e121@example.com|partner 004|Round1|interviewer2@partner004.example.com</v>
      </c>
      <c r="K60" s="28" t="str">
        <f>IF(B60="","",IF(SUMPRODUCT(($J$2:$J$601=J60)*($H$2:$H$601&lt;H60))+SUMPRODUCT(($J$2:J60=J60)*($H$2:H60=H60))-1&gt;0,"DUPLICATE",IF(AND(ISNUMBER(SEARCH("@",E60)),ISNUMBER(SEARCH(".",E60)),LEN(F60)=10,ISNUMBER(VALUE(F60))),"OK","BAD CONTACT")))</f>
        <v>OK</v>
      </c>
      <c r="L60" s="28">
        <f t="shared" si="1"/>
        <v>1</v>
      </c>
      <c r="M60" s="28">
        <f>IF(L60=1,IF(COUNTIFS(LOG!$C$2:$C$2001,F60,LOG!$E$2:$E$2001,B60,LOG!$D$2:$D$2001,"*BOOKED")+COUNTIFS(LOG!$C$2:$C$2001,F60,LOG!$E$2:$E$2001,"",LOG!$D$2:$D$2001,"*BOOKED")&gt;0,1,0),0)</f>
        <v>1</v>
      </c>
      <c r="N60" s="28">
        <f>IF(L60=1,IF(COUNTIFS(LOG!$C$2:$C$2001,F60,LOG!$E$2:$E$2001,B60,LOG!$D$2:$D$2001,"NOT_INTERESTED")+COUNTIFS(LOG!$C$2:$C$2001,F60,LOG!$E$2:$E$2001,"",LOG!$D$2:$D$2001,"NOT_INTERESTED")&gt;0,1,0),0)</f>
        <v>0</v>
      </c>
      <c r="O60" s="28">
        <f>IF(L60=1,IF(COUNTIFS(LOG!$C$2:$C$2001,F60,LOG!$D$2:$D$2001,"STOP")+COUNTIFS(LOG!$C$2:$C$2001,F60,LOG!$D$2:$D$2001,"WRONG_NUMBER")&gt;0,1,IF(ISNUMBER(SEARCH("STOP",AT60)),1,0)),0)</f>
        <v>0</v>
      </c>
      <c r="P60" s="28">
        <f>IF(L60=1,IF(IFERROR(INDEX(PARTNERS!$D$2:$D$88,MATCH(B60,PARTNERS!$A$2:$A$88,0)),"")="NO SLOTS",1,IF(AND(IFERROR(INDEX(PARTNERS!$D$2:$D$88,MATCH(B60,PARTNERS!$A$2:$A$88,0)),"")&lt;&gt;"REOPENED",COUNTIFS(LOG!$E$2:$E$2001,B60,LOG!$D$2:$D$2001,"NO_SLOTS")&gt;0),1,0)),0)</f>
        <v>0</v>
      </c>
      <c r="Q60" s="28">
        <f>IF(L60=1,COUNTIFS(LOG!$C$2:$C$2001,F60,LOG!$H$2:$H$2001,1),0)</f>
        <v>2</v>
      </c>
      <c r="R60" s="46">
        <f>IF(Q60&gt;0,_xlfn.MAXIFS(LOG!$G$2:$G$2001,LOG!$C$2:$C$2001,F60,LOG!$H$2:$H$2001,1),0)</f>
        <v>46309.546410623261</v>
      </c>
      <c r="S60" s="28" t="str">
        <f>IF(Q60&gt;0,IFERROR(INDEX(LOG!$D$2:$D$2001,MATCH(F60&amp;"|"&amp;Q60,LOG!$I$2:$I$2001,0)),""),"")</f>
        <v>BOOKED</v>
      </c>
      <c r="T60" s="28">
        <f>IF(S60="",0,IFERROR(VLOOKUP(S60,LISTS!$A$2:$E$10,4,FALSE),0))</f>
        <v>0</v>
      </c>
      <c r="U60" s="46">
        <f t="shared" si="2"/>
        <v>46309.546410623261</v>
      </c>
      <c r="V60" s="46">
        <f>IF(L60=1,H60+SETTINGS!$B$5/24,"")</f>
        <v>46309.82708333333</v>
      </c>
      <c r="W60" s="28">
        <f ca="1">IF(L60=1,(V60-SETTINGS!$B$4)*24,"")</f>
        <v>-1.6666666720993817E-2</v>
      </c>
      <c r="X60" s="28">
        <f ca="1">IF(AND(L60=1,K60="OK",M60=0,N60=0,O60=0,P60=0,SETTINGS!$B$4&lt;V60,Q60&lt;SETTINGS!$B$6),1,0)</f>
        <v>0</v>
      </c>
      <c r="Y60" s="28">
        <f ca="1">IF(AND(X60=1,SETTINGS!$B$4&gt;=H60,SETTINGS!$B$4&gt;=U60,ROUND(MOD(SETTINGS!$B$4,1)*1440,0)&gt;=ROUND(SETTINGS!$B$7*1440,0),ROUND(MOD(SETTINGS!$B$4,1)*1440,0)&lt;ROUND(SETTINGS!$B$8*1440,0)),1,0)</f>
        <v>0</v>
      </c>
      <c r="Z60" s="28" t="str">
        <f ca="1">IF(B60="","",IF(ROUND(MOD(SETTINGS!$B$4,1)*1440,0)&lt;ROUND(SETTINGS!$B$11*1440,0),"Ram",IF(ROUND(MOD(SETTINGS!$B$4,1)*1440,0)&gt;=ROUND(SETTINGS!$B$10*1440,0),"Shyam",IF(MOD(IFERROR(VALUE(RIGHT(F60,2)),0),2)=0,"Ram","Shyam"))))</f>
        <v>Shyam</v>
      </c>
      <c r="AA60" s="28">
        <f t="shared" ca="1" si="3"/>
        <v>0</v>
      </c>
      <c r="AB60" s="28">
        <f ca="1">IF(X60=1,COUNTIFS($F$2:F60,F60,$X$2:X60,1),0)</f>
        <v>0</v>
      </c>
      <c r="AC60" s="28" t="str">
        <f>IF(L60=1,IF(IFERROR(INDEX(PARTNERS!$C$2:$C$88,MATCH(B60,PARTNERS!$A$2:$A$88,0)),"")="YES","YES","NO"),"")</f>
        <v>YES</v>
      </c>
      <c r="AD60" s="28" t="str">
        <f>IF(L60=1,IFERROR(INDEX(PARTNERS!$B$2:$B$88,MATCH(B60,PARTNERS!$A$2:$A$88,0)),""),"")</f>
        <v>https://calendly.com/partner004/interview</v>
      </c>
      <c r="AE60" s="28">
        <f ca="1">IF(X60=1,IFERROR(INDEX(SETTINGS!$B$34:$D$36,MATCH(I60,SETTINGS!$A$34:$A$36,0),MIN(Q60,2)+1),SETTINGS!$B$36),0)</f>
        <v>0</v>
      </c>
      <c r="AF60" s="28">
        <f t="shared" si="4"/>
        <v>1</v>
      </c>
      <c r="AG60" s="28">
        <f ca="1">IF(AND(Y60=1,AB60=1),ROUND(AA60*AE60*IF(AF60&gt;1,SETTINGS!$B$16,1)*IF(W60&lt;=SETTINGS!$B$14,SETTINGS!$B$15,1)*IF(AU60=1,SETTINGS!$B$21,1),6),0)</f>
        <v>0</v>
      </c>
      <c r="AH60" s="28" t="str">
        <f ca="1">IF(AG60&gt;0,COUNTIFS($Z$2:$Z$601,Z60,$AG$2:$AG$601,"&gt;"&amp;AG60)+COUNTIFS($Z$2:Z60,Z60,$AG$2:AG60,AG60),"")</f>
        <v/>
      </c>
      <c r="AI60" s="28" t="str">
        <f t="shared" ca="1" si="5"/>
        <v/>
      </c>
      <c r="AJ60" s="28" t="str">
        <f t="shared" ca="1" si="6"/>
        <v/>
      </c>
      <c r="AK60" s="28">
        <f>IF(L60=1,IF(COUNTIFS($F$2:F60,F60,$L$2:L60,1)=1,1,0),0)</f>
        <v>1</v>
      </c>
      <c r="AL60" s="28" t="str">
        <f>IF(B60="","",IF(K60="DUPLICATE","Duplicate (removed)",IF(AO60=1,"Scheduled within 24h",IF(M60=1,"Scheduled late",IF(K60="BAD CONTACT","Bad contact details",IF(O60=1,"Stopped / wrong number",IF(N60=1,"Not interested",IF(P60=1,"Partner has no slots",IF(SETTINGS!$B$4&gt;=V60,IF(Q60=0,"Missed deadline: never tried","Missed deadline: tried, not booked"),IF(Q60&gt;=SETTINGS!$B$6,"No reply after max tries","Open"))))))))))</f>
        <v>Scheduled within 24h</v>
      </c>
      <c r="AM60" s="46">
        <f>IF(M60=1,IF(_xlfn.MINIFS(LOG!$G$2:$G$2001,LOG!$C$2:$C$2001,F60,LOG!$E$2:$E$2001,B60,LOG!$D$2:$D$2001,"*BOOKED")=0,_xlfn.MINIFS(LOG!$G$2:$G$2001,LOG!$C$2:$C$2001,F60,LOG!$E$2:$E$2001,"",LOG!$D$2:$D$2001,"*BOOKED"),IF(_xlfn.MINIFS(LOG!$G$2:$G$2001,LOG!$C$2:$C$2001,F60,LOG!$E$2:$E$2001,"",LOG!$D$2:$D$2001,"*BOOKED")=0,_xlfn.MINIFS(LOG!$G$2:$G$2001,LOG!$C$2:$C$2001,F60,LOG!$E$2:$E$2001,B60,LOG!$D$2:$D$2001,"*BOOKED"),MIN(_xlfn.MINIFS(LOG!$G$2:$G$2001,LOG!$C$2:$C$2001,F60,LOG!$E$2:$E$2001,B60,LOG!$D$2:$D$2001,"*BOOKED"),_xlfn.MINIFS(LOG!$G$2:$G$2001,LOG!$C$2:$C$2001,F60,LOG!$E$2:$E$2001,"",LOG!$D$2:$D$2001,"*BOOKED")))),"")</f>
        <v>46309.546410623261</v>
      </c>
      <c r="AN60" s="28">
        <f t="shared" si="7"/>
        <v>17.263854958349839</v>
      </c>
      <c r="AO60" s="28">
        <f>IF(AND(M60=1,AN60&lt;&gt;""),IF(AN60&lt;=SETTINGS!$B$5,1,0),0)</f>
        <v>1</v>
      </c>
      <c r="AP60" s="28">
        <f>IF(M60=1,IF(COUNTIFS(LOG!$C$2:$C$2001,F60,LOG!$E$2:$E$2001,B60,LOG!$D$2:$D$2001,"BOOKED")+COUNTIFS(LOG!$C$2:$C$2001,F60,LOG!$E$2:$E$2001,"",LOG!$D$2:$D$2001,"BOOKED")&gt;0,1,0),0)</f>
        <v>1</v>
      </c>
      <c r="AQ60" s="28" t="str">
        <f t="shared" si="8"/>
        <v>Diya</v>
      </c>
      <c r="AR60" s="28">
        <f>IF(AND(AK60=1,K60="OK"),COUNTIFS($AK$2:AK60,1,$K$2:K60,"OK"),"")</f>
        <v>57</v>
      </c>
      <c r="AS60" s="28" t="str">
        <f>IF(L60=1,IFERROR(INDEX(MESSAGES!$J$9:$J$1008,MATCH(F60,MESSAGES!$M$9:$M$1008,0))&amp;"",""),"")</f>
        <v/>
      </c>
      <c r="AT60" s="28" t="str">
        <f>IF(L60=1,IFERROR(INDEX(MESSAGES!$K$9:$K$1008,MATCH(F60,MESSAGES!$M$9:$M$1008,0))&amp;"",""),"")</f>
        <v/>
      </c>
      <c r="AU60" s="28">
        <f t="shared" ca="1" si="9"/>
        <v>0</v>
      </c>
      <c r="AV60" s="28" t="str">
        <f t="shared" si="10"/>
        <v>SEND</v>
      </c>
    </row>
    <row r="61" spans="1:48" x14ac:dyDescent="0.35">
      <c r="A61" s="28">
        <v>60</v>
      </c>
      <c r="B61" s="28" t="str">
        <f>IF(INPUT!A61="","",TRIM(INPUT!A61))</f>
        <v>Partner 007</v>
      </c>
      <c r="C61" s="28" t="str">
        <f>IF(B61="","",INPUT!C61)</f>
        <v>interviewer2@partner007.example.com</v>
      </c>
      <c r="D61" s="28" t="str">
        <f>IF(B61="","",INPUT!D61)</f>
        <v>Vihaan H.</v>
      </c>
      <c r="E61" s="28" t="str">
        <f>IF(B61="","",INPUT!E61)</f>
        <v>vihaan.h214@example.com</v>
      </c>
      <c r="F61" s="43" t="str">
        <f>IF(B61="","",TRIM(INPUT!F61&amp;""))</f>
        <v>9000002789</v>
      </c>
      <c r="G61" s="28" t="str">
        <f>IF(B61="","",INPUT!H61)</f>
        <v>Round1</v>
      </c>
      <c r="H61" s="46">
        <f>IF(B61="","",INPUT!I61)</f>
        <v>46308.82708333333</v>
      </c>
      <c r="I61" s="28" t="str">
        <f>IF(B61="","",IF(INPUT!J61="","None",INPUT!J61))</f>
        <v>Opened</v>
      </c>
      <c r="J61" s="28" t="str">
        <f t="shared" si="0"/>
        <v>vihaan.h214@example.com|partner 007|Round1|interviewer2@partner007.example.com</v>
      </c>
      <c r="K61" s="28" t="str">
        <f>IF(B61="","",IF(SUMPRODUCT(($J$2:$J$601=J61)*($H$2:$H$601&lt;H61))+SUMPRODUCT(($J$2:J61=J61)*($H$2:H61=H61))-1&gt;0,"DUPLICATE",IF(AND(ISNUMBER(SEARCH("@",E61)),ISNUMBER(SEARCH(".",E61)),LEN(F61)=10,ISNUMBER(VALUE(F61))),"OK","BAD CONTACT")))</f>
        <v>OK</v>
      </c>
      <c r="L61" s="28">
        <f t="shared" si="1"/>
        <v>1</v>
      </c>
      <c r="M61" s="28">
        <f>IF(L61=1,IF(COUNTIFS(LOG!$C$2:$C$2001,F61,LOG!$E$2:$E$2001,B61,LOG!$D$2:$D$2001,"*BOOKED")+COUNTIFS(LOG!$C$2:$C$2001,F61,LOG!$E$2:$E$2001,"",LOG!$D$2:$D$2001,"*BOOKED")&gt;0,1,0),0)</f>
        <v>0</v>
      </c>
      <c r="N61" s="28">
        <f>IF(L61=1,IF(COUNTIFS(LOG!$C$2:$C$2001,F61,LOG!$E$2:$E$2001,B61,LOG!$D$2:$D$2001,"NOT_INTERESTED")+COUNTIFS(LOG!$C$2:$C$2001,F61,LOG!$E$2:$E$2001,"",LOG!$D$2:$D$2001,"NOT_INTERESTED")&gt;0,1,0),0)</f>
        <v>0</v>
      </c>
      <c r="O61" s="28">
        <f>IF(L61=1,IF(COUNTIFS(LOG!$C$2:$C$2001,F61,LOG!$D$2:$D$2001,"STOP")+COUNTIFS(LOG!$C$2:$C$2001,F61,LOG!$D$2:$D$2001,"WRONG_NUMBER")&gt;0,1,IF(ISNUMBER(SEARCH("STOP",AT61)),1,0)),0)</f>
        <v>0</v>
      </c>
      <c r="P61" s="28">
        <f>IF(L61=1,IF(IFERROR(INDEX(PARTNERS!$D$2:$D$88,MATCH(B61,PARTNERS!$A$2:$A$88,0)),"")="NO SLOTS",1,IF(AND(IFERROR(INDEX(PARTNERS!$D$2:$D$88,MATCH(B61,PARTNERS!$A$2:$A$88,0)),"")&lt;&gt;"REOPENED",COUNTIFS(LOG!$E$2:$E$2001,B61,LOG!$D$2:$D$2001,"NO_SLOTS")&gt;0),1,0)),0)</f>
        <v>0</v>
      </c>
      <c r="Q61" s="28">
        <f>IF(L61=1,COUNTIFS(LOG!$C$2:$C$2001,F61,LOG!$H$2:$H$2001,1),0)</f>
        <v>0</v>
      </c>
      <c r="R61" s="46">
        <f>IF(Q61&gt;0,_xlfn.MAXIFS(LOG!$G$2:$G$2001,LOG!$C$2:$C$2001,F61,LOG!$H$2:$H$2001,1),0)</f>
        <v>0</v>
      </c>
      <c r="S61" s="28" t="str">
        <f>IF(Q61&gt;0,IFERROR(INDEX(LOG!$D$2:$D$2001,MATCH(F61&amp;"|"&amp;Q61,LOG!$I$2:$I$2001,0)),""),"")</f>
        <v/>
      </c>
      <c r="T61" s="28">
        <f>IF(S61="",0,IFERROR(VLOOKUP(S61,LISTS!$A$2:$E$10,4,FALSE),0))</f>
        <v>0</v>
      </c>
      <c r="U61" s="46">
        <f t="shared" si="2"/>
        <v>0</v>
      </c>
      <c r="V61" s="46">
        <f>IF(L61=1,H61+SETTINGS!$B$5/24,"")</f>
        <v>46309.82708333333</v>
      </c>
      <c r="W61" s="28">
        <f ca="1">IF(L61=1,(V61-SETTINGS!$B$4)*24,"")</f>
        <v>-1.6666666720993817E-2</v>
      </c>
      <c r="X61" s="28">
        <f ca="1">IF(AND(L61=1,K61="OK",M61=0,N61=0,O61=0,P61=0,SETTINGS!$B$4&lt;V61,Q61&lt;SETTINGS!$B$6),1,0)</f>
        <v>0</v>
      </c>
      <c r="Y61" s="28">
        <f ca="1">IF(AND(X61=1,SETTINGS!$B$4&gt;=H61,SETTINGS!$B$4&gt;=U61,ROUND(MOD(SETTINGS!$B$4,1)*1440,0)&gt;=ROUND(SETTINGS!$B$7*1440,0),ROUND(MOD(SETTINGS!$B$4,1)*1440,0)&lt;ROUND(SETTINGS!$B$8*1440,0)),1,0)</f>
        <v>0</v>
      </c>
      <c r="Z61" s="28" t="str">
        <f ca="1">IF(B61="","",IF(ROUND(MOD(SETTINGS!$B$4,1)*1440,0)&lt;ROUND(SETTINGS!$B$11*1440,0),"Ram",IF(ROUND(MOD(SETTINGS!$B$4,1)*1440,0)&gt;=ROUND(SETTINGS!$B$10*1440,0),"Shyam",IF(MOD(IFERROR(VALUE(RIGHT(F61,2)),0),2)=0,"Ram","Shyam"))))</f>
        <v>Shyam</v>
      </c>
      <c r="AA61" s="28">
        <f t="shared" ca="1" si="3"/>
        <v>0</v>
      </c>
      <c r="AB61" s="28">
        <f ca="1">IF(X61=1,COUNTIFS($F$2:F61,F61,$X$2:X61,1),0)</f>
        <v>0</v>
      </c>
      <c r="AC61" s="28" t="str">
        <f>IF(L61=1,IF(IFERROR(INDEX(PARTNERS!$C$2:$C$88,MATCH(B61,PARTNERS!$A$2:$A$88,0)),"")="YES","YES","NO"),"")</f>
        <v>NO</v>
      </c>
      <c r="AD61" s="28" t="str">
        <f>IF(L61=1,IFERROR(INDEX(PARTNERS!$B$2:$B$88,MATCH(B61,PARTNERS!$A$2:$A$88,0)),""),"")</f>
        <v>https://calendly.com/partner007/interview</v>
      </c>
      <c r="AE61" s="28">
        <f ca="1">IF(X61=1,IFERROR(INDEX(SETTINGS!$B$34:$D$36,MATCH(I61,SETTINGS!$A$34:$A$36,0),MIN(Q61,2)+1),SETTINGS!$B$36),0)</f>
        <v>0</v>
      </c>
      <c r="AF61" s="28">
        <f t="shared" si="4"/>
        <v>1</v>
      </c>
      <c r="AG61" s="28">
        <f ca="1">IF(AND(Y61=1,AB61=1),ROUND(AA61*AE61*IF(AF61&gt;1,SETTINGS!$B$16,1)*IF(W61&lt;=SETTINGS!$B$14,SETTINGS!$B$15,1)*IF(AU61=1,SETTINGS!$B$21,1),6),0)</f>
        <v>0</v>
      </c>
      <c r="AH61" s="28" t="str">
        <f ca="1">IF(AG61&gt;0,COUNTIFS($Z$2:$Z$601,Z61,$AG$2:$AG$601,"&gt;"&amp;AG61)+COUNTIFS($Z$2:Z61,Z61,$AG$2:AG61,AG61),"")</f>
        <v/>
      </c>
      <c r="AI61" s="28" t="str">
        <f t="shared" ca="1" si="5"/>
        <v/>
      </c>
      <c r="AJ61" s="28" t="str">
        <f t="shared" ca="1" si="6"/>
        <v/>
      </c>
      <c r="AK61" s="28">
        <f>IF(L61=1,IF(COUNTIFS($F$2:F61,F61,$L$2:L61,1)=1,1,0),0)</f>
        <v>1</v>
      </c>
      <c r="AL61" s="28" t="str">
        <f ca="1">IF(B61="","",IF(K61="DUPLICATE","Duplicate (removed)",IF(AO61=1,"Scheduled within 24h",IF(M61=1,"Scheduled late",IF(K61="BAD CONTACT","Bad contact details",IF(O61=1,"Stopped / wrong number",IF(N61=1,"Not interested",IF(P61=1,"Partner has no slots",IF(SETTINGS!$B$4&gt;=V61,IF(Q61=0,"Missed deadline: never tried","Missed deadline: tried, not booked"),IF(Q61&gt;=SETTINGS!$B$6,"No reply after max tries","Open"))))))))))</f>
        <v>Missed deadline: never tried</v>
      </c>
      <c r="AM61" s="46" t="str">
        <f>IF(M61=1,IF(_xlfn.MINIFS(LOG!$G$2:$G$2001,LOG!$C$2:$C$2001,F61,LOG!$E$2:$E$2001,B61,LOG!$D$2:$D$2001,"*BOOKED")=0,_xlfn.MINIFS(LOG!$G$2:$G$2001,LOG!$C$2:$C$2001,F61,LOG!$E$2:$E$2001,"",LOG!$D$2:$D$2001,"*BOOKED"),IF(_xlfn.MINIFS(LOG!$G$2:$G$2001,LOG!$C$2:$C$2001,F61,LOG!$E$2:$E$2001,"",LOG!$D$2:$D$2001,"*BOOKED")=0,_xlfn.MINIFS(LOG!$G$2:$G$2001,LOG!$C$2:$C$2001,F61,LOG!$E$2:$E$2001,B61,LOG!$D$2:$D$2001,"*BOOKED"),MIN(_xlfn.MINIFS(LOG!$G$2:$G$2001,LOG!$C$2:$C$2001,F61,LOG!$E$2:$E$2001,B61,LOG!$D$2:$D$2001,"*BOOKED"),_xlfn.MINIFS(LOG!$G$2:$G$2001,LOG!$C$2:$C$2001,F61,LOG!$E$2:$E$2001,"",LOG!$D$2:$D$2001,"*BOOKED")))),"")</f>
        <v/>
      </c>
      <c r="AN61" s="28" t="str">
        <f t="shared" si="7"/>
        <v/>
      </c>
      <c r="AO61" s="28">
        <f>IF(AND(M61=1,AN61&lt;&gt;""),IF(AN61&lt;=SETTINGS!$B$5,1,0),0)</f>
        <v>0</v>
      </c>
      <c r="AP61" s="28">
        <f>IF(M61=1,IF(COUNTIFS(LOG!$C$2:$C$2001,F61,LOG!$E$2:$E$2001,B61,LOG!$D$2:$D$2001,"BOOKED")+COUNTIFS(LOG!$C$2:$C$2001,F61,LOG!$E$2:$E$2001,"",LOG!$D$2:$D$2001,"BOOKED")&gt;0,1,0),0)</f>
        <v>0</v>
      </c>
      <c r="AQ61" s="28" t="str">
        <f t="shared" si="8"/>
        <v>Vihaan</v>
      </c>
      <c r="AR61" s="28">
        <f>IF(AND(AK61=1,K61="OK"),COUNTIFS($AK$2:AK61,1,$K$2:K61,"OK"),"")</f>
        <v>58</v>
      </c>
      <c r="AS61" s="28" t="str">
        <f>IF(L61=1,IFERROR(INDEX(MESSAGES!$J$9:$J$1008,MATCH(F61,MESSAGES!$M$9:$M$1008,0))&amp;"",""),"")</f>
        <v/>
      </c>
      <c r="AT61" s="28" t="str">
        <f>IF(L61=1,IFERROR(INDEX(MESSAGES!$K$9:$K$1008,MATCH(F61,MESSAGES!$M$9:$M$1008,0))&amp;"",""),"")</f>
        <v/>
      </c>
      <c r="AU61" s="28">
        <f t="shared" ca="1" si="9"/>
        <v>0</v>
      </c>
      <c r="AV61" s="28" t="str">
        <f t="shared" si="10"/>
        <v>SEND</v>
      </c>
    </row>
    <row r="62" spans="1:48" x14ac:dyDescent="0.35">
      <c r="A62" s="28">
        <v>61</v>
      </c>
      <c r="B62" s="28" t="str">
        <f>IF(INPUT!A62="","",TRIM(INPUT!A62))</f>
        <v>Partner 025</v>
      </c>
      <c r="C62" s="28" t="str">
        <f>IF(B62="","",INPUT!C62)</f>
        <v>interviewer1@partner025.example.com</v>
      </c>
      <c r="D62" s="28" t="str">
        <f>IF(B62="","",INPUT!D62)</f>
        <v>Dev G.</v>
      </c>
      <c r="E62" s="28" t="str">
        <f>IF(B62="","",INPUT!E62)</f>
        <v>dev.g192@example.com</v>
      </c>
      <c r="F62" s="43" t="str">
        <f>IF(B62="","",TRIM(INPUT!F62&amp;""))</f>
        <v>9000002503</v>
      </c>
      <c r="G62" s="28" t="str">
        <f>IF(B62="","",INPUT!H62)</f>
        <v>Round1</v>
      </c>
      <c r="H62" s="46">
        <f>IF(B62="","",INPUT!I62)</f>
        <v>46308.82708333333</v>
      </c>
      <c r="I62" s="28" t="str">
        <f>IF(B62="","",IF(INPUT!J62="","None",INPUT!J62))</f>
        <v>None</v>
      </c>
      <c r="J62" s="28" t="str">
        <f t="shared" si="0"/>
        <v>dev.g192@example.com|partner 025|Round1|interviewer1@partner025.example.com</v>
      </c>
      <c r="K62" s="28" t="str">
        <f>IF(B62="","",IF(SUMPRODUCT(($J$2:$J$601=J62)*($H$2:$H$601&lt;H62))+SUMPRODUCT(($J$2:J62=J62)*($H$2:H62=H62))-1&gt;0,"DUPLICATE",IF(AND(ISNUMBER(SEARCH("@",E62)),ISNUMBER(SEARCH(".",E62)),LEN(F62)=10,ISNUMBER(VALUE(F62))),"OK","BAD CONTACT")))</f>
        <v>OK</v>
      </c>
      <c r="L62" s="28">
        <f t="shared" si="1"/>
        <v>1</v>
      </c>
      <c r="M62" s="28">
        <f>IF(L62=1,IF(COUNTIFS(LOG!$C$2:$C$2001,F62,LOG!$E$2:$E$2001,B62,LOG!$D$2:$D$2001,"*BOOKED")+COUNTIFS(LOG!$C$2:$C$2001,F62,LOG!$E$2:$E$2001,"",LOG!$D$2:$D$2001,"*BOOKED")&gt;0,1,0),0)</f>
        <v>1</v>
      </c>
      <c r="N62" s="28">
        <f>IF(L62=1,IF(COUNTIFS(LOG!$C$2:$C$2001,F62,LOG!$E$2:$E$2001,B62,LOG!$D$2:$D$2001,"NOT_INTERESTED")+COUNTIFS(LOG!$C$2:$C$2001,F62,LOG!$E$2:$E$2001,"",LOG!$D$2:$D$2001,"NOT_INTERESTED")&gt;0,1,0),0)</f>
        <v>0</v>
      </c>
      <c r="O62" s="28">
        <f>IF(L62=1,IF(COUNTIFS(LOG!$C$2:$C$2001,F62,LOG!$D$2:$D$2001,"STOP")+COUNTIFS(LOG!$C$2:$C$2001,F62,LOG!$D$2:$D$2001,"WRONG_NUMBER")&gt;0,1,IF(ISNUMBER(SEARCH("STOP",AT62)),1,0)),0)</f>
        <v>0</v>
      </c>
      <c r="P62" s="28">
        <f>IF(L62=1,IF(IFERROR(INDEX(PARTNERS!$D$2:$D$88,MATCH(B62,PARTNERS!$A$2:$A$88,0)),"")="NO SLOTS",1,IF(AND(IFERROR(INDEX(PARTNERS!$D$2:$D$88,MATCH(B62,PARTNERS!$A$2:$A$88,0)),"")&lt;&gt;"REOPENED",COUNTIFS(LOG!$E$2:$E$2001,B62,LOG!$D$2:$D$2001,"NO_SLOTS")&gt;0),1,0)),0)</f>
        <v>0</v>
      </c>
      <c r="Q62" s="28">
        <f>IF(L62=1,COUNTIFS(LOG!$C$2:$C$2001,F62,LOG!$H$2:$H$2001,1),0)</f>
        <v>0</v>
      </c>
      <c r="R62" s="46">
        <f>IF(Q62&gt;0,_xlfn.MAXIFS(LOG!$G$2:$G$2001,LOG!$C$2:$C$2001,F62,LOG!$H$2:$H$2001,1),0)</f>
        <v>0</v>
      </c>
      <c r="S62" s="28" t="str">
        <f>IF(Q62&gt;0,IFERROR(INDEX(LOG!$D$2:$D$2001,MATCH(F62&amp;"|"&amp;Q62,LOG!$I$2:$I$2001,0)),""),"")</f>
        <v/>
      </c>
      <c r="T62" s="28">
        <f>IF(S62="",0,IFERROR(VLOOKUP(S62,LISTS!$A$2:$E$10,4,FALSE),0))</f>
        <v>0</v>
      </c>
      <c r="U62" s="46">
        <f t="shared" si="2"/>
        <v>0</v>
      </c>
      <c r="V62" s="46">
        <f>IF(L62=1,H62+SETTINGS!$B$5/24,"")</f>
        <v>46309.82708333333</v>
      </c>
      <c r="W62" s="28">
        <f ca="1">IF(L62=1,(V62-SETTINGS!$B$4)*24,"")</f>
        <v>-1.6666666720993817E-2</v>
      </c>
      <c r="X62" s="28">
        <f ca="1">IF(AND(L62=1,K62="OK",M62=0,N62=0,O62=0,P62=0,SETTINGS!$B$4&lt;V62,Q62&lt;SETTINGS!$B$6),1,0)</f>
        <v>0</v>
      </c>
      <c r="Y62" s="28">
        <f ca="1">IF(AND(X62=1,SETTINGS!$B$4&gt;=H62,SETTINGS!$B$4&gt;=U62,ROUND(MOD(SETTINGS!$B$4,1)*1440,0)&gt;=ROUND(SETTINGS!$B$7*1440,0),ROUND(MOD(SETTINGS!$B$4,1)*1440,0)&lt;ROUND(SETTINGS!$B$8*1440,0)),1,0)</f>
        <v>0</v>
      </c>
      <c r="Z62" s="28" t="str">
        <f ca="1">IF(B62="","",IF(ROUND(MOD(SETTINGS!$B$4,1)*1440,0)&lt;ROUND(SETTINGS!$B$11*1440,0),"Ram",IF(ROUND(MOD(SETTINGS!$B$4,1)*1440,0)&gt;=ROUND(SETTINGS!$B$10*1440,0),"Shyam",IF(MOD(IFERROR(VALUE(RIGHT(F62,2)),0),2)=0,"Ram","Shyam"))))</f>
        <v>Shyam</v>
      </c>
      <c r="AA62" s="28">
        <f t="shared" ca="1" si="3"/>
        <v>0</v>
      </c>
      <c r="AB62" s="28">
        <f ca="1">IF(X62=1,COUNTIFS($F$2:F62,F62,$X$2:X62,1),0)</f>
        <v>0</v>
      </c>
      <c r="AC62" s="28" t="str">
        <f>IF(L62=1,IF(IFERROR(INDEX(PARTNERS!$C$2:$C$88,MATCH(B62,PARTNERS!$A$2:$A$88,0)),"")="YES","YES","NO"),"")</f>
        <v>NO</v>
      </c>
      <c r="AD62" s="28" t="str">
        <f>IF(L62=1,IFERROR(INDEX(PARTNERS!$B$2:$B$88,MATCH(B62,PARTNERS!$A$2:$A$88,0)),""),"")</f>
        <v>https://calendly.com/partner025/interview</v>
      </c>
      <c r="AE62" s="28">
        <f ca="1">IF(X62=1,IFERROR(INDEX(SETTINGS!$B$34:$D$36,MATCH(I62,SETTINGS!$A$34:$A$36,0),MIN(Q62,2)+1),SETTINGS!$B$36),0)</f>
        <v>0</v>
      </c>
      <c r="AF62" s="28">
        <f t="shared" si="4"/>
        <v>1</v>
      </c>
      <c r="AG62" s="28">
        <f ca="1">IF(AND(Y62=1,AB62=1),ROUND(AA62*AE62*IF(AF62&gt;1,SETTINGS!$B$16,1)*IF(W62&lt;=SETTINGS!$B$14,SETTINGS!$B$15,1)*IF(AU62=1,SETTINGS!$B$21,1),6),0)</f>
        <v>0</v>
      </c>
      <c r="AH62" s="28" t="str">
        <f ca="1">IF(AG62&gt;0,COUNTIFS($Z$2:$Z$601,Z62,$AG$2:$AG$601,"&gt;"&amp;AG62)+COUNTIFS($Z$2:Z62,Z62,$AG$2:AG62,AG62),"")</f>
        <v/>
      </c>
      <c r="AI62" s="28" t="str">
        <f t="shared" ca="1" si="5"/>
        <v/>
      </c>
      <c r="AJ62" s="28" t="str">
        <f t="shared" ca="1" si="6"/>
        <v/>
      </c>
      <c r="AK62" s="28">
        <f>IF(L62=1,IF(COUNTIFS($F$2:F62,F62,$L$2:L62,1)=1,1,0),0)</f>
        <v>1</v>
      </c>
      <c r="AL62" s="28" t="str">
        <f>IF(B62="","",IF(K62="DUPLICATE","Duplicate (removed)",IF(AO62=1,"Scheduled within 24h",IF(M62=1,"Scheduled late",IF(K62="BAD CONTACT","Bad contact details",IF(O62=1,"Stopped / wrong number",IF(N62=1,"Not interested",IF(P62=1,"Partner has no slots",IF(SETTINGS!$B$4&gt;=V62,IF(Q62=0,"Missed deadline: never tried","Missed deadline: tried, not booked"),IF(Q62&gt;=SETTINGS!$B$6,"No reply after max tries","Open"))))))))))</f>
        <v>Scheduled within 24h</v>
      </c>
      <c r="AM62" s="46">
        <f>IF(M62=1,IF(_xlfn.MINIFS(LOG!$G$2:$G$2001,LOG!$C$2:$C$2001,F62,LOG!$E$2:$E$2001,B62,LOG!$D$2:$D$2001,"*BOOKED")=0,_xlfn.MINIFS(LOG!$G$2:$G$2001,LOG!$C$2:$C$2001,F62,LOG!$E$2:$E$2001,"",LOG!$D$2:$D$2001,"*BOOKED"),IF(_xlfn.MINIFS(LOG!$G$2:$G$2001,LOG!$C$2:$C$2001,F62,LOG!$E$2:$E$2001,"",LOG!$D$2:$D$2001,"*BOOKED")=0,_xlfn.MINIFS(LOG!$G$2:$G$2001,LOG!$C$2:$C$2001,F62,LOG!$E$2:$E$2001,B62,LOG!$D$2:$D$2001,"*BOOKED"),MIN(_xlfn.MINIFS(LOG!$G$2:$G$2001,LOG!$C$2:$C$2001,F62,LOG!$E$2:$E$2001,B62,LOG!$D$2:$D$2001,"*BOOKED"),_xlfn.MINIFS(LOG!$G$2:$G$2001,LOG!$C$2:$C$2001,F62,LOG!$E$2:$E$2001,"",LOG!$D$2:$D$2001,"*BOOKED")))),"")</f>
        <v>46309.292351249016</v>
      </c>
      <c r="AN62" s="28">
        <f t="shared" si="7"/>
        <v>11.166429976467043</v>
      </c>
      <c r="AO62" s="28">
        <f>IF(AND(M62=1,AN62&lt;&gt;""),IF(AN62&lt;=SETTINGS!$B$5,1,0),0)</f>
        <v>1</v>
      </c>
      <c r="AP62" s="28">
        <f>IF(M62=1,IF(COUNTIFS(LOG!$C$2:$C$2001,F62,LOG!$E$2:$E$2001,B62,LOG!$D$2:$D$2001,"BOOKED")+COUNTIFS(LOG!$C$2:$C$2001,F62,LOG!$E$2:$E$2001,"",LOG!$D$2:$D$2001,"BOOKED")&gt;0,1,0),0)</f>
        <v>0</v>
      </c>
      <c r="AQ62" s="28" t="str">
        <f t="shared" si="8"/>
        <v>Dev</v>
      </c>
      <c r="AR62" s="28">
        <f>IF(AND(AK62=1,K62="OK"),COUNTIFS($AK$2:AK62,1,$K$2:K62,"OK"),"")</f>
        <v>59</v>
      </c>
      <c r="AS62" s="28" t="str">
        <f>IF(L62=1,IFERROR(INDEX(MESSAGES!$J$9:$J$1008,MATCH(F62,MESSAGES!$M$9:$M$1008,0))&amp;"",""),"")</f>
        <v/>
      </c>
      <c r="AT62" s="28" t="str">
        <f>IF(L62=1,IFERROR(INDEX(MESSAGES!$K$9:$K$1008,MATCH(F62,MESSAGES!$M$9:$M$1008,0))&amp;"",""),"")</f>
        <v/>
      </c>
      <c r="AU62" s="28">
        <f t="shared" ca="1" si="9"/>
        <v>0</v>
      </c>
      <c r="AV62" s="28" t="str">
        <f t="shared" si="10"/>
        <v>SEND</v>
      </c>
    </row>
    <row r="63" spans="1:48" x14ac:dyDescent="0.35">
      <c r="A63" s="28">
        <v>62</v>
      </c>
      <c r="B63" s="28" t="str">
        <f>IF(INPUT!A63="","",TRIM(INPUT!A63))</f>
        <v>Partner 028</v>
      </c>
      <c r="C63" s="28" t="str">
        <f>IF(B63="","",INPUT!C63)</f>
        <v>interviewer2@partner028.example.com</v>
      </c>
      <c r="D63" s="28" t="str">
        <f>IF(B63="","",INPUT!D63)</f>
        <v>Navya F.</v>
      </c>
      <c r="E63" s="28" t="str">
        <f>IF(B63="","",INPUT!E63)</f>
        <v>navya.f163@example.com</v>
      </c>
      <c r="F63" s="43" t="str">
        <f>IF(B63="","",TRIM(INPUT!F63&amp;""))</f>
        <v>9000002126</v>
      </c>
      <c r="G63" s="28" t="str">
        <f>IF(B63="","",INPUT!H63)</f>
        <v>Round1</v>
      </c>
      <c r="H63" s="46">
        <f>IF(B63="","",INPUT!I63)</f>
        <v>46308.82708333333</v>
      </c>
      <c r="I63" s="28" t="str">
        <f>IF(B63="","",IF(INPUT!J63="","None",INPUT!J63))</f>
        <v>Opened</v>
      </c>
      <c r="J63" s="28" t="str">
        <f t="shared" si="0"/>
        <v>navya.f163@example.com|partner 028|Round1|interviewer2@partner028.example.com</v>
      </c>
      <c r="K63" s="28" t="str">
        <f>IF(B63="","",IF(SUMPRODUCT(($J$2:$J$601=J63)*($H$2:$H$601&lt;H63))+SUMPRODUCT(($J$2:J63=J63)*($H$2:H63=H63))-1&gt;0,"DUPLICATE",IF(AND(ISNUMBER(SEARCH("@",E63)),ISNUMBER(SEARCH(".",E63)),LEN(F63)=10,ISNUMBER(VALUE(F63))),"OK","BAD CONTACT")))</f>
        <v>OK</v>
      </c>
      <c r="L63" s="28">
        <f t="shared" si="1"/>
        <v>1</v>
      </c>
      <c r="M63" s="28">
        <f>IF(L63=1,IF(COUNTIFS(LOG!$C$2:$C$2001,F63,LOG!$E$2:$E$2001,B63,LOG!$D$2:$D$2001,"*BOOKED")+COUNTIFS(LOG!$C$2:$C$2001,F63,LOG!$E$2:$E$2001,"",LOG!$D$2:$D$2001,"*BOOKED")&gt;0,1,0),0)</f>
        <v>0</v>
      </c>
      <c r="N63" s="28">
        <f>IF(L63=1,IF(COUNTIFS(LOG!$C$2:$C$2001,F63,LOG!$E$2:$E$2001,B63,LOG!$D$2:$D$2001,"NOT_INTERESTED")+COUNTIFS(LOG!$C$2:$C$2001,F63,LOG!$E$2:$E$2001,"",LOG!$D$2:$D$2001,"NOT_INTERESTED")&gt;0,1,0),0)</f>
        <v>0</v>
      </c>
      <c r="O63" s="28">
        <f>IF(L63=1,IF(COUNTIFS(LOG!$C$2:$C$2001,F63,LOG!$D$2:$D$2001,"STOP")+COUNTIFS(LOG!$C$2:$C$2001,F63,LOG!$D$2:$D$2001,"WRONG_NUMBER")&gt;0,1,IF(ISNUMBER(SEARCH("STOP",AT63)),1,0)),0)</f>
        <v>0</v>
      </c>
      <c r="P63" s="28">
        <f>IF(L63=1,IF(IFERROR(INDEX(PARTNERS!$D$2:$D$88,MATCH(B63,PARTNERS!$A$2:$A$88,0)),"")="NO SLOTS",1,IF(AND(IFERROR(INDEX(PARTNERS!$D$2:$D$88,MATCH(B63,PARTNERS!$A$2:$A$88,0)),"")&lt;&gt;"REOPENED",COUNTIFS(LOG!$E$2:$E$2001,B63,LOG!$D$2:$D$2001,"NO_SLOTS")&gt;0),1,0)),0)</f>
        <v>0</v>
      </c>
      <c r="Q63" s="28">
        <f>IF(L63=1,COUNTIFS(LOG!$C$2:$C$2001,F63,LOG!$H$2:$H$2001,1),0)</f>
        <v>0</v>
      </c>
      <c r="R63" s="46">
        <f>IF(Q63&gt;0,_xlfn.MAXIFS(LOG!$G$2:$G$2001,LOG!$C$2:$C$2001,F63,LOG!$H$2:$H$2001,1),0)</f>
        <v>0</v>
      </c>
      <c r="S63" s="28" t="str">
        <f>IF(Q63&gt;0,IFERROR(INDEX(LOG!$D$2:$D$2001,MATCH(F63&amp;"|"&amp;Q63,LOG!$I$2:$I$2001,0)),""),"")</f>
        <v/>
      </c>
      <c r="T63" s="28">
        <f>IF(S63="",0,IFERROR(VLOOKUP(S63,LISTS!$A$2:$E$10,4,FALSE),0))</f>
        <v>0</v>
      </c>
      <c r="U63" s="46">
        <f t="shared" si="2"/>
        <v>0</v>
      </c>
      <c r="V63" s="46">
        <f>IF(L63=1,H63+SETTINGS!$B$5/24,"")</f>
        <v>46309.82708333333</v>
      </c>
      <c r="W63" s="28">
        <f ca="1">IF(L63=1,(V63-SETTINGS!$B$4)*24,"")</f>
        <v>-1.6666666720993817E-2</v>
      </c>
      <c r="X63" s="28">
        <f ca="1">IF(AND(L63=1,K63="OK",M63=0,N63=0,O63=0,P63=0,SETTINGS!$B$4&lt;V63,Q63&lt;SETTINGS!$B$6),1,0)</f>
        <v>0</v>
      </c>
      <c r="Y63" s="28">
        <f ca="1">IF(AND(X63=1,SETTINGS!$B$4&gt;=H63,SETTINGS!$B$4&gt;=U63,ROUND(MOD(SETTINGS!$B$4,1)*1440,0)&gt;=ROUND(SETTINGS!$B$7*1440,0),ROUND(MOD(SETTINGS!$B$4,1)*1440,0)&lt;ROUND(SETTINGS!$B$8*1440,0)),1,0)</f>
        <v>0</v>
      </c>
      <c r="Z63" s="28" t="str">
        <f ca="1">IF(B63="","",IF(ROUND(MOD(SETTINGS!$B$4,1)*1440,0)&lt;ROUND(SETTINGS!$B$11*1440,0),"Ram",IF(ROUND(MOD(SETTINGS!$B$4,1)*1440,0)&gt;=ROUND(SETTINGS!$B$10*1440,0),"Shyam",IF(MOD(IFERROR(VALUE(RIGHT(F63,2)),0),2)=0,"Ram","Shyam"))))</f>
        <v>Shyam</v>
      </c>
      <c r="AA63" s="28">
        <f t="shared" ca="1" si="3"/>
        <v>0</v>
      </c>
      <c r="AB63" s="28">
        <f ca="1">IF(X63=1,COUNTIFS($F$2:F63,F63,$X$2:X63,1),0)</f>
        <v>0</v>
      </c>
      <c r="AC63" s="28" t="str">
        <f>IF(L63=1,IF(IFERROR(INDEX(PARTNERS!$C$2:$C$88,MATCH(B63,PARTNERS!$A$2:$A$88,0)),"")="YES","YES","NO"),"")</f>
        <v>YES</v>
      </c>
      <c r="AD63" s="28" t="str">
        <f>IF(L63=1,IFERROR(INDEX(PARTNERS!$B$2:$B$88,MATCH(B63,PARTNERS!$A$2:$A$88,0)),""),"")</f>
        <v>https://calendly.com/partner028/interview</v>
      </c>
      <c r="AE63" s="28">
        <f ca="1">IF(X63=1,IFERROR(INDEX(SETTINGS!$B$34:$D$36,MATCH(I63,SETTINGS!$A$34:$A$36,0),MIN(Q63,2)+1),SETTINGS!$B$36),0)</f>
        <v>0</v>
      </c>
      <c r="AF63" s="28">
        <f t="shared" si="4"/>
        <v>1</v>
      </c>
      <c r="AG63" s="28">
        <f ca="1">IF(AND(Y63=1,AB63=1),ROUND(AA63*AE63*IF(AF63&gt;1,SETTINGS!$B$16,1)*IF(W63&lt;=SETTINGS!$B$14,SETTINGS!$B$15,1)*IF(AU63=1,SETTINGS!$B$21,1),6),0)</f>
        <v>0</v>
      </c>
      <c r="AH63" s="28" t="str">
        <f ca="1">IF(AG63&gt;0,COUNTIFS($Z$2:$Z$601,Z63,$AG$2:$AG$601,"&gt;"&amp;AG63)+COUNTIFS($Z$2:Z63,Z63,$AG$2:AG63,AG63),"")</f>
        <v/>
      </c>
      <c r="AI63" s="28" t="str">
        <f t="shared" ca="1" si="5"/>
        <v/>
      </c>
      <c r="AJ63" s="28" t="str">
        <f t="shared" ca="1" si="6"/>
        <v/>
      </c>
      <c r="AK63" s="28">
        <f>IF(L63=1,IF(COUNTIFS($F$2:F63,F63,$L$2:L63,1)=1,1,0),0)</f>
        <v>1</v>
      </c>
      <c r="AL63" s="28" t="str">
        <f ca="1">IF(B63="","",IF(K63="DUPLICATE","Duplicate (removed)",IF(AO63=1,"Scheduled within 24h",IF(M63=1,"Scheduled late",IF(K63="BAD CONTACT","Bad contact details",IF(O63=1,"Stopped / wrong number",IF(N63=1,"Not interested",IF(P63=1,"Partner has no slots",IF(SETTINGS!$B$4&gt;=V63,IF(Q63=0,"Missed deadline: never tried","Missed deadline: tried, not booked"),IF(Q63&gt;=SETTINGS!$B$6,"No reply after max tries","Open"))))))))))</f>
        <v>Missed deadline: never tried</v>
      </c>
      <c r="AM63" s="46" t="str">
        <f>IF(M63=1,IF(_xlfn.MINIFS(LOG!$G$2:$G$2001,LOG!$C$2:$C$2001,F63,LOG!$E$2:$E$2001,B63,LOG!$D$2:$D$2001,"*BOOKED")=0,_xlfn.MINIFS(LOG!$G$2:$G$2001,LOG!$C$2:$C$2001,F63,LOG!$E$2:$E$2001,"",LOG!$D$2:$D$2001,"*BOOKED"),IF(_xlfn.MINIFS(LOG!$G$2:$G$2001,LOG!$C$2:$C$2001,F63,LOG!$E$2:$E$2001,"",LOG!$D$2:$D$2001,"*BOOKED")=0,_xlfn.MINIFS(LOG!$G$2:$G$2001,LOG!$C$2:$C$2001,F63,LOG!$E$2:$E$2001,B63,LOG!$D$2:$D$2001,"*BOOKED"),MIN(_xlfn.MINIFS(LOG!$G$2:$G$2001,LOG!$C$2:$C$2001,F63,LOG!$E$2:$E$2001,B63,LOG!$D$2:$D$2001,"*BOOKED"),_xlfn.MINIFS(LOG!$G$2:$G$2001,LOG!$C$2:$C$2001,F63,LOG!$E$2:$E$2001,"",LOG!$D$2:$D$2001,"*BOOKED")))),"")</f>
        <v/>
      </c>
      <c r="AN63" s="28" t="str">
        <f t="shared" si="7"/>
        <v/>
      </c>
      <c r="AO63" s="28">
        <f>IF(AND(M63=1,AN63&lt;&gt;""),IF(AN63&lt;=SETTINGS!$B$5,1,0),0)</f>
        <v>0</v>
      </c>
      <c r="AP63" s="28">
        <f>IF(M63=1,IF(COUNTIFS(LOG!$C$2:$C$2001,F63,LOG!$E$2:$E$2001,B63,LOG!$D$2:$D$2001,"BOOKED")+COUNTIFS(LOG!$C$2:$C$2001,F63,LOG!$E$2:$E$2001,"",LOG!$D$2:$D$2001,"BOOKED")&gt;0,1,0),0)</f>
        <v>0</v>
      </c>
      <c r="AQ63" s="28" t="str">
        <f t="shared" si="8"/>
        <v>Navya</v>
      </c>
      <c r="AR63" s="28">
        <f>IF(AND(AK63=1,K63="OK"),COUNTIFS($AK$2:AK63,1,$K$2:K63,"OK"),"")</f>
        <v>60</v>
      </c>
      <c r="AS63" s="28" t="str">
        <f>IF(L63=1,IFERROR(INDEX(MESSAGES!$J$9:$J$1008,MATCH(F63,MESSAGES!$M$9:$M$1008,0))&amp;"",""),"")</f>
        <v/>
      </c>
      <c r="AT63" s="28" t="str">
        <f>IF(L63=1,IFERROR(INDEX(MESSAGES!$K$9:$K$1008,MATCH(F63,MESSAGES!$M$9:$M$1008,0))&amp;"",""),"")</f>
        <v/>
      </c>
      <c r="AU63" s="28">
        <f t="shared" ca="1" si="9"/>
        <v>0</v>
      </c>
      <c r="AV63" s="28" t="str">
        <f t="shared" si="10"/>
        <v>SEND</v>
      </c>
    </row>
    <row r="64" spans="1:48" x14ac:dyDescent="0.35">
      <c r="A64" s="28">
        <v>63</v>
      </c>
      <c r="B64" s="28" t="str">
        <f>IF(INPUT!A64="","",TRIM(INPUT!A64))</f>
        <v>Partner 007</v>
      </c>
      <c r="C64" s="28" t="str">
        <f>IF(B64="","",INPUT!C64)</f>
        <v>interviewer2@partner007.example.com</v>
      </c>
      <c r="D64" s="28" t="str">
        <f>IF(B64="","",INPUT!D64)</f>
        <v>Varun F.</v>
      </c>
      <c r="E64" s="28" t="str">
        <f>IF(B64="","",INPUT!E64)</f>
        <v>varun.f178@example.com</v>
      </c>
      <c r="F64" s="43" t="str">
        <f>IF(B64="","",TRIM(INPUT!F64&amp;""))</f>
        <v>9000002321</v>
      </c>
      <c r="G64" s="28" t="str">
        <f>IF(B64="","",INPUT!H64)</f>
        <v>Round1</v>
      </c>
      <c r="H64" s="46">
        <f>IF(B64="","",INPUT!I64)</f>
        <v>46308.82708333333</v>
      </c>
      <c r="I64" s="28" t="str">
        <f>IF(B64="","",IF(INPUT!J64="","None",INPUT!J64))</f>
        <v>Clicked</v>
      </c>
      <c r="J64" s="28" t="str">
        <f t="shared" si="0"/>
        <v>varun.f178@example.com|partner 007|Round1|interviewer2@partner007.example.com</v>
      </c>
      <c r="K64" s="28" t="str">
        <f>IF(B64="","",IF(SUMPRODUCT(($J$2:$J$601=J64)*($H$2:$H$601&lt;H64))+SUMPRODUCT(($J$2:J64=J64)*($H$2:H64=H64))-1&gt;0,"DUPLICATE",IF(AND(ISNUMBER(SEARCH("@",E64)),ISNUMBER(SEARCH(".",E64)),LEN(F64)=10,ISNUMBER(VALUE(F64))),"OK","BAD CONTACT")))</f>
        <v>OK</v>
      </c>
      <c r="L64" s="28">
        <f t="shared" si="1"/>
        <v>1</v>
      </c>
      <c r="M64" s="28">
        <f>IF(L64=1,IF(COUNTIFS(LOG!$C$2:$C$2001,F64,LOG!$E$2:$E$2001,B64,LOG!$D$2:$D$2001,"*BOOKED")+COUNTIFS(LOG!$C$2:$C$2001,F64,LOG!$E$2:$E$2001,"",LOG!$D$2:$D$2001,"*BOOKED")&gt;0,1,0),0)</f>
        <v>0</v>
      </c>
      <c r="N64" s="28">
        <f>IF(L64=1,IF(COUNTIFS(LOG!$C$2:$C$2001,F64,LOG!$E$2:$E$2001,B64,LOG!$D$2:$D$2001,"NOT_INTERESTED")+COUNTIFS(LOG!$C$2:$C$2001,F64,LOG!$E$2:$E$2001,"",LOG!$D$2:$D$2001,"NOT_INTERESTED")&gt;0,1,0),0)</f>
        <v>0</v>
      </c>
      <c r="O64" s="28">
        <f>IF(L64=1,IF(COUNTIFS(LOG!$C$2:$C$2001,F64,LOG!$D$2:$D$2001,"STOP")+COUNTIFS(LOG!$C$2:$C$2001,F64,LOG!$D$2:$D$2001,"WRONG_NUMBER")&gt;0,1,IF(ISNUMBER(SEARCH("STOP",AT64)),1,0)),0)</f>
        <v>0</v>
      </c>
      <c r="P64" s="28">
        <f>IF(L64=1,IF(IFERROR(INDEX(PARTNERS!$D$2:$D$88,MATCH(B64,PARTNERS!$A$2:$A$88,0)),"")="NO SLOTS",1,IF(AND(IFERROR(INDEX(PARTNERS!$D$2:$D$88,MATCH(B64,PARTNERS!$A$2:$A$88,0)),"")&lt;&gt;"REOPENED",COUNTIFS(LOG!$E$2:$E$2001,B64,LOG!$D$2:$D$2001,"NO_SLOTS")&gt;0),1,0)),0)</f>
        <v>0</v>
      </c>
      <c r="Q64" s="28">
        <f>IF(L64=1,COUNTIFS(LOG!$C$2:$C$2001,F64,LOG!$H$2:$H$2001,1),0)</f>
        <v>2</v>
      </c>
      <c r="R64" s="46">
        <f>IF(Q64&gt;0,_xlfn.MAXIFS(LOG!$G$2:$G$2001,LOG!$C$2:$C$2001,F64,LOG!$H$2:$H$2001,1),0)</f>
        <v>46309.705114861645</v>
      </c>
      <c r="S64" s="28" t="str">
        <f>IF(Q64&gt;0,IFERROR(INDEX(LOG!$D$2:$D$2001,MATCH(F64&amp;"|"&amp;Q64,LOG!$I$2:$I$2001,0)),""),"")</f>
        <v>NO_ANSWER</v>
      </c>
      <c r="T64" s="28">
        <f>IF(S64="",0,IFERROR(VLOOKUP(S64,LISTS!$A$2:$E$10,4,FALSE),0))</f>
        <v>120</v>
      </c>
      <c r="U64" s="46">
        <f t="shared" si="2"/>
        <v>46309.78844819498</v>
      </c>
      <c r="V64" s="46">
        <f>IF(L64=1,H64+SETTINGS!$B$5/24,"")</f>
        <v>46309.82708333333</v>
      </c>
      <c r="W64" s="28">
        <f ca="1">IF(L64=1,(V64-SETTINGS!$B$4)*24,"")</f>
        <v>-1.6666666720993817E-2</v>
      </c>
      <c r="X64" s="28">
        <f ca="1">IF(AND(L64=1,K64="OK",M64=0,N64=0,O64=0,P64=0,SETTINGS!$B$4&lt;V64,Q64&lt;SETTINGS!$B$6),1,0)</f>
        <v>0</v>
      </c>
      <c r="Y64" s="28">
        <f ca="1">IF(AND(X64=1,SETTINGS!$B$4&gt;=H64,SETTINGS!$B$4&gt;=U64,ROUND(MOD(SETTINGS!$B$4,1)*1440,0)&gt;=ROUND(SETTINGS!$B$7*1440,0),ROUND(MOD(SETTINGS!$B$4,1)*1440,0)&lt;ROUND(SETTINGS!$B$8*1440,0)),1,0)</f>
        <v>0</v>
      </c>
      <c r="Z64" s="28" t="str">
        <f ca="1">IF(B64="","",IF(ROUND(MOD(SETTINGS!$B$4,1)*1440,0)&lt;ROUND(SETTINGS!$B$11*1440,0),"Ram",IF(ROUND(MOD(SETTINGS!$B$4,1)*1440,0)&gt;=ROUND(SETTINGS!$B$10*1440,0),"Shyam",IF(MOD(IFERROR(VALUE(RIGHT(F64,2)),0),2)=0,"Ram","Shyam"))))</f>
        <v>Shyam</v>
      </c>
      <c r="AA64" s="28">
        <f t="shared" ca="1" si="3"/>
        <v>0</v>
      </c>
      <c r="AB64" s="28">
        <f ca="1">IF(X64=1,COUNTIFS($F$2:F64,F64,$X$2:X64,1),0)</f>
        <v>0</v>
      </c>
      <c r="AC64" s="28" t="str">
        <f>IF(L64=1,IF(IFERROR(INDEX(PARTNERS!$C$2:$C$88,MATCH(B64,PARTNERS!$A$2:$A$88,0)),"")="YES","YES","NO"),"")</f>
        <v>NO</v>
      </c>
      <c r="AD64" s="28" t="str">
        <f>IF(L64=1,IFERROR(INDEX(PARTNERS!$B$2:$B$88,MATCH(B64,PARTNERS!$A$2:$A$88,0)),""),"")</f>
        <v>https://calendly.com/partner007/interview</v>
      </c>
      <c r="AE64" s="28">
        <f ca="1">IF(X64=1,IFERROR(INDEX(SETTINGS!$B$34:$D$36,MATCH(I64,SETTINGS!$A$34:$A$36,0),MIN(Q64,2)+1),SETTINGS!$B$36),0)</f>
        <v>0</v>
      </c>
      <c r="AF64" s="28">
        <f t="shared" si="4"/>
        <v>1</v>
      </c>
      <c r="AG64" s="28">
        <f ca="1">IF(AND(Y64=1,AB64=1),ROUND(AA64*AE64*IF(AF64&gt;1,SETTINGS!$B$16,1)*IF(W64&lt;=SETTINGS!$B$14,SETTINGS!$B$15,1)*IF(AU64=1,SETTINGS!$B$21,1),6),0)</f>
        <v>0</v>
      </c>
      <c r="AH64" s="28" t="str">
        <f ca="1">IF(AG64&gt;0,COUNTIFS($Z$2:$Z$601,Z64,$AG$2:$AG$601,"&gt;"&amp;AG64)+COUNTIFS($Z$2:Z64,Z64,$AG$2:AG64,AG64),"")</f>
        <v/>
      </c>
      <c r="AI64" s="28" t="str">
        <f t="shared" ca="1" si="5"/>
        <v/>
      </c>
      <c r="AJ64" s="28" t="str">
        <f t="shared" ca="1" si="6"/>
        <v/>
      </c>
      <c r="AK64" s="28">
        <f>IF(L64=1,IF(COUNTIFS($F$2:F64,F64,$L$2:L64,1)=1,1,0),0)</f>
        <v>1</v>
      </c>
      <c r="AL64" s="28" t="str">
        <f ca="1">IF(B64="","",IF(K64="DUPLICATE","Duplicate (removed)",IF(AO64=1,"Scheduled within 24h",IF(M64=1,"Scheduled late",IF(K64="BAD CONTACT","Bad contact details",IF(O64=1,"Stopped / wrong number",IF(N64=1,"Not interested",IF(P64=1,"Partner has no slots",IF(SETTINGS!$B$4&gt;=V64,IF(Q64=0,"Missed deadline: never tried","Missed deadline: tried, not booked"),IF(Q64&gt;=SETTINGS!$B$6,"No reply after max tries","Open"))))))))))</f>
        <v>Missed deadline: tried, not booked</v>
      </c>
      <c r="AM64" s="46" t="str">
        <f>IF(M64=1,IF(_xlfn.MINIFS(LOG!$G$2:$G$2001,LOG!$C$2:$C$2001,F64,LOG!$E$2:$E$2001,B64,LOG!$D$2:$D$2001,"*BOOKED")=0,_xlfn.MINIFS(LOG!$G$2:$G$2001,LOG!$C$2:$C$2001,F64,LOG!$E$2:$E$2001,"",LOG!$D$2:$D$2001,"*BOOKED"),IF(_xlfn.MINIFS(LOG!$G$2:$G$2001,LOG!$C$2:$C$2001,F64,LOG!$E$2:$E$2001,"",LOG!$D$2:$D$2001,"*BOOKED")=0,_xlfn.MINIFS(LOG!$G$2:$G$2001,LOG!$C$2:$C$2001,F64,LOG!$E$2:$E$2001,B64,LOG!$D$2:$D$2001,"*BOOKED"),MIN(_xlfn.MINIFS(LOG!$G$2:$G$2001,LOG!$C$2:$C$2001,F64,LOG!$E$2:$E$2001,B64,LOG!$D$2:$D$2001,"*BOOKED"),_xlfn.MINIFS(LOG!$G$2:$G$2001,LOG!$C$2:$C$2001,F64,LOG!$E$2:$E$2001,"",LOG!$D$2:$D$2001,"*BOOKED")))),"")</f>
        <v/>
      </c>
      <c r="AN64" s="28" t="str">
        <f t="shared" si="7"/>
        <v/>
      </c>
      <c r="AO64" s="28">
        <f>IF(AND(M64=1,AN64&lt;&gt;""),IF(AN64&lt;=SETTINGS!$B$5,1,0),0)</f>
        <v>0</v>
      </c>
      <c r="AP64" s="28">
        <f>IF(M64=1,IF(COUNTIFS(LOG!$C$2:$C$2001,F64,LOG!$E$2:$E$2001,B64,LOG!$D$2:$D$2001,"BOOKED")+COUNTIFS(LOG!$C$2:$C$2001,F64,LOG!$E$2:$E$2001,"",LOG!$D$2:$D$2001,"BOOKED")&gt;0,1,0),0)</f>
        <v>0</v>
      </c>
      <c r="AQ64" s="28" t="str">
        <f t="shared" si="8"/>
        <v>Varun</v>
      </c>
      <c r="AR64" s="28">
        <f>IF(AND(AK64=1,K64="OK"),COUNTIFS($AK$2:AK64,1,$K$2:K64,"OK"),"")</f>
        <v>61</v>
      </c>
      <c r="AS64" s="28" t="str">
        <f>IF(L64=1,IFERROR(INDEX(MESSAGES!$J$9:$J$1008,MATCH(F64,MESSAGES!$M$9:$M$1008,0))&amp;"",""),"")</f>
        <v/>
      </c>
      <c r="AT64" s="28" t="str">
        <f>IF(L64=1,IFERROR(INDEX(MESSAGES!$K$9:$K$1008,MATCH(F64,MESSAGES!$M$9:$M$1008,0))&amp;"",""),"")</f>
        <v/>
      </c>
      <c r="AU64" s="28">
        <f t="shared" ca="1" si="9"/>
        <v>0</v>
      </c>
      <c r="AV64" s="28" t="str">
        <f t="shared" si="10"/>
        <v>SEND</v>
      </c>
    </row>
    <row r="65" spans="1:48" x14ac:dyDescent="0.35">
      <c r="A65" s="28">
        <v>64</v>
      </c>
      <c r="B65" s="28" t="str">
        <f>IF(INPUT!A65="","",TRIM(INPUT!A65))</f>
        <v>Partner 049</v>
      </c>
      <c r="C65" s="28" t="str">
        <f>IF(B65="","",INPUT!C65)</f>
        <v>interviewer2@partner049.example.com</v>
      </c>
      <c r="D65" s="28" t="str">
        <f>IF(B65="","",INPUT!D65)</f>
        <v>Rohan K.</v>
      </c>
      <c r="E65" s="28" t="str">
        <f>IF(B65="","",INPUT!E65)</f>
        <v>rohan.k280@example.com</v>
      </c>
      <c r="F65" s="43" t="str">
        <f>IF(B65="","",TRIM(INPUT!F65&amp;""))</f>
        <v>9000003647</v>
      </c>
      <c r="G65" s="28" t="str">
        <f>IF(B65="","",INPUT!H65)</f>
        <v>Round1</v>
      </c>
      <c r="H65" s="46">
        <f>IF(B65="","",INPUT!I65)</f>
        <v>46308.82708333333</v>
      </c>
      <c r="I65" s="28" t="str">
        <f>IF(B65="","",IF(INPUT!J65="","None",INPUT!J65))</f>
        <v>Clicked</v>
      </c>
      <c r="J65" s="28" t="str">
        <f t="shared" si="0"/>
        <v>rohan.k280@example.com|partner 049|Round1|interviewer2@partner049.example.com</v>
      </c>
      <c r="K65" s="28" t="str">
        <f>IF(B65="","",IF(SUMPRODUCT(($J$2:$J$601=J65)*($H$2:$H$601&lt;H65))+SUMPRODUCT(($J$2:J65=J65)*($H$2:H65=H65))-1&gt;0,"DUPLICATE",IF(AND(ISNUMBER(SEARCH("@",E65)),ISNUMBER(SEARCH(".",E65)),LEN(F65)=10,ISNUMBER(VALUE(F65))),"OK","BAD CONTACT")))</f>
        <v>OK</v>
      </c>
      <c r="L65" s="28">
        <f t="shared" si="1"/>
        <v>1</v>
      </c>
      <c r="M65" s="28">
        <f>IF(L65=1,IF(COUNTIFS(LOG!$C$2:$C$2001,F65,LOG!$E$2:$E$2001,B65,LOG!$D$2:$D$2001,"*BOOKED")+COUNTIFS(LOG!$C$2:$C$2001,F65,LOG!$E$2:$E$2001,"",LOG!$D$2:$D$2001,"*BOOKED")&gt;0,1,0),0)</f>
        <v>1</v>
      </c>
      <c r="N65" s="28">
        <f>IF(L65=1,IF(COUNTIFS(LOG!$C$2:$C$2001,F65,LOG!$E$2:$E$2001,B65,LOG!$D$2:$D$2001,"NOT_INTERESTED")+COUNTIFS(LOG!$C$2:$C$2001,F65,LOG!$E$2:$E$2001,"",LOG!$D$2:$D$2001,"NOT_INTERESTED")&gt;0,1,0),0)</f>
        <v>0</v>
      </c>
      <c r="O65" s="28">
        <f>IF(L65=1,IF(COUNTIFS(LOG!$C$2:$C$2001,F65,LOG!$D$2:$D$2001,"STOP")+COUNTIFS(LOG!$C$2:$C$2001,F65,LOG!$D$2:$D$2001,"WRONG_NUMBER")&gt;0,1,IF(ISNUMBER(SEARCH("STOP",AT65)),1,0)),0)</f>
        <v>0</v>
      </c>
      <c r="P65" s="28">
        <f>IF(L65=1,IF(IFERROR(INDEX(PARTNERS!$D$2:$D$88,MATCH(B65,PARTNERS!$A$2:$A$88,0)),"")="NO SLOTS",1,IF(AND(IFERROR(INDEX(PARTNERS!$D$2:$D$88,MATCH(B65,PARTNERS!$A$2:$A$88,0)),"")&lt;&gt;"REOPENED",COUNTIFS(LOG!$E$2:$E$2001,B65,LOG!$D$2:$D$2001,"NO_SLOTS")&gt;0),1,0)),0)</f>
        <v>0</v>
      </c>
      <c r="Q65" s="28">
        <f>IF(L65=1,COUNTIFS(LOG!$C$2:$C$2001,F65,LOG!$H$2:$H$2001,1),0)</f>
        <v>1</v>
      </c>
      <c r="R65" s="46">
        <f>IF(Q65&gt;0,_xlfn.MAXIFS(LOG!$G$2:$G$2001,LOG!$C$2:$C$2001,F65,LOG!$H$2:$H$2001,1),0)</f>
        <v>46309.569986312381</v>
      </c>
      <c r="S65" s="28" t="str">
        <f>IF(Q65&gt;0,IFERROR(INDEX(LOG!$D$2:$D$2001,MATCH(F65&amp;"|"&amp;Q65,LOG!$I$2:$I$2001,0)),""),"")</f>
        <v>BOOKED</v>
      </c>
      <c r="T65" s="28">
        <f>IF(S65="",0,IFERROR(VLOOKUP(S65,LISTS!$A$2:$E$10,4,FALSE),0))</f>
        <v>0</v>
      </c>
      <c r="U65" s="46">
        <f t="shared" si="2"/>
        <v>46309.569986312381</v>
      </c>
      <c r="V65" s="46">
        <f>IF(L65=1,H65+SETTINGS!$B$5/24,"")</f>
        <v>46309.82708333333</v>
      </c>
      <c r="W65" s="28">
        <f ca="1">IF(L65=1,(V65-SETTINGS!$B$4)*24,"")</f>
        <v>-1.6666666720993817E-2</v>
      </c>
      <c r="X65" s="28">
        <f ca="1">IF(AND(L65=1,K65="OK",M65=0,N65=0,O65=0,P65=0,SETTINGS!$B$4&lt;V65,Q65&lt;SETTINGS!$B$6),1,0)</f>
        <v>0</v>
      </c>
      <c r="Y65" s="28">
        <f ca="1">IF(AND(X65=1,SETTINGS!$B$4&gt;=H65,SETTINGS!$B$4&gt;=U65,ROUND(MOD(SETTINGS!$B$4,1)*1440,0)&gt;=ROUND(SETTINGS!$B$7*1440,0),ROUND(MOD(SETTINGS!$B$4,1)*1440,0)&lt;ROUND(SETTINGS!$B$8*1440,0)),1,0)</f>
        <v>0</v>
      </c>
      <c r="Z65" s="28" t="str">
        <f ca="1">IF(B65="","",IF(ROUND(MOD(SETTINGS!$B$4,1)*1440,0)&lt;ROUND(SETTINGS!$B$11*1440,0),"Ram",IF(ROUND(MOD(SETTINGS!$B$4,1)*1440,0)&gt;=ROUND(SETTINGS!$B$10*1440,0),"Shyam",IF(MOD(IFERROR(VALUE(RIGHT(F65,2)),0),2)=0,"Ram","Shyam"))))</f>
        <v>Shyam</v>
      </c>
      <c r="AA65" s="28">
        <f t="shared" ca="1" si="3"/>
        <v>0</v>
      </c>
      <c r="AB65" s="28">
        <f ca="1">IF(X65=1,COUNTIFS($F$2:F65,F65,$X$2:X65,1),0)</f>
        <v>0</v>
      </c>
      <c r="AC65" s="28" t="str">
        <f>IF(L65=1,IF(IFERROR(INDEX(PARTNERS!$C$2:$C$88,MATCH(B65,PARTNERS!$A$2:$A$88,0)),"")="YES","YES","NO"),"")</f>
        <v>YES</v>
      </c>
      <c r="AD65" s="28" t="str">
        <f>IF(L65=1,IFERROR(INDEX(PARTNERS!$B$2:$B$88,MATCH(B65,PARTNERS!$A$2:$A$88,0)),""),"")</f>
        <v>https://calendly.com/partner049/interview</v>
      </c>
      <c r="AE65" s="28">
        <f ca="1">IF(X65=1,IFERROR(INDEX(SETTINGS!$B$34:$D$36,MATCH(I65,SETTINGS!$A$34:$A$36,0),MIN(Q65,2)+1),SETTINGS!$B$36),0)</f>
        <v>0</v>
      </c>
      <c r="AF65" s="28">
        <f t="shared" si="4"/>
        <v>1</v>
      </c>
      <c r="AG65" s="28">
        <f ca="1">IF(AND(Y65=1,AB65=1),ROUND(AA65*AE65*IF(AF65&gt;1,SETTINGS!$B$16,1)*IF(W65&lt;=SETTINGS!$B$14,SETTINGS!$B$15,1)*IF(AU65=1,SETTINGS!$B$21,1),6),0)</f>
        <v>0</v>
      </c>
      <c r="AH65" s="28" t="str">
        <f ca="1">IF(AG65&gt;0,COUNTIFS($Z$2:$Z$601,Z65,$AG$2:$AG$601,"&gt;"&amp;AG65)+COUNTIFS($Z$2:Z65,Z65,$AG$2:AG65,AG65),"")</f>
        <v/>
      </c>
      <c r="AI65" s="28" t="str">
        <f t="shared" ca="1" si="5"/>
        <v/>
      </c>
      <c r="AJ65" s="28" t="str">
        <f t="shared" ca="1" si="6"/>
        <v/>
      </c>
      <c r="AK65" s="28">
        <f>IF(L65=1,IF(COUNTIFS($F$2:F65,F65,$L$2:L65,1)=1,1,0),0)</f>
        <v>1</v>
      </c>
      <c r="AL65" s="28" t="str">
        <f>IF(B65="","",IF(K65="DUPLICATE","Duplicate (removed)",IF(AO65=1,"Scheduled within 24h",IF(M65=1,"Scheduled late",IF(K65="BAD CONTACT","Bad contact details",IF(O65=1,"Stopped / wrong number",IF(N65=1,"Not interested",IF(P65=1,"Partner has no slots",IF(SETTINGS!$B$4&gt;=V65,IF(Q65=0,"Missed deadline: never tried","Missed deadline: tried, not booked"),IF(Q65&gt;=SETTINGS!$B$6,"No reply after max tries","Open"))))))))))</f>
        <v>Scheduled within 24h</v>
      </c>
      <c r="AM65" s="46">
        <f>IF(M65=1,IF(_xlfn.MINIFS(LOG!$G$2:$G$2001,LOG!$C$2:$C$2001,F65,LOG!$E$2:$E$2001,B65,LOG!$D$2:$D$2001,"*BOOKED")=0,_xlfn.MINIFS(LOG!$G$2:$G$2001,LOG!$C$2:$C$2001,F65,LOG!$E$2:$E$2001,"",LOG!$D$2:$D$2001,"*BOOKED"),IF(_xlfn.MINIFS(LOG!$G$2:$G$2001,LOG!$C$2:$C$2001,F65,LOG!$E$2:$E$2001,"",LOG!$D$2:$D$2001,"*BOOKED")=0,_xlfn.MINIFS(LOG!$G$2:$G$2001,LOG!$C$2:$C$2001,F65,LOG!$E$2:$E$2001,B65,LOG!$D$2:$D$2001,"*BOOKED"),MIN(_xlfn.MINIFS(LOG!$G$2:$G$2001,LOG!$C$2:$C$2001,F65,LOG!$E$2:$E$2001,B65,LOG!$D$2:$D$2001,"*BOOKED"),_xlfn.MINIFS(LOG!$G$2:$G$2001,LOG!$C$2:$C$2001,F65,LOG!$E$2:$E$2001,"",LOG!$D$2:$D$2001,"*BOOKED")))),"")</f>
        <v>46309.569986312381</v>
      </c>
      <c r="AN65" s="28">
        <f t="shared" si="7"/>
        <v>17.829671497223899</v>
      </c>
      <c r="AO65" s="28">
        <f>IF(AND(M65=1,AN65&lt;&gt;""),IF(AN65&lt;=SETTINGS!$B$5,1,0),0)</f>
        <v>1</v>
      </c>
      <c r="AP65" s="28">
        <f>IF(M65=1,IF(COUNTIFS(LOG!$C$2:$C$2001,F65,LOG!$E$2:$E$2001,B65,LOG!$D$2:$D$2001,"BOOKED")+COUNTIFS(LOG!$C$2:$C$2001,F65,LOG!$E$2:$E$2001,"",LOG!$D$2:$D$2001,"BOOKED")&gt;0,1,0),0)</f>
        <v>1</v>
      </c>
      <c r="AQ65" s="28" t="str">
        <f t="shared" si="8"/>
        <v>Rohan</v>
      </c>
      <c r="AR65" s="28">
        <f>IF(AND(AK65=1,K65="OK"),COUNTIFS($AK$2:AK65,1,$K$2:K65,"OK"),"")</f>
        <v>62</v>
      </c>
      <c r="AS65" s="28" t="str">
        <f>IF(L65=1,IFERROR(INDEX(MESSAGES!$J$9:$J$1008,MATCH(F65,MESSAGES!$M$9:$M$1008,0))&amp;"",""),"")</f>
        <v/>
      </c>
      <c r="AT65" s="28" t="str">
        <f>IF(L65=1,IFERROR(INDEX(MESSAGES!$K$9:$K$1008,MATCH(F65,MESSAGES!$M$9:$M$1008,0))&amp;"",""),"")</f>
        <v/>
      </c>
      <c r="AU65" s="28">
        <f t="shared" ca="1" si="9"/>
        <v>0</v>
      </c>
      <c r="AV65" s="28" t="str">
        <f t="shared" si="10"/>
        <v>SEND</v>
      </c>
    </row>
    <row r="66" spans="1:48" x14ac:dyDescent="0.35">
      <c r="A66" s="28">
        <v>65</v>
      </c>
      <c r="B66" s="28" t="str">
        <f>IF(INPUT!A66="","",TRIM(INPUT!A66))</f>
        <v>Partner 036</v>
      </c>
      <c r="C66" s="28" t="str">
        <f>IF(B66="","",INPUT!C66)</f>
        <v>interviewer1@partner036.example.com</v>
      </c>
      <c r="D66" s="28" t="str">
        <f>IF(B66="","",INPUT!D66)</f>
        <v>Riya D.</v>
      </c>
      <c r="E66" s="28" t="str">
        <f>IF(B66="","",INPUT!E66)</f>
        <v>riya.d109@example.com</v>
      </c>
      <c r="F66" s="43" t="str">
        <f>IF(B66="","",TRIM(INPUT!F66&amp;""))</f>
        <v>9000001424</v>
      </c>
      <c r="G66" s="28" t="str">
        <f>IF(B66="","",INPUT!H66)</f>
        <v>Round1</v>
      </c>
      <c r="H66" s="46">
        <f>IF(B66="","",INPUT!I66)</f>
        <v>46308.82708333333</v>
      </c>
      <c r="I66" s="28" t="str">
        <f>IF(B66="","",IF(INPUT!J66="","None",INPUT!J66))</f>
        <v>None</v>
      </c>
      <c r="J66" s="28" t="str">
        <f t="shared" ref="J66:J129" si="11">IF(B66="","",LOWER(E66)&amp;"|"&amp;LOWER(B66)&amp;"|"&amp;G66&amp;"|"&amp;LOWER(C66))</f>
        <v>riya.d109@example.com|partner 036|Round1|interviewer1@partner036.example.com</v>
      </c>
      <c r="K66" s="28" t="str">
        <f>IF(B66="","",IF(SUMPRODUCT(($J$2:$J$601=J66)*($H$2:$H$601&lt;H66))+SUMPRODUCT(($J$2:J66=J66)*($H$2:H66=H66))-1&gt;0,"DUPLICATE",IF(AND(ISNUMBER(SEARCH("@",E66)),ISNUMBER(SEARCH(".",E66)),LEN(F66)=10,ISNUMBER(VALUE(F66))),"OK","BAD CONTACT")))</f>
        <v>OK</v>
      </c>
      <c r="L66" s="28">
        <f t="shared" ref="L66:L129" si="12">IF(B66="",0,IF(K66="DUPLICATE",0,1))</f>
        <v>1</v>
      </c>
      <c r="M66" s="28">
        <f>IF(L66=1,IF(COUNTIFS(LOG!$C$2:$C$2001,F66,LOG!$E$2:$E$2001,B66,LOG!$D$2:$D$2001,"*BOOKED")+COUNTIFS(LOG!$C$2:$C$2001,F66,LOG!$E$2:$E$2001,"",LOG!$D$2:$D$2001,"*BOOKED")&gt;0,1,0),0)</f>
        <v>0</v>
      </c>
      <c r="N66" s="28">
        <f>IF(L66=1,IF(COUNTIFS(LOG!$C$2:$C$2001,F66,LOG!$E$2:$E$2001,B66,LOG!$D$2:$D$2001,"NOT_INTERESTED")+COUNTIFS(LOG!$C$2:$C$2001,F66,LOG!$E$2:$E$2001,"",LOG!$D$2:$D$2001,"NOT_INTERESTED")&gt;0,1,0),0)</f>
        <v>0</v>
      </c>
      <c r="O66" s="28">
        <f>IF(L66=1,IF(COUNTIFS(LOG!$C$2:$C$2001,F66,LOG!$D$2:$D$2001,"STOP")+COUNTIFS(LOG!$C$2:$C$2001,F66,LOG!$D$2:$D$2001,"WRONG_NUMBER")&gt;0,1,IF(ISNUMBER(SEARCH("STOP",AT66)),1,0)),0)</f>
        <v>0</v>
      </c>
      <c r="P66" s="28">
        <f>IF(L66=1,IF(IFERROR(INDEX(PARTNERS!$D$2:$D$88,MATCH(B66,PARTNERS!$A$2:$A$88,0)),"")="NO SLOTS",1,IF(AND(IFERROR(INDEX(PARTNERS!$D$2:$D$88,MATCH(B66,PARTNERS!$A$2:$A$88,0)),"")&lt;&gt;"REOPENED",COUNTIFS(LOG!$E$2:$E$2001,B66,LOG!$D$2:$D$2001,"NO_SLOTS")&gt;0),1,0)),0)</f>
        <v>0</v>
      </c>
      <c r="Q66" s="28">
        <f>IF(L66=1,COUNTIFS(LOG!$C$2:$C$2001,F66,LOG!$H$2:$H$2001,1),0)</f>
        <v>0</v>
      </c>
      <c r="R66" s="46">
        <f>IF(Q66&gt;0,_xlfn.MAXIFS(LOG!$G$2:$G$2001,LOG!$C$2:$C$2001,F66,LOG!$H$2:$H$2001,1),0)</f>
        <v>0</v>
      </c>
      <c r="S66" s="28" t="str">
        <f>IF(Q66&gt;0,IFERROR(INDEX(LOG!$D$2:$D$2001,MATCH(F66&amp;"|"&amp;Q66,LOG!$I$2:$I$2001,0)),""),"")</f>
        <v/>
      </c>
      <c r="T66" s="28">
        <f>IF(S66="",0,IFERROR(VLOOKUP(S66,LISTS!$A$2:$E$10,4,FALSE),0))</f>
        <v>0</v>
      </c>
      <c r="U66" s="46">
        <f t="shared" ref="U66:U129" si="13">IF(Q66=0,0,R66+T66/1440)</f>
        <v>0</v>
      </c>
      <c r="V66" s="46">
        <f>IF(L66=1,H66+SETTINGS!$B$5/24,"")</f>
        <v>46309.82708333333</v>
      </c>
      <c r="W66" s="28">
        <f ca="1">IF(L66=1,(V66-SETTINGS!$B$4)*24,"")</f>
        <v>-1.6666666720993817E-2</v>
      </c>
      <c r="X66" s="28">
        <f ca="1">IF(AND(L66=1,K66="OK",M66=0,N66=0,O66=0,P66=0,SETTINGS!$B$4&lt;V66,Q66&lt;SETTINGS!$B$6),1,0)</f>
        <v>0</v>
      </c>
      <c r="Y66" s="28">
        <f ca="1">IF(AND(X66=1,SETTINGS!$B$4&gt;=H66,SETTINGS!$B$4&gt;=U66,ROUND(MOD(SETTINGS!$B$4,1)*1440,0)&gt;=ROUND(SETTINGS!$B$7*1440,0),ROUND(MOD(SETTINGS!$B$4,1)*1440,0)&lt;ROUND(SETTINGS!$B$8*1440,0)),1,0)</f>
        <v>0</v>
      </c>
      <c r="Z66" s="28" t="str">
        <f ca="1">IF(B66="","",IF(ROUND(MOD(SETTINGS!$B$4,1)*1440,0)&lt;ROUND(SETTINGS!$B$11*1440,0),"Ram",IF(ROUND(MOD(SETTINGS!$B$4,1)*1440,0)&gt;=ROUND(SETTINGS!$B$10*1440,0),"Shyam",IF(MOD(IFERROR(VALUE(RIGHT(F66,2)),0),2)=0,"Ram","Shyam"))))</f>
        <v>Shyam</v>
      </c>
      <c r="AA66" s="28">
        <f t="shared" ref="AA66:AA129" ca="1" si="14">IF(X66=1,COUNTIFS($F$2:$F$601,F66,$X$2:$X$601,1),0)</f>
        <v>0</v>
      </c>
      <c r="AB66" s="28">
        <f ca="1">IF(X66=1,COUNTIFS($F$2:F66,F66,$X$2:X66,1),0)</f>
        <v>0</v>
      </c>
      <c r="AC66" s="28" t="str">
        <f>IF(L66=1,IF(IFERROR(INDEX(PARTNERS!$C$2:$C$88,MATCH(B66,PARTNERS!$A$2:$A$88,0)),"")="YES","YES","NO"),"")</f>
        <v>YES</v>
      </c>
      <c r="AD66" s="28" t="str">
        <f>IF(L66=1,IFERROR(INDEX(PARTNERS!$B$2:$B$88,MATCH(B66,PARTNERS!$A$2:$A$88,0)),""),"")</f>
        <v>https://calendly.com/partner036/interview</v>
      </c>
      <c r="AE66" s="28">
        <f ca="1">IF(X66=1,IFERROR(INDEX(SETTINGS!$B$34:$D$36,MATCH(I66,SETTINGS!$A$34:$A$36,0),MIN(Q66,2)+1),SETTINGS!$B$36),0)</f>
        <v>0</v>
      </c>
      <c r="AF66" s="28">
        <f t="shared" ref="AF66:AF129" si="15">IF(L66=1,IFERROR(VALUE(RIGHT(G66,1)),1),0)</f>
        <v>1</v>
      </c>
      <c r="AG66" s="28">
        <f ca="1">IF(AND(Y66=1,AB66=1),ROUND(AA66*AE66*IF(AF66&gt;1,SETTINGS!$B$16,1)*IF(W66&lt;=SETTINGS!$B$14,SETTINGS!$B$15,1)*IF(AU66=1,SETTINGS!$B$21,1),6),0)</f>
        <v>0</v>
      </c>
      <c r="AH66" s="28" t="str">
        <f ca="1">IF(AG66&gt;0,COUNTIFS($Z$2:$Z$601,Z66,$AG$2:$AG$601,"&gt;"&amp;AG66)+COUNTIFS($Z$2:Z66,Z66,$AG$2:AG66,AG66),"")</f>
        <v/>
      </c>
      <c r="AI66" s="28" t="str">
        <f t="shared" ref="AI66:AI129" ca="1" si="16">IF(AH66&lt;&gt;"",Z66&amp;"|"&amp;AH66,"")</f>
        <v/>
      </c>
      <c r="AJ66" s="28" t="str">
        <f t="shared" ref="AJ66:AJ129" ca="1" si="17">IF(X66=1,F66&amp;"|"&amp;AB66,"")</f>
        <v/>
      </c>
      <c r="AK66" s="28">
        <f>IF(L66=1,IF(COUNTIFS($F$2:F66,F66,$L$2:L66,1)=1,1,0),0)</f>
        <v>1</v>
      </c>
      <c r="AL66" s="28" t="str">
        <f ca="1">IF(B66="","",IF(K66="DUPLICATE","Duplicate (removed)",IF(AO66=1,"Scheduled within 24h",IF(M66=1,"Scheduled late",IF(K66="BAD CONTACT","Bad contact details",IF(O66=1,"Stopped / wrong number",IF(N66=1,"Not interested",IF(P66=1,"Partner has no slots",IF(SETTINGS!$B$4&gt;=V66,IF(Q66=0,"Missed deadline: never tried","Missed deadline: tried, not booked"),IF(Q66&gt;=SETTINGS!$B$6,"No reply after max tries","Open"))))))))))</f>
        <v>Missed deadline: never tried</v>
      </c>
      <c r="AM66" s="46" t="str">
        <f>IF(M66=1,IF(_xlfn.MINIFS(LOG!$G$2:$G$2001,LOG!$C$2:$C$2001,F66,LOG!$E$2:$E$2001,B66,LOG!$D$2:$D$2001,"*BOOKED")=0,_xlfn.MINIFS(LOG!$G$2:$G$2001,LOG!$C$2:$C$2001,F66,LOG!$E$2:$E$2001,"",LOG!$D$2:$D$2001,"*BOOKED"),IF(_xlfn.MINIFS(LOG!$G$2:$G$2001,LOG!$C$2:$C$2001,F66,LOG!$E$2:$E$2001,"",LOG!$D$2:$D$2001,"*BOOKED")=0,_xlfn.MINIFS(LOG!$G$2:$G$2001,LOG!$C$2:$C$2001,F66,LOG!$E$2:$E$2001,B66,LOG!$D$2:$D$2001,"*BOOKED"),MIN(_xlfn.MINIFS(LOG!$G$2:$G$2001,LOG!$C$2:$C$2001,F66,LOG!$E$2:$E$2001,B66,LOG!$D$2:$D$2001,"*BOOKED"),_xlfn.MINIFS(LOG!$G$2:$G$2001,LOG!$C$2:$C$2001,F66,LOG!$E$2:$E$2001,"",LOG!$D$2:$D$2001,"*BOOKED")))),"")</f>
        <v/>
      </c>
      <c r="AN66" s="28" t="str">
        <f t="shared" ref="AN66:AN129" si="18">IF(M66=1,(AM66-H66)*24,"")</f>
        <v/>
      </c>
      <c r="AO66" s="28">
        <f>IF(AND(M66=1,AN66&lt;&gt;""),IF(AN66&lt;=SETTINGS!$B$5,1,0),0)</f>
        <v>0</v>
      </c>
      <c r="AP66" s="28">
        <f>IF(M66=1,IF(COUNTIFS(LOG!$C$2:$C$2001,F66,LOG!$E$2:$E$2001,B66,LOG!$D$2:$D$2001,"BOOKED")+COUNTIFS(LOG!$C$2:$C$2001,F66,LOG!$E$2:$E$2001,"",LOG!$D$2:$D$2001,"BOOKED")&gt;0,1,0),0)</f>
        <v>0</v>
      </c>
      <c r="AQ66" s="28" t="str">
        <f t="shared" ref="AQ66:AQ129" si="19">IF(B66="","",LEFT(D66,FIND(" ",D66&amp;" ")-1))</f>
        <v>Riya</v>
      </c>
      <c r="AR66" s="28">
        <f>IF(AND(AK66=1,K66="OK"),COUNTIFS($AK$2:AK66,1,$K$2:K66,"OK"),"")</f>
        <v>63</v>
      </c>
      <c r="AS66" s="28" t="str">
        <f>IF(L66=1,IFERROR(INDEX(MESSAGES!$J$9:$J$1008,MATCH(F66,MESSAGES!$M$9:$M$1008,0))&amp;"",""),"")</f>
        <v/>
      </c>
      <c r="AT66" s="28" t="str">
        <f>IF(L66=1,IFERROR(INDEX(MESSAGES!$K$9:$K$1008,MATCH(F66,MESSAGES!$M$9:$M$1008,0))&amp;"",""),"")</f>
        <v/>
      </c>
      <c r="AU66" s="28">
        <f t="shared" ref="AU66:AU129" ca="1" si="20">IF(AND(X66=1,ISNUMBER(SEARCH("YES",AT66))),1,0)</f>
        <v>0</v>
      </c>
      <c r="AV66" s="28" t="str">
        <f t="shared" ref="AV66:AV129" si="21">IF(L66=1,IF(MOD(IFERROR(VALUE(MID(F66,9,1)),0),2)=0,"SEND","HOLD"),"")</f>
        <v>SEND</v>
      </c>
    </row>
    <row r="67" spans="1:48" x14ac:dyDescent="0.35">
      <c r="A67" s="28">
        <v>66</v>
      </c>
      <c r="B67" s="28" t="str">
        <f>IF(INPUT!A67="","",TRIM(INPUT!A67))</f>
        <v>Partner 037</v>
      </c>
      <c r="C67" s="28" t="str">
        <f>IF(B67="","",INPUT!C67)</f>
        <v>interviewer1@partner037.example.com</v>
      </c>
      <c r="D67" s="28" t="str">
        <f>IF(B67="","",INPUT!D67)</f>
        <v>Tara H.</v>
      </c>
      <c r="E67" s="28" t="str">
        <f>IF(B67="","",INPUT!E67)</f>
        <v>tara.h225@example.com</v>
      </c>
      <c r="F67" s="43" t="str">
        <f>IF(B67="","",TRIM(INPUT!F67&amp;""))</f>
        <v>9000002932</v>
      </c>
      <c r="G67" s="28" t="str">
        <f>IF(B67="","",INPUT!H67)</f>
        <v>Round1</v>
      </c>
      <c r="H67" s="46">
        <f>IF(B67="","",INPUT!I67)</f>
        <v>46308.82708333333</v>
      </c>
      <c r="I67" s="28" t="str">
        <f>IF(B67="","",IF(INPUT!J67="","None",INPUT!J67))</f>
        <v>None</v>
      </c>
      <c r="J67" s="28" t="str">
        <f t="shared" si="11"/>
        <v>tara.h225@example.com|partner 037|Round1|interviewer1@partner037.example.com</v>
      </c>
      <c r="K67" s="28" t="str">
        <f>IF(B67="","",IF(SUMPRODUCT(($J$2:$J$601=J67)*($H$2:$H$601&lt;H67))+SUMPRODUCT(($J$2:J67=J67)*($H$2:H67=H67))-1&gt;0,"DUPLICATE",IF(AND(ISNUMBER(SEARCH("@",E67)),ISNUMBER(SEARCH(".",E67)),LEN(F67)=10,ISNUMBER(VALUE(F67))),"OK","BAD CONTACT")))</f>
        <v>OK</v>
      </c>
      <c r="L67" s="28">
        <f t="shared" si="12"/>
        <v>1</v>
      </c>
      <c r="M67" s="28">
        <f>IF(L67=1,IF(COUNTIFS(LOG!$C$2:$C$2001,F67,LOG!$E$2:$E$2001,B67,LOG!$D$2:$D$2001,"*BOOKED")+COUNTIFS(LOG!$C$2:$C$2001,F67,LOG!$E$2:$E$2001,"",LOG!$D$2:$D$2001,"*BOOKED")&gt;0,1,0),0)</f>
        <v>0</v>
      </c>
      <c r="N67" s="28">
        <f>IF(L67=1,IF(COUNTIFS(LOG!$C$2:$C$2001,F67,LOG!$E$2:$E$2001,B67,LOG!$D$2:$D$2001,"NOT_INTERESTED")+COUNTIFS(LOG!$C$2:$C$2001,F67,LOG!$E$2:$E$2001,"",LOG!$D$2:$D$2001,"NOT_INTERESTED")&gt;0,1,0),0)</f>
        <v>0</v>
      </c>
      <c r="O67" s="28">
        <f>IF(L67=1,IF(COUNTIFS(LOG!$C$2:$C$2001,F67,LOG!$D$2:$D$2001,"STOP")+COUNTIFS(LOG!$C$2:$C$2001,F67,LOG!$D$2:$D$2001,"WRONG_NUMBER")&gt;0,1,IF(ISNUMBER(SEARCH("STOP",AT67)),1,0)),0)</f>
        <v>0</v>
      </c>
      <c r="P67" s="28">
        <f>IF(L67=1,IF(IFERROR(INDEX(PARTNERS!$D$2:$D$88,MATCH(B67,PARTNERS!$A$2:$A$88,0)),"")="NO SLOTS",1,IF(AND(IFERROR(INDEX(PARTNERS!$D$2:$D$88,MATCH(B67,PARTNERS!$A$2:$A$88,0)),"")&lt;&gt;"REOPENED",COUNTIFS(LOG!$E$2:$E$2001,B67,LOG!$D$2:$D$2001,"NO_SLOTS")&gt;0),1,0)),0)</f>
        <v>0</v>
      </c>
      <c r="Q67" s="28">
        <f>IF(L67=1,COUNTIFS(LOG!$C$2:$C$2001,F67,LOG!$H$2:$H$2001,1),0)</f>
        <v>0</v>
      </c>
      <c r="R67" s="46">
        <f>IF(Q67&gt;0,_xlfn.MAXIFS(LOG!$G$2:$G$2001,LOG!$C$2:$C$2001,F67,LOG!$H$2:$H$2001,1),0)</f>
        <v>0</v>
      </c>
      <c r="S67" s="28" t="str">
        <f>IF(Q67&gt;0,IFERROR(INDEX(LOG!$D$2:$D$2001,MATCH(F67&amp;"|"&amp;Q67,LOG!$I$2:$I$2001,0)),""),"")</f>
        <v/>
      </c>
      <c r="T67" s="28">
        <f>IF(S67="",0,IFERROR(VLOOKUP(S67,LISTS!$A$2:$E$10,4,FALSE),0))</f>
        <v>0</v>
      </c>
      <c r="U67" s="46">
        <f t="shared" si="13"/>
        <v>0</v>
      </c>
      <c r="V67" s="46">
        <f>IF(L67=1,H67+SETTINGS!$B$5/24,"")</f>
        <v>46309.82708333333</v>
      </c>
      <c r="W67" s="28">
        <f ca="1">IF(L67=1,(V67-SETTINGS!$B$4)*24,"")</f>
        <v>-1.6666666720993817E-2</v>
      </c>
      <c r="X67" s="28">
        <f ca="1">IF(AND(L67=1,K67="OK",M67=0,N67=0,O67=0,P67=0,SETTINGS!$B$4&lt;V67,Q67&lt;SETTINGS!$B$6),1,0)</f>
        <v>0</v>
      </c>
      <c r="Y67" s="28">
        <f ca="1">IF(AND(X67=1,SETTINGS!$B$4&gt;=H67,SETTINGS!$B$4&gt;=U67,ROUND(MOD(SETTINGS!$B$4,1)*1440,0)&gt;=ROUND(SETTINGS!$B$7*1440,0),ROUND(MOD(SETTINGS!$B$4,1)*1440,0)&lt;ROUND(SETTINGS!$B$8*1440,0)),1,0)</f>
        <v>0</v>
      </c>
      <c r="Z67" s="28" t="str">
        <f ca="1">IF(B67="","",IF(ROUND(MOD(SETTINGS!$B$4,1)*1440,0)&lt;ROUND(SETTINGS!$B$11*1440,0),"Ram",IF(ROUND(MOD(SETTINGS!$B$4,1)*1440,0)&gt;=ROUND(SETTINGS!$B$10*1440,0),"Shyam",IF(MOD(IFERROR(VALUE(RIGHT(F67,2)),0),2)=0,"Ram","Shyam"))))</f>
        <v>Shyam</v>
      </c>
      <c r="AA67" s="28">
        <f t="shared" ca="1" si="14"/>
        <v>0</v>
      </c>
      <c r="AB67" s="28">
        <f ca="1">IF(X67=1,COUNTIFS($F$2:F67,F67,$X$2:X67,1),0)</f>
        <v>0</v>
      </c>
      <c r="AC67" s="28" t="str">
        <f>IF(L67=1,IF(IFERROR(INDEX(PARTNERS!$C$2:$C$88,MATCH(B67,PARTNERS!$A$2:$A$88,0)),"")="YES","YES","NO"),"")</f>
        <v>YES</v>
      </c>
      <c r="AD67" s="28" t="str">
        <f>IF(L67=1,IFERROR(INDEX(PARTNERS!$B$2:$B$88,MATCH(B67,PARTNERS!$A$2:$A$88,0)),""),"")</f>
        <v>https://calendly.com/partner037/interview</v>
      </c>
      <c r="AE67" s="28">
        <f ca="1">IF(X67=1,IFERROR(INDEX(SETTINGS!$B$34:$D$36,MATCH(I67,SETTINGS!$A$34:$A$36,0),MIN(Q67,2)+1),SETTINGS!$B$36),0)</f>
        <v>0</v>
      </c>
      <c r="AF67" s="28">
        <f t="shared" si="15"/>
        <v>1</v>
      </c>
      <c r="AG67" s="28">
        <f ca="1">IF(AND(Y67=1,AB67=1),ROUND(AA67*AE67*IF(AF67&gt;1,SETTINGS!$B$16,1)*IF(W67&lt;=SETTINGS!$B$14,SETTINGS!$B$15,1)*IF(AU67=1,SETTINGS!$B$21,1),6),0)</f>
        <v>0</v>
      </c>
      <c r="AH67" s="28" t="str">
        <f ca="1">IF(AG67&gt;0,COUNTIFS($Z$2:$Z$601,Z67,$AG$2:$AG$601,"&gt;"&amp;AG67)+COUNTIFS($Z$2:Z67,Z67,$AG$2:AG67,AG67),"")</f>
        <v/>
      </c>
      <c r="AI67" s="28" t="str">
        <f t="shared" ca="1" si="16"/>
        <v/>
      </c>
      <c r="AJ67" s="28" t="str">
        <f t="shared" ca="1" si="17"/>
        <v/>
      </c>
      <c r="AK67" s="28">
        <f>IF(L67=1,IF(COUNTIFS($F$2:F67,F67,$L$2:L67,1)=1,1,0),0)</f>
        <v>1</v>
      </c>
      <c r="AL67" s="28" t="str">
        <f ca="1">IF(B67="","",IF(K67="DUPLICATE","Duplicate (removed)",IF(AO67=1,"Scheduled within 24h",IF(M67=1,"Scheduled late",IF(K67="BAD CONTACT","Bad contact details",IF(O67=1,"Stopped / wrong number",IF(N67=1,"Not interested",IF(P67=1,"Partner has no slots",IF(SETTINGS!$B$4&gt;=V67,IF(Q67=0,"Missed deadline: never tried","Missed deadline: tried, not booked"),IF(Q67&gt;=SETTINGS!$B$6,"No reply after max tries","Open"))))))))))</f>
        <v>Missed deadline: never tried</v>
      </c>
      <c r="AM67" s="46" t="str">
        <f>IF(M67=1,IF(_xlfn.MINIFS(LOG!$G$2:$G$2001,LOG!$C$2:$C$2001,F67,LOG!$E$2:$E$2001,B67,LOG!$D$2:$D$2001,"*BOOKED")=0,_xlfn.MINIFS(LOG!$G$2:$G$2001,LOG!$C$2:$C$2001,F67,LOG!$E$2:$E$2001,"",LOG!$D$2:$D$2001,"*BOOKED"),IF(_xlfn.MINIFS(LOG!$G$2:$G$2001,LOG!$C$2:$C$2001,F67,LOG!$E$2:$E$2001,"",LOG!$D$2:$D$2001,"*BOOKED")=0,_xlfn.MINIFS(LOG!$G$2:$G$2001,LOG!$C$2:$C$2001,F67,LOG!$E$2:$E$2001,B67,LOG!$D$2:$D$2001,"*BOOKED"),MIN(_xlfn.MINIFS(LOG!$G$2:$G$2001,LOG!$C$2:$C$2001,F67,LOG!$E$2:$E$2001,B67,LOG!$D$2:$D$2001,"*BOOKED"),_xlfn.MINIFS(LOG!$G$2:$G$2001,LOG!$C$2:$C$2001,F67,LOG!$E$2:$E$2001,"",LOG!$D$2:$D$2001,"*BOOKED")))),"")</f>
        <v/>
      </c>
      <c r="AN67" s="28" t="str">
        <f t="shared" si="18"/>
        <v/>
      </c>
      <c r="AO67" s="28">
        <f>IF(AND(M67=1,AN67&lt;&gt;""),IF(AN67&lt;=SETTINGS!$B$5,1,0),0)</f>
        <v>0</v>
      </c>
      <c r="AP67" s="28">
        <f>IF(M67=1,IF(COUNTIFS(LOG!$C$2:$C$2001,F67,LOG!$E$2:$E$2001,B67,LOG!$D$2:$D$2001,"BOOKED")+COUNTIFS(LOG!$C$2:$C$2001,F67,LOG!$E$2:$E$2001,"",LOG!$D$2:$D$2001,"BOOKED")&gt;0,1,0),0)</f>
        <v>0</v>
      </c>
      <c r="AQ67" s="28" t="str">
        <f t="shared" si="19"/>
        <v>Tara</v>
      </c>
      <c r="AR67" s="28">
        <f>IF(AND(AK67=1,K67="OK"),COUNTIFS($AK$2:AK67,1,$K$2:K67,"OK"),"")</f>
        <v>64</v>
      </c>
      <c r="AS67" s="28" t="str">
        <f>IF(L67=1,IFERROR(INDEX(MESSAGES!$J$9:$J$1008,MATCH(F67,MESSAGES!$M$9:$M$1008,0))&amp;"",""),"")</f>
        <v/>
      </c>
      <c r="AT67" s="28" t="str">
        <f>IF(L67=1,IFERROR(INDEX(MESSAGES!$K$9:$K$1008,MATCH(F67,MESSAGES!$M$9:$M$1008,0))&amp;"",""),"")</f>
        <v/>
      </c>
      <c r="AU67" s="28">
        <f t="shared" ca="1" si="20"/>
        <v>0</v>
      </c>
      <c r="AV67" s="28" t="str">
        <f t="shared" si="21"/>
        <v>HOLD</v>
      </c>
    </row>
    <row r="68" spans="1:48" x14ac:dyDescent="0.35">
      <c r="A68" s="28">
        <v>67</v>
      </c>
      <c r="B68" s="28" t="str">
        <f>IF(INPUT!A68="","",TRIM(INPUT!A68))</f>
        <v>Partner 040</v>
      </c>
      <c r="C68" s="28" t="str">
        <f>IF(B68="","",INPUT!C68)</f>
        <v>interviewer2@partner040.example.com</v>
      </c>
      <c r="D68" s="28" t="str">
        <f>IF(B68="","",INPUT!D68)</f>
        <v>Diya K.</v>
      </c>
      <c r="E68" s="28" t="str">
        <f>IF(B68="","",INPUT!E68)</f>
        <v>diya.k271@example.com</v>
      </c>
      <c r="F68" s="43" t="str">
        <f>IF(B68="","",TRIM(INPUT!F68&amp;""))</f>
        <v>9000003530</v>
      </c>
      <c r="G68" s="28" t="str">
        <f>IF(B68="","",INPUT!H68)</f>
        <v>Round1</v>
      </c>
      <c r="H68" s="46">
        <f>IF(B68="","",INPUT!I68)</f>
        <v>46308.82708333333</v>
      </c>
      <c r="I68" s="28" t="str">
        <f>IF(B68="","",IF(INPUT!J68="","None",INPUT!J68))</f>
        <v>Clicked</v>
      </c>
      <c r="J68" s="28" t="str">
        <f t="shared" si="11"/>
        <v>diya.k271@example.com|partner 040|Round1|interviewer2@partner040.example.com</v>
      </c>
      <c r="K68" s="28" t="str">
        <f>IF(B68="","",IF(SUMPRODUCT(($J$2:$J$601=J68)*($H$2:$H$601&lt;H68))+SUMPRODUCT(($J$2:J68=J68)*($H$2:H68=H68))-1&gt;0,"DUPLICATE",IF(AND(ISNUMBER(SEARCH("@",E68)),ISNUMBER(SEARCH(".",E68)),LEN(F68)=10,ISNUMBER(VALUE(F68))),"OK","BAD CONTACT")))</f>
        <v>OK</v>
      </c>
      <c r="L68" s="28">
        <f t="shared" si="12"/>
        <v>1</v>
      </c>
      <c r="M68" s="28">
        <f>IF(L68=1,IF(COUNTIFS(LOG!$C$2:$C$2001,F68,LOG!$E$2:$E$2001,B68,LOG!$D$2:$D$2001,"*BOOKED")+COUNTIFS(LOG!$C$2:$C$2001,F68,LOG!$E$2:$E$2001,"",LOG!$D$2:$D$2001,"*BOOKED")&gt;0,1,0),0)</f>
        <v>1</v>
      </c>
      <c r="N68" s="28">
        <f>IF(L68=1,IF(COUNTIFS(LOG!$C$2:$C$2001,F68,LOG!$E$2:$E$2001,B68,LOG!$D$2:$D$2001,"NOT_INTERESTED")+COUNTIFS(LOG!$C$2:$C$2001,F68,LOG!$E$2:$E$2001,"",LOG!$D$2:$D$2001,"NOT_INTERESTED")&gt;0,1,0),0)</f>
        <v>0</v>
      </c>
      <c r="O68" s="28">
        <f>IF(L68=1,IF(COUNTIFS(LOG!$C$2:$C$2001,F68,LOG!$D$2:$D$2001,"STOP")+COUNTIFS(LOG!$C$2:$C$2001,F68,LOG!$D$2:$D$2001,"WRONG_NUMBER")&gt;0,1,IF(ISNUMBER(SEARCH("STOP",AT68)),1,0)),0)</f>
        <v>0</v>
      </c>
      <c r="P68" s="28">
        <f>IF(L68=1,IF(IFERROR(INDEX(PARTNERS!$D$2:$D$88,MATCH(B68,PARTNERS!$A$2:$A$88,0)),"")="NO SLOTS",1,IF(AND(IFERROR(INDEX(PARTNERS!$D$2:$D$88,MATCH(B68,PARTNERS!$A$2:$A$88,0)),"")&lt;&gt;"REOPENED",COUNTIFS(LOG!$E$2:$E$2001,B68,LOG!$D$2:$D$2001,"NO_SLOTS")&gt;0),1,0)),0)</f>
        <v>0</v>
      </c>
      <c r="Q68" s="28">
        <f>IF(L68=1,COUNTIFS(LOG!$C$2:$C$2001,F68,LOG!$H$2:$H$2001,1),0)</f>
        <v>1</v>
      </c>
      <c r="R68" s="46">
        <f>IF(Q68&gt;0,_xlfn.MAXIFS(LOG!$G$2:$G$2001,LOG!$C$2:$C$2001,F68,LOG!$H$2:$H$2001,1),0)</f>
        <v>46309.445155305628</v>
      </c>
      <c r="S68" s="28" t="str">
        <f>IF(Q68&gt;0,IFERROR(INDEX(LOG!$D$2:$D$2001,MATCH(F68&amp;"|"&amp;Q68,LOG!$I$2:$I$2001,0)),""),"")</f>
        <v>BOOKED</v>
      </c>
      <c r="T68" s="28">
        <f>IF(S68="",0,IFERROR(VLOOKUP(S68,LISTS!$A$2:$E$10,4,FALSE),0))</f>
        <v>0</v>
      </c>
      <c r="U68" s="46">
        <f t="shared" si="13"/>
        <v>46309.445155305628</v>
      </c>
      <c r="V68" s="46">
        <f>IF(L68=1,H68+SETTINGS!$B$5/24,"")</f>
        <v>46309.82708333333</v>
      </c>
      <c r="W68" s="28">
        <f ca="1">IF(L68=1,(V68-SETTINGS!$B$4)*24,"")</f>
        <v>-1.6666666720993817E-2</v>
      </c>
      <c r="X68" s="28">
        <f ca="1">IF(AND(L68=1,K68="OK",M68=0,N68=0,O68=0,P68=0,SETTINGS!$B$4&lt;V68,Q68&lt;SETTINGS!$B$6),1,0)</f>
        <v>0</v>
      </c>
      <c r="Y68" s="28">
        <f ca="1">IF(AND(X68=1,SETTINGS!$B$4&gt;=H68,SETTINGS!$B$4&gt;=U68,ROUND(MOD(SETTINGS!$B$4,1)*1440,0)&gt;=ROUND(SETTINGS!$B$7*1440,0),ROUND(MOD(SETTINGS!$B$4,1)*1440,0)&lt;ROUND(SETTINGS!$B$8*1440,0)),1,0)</f>
        <v>0</v>
      </c>
      <c r="Z68" s="28" t="str">
        <f ca="1">IF(B68="","",IF(ROUND(MOD(SETTINGS!$B$4,1)*1440,0)&lt;ROUND(SETTINGS!$B$11*1440,0),"Ram",IF(ROUND(MOD(SETTINGS!$B$4,1)*1440,0)&gt;=ROUND(SETTINGS!$B$10*1440,0),"Shyam",IF(MOD(IFERROR(VALUE(RIGHT(F68,2)),0),2)=0,"Ram","Shyam"))))</f>
        <v>Shyam</v>
      </c>
      <c r="AA68" s="28">
        <f t="shared" ca="1" si="14"/>
        <v>0</v>
      </c>
      <c r="AB68" s="28">
        <f ca="1">IF(X68=1,COUNTIFS($F$2:F68,F68,$X$2:X68,1),0)</f>
        <v>0</v>
      </c>
      <c r="AC68" s="28" t="str">
        <f>IF(L68=1,IF(IFERROR(INDEX(PARTNERS!$C$2:$C$88,MATCH(B68,PARTNERS!$A$2:$A$88,0)),"")="YES","YES","NO"),"")</f>
        <v>YES</v>
      </c>
      <c r="AD68" s="28" t="str">
        <f>IF(L68=1,IFERROR(INDEX(PARTNERS!$B$2:$B$88,MATCH(B68,PARTNERS!$A$2:$A$88,0)),""),"")</f>
        <v>https://calendly.com/partner040/interview</v>
      </c>
      <c r="AE68" s="28">
        <f ca="1">IF(X68=1,IFERROR(INDEX(SETTINGS!$B$34:$D$36,MATCH(I68,SETTINGS!$A$34:$A$36,0),MIN(Q68,2)+1),SETTINGS!$B$36),0)</f>
        <v>0</v>
      </c>
      <c r="AF68" s="28">
        <f t="shared" si="15"/>
        <v>1</v>
      </c>
      <c r="AG68" s="28">
        <f ca="1">IF(AND(Y68=1,AB68=1),ROUND(AA68*AE68*IF(AF68&gt;1,SETTINGS!$B$16,1)*IF(W68&lt;=SETTINGS!$B$14,SETTINGS!$B$15,1)*IF(AU68=1,SETTINGS!$B$21,1),6),0)</f>
        <v>0</v>
      </c>
      <c r="AH68" s="28" t="str">
        <f ca="1">IF(AG68&gt;0,COUNTIFS($Z$2:$Z$601,Z68,$AG$2:$AG$601,"&gt;"&amp;AG68)+COUNTIFS($Z$2:Z68,Z68,$AG$2:AG68,AG68),"")</f>
        <v/>
      </c>
      <c r="AI68" s="28" t="str">
        <f t="shared" ca="1" si="16"/>
        <v/>
      </c>
      <c r="AJ68" s="28" t="str">
        <f t="shared" ca="1" si="17"/>
        <v/>
      </c>
      <c r="AK68" s="28">
        <f>IF(L68=1,IF(COUNTIFS($F$2:F68,F68,$L$2:L68,1)=1,1,0),0)</f>
        <v>1</v>
      </c>
      <c r="AL68" s="28" t="str">
        <f>IF(B68="","",IF(K68="DUPLICATE","Duplicate (removed)",IF(AO68=1,"Scheduled within 24h",IF(M68=1,"Scheduled late",IF(K68="BAD CONTACT","Bad contact details",IF(O68=1,"Stopped / wrong number",IF(N68=1,"Not interested",IF(P68=1,"Partner has no slots",IF(SETTINGS!$B$4&gt;=V68,IF(Q68=0,"Missed deadline: never tried","Missed deadline: tried, not booked"),IF(Q68&gt;=SETTINGS!$B$6,"No reply after max tries","Open"))))))))))</f>
        <v>Scheduled within 24h</v>
      </c>
      <c r="AM68" s="46">
        <f>IF(M68=1,IF(_xlfn.MINIFS(LOG!$G$2:$G$2001,LOG!$C$2:$C$2001,F68,LOG!$E$2:$E$2001,B68,LOG!$D$2:$D$2001,"*BOOKED")=0,_xlfn.MINIFS(LOG!$G$2:$G$2001,LOG!$C$2:$C$2001,F68,LOG!$E$2:$E$2001,"",LOG!$D$2:$D$2001,"*BOOKED"),IF(_xlfn.MINIFS(LOG!$G$2:$G$2001,LOG!$C$2:$C$2001,F68,LOG!$E$2:$E$2001,"",LOG!$D$2:$D$2001,"*BOOKED")=0,_xlfn.MINIFS(LOG!$G$2:$G$2001,LOG!$C$2:$C$2001,F68,LOG!$E$2:$E$2001,B68,LOG!$D$2:$D$2001,"*BOOKED"),MIN(_xlfn.MINIFS(LOG!$G$2:$G$2001,LOG!$C$2:$C$2001,F68,LOG!$E$2:$E$2001,B68,LOG!$D$2:$D$2001,"*BOOKED"),_xlfn.MINIFS(LOG!$G$2:$G$2001,LOG!$C$2:$C$2001,F68,LOG!$E$2:$E$2001,"",LOG!$D$2:$D$2001,"*BOOKED")))),"")</f>
        <v>46309.445155305628</v>
      </c>
      <c r="AN68" s="28">
        <f t="shared" si="18"/>
        <v>14.833727335149888</v>
      </c>
      <c r="AO68" s="28">
        <f>IF(AND(M68=1,AN68&lt;&gt;""),IF(AN68&lt;=SETTINGS!$B$5,1,0),0)</f>
        <v>1</v>
      </c>
      <c r="AP68" s="28">
        <f>IF(M68=1,IF(COUNTIFS(LOG!$C$2:$C$2001,F68,LOG!$E$2:$E$2001,B68,LOG!$D$2:$D$2001,"BOOKED")+COUNTIFS(LOG!$C$2:$C$2001,F68,LOG!$E$2:$E$2001,"",LOG!$D$2:$D$2001,"BOOKED")&gt;0,1,0),0)</f>
        <v>1</v>
      </c>
      <c r="AQ68" s="28" t="str">
        <f t="shared" si="19"/>
        <v>Diya</v>
      </c>
      <c r="AR68" s="28">
        <f>IF(AND(AK68=1,K68="OK"),COUNTIFS($AK$2:AK68,1,$K$2:K68,"OK"),"")</f>
        <v>65</v>
      </c>
      <c r="AS68" s="28" t="str">
        <f>IF(L68=1,IFERROR(INDEX(MESSAGES!$J$9:$J$1008,MATCH(F68,MESSAGES!$M$9:$M$1008,0))&amp;"",""),"")</f>
        <v/>
      </c>
      <c r="AT68" s="28" t="str">
        <f>IF(L68=1,IFERROR(INDEX(MESSAGES!$K$9:$K$1008,MATCH(F68,MESSAGES!$M$9:$M$1008,0))&amp;"",""),"")</f>
        <v/>
      </c>
      <c r="AU68" s="28">
        <f t="shared" ca="1" si="20"/>
        <v>0</v>
      </c>
      <c r="AV68" s="28" t="str">
        <f t="shared" si="21"/>
        <v>HOLD</v>
      </c>
    </row>
    <row r="69" spans="1:48" x14ac:dyDescent="0.35">
      <c r="A69" s="28">
        <v>68</v>
      </c>
      <c r="B69" s="28" t="str">
        <f>IF(INPUT!A69="","",TRIM(INPUT!A69))</f>
        <v>Partner 005</v>
      </c>
      <c r="C69" s="28" t="str">
        <f>IF(B69="","",INPUT!C69)</f>
        <v>interviewer0@partner005.example.com</v>
      </c>
      <c r="D69" s="28" t="str">
        <f>IF(B69="","",INPUT!D69)</f>
        <v>Varun B.</v>
      </c>
      <c r="E69" s="28" t="str">
        <f>IF(B69="","",INPUT!E69)</f>
        <v>varun.b058@example.com</v>
      </c>
      <c r="F69" s="43" t="str">
        <f>IF(B69="","",TRIM(INPUT!F69&amp;""))</f>
        <v>9000000761</v>
      </c>
      <c r="G69" s="28" t="str">
        <f>IF(B69="","",INPUT!H69)</f>
        <v>Round1</v>
      </c>
      <c r="H69" s="46">
        <f>IF(B69="","",INPUT!I69)</f>
        <v>46308.82708333333</v>
      </c>
      <c r="I69" s="28" t="str">
        <f>IF(B69="","",IF(INPUT!J69="","None",INPUT!J69))</f>
        <v>Opened</v>
      </c>
      <c r="J69" s="28" t="str">
        <f t="shared" si="11"/>
        <v>varun.b058@example.com|partner 005|Round1|interviewer0@partner005.example.com</v>
      </c>
      <c r="K69" s="28" t="str">
        <f>IF(B69="","",IF(SUMPRODUCT(($J$2:$J$601=J69)*($H$2:$H$601&lt;H69))+SUMPRODUCT(($J$2:J69=J69)*($H$2:H69=H69))-1&gt;0,"DUPLICATE",IF(AND(ISNUMBER(SEARCH("@",E69)),ISNUMBER(SEARCH(".",E69)),LEN(F69)=10,ISNUMBER(VALUE(F69))),"OK","BAD CONTACT")))</f>
        <v>OK</v>
      </c>
      <c r="L69" s="28">
        <f t="shared" si="12"/>
        <v>1</v>
      </c>
      <c r="M69" s="28">
        <f>IF(L69=1,IF(COUNTIFS(LOG!$C$2:$C$2001,F69,LOG!$E$2:$E$2001,B69,LOG!$D$2:$D$2001,"*BOOKED")+COUNTIFS(LOG!$C$2:$C$2001,F69,LOG!$E$2:$E$2001,"",LOG!$D$2:$D$2001,"*BOOKED")&gt;0,1,0),0)</f>
        <v>0</v>
      </c>
      <c r="N69" s="28">
        <f>IF(L69=1,IF(COUNTIFS(LOG!$C$2:$C$2001,F69,LOG!$E$2:$E$2001,B69,LOG!$D$2:$D$2001,"NOT_INTERESTED")+COUNTIFS(LOG!$C$2:$C$2001,F69,LOG!$E$2:$E$2001,"",LOG!$D$2:$D$2001,"NOT_INTERESTED")&gt;0,1,0),0)</f>
        <v>0</v>
      </c>
      <c r="O69" s="28">
        <f>IF(L69=1,IF(COUNTIFS(LOG!$C$2:$C$2001,F69,LOG!$D$2:$D$2001,"STOP")+COUNTIFS(LOG!$C$2:$C$2001,F69,LOG!$D$2:$D$2001,"WRONG_NUMBER")&gt;0,1,IF(ISNUMBER(SEARCH("STOP",AT69)),1,0)),0)</f>
        <v>0</v>
      </c>
      <c r="P69" s="28">
        <f>IF(L69=1,IF(IFERROR(INDEX(PARTNERS!$D$2:$D$88,MATCH(B69,PARTNERS!$A$2:$A$88,0)),"")="NO SLOTS",1,IF(AND(IFERROR(INDEX(PARTNERS!$D$2:$D$88,MATCH(B69,PARTNERS!$A$2:$A$88,0)),"")&lt;&gt;"REOPENED",COUNTIFS(LOG!$E$2:$E$2001,B69,LOG!$D$2:$D$2001,"NO_SLOTS")&gt;0),1,0)),0)</f>
        <v>0</v>
      </c>
      <c r="Q69" s="28">
        <f>IF(L69=1,COUNTIFS(LOG!$C$2:$C$2001,F69,LOG!$H$2:$H$2001,1),0)</f>
        <v>0</v>
      </c>
      <c r="R69" s="46">
        <f>IF(Q69&gt;0,_xlfn.MAXIFS(LOG!$G$2:$G$2001,LOG!$C$2:$C$2001,F69,LOG!$H$2:$H$2001,1),0)</f>
        <v>0</v>
      </c>
      <c r="S69" s="28" t="str">
        <f>IF(Q69&gt;0,IFERROR(INDEX(LOG!$D$2:$D$2001,MATCH(F69&amp;"|"&amp;Q69,LOG!$I$2:$I$2001,0)),""),"")</f>
        <v/>
      </c>
      <c r="T69" s="28">
        <f>IF(S69="",0,IFERROR(VLOOKUP(S69,LISTS!$A$2:$E$10,4,FALSE),0))</f>
        <v>0</v>
      </c>
      <c r="U69" s="46">
        <f t="shared" si="13"/>
        <v>0</v>
      </c>
      <c r="V69" s="46">
        <f>IF(L69=1,H69+SETTINGS!$B$5/24,"")</f>
        <v>46309.82708333333</v>
      </c>
      <c r="W69" s="28">
        <f ca="1">IF(L69=1,(V69-SETTINGS!$B$4)*24,"")</f>
        <v>-1.6666666720993817E-2</v>
      </c>
      <c r="X69" s="28">
        <f ca="1">IF(AND(L69=1,K69="OK",M69=0,N69=0,O69=0,P69=0,SETTINGS!$B$4&lt;V69,Q69&lt;SETTINGS!$B$6),1,0)</f>
        <v>0</v>
      </c>
      <c r="Y69" s="28">
        <f ca="1">IF(AND(X69=1,SETTINGS!$B$4&gt;=H69,SETTINGS!$B$4&gt;=U69,ROUND(MOD(SETTINGS!$B$4,1)*1440,0)&gt;=ROUND(SETTINGS!$B$7*1440,0),ROUND(MOD(SETTINGS!$B$4,1)*1440,0)&lt;ROUND(SETTINGS!$B$8*1440,0)),1,0)</f>
        <v>0</v>
      </c>
      <c r="Z69" s="28" t="str">
        <f ca="1">IF(B69="","",IF(ROUND(MOD(SETTINGS!$B$4,1)*1440,0)&lt;ROUND(SETTINGS!$B$11*1440,0),"Ram",IF(ROUND(MOD(SETTINGS!$B$4,1)*1440,0)&gt;=ROUND(SETTINGS!$B$10*1440,0),"Shyam",IF(MOD(IFERROR(VALUE(RIGHT(F69,2)),0),2)=0,"Ram","Shyam"))))</f>
        <v>Shyam</v>
      </c>
      <c r="AA69" s="28">
        <f t="shared" ca="1" si="14"/>
        <v>0</v>
      </c>
      <c r="AB69" s="28">
        <f ca="1">IF(X69=1,COUNTIFS($F$2:F69,F69,$X$2:X69,1),0)</f>
        <v>0</v>
      </c>
      <c r="AC69" s="28" t="str">
        <f>IF(L69=1,IF(IFERROR(INDEX(PARTNERS!$C$2:$C$88,MATCH(B69,PARTNERS!$A$2:$A$88,0)),"")="YES","YES","NO"),"")</f>
        <v>YES</v>
      </c>
      <c r="AD69" s="28" t="str">
        <f>IF(L69=1,IFERROR(INDEX(PARTNERS!$B$2:$B$88,MATCH(B69,PARTNERS!$A$2:$A$88,0)),""),"")</f>
        <v>https://calendly.com/partner005/interview</v>
      </c>
      <c r="AE69" s="28">
        <f ca="1">IF(X69=1,IFERROR(INDEX(SETTINGS!$B$34:$D$36,MATCH(I69,SETTINGS!$A$34:$A$36,0),MIN(Q69,2)+1),SETTINGS!$B$36),0)</f>
        <v>0</v>
      </c>
      <c r="AF69" s="28">
        <f t="shared" si="15"/>
        <v>1</v>
      </c>
      <c r="AG69" s="28">
        <f ca="1">IF(AND(Y69=1,AB69=1),ROUND(AA69*AE69*IF(AF69&gt;1,SETTINGS!$B$16,1)*IF(W69&lt;=SETTINGS!$B$14,SETTINGS!$B$15,1)*IF(AU69=1,SETTINGS!$B$21,1),6),0)</f>
        <v>0</v>
      </c>
      <c r="AH69" s="28" t="str">
        <f ca="1">IF(AG69&gt;0,COUNTIFS($Z$2:$Z$601,Z69,$AG$2:$AG$601,"&gt;"&amp;AG69)+COUNTIFS($Z$2:Z69,Z69,$AG$2:AG69,AG69),"")</f>
        <v/>
      </c>
      <c r="AI69" s="28" t="str">
        <f t="shared" ca="1" si="16"/>
        <v/>
      </c>
      <c r="AJ69" s="28" t="str">
        <f t="shared" ca="1" si="17"/>
        <v/>
      </c>
      <c r="AK69" s="28">
        <f>IF(L69=1,IF(COUNTIFS($F$2:F69,F69,$L$2:L69,1)=1,1,0),0)</f>
        <v>1</v>
      </c>
      <c r="AL69" s="28" t="str">
        <f ca="1">IF(B69="","",IF(K69="DUPLICATE","Duplicate (removed)",IF(AO69=1,"Scheduled within 24h",IF(M69=1,"Scheduled late",IF(K69="BAD CONTACT","Bad contact details",IF(O69=1,"Stopped / wrong number",IF(N69=1,"Not interested",IF(P69=1,"Partner has no slots",IF(SETTINGS!$B$4&gt;=V69,IF(Q69=0,"Missed deadline: never tried","Missed deadline: tried, not booked"),IF(Q69&gt;=SETTINGS!$B$6,"No reply after max tries","Open"))))))))))</f>
        <v>Missed deadline: never tried</v>
      </c>
      <c r="AM69" s="46" t="str">
        <f>IF(M69=1,IF(_xlfn.MINIFS(LOG!$G$2:$G$2001,LOG!$C$2:$C$2001,F69,LOG!$E$2:$E$2001,B69,LOG!$D$2:$D$2001,"*BOOKED")=0,_xlfn.MINIFS(LOG!$G$2:$G$2001,LOG!$C$2:$C$2001,F69,LOG!$E$2:$E$2001,"",LOG!$D$2:$D$2001,"*BOOKED"),IF(_xlfn.MINIFS(LOG!$G$2:$G$2001,LOG!$C$2:$C$2001,F69,LOG!$E$2:$E$2001,"",LOG!$D$2:$D$2001,"*BOOKED")=0,_xlfn.MINIFS(LOG!$G$2:$G$2001,LOG!$C$2:$C$2001,F69,LOG!$E$2:$E$2001,B69,LOG!$D$2:$D$2001,"*BOOKED"),MIN(_xlfn.MINIFS(LOG!$G$2:$G$2001,LOG!$C$2:$C$2001,F69,LOG!$E$2:$E$2001,B69,LOG!$D$2:$D$2001,"*BOOKED"),_xlfn.MINIFS(LOG!$G$2:$G$2001,LOG!$C$2:$C$2001,F69,LOG!$E$2:$E$2001,"",LOG!$D$2:$D$2001,"*BOOKED")))),"")</f>
        <v/>
      </c>
      <c r="AN69" s="28" t="str">
        <f t="shared" si="18"/>
        <v/>
      </c>
      <c r="AO69" s="28">
        <f>IF(AND(M69=1,AN69&lt;&gt;""),IF(AN69&lt;=SETTINGS!$B$5,1,0),0)</f>
        <v>0</v>
      </c>
      <c r="AP69" s="28">
        <f>IF(M69=1,IF(COUNTIFS(LOG!$C$2:$C$2001,F69,LOG!$E$2:$E$2001,B69,LOG!$D$2:$D$2001,"BOOKED")+COUNTIFS(LOG!$C$2:$C$2001,F69,LOG!$E$2:$E$2001,"",LOG!$D$2:$D$2001,"BOOKED")&gt;0,1,0),0)</f>
        <v>0</v>
      </c>
      <c r="AQ69" s="28" t="str">
        <f t="shared" si="19"/>
        <v>Varun</v>
      </c>
      <c r="AR69" s="28">
        <f>IF(AND(AK69=1,K69="OK"),COUNTIFS($AK$2:AK69,1,$K$2:K69,"OK"),"")</f>
        <v>66</v>
      </c>
      <c r="AS69" s="28" t="str">
        <f>IF(L69=1,IFERROR(INDEX(MESSAGES!$J$9:$J$1008,MATCH(F69,MESSAGES!$M$9:$M$1008,0))&amp;"",""),"")</f>
        <v/>
      </c>
      <c r="AT69" s="28" t="str">
        <f>IF(L69=1,IFERROR(INDEX(MESSAGES!$K$9:$K$1008,MATCH(F69,MESSAGES!$M$9:$M$1008,0))&amp;"",""),"")</f>
        <v/>
      </c>
      <c r="AU69" s="28">
        <f t="shared" ca="1" si="20"/>
        <v>0</v>
      </c>
      <c r="AV69" s="28" t="str">
        <f t="shared" si="21"/>
        <v>SEND</v>
      </c>
    </row>
    <row r="70" spans="1:48" x14ac:dyDescent="0.35">
      <c r="A70" s="28">
        <v>69</v>
      </c>
      <c r="B70" s="28" t="str">
        <f>IF(INPUT!A70="","",TRIM(INPUT!A70))</f>
        <v>Partner 008</v>
      </c>
      <c r="C70" s="28" t="str">
        <f>IF(B70="","",INPUT!C70)</f>
        <v>interviewer0@partner008.example.com</v>
      </c>
      <c r="D70" s="28" t="str">
        <f>IF(B70="","",INPUT!D70)</f>
        <v>Varun N.</v>
      </c>
      <c r="E70" s="28" t="str">
        <f>IF(B70="","",INPUT!E70)</f>
        <v>varun.n388@example.com</v>
      </c>
      <c r="F70" s="43" t="str">
        <f>IF(B70="","",TRIM(INPUT!F70&amp;""))</f>
        <v>9000005051</v>
      </c>
      <c r="G70" s="28" t="str">
        <f>IF(B70="","",INPUT!H70)</f>
        <v>Round1</v>
      </c>
      <c r="H70" s="46">
        <f>IF(B70="","",INPUT!I70)</f>
        <v>46308.82708333333</v>
      </c>
      <c r="I70" s="28" t="str">
        <f>IF(B70="","",IF(INPUT!J70="","None",INPUT!J70))</f>
        <v>Clicked</v>
      </c>
      <c r="J70" s="28" t="str">
        <f t="shared" si="11"/>
        <v>varun.n388@example.com|partner 008|Round1|interviewer0@partner008.example.com</v>
      </c>
      <c r="K70" s="28" t="str">
        <f>IF(B70="","",IF(SUMPRODUCT(($J$2:$J$601=J70)*($H$2:$H$601&lt;H70))+SUMPRODUCT(($J$2:J70=J70)*($H$2:H70=H70))-1&gt;0,"DUPLICATE",IF(AND(ISNUMBER(SEARCH("@",E70)),ISNUMBER(SEARCH(".",E70)),LEN(F70)=10,ISNUMBER(VALUE(F70))),"OK","BAD CONTACT")))</f>
        <v>OK</v>
      </c>
      <c r="L70" s="28">
        <f t="shared" si="12"/>
        <v>1</v>
      </c>
      <c r="M70" s="28">
        <f>IF(L70=1,IF(COUNTIFS(LOG!$C$2:$C$2001,F70,LOG!$E$2:$E$2001,B70,LOG!$D$2:$D$2001,"*BOOKED")+COUNTIFS(LOG!$C$2:$C$2001,F70,LOG!$E$2:$E$2001,"",LOG!$D$2:$D$2001,"*BOOKED")&gt;0,1,0),0)</f>
        <v>1</v>
      </c>
      <c r="N70" s="28">
        <f>IF(L70=1,IF(COUNTIFS(LOG!$C$2:$C$2001,F70,LOG!$E$2:$E$2001,B70,LOG!$D$2:$D$2001,"NOT_INTERESTED")+COUNTIFS(LOG!$C$2:$C$2001,F70,LOG!$E$2:$E$2001,"",LOG!$D$2:$D$2001,"NOT_INTERESTED")&gt;0,1,0),0)</f>
        <v>0</v>
      </c>
      <c r="O70" s="28">
        <f>IF(L70=1,IF(COUNTIFS(LOG!$C$2:$C$2001,F70,LOG!$D$2:$D$2001,"STOP")+COUNTIFS(LOG!$C$2:$C$2001,F70,LOG!$D$2:$D$2001,"WRONG_NUMBER")&gt;0,1,IF(ISNUMBER(SEARCH("STOP",AT70)),1,0)),0)</f>
        <v>0</v>
      </c>
      <c r="P70" s="28">
        <f>IF(L70=1,IF(IFERROR(INDEX(PARTNERS!$D$2:$D$88,MATCH(B70,PARTNERS!$A$2:$A$88,0)),"")="NO SLOTS",1,IF(AND(IFERROR(INDEX(PARTNERS!$D$2:$D$88,MATCH(B70,PARTNERS!$A$2:$A$88,0)),"")&lt;&gt;"REOPENED",COUNTIFS(LOG!$E$2:$E$2001,B70,LOG!$D$2:$D$2001,"NO_SLOTS")&gt;0),1,0)),0)</f>
        <v>0</v>
      </c>
      <c r="Q70" s="28">
        <f>IF(L70=1,COUNTIFS(LOG!$C$2:$C$2001,F70,LOG!$H$2:$H$2001,1),0)</f>
        <v>0</v>
      </c>
      <c r="R70" s="46">
        <f>IF(Q70&gt;0,_xlfn.MAXIFS(LOG!$G$2:$G$2001,LOG!$C$2:$C$2001,F70,LOG!$H$2:$H$2001,1),0)</f>
        <v>0</v>
      </c>
      <c r="S70" s="28" t="str">
        <f>IF(Q70&gt;0,IFERROR(INDEX(LOG!$D$2:$D$2001,MATCH(F70&amp;"|"&amp;Q70,LOG!$I$2:$I$2001,0)),""),"")</f>
        <v/>
      </c>
      <c r="T70" s="28">
        <f>IF(S70="",0,IFERROR(VLOOKUP(S70,LISTS!$A$2:$E$10,4,FALSE),0))</f>
        <v>0</v>
      </c>
      <c r="U70" s="46">
        <f t="shared" si="13"/>
        <v>0</v>
      </c>
      <c r="V70" s="46">
        <f>IF(L70=1,H70+SETTINGS!$B$5/24,"")</f>
        <v>46309.82708333333</v>
      </c>
      <c r="W70" s="28">
        <f ca="1">IF(L70=1,(V70-SETTINGS!$B$4)*24,"")</f>
        <v>-1.6666666720993817E-2</v>
      </c>
      <c r="X70" s="28">
        <f ca="1">IF(AND(L70=1,K70="OK",M70=0,N70=0,O70=0,P70=0,SETTINGS!$B$4&lt;V70,Q70&lt;SETTINGS!$B$6),1,0)</f>
        <v>0</v>
      </c>
      <c r="Y70" s="28">
        <f ca="1">IF(AND(X70=1,SETTINGS!$B$4&gt;=H70,SETTINGS!$B$4&gt;=U70,ROUND(MOD(SETTINGS!$B$4,1)*1440,0)&gt;=ROUND(SETTINGS!$B$7*1440,0),ROUND(MOD(SETTINGS!$B$4,1)*1440,0)&lt;ROUND(SETTINGS!$B$8*1440,0)),1,0)</f>
        <v>0</v>
      </c>
      <c r="Z70" s="28" t="str">
        <f ca="1">IF(B70="","",IF(ROUND(MOD(SETTINGS!$B$4,1)*1440,0)&lt;ROUND(SETTINGS!$B$11*1440,0),"Ram",IF(ROUND(MOD(SETTINGS!$B$4,1)*1440,0)&gt;=ROUND(SETTINGS!$B$10*1440,0),"Shyam",IF(MOD(IFERROR(VALUE(RIGHT(F70,2)),0),2)=0,"Ram","Shyam"))))</f>
        <v>Shyam</v>
      </c>
      <c r="AA70" s="28">
        <f t="shared" ca="1" si="14"/>
        <v>0</v>
      </c>
      <c r="AB70" s="28">
        <f ca="1">IF(X70=1,COUNTIFS($F$2:F70,F70,$X$2:X70,1),0)</f>
        <v>0</v>
      </c>
      <c r="AC70" s="28" t="str">
        <f>IF(L70=1,IF(IFERROR(INDEX(PARTNERS!$C$2:$C$88,MATCH(B70,PARTNERS!$A$2:$A$88,0)),"")="YES","YES","NO"),"")</f>
        <v>YES</v>
      </c>
      <c r="AD70" s="28" t="str">
        <f>IF(L70=1,IFERROR(INDEX(PARTNERS!$B$2:$B$88,MATCH(B70,PARTNERS!$A$2:$A$88,0)),""),"")</f>
        <v>https://calendly.com/partner008/interview</v>
      </c>
      <c r="AE70" s="28">
        <f ca="1">IF(X70=1,IFERROR(INDEX(SETTINGS!$B$34:$D$36,MATCH(I70,SETTINGS!$A$34:$A$36,0),MIN(Q70,2)+1),SETTINGS!$B$36),0)</f>
        <v>0</v>
      </c>
      <c r="AF70" s="28">
        <f t="shared" si="15"/>
        <v>1</v>
      </c>
      <c r="AG70" s="28">
        <f ca="1">IF(AND(Y70=1,AB70=1),ROUND(AA70*AE70*IF(AF70&gt;1,SETTINGS!$B$16,1)*IF(W70&lt;=SETTINGS!$B$14,SETTINGS!$B$15,1)*IF(AU70=1,SETTINGS!$B$21,1),6),0)</f>
        <v>0</v>
      </c>
      <c r="AH70" s="28" t="str">
        <f ca="1">IF(AG70&gt;0,COUNTIFS($Z$2:$Z$601,Z70,$AG$2:$AG$601,"&gt;"&amp;AG70)+COUNTIFS($Z$2:Z70,Z70,$AG$2:AG70,AG70),"")</f>
        <v/>
      </c>
      <c r="AI70" s="28" t="str">
        <f t="shared" ca="1" si="16"/>
        <v/>
      </c>
      <c r="AJ70" s="28" t="str">
        <f t="shared" ca="1" si="17"/>
        <v/>
      </c>
      <c r="AK70" s="28">
        <f>IF(L70=1,IF(COUNTIFS($F$2:F70,F70,$L$2:L70,1)=1,1,0),0)</f>
        <v>1</v>
      </c>
      <c r="AL70" s="28" t="str">
        <f>IF(B70="","",IF(K70="DUPLICATE","Duplicate (removed)",IF(AO70=1,"Scheduled within 24h",IF(M70=1,"Scheduled late",IF(K70="BAD CONTACT","Bad contact details",IF(O70=1,"Stopped / wrong number",IF(N70=1,"Not interested",IF(P70=1,"Partner has no slots",IF(SETTINGS!$B$4&gt;=V70,IF(Q70=0,"Missed deadline: never tried","Missed deadline: tried, not booked"),IF(Q70&gt;=SETTINGS!$B$6,"No reply after max tries","Open"))))))))))</f>
        <v>Scheduled within 24h</v>
      </c>
      <c r="AM70" s="46">
        <f>IF(M70=1,IF(_xlfn.MINIFS(LOG!$G$2:$G$2001,LOG!$C$2:$C$2001,F70,LOG!$E$2:$E$2001,B70,LOG!$D$2:$D$2001,"*BOOKED")=0,_xlfn.MINIFS(LOG!$G$2:$G$2001,LOG!$C$2:$C$2001,F70,LOG!$E$2:$E$2001,"",LOG!$D$2:$D$2001,"*BOOKED"),IF(_xlfn.MINIFS(LOG!$G$2:$G$2001,LOG!$C$2:$C$2001,F70,LOG!$E$2:$E$2001,"",LOG!$D$2:$D$2001,"*BOOKED")=0,_xlfn.MINIFS(LOG!$G$2:$G$2001,LOG!$C$2:$C$2001,F70,LOG!$E$2:$E$2001,B70,LOG!$D$2:$D$2001,"*BOOKED"),MIN(_xlfn.MINIFS(LOG!$G$2:$G$2001,LOG!$C$2:$C$2001,F70,LOG!$E$2:$E$2001,B70,LOG!$D$2:$D$2001,"*BOOKED"),_xlfn.MINIFS(LOG!$G$2:$G$2001,LOG!$C$2:$C$2001,F70,LOG!$E$2:$E$2001,"",LOG!$D$2:$D$2001,"*BOOKED")))),"")</f>
        <v>46308.928462268312</v>
      </c>
      <c r="AN70" s="28">
        <f t="shared" si="18"/>
        <v>2.4330944395624101</v>
      </c>
      <c r="AO70" s="28">
        <f>IF(AND(M70=1,AN70&lt;&gt;""),IF(AN70&lt;=SETTINGS!$B$5,1,0),0)</f>
        <v>1</v>
      </c>
      <c r="AP70" s="28">
        <f>IF(M70=1,IF(COUNTIFS(LOG!$C$2:$C$2001,F70,LOG!$E$2:$E$2001,B70,LOG!$D$2:$D$2001,"BOOKED")+COUNTIFS(LOG!$C$2:$C$2001,F70,LOG!$E$2:$E$2001,"",LOG!$D$2:$D$2001,"BOOKED")&gt;0,1,0),0)</f>
        <v>0</v>
      </c>
      <c r="AQ70" s="28" t="str">
        <f t="shared" si="19"/>
        <v>Varun</v>
      </c>
      <c r="AR70" s="28">
        <f>IF(AND(AK70=1,K70="OK"),COUNTIFS($AK$2:AK70,1,$K$2:K70,"OK"),"")</f>
        <v>67</v>
      </c>
      <c r="AS70" s="28" t="str">
        <f>IF(L70=1,IFERROR(INDEX(MESSAGES!$J$9:$J$1008,MATCH(F70,MESSAGES!$M$9:$M$1008,0))&amp;"",""),"")</f>
        <v/>
      </c>
      <c r="AT70" s="28" t="str">
        <f>IF(L70=1,IFERROR(INDEX(MESSAGES!$K$9:$K$1008,MATCH(F70,MESSAGES!$M$9:$M$1008,0))&amp;"",""),"")</f>
        <v/>
      </c>
      <c r="AU70" s="28">
        <f t="shared" ca="1" si="20"/>
        <v>0</v>
      </c>
      <c r="AV70" s="28" t="str">
        <f t="shared" si="21"/>
        <v>HOLD</v>
      </c>
    </row>
    <row r="71" spans="1:48" x14ac:dyDescent="0.35">
      <c r="A71" s="28">
        <v>70</v>
      </c>
      <c r="B71" s="28" t="str">
        <f>IF(INPUT!A71="","",TRIM(INPUT!A71))</f>
        <v>Partner 000</v>
      </c>
      <c r="C71" s="28" t="str">
        <f>IF(B71="","",INPUT!C71)</f>
        <v>interviewer2@partner000.example.com</v>
      </c>
      <c r="D71" s="28" t="str">
        <f>IF(B71="","",INPUT!D71)</f>
        <v>Arjun C.</v>
      </c>
      <c r="E71" s="28" t="str">
        <f>IF(B71="","",INPUT!E71)</f>
        <v>arjun.c068@example.com</v>
      </c>
      <c r="F71" s="43" t="str">
        <f>IF(B71="","",TRIM(INPUT!F71&amp;""))</f>
        <v>9000000891</v>
      </c>
      <c r="G71" s="28" t="str">
        <f>IF(B71="","",INPUT!H71)</f>
        <v>Round1</v>
      </c>
      <c r="H71" s="46">
        <f>IF(B71="","",INPUT!I71)</f>
        <v>46308.82708333333</v>
      </c>
      <c r="I71" s="28" t="str">
        <f>IF(B71="","",IF(INPUT!J71="","None",INPUT!J71))</f>
        <v>None</v>
      </c>
      <c r="J71" s="28" t="str">
        <f t="shared" si="11"/>
        <v>arjun.c068@example.com|partner 000|Round1|interviewer2@partner000.example.com</v>
      </c>
      <c r="K71" s="28" t="str">
        <f>IF(B71="","",IF(SUMPRODUCT(($J$2:$J$601=J71)*($H$2:$H$601&lt;H71))+SUMPRODUCT(($J$2:J71=J71)*($H$2:H71=H71))-1&gt;0,"DUPLICATE",IF(AND(ISNUMBER(SEARCH("@",E71)),ISNUMBER(SEARCH(".",E71)),LEN(F71)=10,ISNUMBER(VALUE(F71))),"OK","BAD CONTACT")))</f>
        <v>OK</v>
      </c>
      <c r="L71" s="28">
        <f t="shared" si="12"/>
        <v>1</v>
      </c>
      <c r="M71" s="28">
        <f>IF(L71=1,IF(COUNTIFS(LOG!$C$2:$C$2001,F71,LOG!$E$2:$E$2001,B71,LOG!$D$2:$D$2001,"*BOOKED")+COUNTIFS(LOG!$C$2:$C$2001,F71,LOG!$E$2:$E$2001,"",LOG!$D$2:$D$2001,"*BOOKED")&gt;0,1,0),0)</f>
        <v>0</v>
      </c>
      <c r="N71" s="28">
        <f>IF(L71=1,IF(COUNTIFS(LOG!$C$2:$C$2001,F71,LOG!$E$2:$E$2001,B71,LOG!$D$2:$D$2001,"NOT_INTERESTED")+COUNTIFS(LOG!$C$2:$C$2001,F71,LOG!$E$2:$E$2001,"",LOG!$D$2:$D$2001,"NOT_INTERESTED")&gt;0,1,0),0)</f>
        <v>0</v>
      </c>
      <c r="O71" s="28">
        <f>IF(L71=1,IF(COUNTIFS(LOG!$C$2:$C$2001,F71,LOG!$D$2:$D$2001,"STOP")+COUNTIFS(LOG!$C$2:$C$2001,F71,LOG!$D$2:$D$2001,"WRONG_NUMBER")&gt;0,1,IF(ISNUMBER(SEARCH("STOP",AT71)),1,0)),0)</f>
        <v>0</v>
      </c>
      <c r="P71" s="28">
        <f>IF(L71=1,IF(IFERROR(INDEX(PARTNERS!$D$2:$D$88,MATCH(B71,PARTNERS!$A$2:$A$88,0)),"")="NO SLOTS",1,IF(AND(IFERROR(INDEX(PARTNERS!$D$2:$D$88,MATCH(B71,PARTNERS!$A$2:$A$88,0)),"")&lt;&gt;"REOPENED",COUNTIFS(LOG!$E$2:$E$2001,B71,LOG!$D$2:$D$2001,"NO_SLOTS")&gt;0),1,0)),0)</f>
        <v>0</v>
      </c>
      <c r="Q71" s="28">
        <f>IF(L71=1,COUNTIFS(LOG!$C$2:$C$2001,F71,LOG!$H$2:$H$2001,1),0)</f>
        <v>0</v>
      </c>
      <c r="R71" s="46">
        <f>IF(Q71&gt;0,_xlfn.MAXIFS(LOG!$G$2:$G$2001,LOG!$C$2:$C$2001,F71,LOG!$H$2:$H$2001,1),0)</f>
        <v>0</v>
      </c>
      <c r="S71" s="28" t="str">
        <f>IF(Q71&gt;0,IFERROR(INDEX(LOG!$D$2:$D$2001,MATCH(F71&amp;"|"&amp;Q71,LOG!$I$2:$I$2001,0)),""),"")</f>
        <v/>
      </c>
      <c r="T71" s="28">
        <f>IF(S71="",0,IFERROR(VLOOKUP(S71,LISTS!$A$2:$E$10,4,FALSE),0))</f>
        <v>0</v>
      </c>
      <c r="U71" s="46">
        <f t="shared" si="13"/>
        <v>0</v>
      </c>
      <c r="V71" s="46">
        <f>IF(L71=1,H71+SETTINGS!$B$5/24,"")</f>
        <v>46309.82708333333</v>
      </c>
      <c r="W71" s="28">
        <f ca="1">IF(L71=1,(V71-SETTINGS!$B$4)*24,"")</f>
        <v>-1.6666666720993817E-2</v>
      </c>
      <c r="X71" s="28">
        <f ca="1">IF(AND(L71=1,K71="OK",M71=0,N71=0,O71=0,P71=0,SETTINGS!$B$4&lt;V71,Q71&lt;SETTINGS!$B$6),1,0)</f>
        <v>0</v>
      </c>
      <c r="Y71" s="28">
        <f ca="1">IF(AND(X71=1,SETTINGS!$B$4&gt;=H71,SETTINGS!$B$4&gt;=U71,ROUND(MOD(SETTINGS!$B$4,1)*1440,0)&gt;=ROUND(SETTINGS!$B$7*1440,0),ROUND(MOD(SETTINGS!$B$4,1)*1440,0)&lt;ROUND(SETTINGS!$B$8*1440,0)),1,0)</f>
        <v>0</v>
      </c>
      <c r="Z71" s="28" t="str">
        <f ca="1">IF(B71="","",IF(ROUND(MOD(SETTINGS!$B$4,1)*1440,0)&lt;ROUND(SETTINGS!$B$11*1440,0),"Ram",IF(ROUND(MOD(SETTINGS!$B$4,1)*1440,0)&gt;=ROUND(SETTINGS!$B$10*1440,0),"Shyam",IF(MOD(IFERROR(VALUE(RIGHT(F71,2)),0),2)=0,"Ram","Shyam"))))</f>
        <v>Shyam</v>
      </c>
      <c r="AA71" s="28">
        <f t="shared" ca="1" si="14"/>
        <v>0</v>
      </c>
      <c r="AB71" s="28">
        <f ca="1">IF(X71=1,COUNTIFS($F$2:F71,F71,$X$2:X71,1),0)</f>
        <v>0</v>
      </c>
      <c r="AC71" s="28" t="str">
        <f>IF(L71=1,IF(IFERROR(INDEX(PARTNERS!$C$2:$C$88,MATCH(B71,PARTNERS!$A$2:$A$88,0)),"")="YES","YES","NO"),"")</f>
        <v>NO</v>
      </c>
      <c r="AD71" s="28" t="str">
        <f>IF(L71=1,IFERROR(INDEX(PARTNERS!$B$2:$B$88,MATCH(B71,PARTNERS!$A$2:$A$88,0)),""),"")</f>
        <v>https://calendly.com/partner000/interview</v>
      </c>
      <c r="AE71" s="28">
        <f ca="1">IF(X71=1,IFERROR(INDEX(SETTINGS!$B$34:$D$36,MATCH(I71,SETTINGS!$A$34:$A$36,0),MIN(Q71,2)+1),SETTINGS!$B$36),0)</f>
        <v>0</v>
      </c>
      <c r="AF71" s="28">
        <f t="shared" si="15"/>
        <v>1</v>
      </c>
      <c r="AG71" s="28">
        <f ca="1">IF(AND(Y71=1,AB71=1),ROUND(AA71*AE71*IF(AF71&gt;1,SETTINGS!$B$16,1)*IF(W71&lt;=SETTINGS!$B$14,SETTINGS!$B$15,1)*IF(AU71=1,SETTINGS!$B$21,1),6),0)</f>
        <v>0</v>
      </c>
      <c r="AH71" s="28" t="str">
        <f ca="1">IF(AG71&gt;0,COUNTIFS($Z$2:$Z$601,Z71,$AG$2:$AG$601,"&gt;"&amp;AG71)+COUNTIFS($Z$2:Z71,Z71,$AG$2:AG71,AG71),"")</f>
        <v/>
      </c>
      <c r="AI71" s="28" t="str">
        <f t="shared" ca="1" si="16"/>
        <v/>
      </c>
      <c r="AJ71" s="28" t="str">
        <f t="shared" ca="1" si="17"/>
        <v/>
      </c>
      <c r="AK71" s="28">
        <f>IF(L71=1,IF(COUNTIFS($F$2:F71,F71,$L$2:L71,1)=1,1,0),0)</f>
        <v>1</v>
      </c>
      <c r="AL71" s="28" t="str">
        <f ca="1">IF(B71="","",IF(K71="DUPLICATE","Duplicate (removed)",IF(AO71=1,"Scheduled within 24h",IF(M71=1,"Scheduled late",IF(K71="BAD CONTACT","Bad contact details",IF(O71=1,"Stopped / wrong number",IF(N71=1,"Not interested",IF(P71=1,"Partner has no slots",IF(SETTINGS!$B$4&gt;=V71,IF(Q71=0,"Missed deadline: never tried","Missed deadline: tried, not booked"),IF(Q71&gt;=SETTINGS!$B$6,"No reply after max tries","Open"))))))))))</f>
        <v>Missed deadline: never tried</v>
      </c>
      <c r="AM71" s="46" t="str">
        <f>IF(M71=1,IF(_xlfn.MINIFS(LOG!$G$2:$G$2001,LOG!$C$2:$C$2001,F71,LOG!$E$2:$E$2001,B71,LOG!$D$2:$D$2001,"*BOOKED")=0,_xlfn.MINIFS(LOG!$G$2:$G$2001,LOG!$C$2:$C$2001,F71,LOG!$E$2:$E$2001,"",LOG!$D$2:$D$2001,"*BOOKED"),IF(_xlfn.MINIFS(LOG!$G$2:$G$2001,LOG!$C$2:$C$2001,F71,LOG!$E$2:$E$2001,"",LOG!$D$2:$D$2001,"*BOOKED")=0,_xlfn.MINIFS(LOG!$G$2:$G$2001,LOG!$C$2:$C$2001,F71,LOG!$E$2:$E$2001,B71,LOG!$D$2:$D$2001,"*BOOKED"),MIN(_xlfn.MINIFS(LOG!$G$2:$G$2001,LOG!$C$2:$C$2001,F71,LOG!$E$2:$E$2001,B71,LOG!$D$2:$D$2001,"*BOOKED"),_xlfn.MINIFS(LOG!$G$2:$G$2001,LOG!$C$2:$C$2001,F71,LOG!$E$2:$E$2001,"",LOG!$D$2:$D$2001,"*BOOKED")))),"")</f>
        <v/>
      </c>
      <c r="AN71" s="28" t="str">
        <f t="shared" si="18"/>
        <v/>
      </c>
      <c r="AO71" s="28">
        <f>IF(AND(M71=1,AN71&lt;&gt;""),IF(AN71&lt;=SETTINGS!$B$5,1,0),0)</f>
        <v>0</v>
      </c>
      <c r="AP71" s="28">
        <f>IF(M71=1,IF(COUNTIFS(LOG!$C$2:$C$2001,F71,LOG!$E$2:$E$2001,B71,LOG!$D$2:$D$2001,"BOOKED")+COUNTIFS(LOG!$C$2:$C$2001,F71,LOG!$E$2:$E$2001,"",LOG!$D$2:$D$2001,"BOOKED")&gt;0,1,0),0)</f>
        <v>0</v>
      </c>
      <c r="AQ71" s="28" t="str">
        <f t="shared" si="19"/>
        <v>Arjun</v>
      </c>
      <c r="AR71" s="28">
        <f>IF(AND(AK71=1,K71="OK"),COUNTIFS($AK$2:AK71,1,$K$2:K71,"OK"),"")</f>
        <v>68</v>
      </c>
      <c r="AS71" s="28" t="str">
        <f>IF(L71=1,IFERROR(INDEX(MESSAGES!$J$9:$J$1008,MATCH(F71,MESSAGES!$M$9:$M$1008,0))&amp;"",""),"")</f>
        <v/>
      </c>
      <c r="AT71" s="28" t="str">
        <f>IF(L71=1,IFERROR(INDEX(MESSAGES!$K$9:$K$1008,MATCH(F71,MESSAGES!$M$9:$M$1008,0))&amp;"",""),"")</f>
        <v/>
      </c>
      <c r="AU71" s="28">
        <f t="shared" ca="1" si="20"/>
        <v>0</v>
      </c>
      <c r="AV71" s="28" t="str">
        <f t="shared" si="21"/>
        <v>HOLD</v>
      </c>
    </row>
    <row r="72" spans="1:48" x14ac:dyDescent="0.35">
      <c r="A72" s="28">
        <v>71</v>
      </c>
      <c r="B72" s="28" t="str">
        <f>IF(INPUT!A72="","",TRIM(INPUT!A72))</f>
        <v>Partner 002</v>
      </c>
      <c r="C72" s="28" t="str">
        <f>IF(B72="","",INPUT!C72)</f>
        <v>interviewer1@partner002.example.com</v>
      </c>
      <c r="D72" s="28" t="str">
        <f>IF(B72="","",INPUT!D72)</f>
        <v>Kavya E.</v>
      </c>
      <c r="E72" s="28" t="str">
        <f>IF(B72="","",INPUT!E72)</f>
        <v>kavya.e149@example.com</v>
      </c>
      <c r="F72" s="43" t="str">
        <f>IF(B72="","",TRIM(INPUT!F72&amp;""))</f>
        <v>9000001944</v>
      </c>
      <c r="G72" s="28" t="str">
        <f>IF(B72="","",INPUT!H72)</f>
        <v>Round1</v>
      </c>
      <c r="H72" s="46">
        <f>IF(B72="","",INPUT!I72)</f>
        <v>46308.82708333333</v>
      </c>
      <c r="I72" s="28" t="str">
        <f>IF(B72="","",IF(INPUT!J72="","None",INPUT!J72))</f>
        <v>Clicked</v>
      </c>
      <c r="J72" s="28" t="str">
        <f t="shared" si="11"/>
        <v>kavya.e149@example.com|partner 002|Round1|interviewer1@partner002.example.com</v>
      </c>
      <c r="K72" s="28" t="str">
        <f>IF(B72="","",IF(SUMPRODUCT(($J$2:$J$601=J72)*($H$2:$H$601&lt;H72))+SUMPRODUCT(($J$2:J72=J72)*($H$2:H72=H72))-1&gt;0,"DUPLICATE",IF(AND(ISNUMBER(SEARCH("@",E72)),ISNUMBER(SEARCH(".",E72)),LEN(F72)=10,ISNUMBER(VALUE(F72))),"OK","BAD CONTACT")))</f>
        <v>OK</v>
      </c>
      <c r="L72" s="28">
        <f t="shared" si="12"/>
        <v>1</v>
      </c>
      <c r="M72" s="28">
        <f>IF(L72=1,IF(COUNTIFS(LOG!$C$2:$C$2001,F72,LOG!$E$2:$E$2001,B72,LOG!$D$2:$D$2001,"*BOOKED")+COUNTIFS(LOG!$C$2:$C$2001,F72,LOG!$E$2:$E$2001,"",LOG!$D$2:$D$2001,"*BOOKED")&gt;0,1,0),0)</f>
        <v>1</v>
      </c>
      <c r="N72" s="28">
        <f>IF(L72=1,IF(COUNTIFS(LOG!$C$2:$C$2001,F72,LOG!$E$2:$E$2001,B72,LOG!$D$2:$D$2001,"NOT_INTERESTED")+COUNTIFS(LOG!$C$2:$C$2001,F72,LOG!$E$2:$E$2001,"",LOG!$D$2:$D$2001,"NOT_INTERESTED")&gt;0,1,0),0)</f>
        <v>0</v>
      </c>
      <c r="O72" s="28">
        <f>IF(L72=1,IF(COUNTIFS(LOG!$C$2:$C$2001,F72,LOG!$D$2:$D$2001,"STOP")+COUNTIFS(LOG!$C$2:$C$2001,F72,LOG!$D$2:$D$2001,"WRONG_NUMBER")&gt;0,1,IF(ISNUMBER(SEARCH("STOP",AT72)),1,0)),0)</f>
        <v>0</v>
      </c>
      <c r="P72" s="28">
        <f>IF(L72=1,IF(IFERROR(INDEX(PARTNERS!$D$2:$D$88,MATCH(B72,PARTNERS!$A$2:$A$88,0)),"")="NO SLOTS",1,IF(AND(IFERROR(INDEX(PARTNERS!$D$2:$D$88,MATCH(B72,PARTNERS!$A$2:$A$88,0)),"")&lt;&gt;"REOPENED",COUNTIFS(LOG!$E$2:$E$2001,B72,LOG!$D$2:$D$2001,"NO_SLOTS")&gt;0),1,0)),0)</f>
        <v>0</v>
      </c>
      <c r="Q72" s="28">
        <f>IF(L72=1,COUNTIFS(LOG!$C$2:$C$2001,F72,LOG!$H$2:$H$2001,1),0)</f>
        <v>0</v>
      </c>
      <c r="R72" s="46">
        <f>IF(Q72&gt;0,_xlfn.MAXIFS(LOG!$G$2:$G$2001,LOG!$C$2:$C$2001,F72,LOG!$H$2:$H$2001,1),0)</f>
        <v>0</v>
      </c>
      <c r="S72" s="28" t="str">
        <f>IF(Q72&gt;0,IFERROR(INDEX(LOG!$D$2:$D$2001,MATCH(F72&amp;"|"&amp;Q72,LOG!$I$2:$I$2001,0)),""),"")</f>
        <v/>
      </c>
      <c r="T72" s="28">
        <f>IF(S72="",0,IFERROR(VLOOKUP(S72,LISTS!$A$2:$E$10,4,FALSE),0))</f>
        <v>0</v>
      </c>
      <c r="U72" s="46">
        <f t="shared" si="13"/>
        <v>0</v>
      </c>
      <c r="V72" s="46">
        <f>IF(L72=1,H72+SETTINGS!$B$5/24,"")</f>
        <v>46309.82708333333</v>
      </c>
      <c r="W72" s="28">
        <f ca="1">IF(L72=1,(V72-SETTINGS!$B$4)*24,"")</f>
        <v>-1.6666666720993817E-2</v>
      </c>
      <c r="X72" s="28">
        <f ca="1">IF(AND(L72=1,K72="OK",M72=0,N72=0,O72=0,P72=0,SETTINGS!$B$4&lt;V72,Q72&lt;SETTINGS!$B$6),1,0)</f>
        <v>0</v>
      </c>
      <c r="Y72" s="28">
        <f ca="1">IF(AND(X72=1,SETTINGS!$B$4&gt;=H72,SETTINGS!$B$4&gt;=U72,ROUND(MOD(SETTINGS!$B$4,1)*1440,0)&gt;=ROUND(SETTINGS!$B$7*1440,0),ROUND(MOD(SETTINGS!$B$4,1)*1440,0)&lt;ROUND(SETTINGS!$B$8*1440,0)),1,0)</f>
        <v>0</v>
      </c>
      <c r="Z72" s="28" t="str">
        <f ca="1">IF(B72="","",IF(ROUND(MOD(SETTINGS!$B$4,1)*1440,0)&lt;ROUND(SETTINGS!$B$11*1440,0),"Ram",IF(ROUND(MOD(SETTINGS!$B$4,1)*1440,0)&gt;=ROUND(SETTINGS!$B$10*1440,0),"Shyam",IF(MOD(IFERROR(VALUE(RIGHT(F72,2)),0),2)=0,"Ram","Shyam"))))</f>
        <v>Shyam</v>
      </c>
      <c r="AA72" s="28">
        <f t="shared" ca="1" si="14"/>
        <v>0</v>
      </c>
      <c r="AB72" s="28">
        <f ca="1">IF(X72=1,COUNTIFS($F$2:F72,F72,$X$2:X72,1),0)</f>
        <v>0</v>
      </c>
      <c r="AC72" s="28" t="str">
        <f>IF(L72=1,IF(IFERROR(INDEX(PARTNERS!$C$2:$C$88,MATCH(B72,PARTNERS!$A$2:$A$88,0)),"")="YES","YES","NO"),"")</f>
        <v>YES</v>
      </c>
      <c r="AD72" s="28" t="str">
        <f>IF(L72=1,IFERROR(INDEX(PARTNERS!$B$2:$B$88,MATCH(B72,PARTNERS!$A$2:$A$88,0)),""),"")</f>
        <v>https://calendly.com/partner002/interview</v>
      </c>
      <c r="AE72" s="28">
        <f ca="1">IF(X72=1,IFERROR(INDEX(SETTINGS!$B$34:$D$36,MATCH(I72,SETTINGS!$A$34:$A$36,0),MIN(Q72,2)+1),SETTINGS!$B$36),0)</f>
        <v>0</v>
      </c>
      <c r="AF72" s="28">
        <f t="shared" si="15"/>
        <v>1</v>
      </c>
      <c r="AG72" s="28">
        <f ca="1">IF(AND(Y72=1,AB72=1),ROUND(AA72*AE72*IF(AF72&gt;1,SETTINGS!$B$16,1)*IF(W72&lt;=SETTINGS!$B$14,SETTINGS!$B$15,1)*IF(AU72=1,SETTINGS!$B$21,1),6),0)</f>
        <v>0</v>
      </c>
      <c r="AH72" s="28" t="str">
        <f ca="1">IF(AG72&gt;0,COUNTIFS($Z$2:$Z$601,Z72,$AG$2:$AG$601,"&gt;"&amp;AG72)+COUNTIFS($Z$2:Z72,Z72,$AG$2:AG72,AG72),"")</f>
        <v/>
      </c>
      <c r="AI72" s="28" t="str">
        <f t="shared" ca="1" si="16"/>
        <v/>
      </c>
      <c r="AJ72" s="28" t="str">
        <f t="shared" ca="1" si="17"/>
        <v/>
      </c>
      <c r="AK72" s="28">
        <f>IF(L72=1,IF(COUNTIFS($F$2:F72,F72,$L$2:L72,1)=1,1,0),0)</f>
        <v>1</v>
      </c>
      <c r="AL72" s="28" t="str">
        <f>IF(B72="","",IF(K72="DUPLICATE","Duplicate (removed)",IF(AO72=1,"Scheduled within 24h",IF(M72=1,"Scheduled late",IF(K72="BAD CONTACT","Bad contact details",IF(O72=1,"Stopped / wrong number",IF(N72=1,"Not interested",IF(P72=1,"Partner has no slots",IF(SETTINGS!$B$4&gt;=V72,IF(Q72=0,"Missed deadline: never tried","Missed deadline: tried, not booked"),IF(Q72&gt;=SETTINGS!$B$6,"No reply after max tries","Open"))))))))))</f>
        <v>Scheduled within 24h</v>
      </c>
      <c r="AM72" s="46">
        <f>IF(M72=1,IF(_xlfn.MINIFS(LOG!$G$2:$G$2001,LOG!$C$2:$C$2001,F72,LOG!$E$2:$E$2001,B72,LOG!$D$2:$D$2001,"*BOOKED")=0,_xlfn.MINIFS(LOG!$G$2:$G$2001,LOG!$C$2:$C$2001,F72,LOG!$E$2:$E$2001,"",LOG!$D$2:$D$2001,"*BOOKED"),IF(_xlfn.MINIFS(LOG!$G$2:$G$2001,LOG!$C$2:$C$2001,F72,LOG!$E$2:$E$2001,"",LOG!$D$2:$D$2001,"*BOOKED")=0,_xlfn.MINIFS(LOG!$G$2:$G$2001,LOG!$C$2:$C$2001,F72,LOG!$E$2:$E$2001,B72,LOG!$D$2:$D$2001,"*BOOKED"),MIN(_xlfn.MINIFS(LOG!$G$2:$G$2001,LOG!$C$2:$C$2001,F72,LOG!$E$2:$E$2001,B72,LOG!$D$2:$D$2001,"*BOOKED"),_xlfn.MINIFS(LOG!$G$2:$G$2001,LOG!$C$2:$C$2001,F72,LOG!$E$2:$E$2001,"",LOG!$D$2:$D$2001,"*BOOKED")))),"")</f>
        <v>46309.302768312475</v>
      </c>
      <c r="AN72" s="28">
        <f t="shared" si="18"/>
        <v>11.416439499473199</v>
      </c>
      <c r="AO72" s="28">
        <f>IF(AND(M72=1,AN72&lt;&gt;""),IF(AN72&lt;=SETTINGS!$B$5,1,0),0)</f>
        <v>1</v>
      </c>
      <c r="AP72" s="28">
        <f>IF(M72=1,IF(COUNTIFS(LOG!$C$2:$C$2001,F72,LOG!$E$2:$E$2001,B72,LOG!$D$2:$D$2001,"BOOKED")+COUNTIFS(LOG!$C$2:$C$2001,F72,LOG!$E$2:$E$2001,"",LOG!$D$2:$D$2001,"BOOKED")&gt;0,1,0),0)</f>
        <v>0</v>
      </c>
      <c r="AQ72" s="28" t="str">
        <f t="shared" si="19"/>
        <v>Kavya</v>
      </c>
      <c r="AR72" s="28">
        <f>IF(AND(AK72=1,K72="OK"),COUNTIFS($AK$2:AK72,1,$K$2:K72,"OK"),"")</f>
        <v>69</v>
      </c>
      <c r="AS72" s="28" t="str">
        <f>IF(L72=1,IFERROR(INDEX(MESSAGES!$J$9:$J$1008,MATCH(F72,MESSAGES!$M$9:$M$1008,0))&amp;"",""),"")</f>
        <v/>
      </c>
      <c r="AT72" s="28" t="str">
        <f>IF(L72=1,IFERROR(INDEX(MESSAGES!$K$9:$K$1008,MATCH(F72,MESSAGES!$M$9:$M$1008,0))&amp;"",""),"")</f>
        <v/>
      </c>
      <c r="AU72" s="28">
        <f t="shared" ca="1" si="20"/>
        <v>0</v>
      </c>
      <c r="AV72" s="28" t="str">
        <f t="shared" si="21"/>
        <v>SEND</v>
      </c>
    </row>
    <row r="73" spans="1:48" x14ac:dyDescent="0.35">
      <c r="A73" s="28">
        <v>72</v>
      </c>
      <c r="B73" s="28" t="str">
        <f>IF(INPUT!A73="","",TRIM(INPUT!A73))</f>
        <v>Partner 048</v>
      </c>
      <c r="C73" s="28" t="str">
        <f>IF(B73="","",INPUT!C73)</f>
        <v>interviewer2@partner048.example.com</v>
      </c>
      <c r="D73" s="28" t="str">
        <f>IF(B73="","",INPUT!D73)</f>
        <v>Karan M.</v>
      </c>
      <c r="E73" s="28" t="str">
        <f>IF(B73="","",INPUT!E73)</f>
        <v>karan.m350@example.com</v>
      </c>
      <c r="F73" s="43" t="str">
        <f>IF(B73="","",TRIM(INPUT!F73&amp;""))</f>
        <v>9000004557</v>
      </c>
      <c r="G73" s="28" t="str">
        <f>IF(B73="","",INPUT!H73)</f>
        <v>Round1</v>
      </c>
      <c r="H73" s="46">
        <f>IF(B73="","",INPUT!I73)</f>
        <v>46308.82708333333</v>
      </c>
      <c r="I73" s="28" t="str">
        <f>IF(B73="","",IF(INPUT!J73="","None",INPUT!J73))</f>
        <v>None</v>
      </c>
      <c r="J73" s="28" t="str">
        <f t="shared" si="11"/>
        <v>karan.m350@example.com|partner 048|Round1|interviewer2@partner048.example.com</v>
      </c>
      <c r="K73" s="28" t="str">
        <f>IF(B73="","",IF(SUMPRODUCT(($J$2:$J$601=J73)*($H$2:$H$601&lt;H73))+SUMPRODUCT(($J$2:J73=J73)*($H$2:H73=H73))-1&gt;0,"DUPLICATE",IF(AND(ISNUMBER(SEARCH("@",E73)),ISNUMBER(SEARCH(".",E73)),LEN(F73)=10,ISNUMBER(VALUE(F73))),"OK","BAD CONTACT")))</f>
        <v>OK</v>
      </c>
      <c r="L73" s="28">
        <f t="shared" si="12"/>
        <v>1</v>
      </c>
      <c r="M73" s="28">
        <f>IF(L73=1,IF(COUNTIFS(LOG!$C$2:$C$2001,F73,LOG!$E$2:$E$2001,B73,LOG!$D$2:$D$2001,"*BOOKED")+COUNTIFS(LOG!$C$2:$C$2001,F73,LOG!$E$2:$E$2001,"",LOG!$D$2:$D$2001,"*BOOKED")&gt;0,1,0),0)</f>
        <v>0</v>
      </c>
      <c r="N73" s="28">
        <f>IF(L73=1,IF(COUNTIFS(LOG!$C$2:$C$2001,F73,LOG!$E$2:$E$2001,B73,LOG!$D$2:$D$2001,"NOT_INTERESTED")+COUNTIFS(LOG!$C$2:$C$2001,F73,LOG!$E$2:$E$2001,"",LOG!$D$2:$D$2001,"NOT_INTERESTED")&gt;0,1,0),0)</f>
        <v>0</v>
      </c>
      <c r="O73" s="28">
        <f>IF(L73=1,IF(COUNTIFS(LOG!$C$2:$C$2001,F73,LOG!$D$2:$D$2001,"STOP")+COUNTIFS(LOG!$C$2:$C$2001,F73,LOG!$D$2:$D$2001,"WRONG_NUMBER")&gt;0,1,IF(ISNUMBER(SEARCH("STOP",AT73)),1,0)),0)</f>
        <v>0</v>
      </c>
      <c r="P73" s="28">
        <f>IF(L73=1,IF(IFERROR(INDEX(PARTNERS!$D$2:$D$88,MATCH(B73,PARTNERS!$A$2:$A$88,0)),"")="NO SLOTS",1,IF(AND(IFERROR(INDEX(PARTNERS!$D$2:$D$88,MATCH(B73,PARTNERS!$A$2:$A$88,0)),"")&lt;&gt;"REOPENED",COUNTIFS(LOG!$E$2:$E$2001,B73,LOG!$D$2:$D$2001,"NO_SLOTS")&gt;0),1,0)),0)</f>
        <v>0</v>
      </c>
      <c r="Q73" s="28">
        <f>IF(L73=1,COUNTIFS(LOG!$C$2:$C$2001,F73,LOG!$H$2:$H$2001,1),0)</f>
        <v>0</v>
      </c>
      <c r="R73" s="46">
        <f>IF(Q73&gt;0,_xlfn.MAXIFS(LOG!$G$2:$G$2001,LOG!$C$2:$C$2001,F73,LOG!$H$2:$H$2001,1),0)</f>
        <v>0</v>
      </c>
      <c r="S73" s="28" t="str">
        <f>IF(Q73&gt;0,IFERROR(INDEX(LOG!$D$2:$D$2001,MATCH(F73&amp;"|"&amp;Q73,LOG!$I$2:$I$2001,0)),""),"")</f>
        <v/>
      </c>
      <c r="T73" s="28">
        <f>IF(S73="",0,IFERROR(VLOOKUP(S73,LISTS!$A$2:$E$10,4,FALSE),0))</f>
        <v>0</v>
      </c>
      <c r="U73" s="46">
        <f t="shared" si="13"/>
        <v>0</v>
      </c>
      <c r="V73" s="46">
        <f>IF(L73=1,H73+SETTINGS!$B$5/24,"")</f>
        <v>46309.82708333333</v>
      </c>
      <c r="W73" s="28">
        <f ca="1">IF(L73=1,(V73-SETTINGS!$B$4)*24,"")</f>
        <v>-1.6666666720993817E-2</v>
      </c>
      <c r="X73" s="28">
        <f ca="1">IF(AND(L73=1,K73="OK",M73=0,N73=0,O73=0,P73=0,SETTINGS!$B$4&lt;V73,Q73&lt;SETTINGS!$B$6),1,0)</f>
        <v>0</v>
      </c>
      <c r="Y73" s="28">
        <f ca="1">IF(AND(X73=1,SETTINGS!$B$4&gt;=H73,SETTINGS!$B$4&gt;=U73,ROUND(MOD(SETTINGS!$B$4,1)*1440,0)&gt;=ROUND(SETTINGS!$B$7*1440,0),ROUND(MOD(SETTINGS!$B$4,1)*1440,0)&lt;ROUND(SETTINGS!$B$8*1440,0)),1,0)</f>
        <v>0</v>
      </c>
      <c r="Z73" s="28" t="str">
        <f ca="1">IF(B73="","",IF(ROUND(MOD(SETTINGS!$B$4,1)*1440,0)&lt;ROUND(SETTINGS!$B$11*1440,0),"Ram",IF(ROUND(MOD(SETTINGS!$B$4,1)*1440,0)&gt;=ROUND(SETTINGS!$B$10*1440,0),"Shyam",IF(MOD(IFERROR(VALUE(RIGHT(F73,2)),0),2)=0,"Ram","Shyam"))))</f>
        <v>Shyam</v>
      </c>
      <c r="AA73" s="28">
        <f t="shared" ca="1" si="14"/>
        <v>0</v>
      </c>
      <c r="AB73" s="28">
        <f ca="1">IF(X73=1,COUNTIFS($F$2:F73,F73,$X$2:X73,1),0)</f>
        <v>0</v>
      </c>
      <c r="AC73" s="28" t="str">
        <f>IF(L73=1,IF(IFERROR(INDEX(PARTNERS!$C$2:$C$88,MATCH(B73,PARTNERS!$A$2:$A$88,0)),"")="YES","YES","NO"),"")</f>
        <v>YES</v>
      </c>
      <c r="AD73" s="28" t="str">
        <f>IF(L73=1,IFERROR(INDEX(PARTNERS!$B$2:$B$88,MATCH(B73,PARTNERS!$A$2:$A$88,0)),""),"")</f>
        <v>https://calendly.com/partner048/interview</v>
      </c>
      <c r="AE73" s="28">
        <f ca="1">IF(X73=1,IFERROR(INDEX(SETTINGS!$B$34:$D$36,MATCH(I73,SETTINGS!$A$34:$A$36,0),MIN(Q73,2)+1),SETTINGS!$B$36),0)</f>
        <v>0</v>
      </c>
      <c r="AF73" s="28">
        <f t="shared" si="15"/>
        <v>1</v>
      </c>
      <c r="AG73" s="28">
        <f ca="1">IF(AND(Y73=1,AB73=1),ROUND(AA73*AE73*IF(AF73&gt;1,SETTINGS!$B$16,1)*IF(W73&lt;=SETTINGS!$B$14,SETTINGS!$B$15,1)*IF(AU73=1,SETTINGS!$B$21,1),6),0)</f>
        <v>0</v>
      </c>
      <c r="AH73" s="28" t="str">
        <f ca="1">IF(AG73&gt;0,COUNTIFS($Z$2:$Z$601,Z73,$AG$2:$AG$601,"&gt;"&amp;AG73)+COUNTIFS($Z$2:Z73,Z73,$AG$2:AG73,AG73),"")</f>
        <v/>
      </c>
      <c r="AI73" s="28" t="str">
        <f t="shared" ca="1" si="16"/>
        <v/>
      </c>
      <c r="AJ73" s="28" t="str">
        <f t="shared" ca="1" si="17"/>
        <v/>
      </c>
      <c r="AK73" s="28">
        <f>IF(L73=1,IF(COUNTIFS($F$2:F73,F73,$L$2:L73,1)=1,1,0),0)</f>
        <v>1</v>
      </c>
      <c r="AL73" s="28" t="str">
        <f ca="1">IF(B73="","",IF(K73="DUPLICATE","Duplicate (removed)",IF(AO73=1,"Scheduled within 24h",IF(M73=1,"Scheduled late",IF(K73="BAD CONTACT","Bad contact details",IF(O73=1,"Stopped / wrong number",IF(N73=1,"Not interested",IF(P73=1,"Partner has no slots",IF(SETTINGS!$B$4&gt;=V73,IF(Q73=0,"Missed deadline: never tried","Missed deadline: tried, not booked"),IF(Q73&gt;=SETTINGS!$B$6,"No reply after max tries","Open"))))))))))</f>
        <v>Missed deadline: never tried</v>
      </c>
      <c r="AM73" s="46" t="str">
        <f>IF(M73=1,IF(_xlfn.MINIFS(LOG!$G$2:$G$2001,LOG!$C$2:$C$2001,F73,LOG!$E$2:$E$2001,B73,LOG!$D$2:$D$2001,"*BOOKED")=0,_xlfn.MINIFS(LOG!$G$2:$G$2001,LOG!$C$2:$C$2001,F73,LOG!$E$2:$E$2001,"",LOG!$D$2:$D$2001,"*BOOKED"),IF(_xlfn.MINIFS(LOG!$G$2:$G$2001,LOG!$C$2:$C$2001,F73,LOG!$E$2:$E$2001,"",LOG!$D$2:$D$2001,"*BOOKED")=0,_xlfn.MINIFS(LOG!$G$2:$G$2001,LOG!$C$2:$C$2001,F73,LOG!$E$2:$E$2001,B73,LOG!$D$2:$D$2001,"*BOOKED"),MIN(_xlfn.MINIFS(LOG!$G$2:$G$2001,LOG!$C$2:$C$2001,F73,LOG!$E$2:$E$2001,B73,LOG!$D$2:$D$2001,"*BOOKED"),_xlfn.MINIFS(LOG!$G$2:$G$2001,LOG!$C$2:$C$2001,F73,LOG!$E$2:$E$2001,"",LOG!$D$2:$D$2001,"*BOOKED")))),"")</f>
        <v/>
      </c>
      <c r="AN73" s="28" t="str">
        <f t="shared" si="18"/>
        <v/>
      </c>
      <c r="AO73" s="28">
        <f>IF(AND(M73=1,AN73&lt;&gt;""),IF(AN73&lt;=SETTINGS!$B$5,1,0),0)</f>
        <v>0</v>
      </c>
      <c r="AP73" s="28">
        <f>IF(M73=1,IF(COUNTIFS(LOG!$C$2:$C$2001,F73,LOG!$E$2:$E$2001,B73,LOG!$D$2:$D$2001,"BOOKED")+COUNTIFS(LOG!$C$2:$C$2001,F73,LOG!$E$2:$E$2001,"",LOG!$D$2:$D$2001,"BOOKED")&gt;0,1,0),0)</f>
        <v>0</v>
      </c>
      <c r="AQ73" s="28" t="str">
        <f t="shared" si="19"/>
        <v>Karan</v>
      </c>
      <c r="AR73" s="28">
        <f>IF(AND(AK73=1,K73="OK"),COUNTIFS($AK$2:AK73,1,$K$2:K73,"OK"),"")</f>
        <v>70</v>
      </c>
      <c r="AS73" s="28" t="str">
        <f>IF(L73=1,IFERROR(INDEX(MESSAGES!$J$9:$J$1008,MATCH(F73,MESSAGES!$M$9:$M$1008,0))&amp;"",""),"")</f>
        <v/>
      </c>
      <c r="AT73" s="28" t="str">
        <f>IF(L73=1,IFERROR(INDEX(MESSAGES!$K$9:$K$1008,MATCH(F73,MESSAGES!$M$9:$M$1008,0))&amp;"",""),"")</f>
        <v/>
      </c>
      <c r="AU73" s="28">
        <f t="shared" ca="1" si="20"/>
        <v>0</v>
      </c>
      <c r="AV73" s="28" t="str">
        <f t="shared" si="21"/>
        <v>HOLD</v>
      </c>
    </row>
    <row r="74" spans="1:48" x14ac:dyDescent="0.35">
      <c r="A74" s="28">
        <v>73</v>
      </c>
      <c r="B74" s="28" t="str">
        <f>IF(INPUT!A74="","",TRIM(INPUT!A74))</f>
        <v>Partner 000</v>
      </c>
      <c r="C74" s="28" t="str">
        <f>IF(B74="","",INPUT!C74)</f>
        <v>interviewer1@partner000.example.com</v>
      </c>
      <c r="D74" s="28" t="str">
        <f>IF(B74="","",INPUT!D74)</f>
        <v>Vihaan B.</v>
      </c>
      <c r="E74" s="28" t="str">
        <f>IF(B74="","",INPUT!E74)</f>
        <v>vihaan.b034@example.com</v>
      </c>
      <c r="F74" s="43" t="str">
        <f>IF(B74="","",TRIM(INPUT!F74&amp;""))</f>
        <v>9000000449</v>
      </c>
      <c r="G74" s="28" t="str">
        <f>IF(B74="","",INPUT!H74)</f>
        <v>Round1</v>
      </c>
      <c r="H74" s="46">
        <f>IF(B74="","",INPUT!I74)</f>
        <v>46308.82708333333</v>
      </c>
      <c r="I74" s="28" t="str">
        <f>IF(B74="","",IF(INPUT!J74="","None",INPUT!J74))</f>
        <v>None</v>
      </c>
      <c r="J74" s="28" t="str">
        <f t="shared" si="11"/>
        <v>vihaan.b034@example.com|partner 000|Round1|interviewer1@partner000.example.com</v>
      </c>
      <c r="K74" s="28" t="str">
        <f>IF(B74="","",IF(SUMPRODUCT(($J$2:$J$601=J74)*($H$2:$H$601&lt;H74))+SUMPRODUCT(($J$2:J74=J74)*($H$2:H74=H74))-1&gt;0,"DUPLICATE",IF(AND(ISNUMBER(SEARCH("@",E74)),ISNUMBER(SEARCH(".",E74)),LEN(F74)=10,ISNUMBER(VALUE(F74))),"OK","BAD CONTACT")))</f>
        <v>OK</v>
      </c>
      <c r="L74" s="28">
        <f t="shared" si="12"/>
        <v>1</v>
      </c>
      <c r="M74" s="28">
        <f>IF(L74=1,IF(COUNTIFS(LOG!$C$2:$C$2001,F74,LOG!$E$2:$E$2001,B74,LOG!$D$2:$D$2001,"*BOOKED")+COUNTIFS(LOG!$C$2:$C$2001,F74,LOG!$E$2:$E$2001,"",LOG!$D$2:$D$2001,"*BOOKED")&gt;0,1,0),0)</f>
        <v>1</v>
      </c>
      <c r="N74" s="28">
        <f>IF(L74=1,IF(COUNTIFS(LOG!$C$2:$C$2001,F74,LOG!$E$2:$E$2001,B74,LOG!$D$2:$D$2001,"NOT_INTERESTED")+COUNTIFS(LOG!$C$2:$C$2001,F74,LOG!$E$2:$E$2001,"",LOG!$D$2:$D$2001,"NOT_INTERESTED")&gt;0,1,0),0)</f>
        <v>0</v>
      </c>
      <c r="O74" s="28">
        <f>IF(L74=1,IF(COUNTIFS(LOG!$C$2:$C$2001,F74,LOG!$D$2:$D$2001,"STOP")+COUNTIFS(LOG!$C$2:$C$2001,F74,LOG!$D$2:$D$2001,"WRONG_NUMBER")&gt;0,1,IF(ISNUMBER(SEARCH("STOP",AT74)),1,0)),0)</f>
        <v>0</v>
      </c>
      <c r="P74" s="28">
        <f>IF(L74=1,IF(IFERROR(INDEX(PARTNERS!$D$2:$D$88,MATCH(B74,PARTNERS!$A$2:$A$88,0)),"")="NO SLOTS",1,IF(AND(IFERROR(INDEX(PARTNERS!$D$2:$D$88,MATCH(B74,PARTNERS!$A$2:$A$88,0)),"")&lt;&gt;"REOPENED",COUNTIFS(LOG!$E$2:$E$2001,B74,LOG!$D$2:$D$2001,"NO_SLOTS")&gt;0),1,0)),0)</f>
        <v>0</v>
      </c>
      <c r="Q74" s="28">
        <f>IF(L74=1,COUNTIFS(LOG!$C$2:$C$2001,F74,LOG!$H$2:$H$2001,1),0)</f>
        <v>0</v>
      </c>
      <c r="R74" s="46">
        <f>IF(Q74&gt;0,_xlfn.MAXIFS(LOG!$G$2:$G$2001,LOG!$C$2:$C$2001,F74,LOG!$H$2:$H$2001,1),0)</f>
        <v>0</v>
      </c>
      <c r="S74" s="28" t="str">
        <f>IF(Q74&gt;0,IFERROR(INDEX(LOG!$D$2:$D$2001,MATCH(F74&amp;"|"&amp;Q74,LOG!$I$2:$I$2001,0)),""),"")</f>
        <v/>
      </c>
      <c r="T74" s="28">
        <f>IF(S74="",0,IFERROR(VLOOKUP(S74,LISTS!$A$2:$E$10,4,FALSE),0))</f>
        <v>0</v>
      </c>
      <c r="U74" s="46">
        <f t="shared" si="13"/>
        <v>0</v>
      </c>
      <c r="V74" s="46">
        <f>IF(L74=1,H74+SETTINGS!$B$5/24,"")</f>
        <v>46309.82708333333</v>
      </c>
      <c r="W74" s="28">
        <f ca="1">IF(L74=1,(V74-SETTINGS!$B$4)*24,"")</f>
        <v>-1.6666666720993817E-2</v>
      </c>
      <c r="X74" s="28">
        <f ca="1">IF(AND(L74=1,K74="OK",M74=0,N74=0,O74=0,P74=0,SETTINGS!$B$4&lt;V74,Q74&lt;SETTINGS!$B$6),1,0)</f>
        <v>0</v>
      </c>
      <c r="Y74" s="28">
        <f ca="1">IF(AND(X74=1,SETTINGS!$B$4&gt;=H74,SETTINGS!$B$4&gt;=U74,ROUND(MOD(SETTINGS!$B$4,1)*1440,0)&gt;=ROUND(SETTINGS!$B$7*1440,0),ROUND(MOD(SETTINGS!$B$4,1)*1440,0)&lt;ROUND(SETTINGS!$B$8*1440,0)),1,0)</f>
        <v>0</v>
      </c>
      <c r="Z74" s="28" t="str">
        <f ca="1">IF(B74="","",IF(ROUND(MOD(SETTINGS!$B$4,1)*1440,0)&lt;ROUND(SETTINGS!$B$11*1440,0),"Ram",IF(ROUND(MOD(SETTINGS!$B$4,1)*1440,0)&gt;=ROUND(SETTINGS!$B$10*1440,0),"Shyam",IF(MOD(IFERROR(VALUE(RIGHT(F74,2)),0),2)=0,"Ram","Shyam"))))</f>
        <v>Shyam</v>
      </c>
      <c r="AA74" s="28">
        <f t="shared" ca="1" si="14"/>
        <v>0</v>
      </c>
      <c r="AB74" s="28">
        <f ca="1">IF(X74=1,COUNTIFS($F$2:F74,F74,$X$2:X74,1),0)</f>
        <v>0</v>
      </c>
      <c r="AC74" s="28" t="str">
        <f>IF(L74=1,IF(IFERROR(INDEX(PARTNERS!$C$2:$C$88,MATCH(B74,PARTNERS!$A$2:$A$88,0)),"")="YES","YES","NO"),"")</f>
        <v>NO</v>
      </c>
      <c r="AD74" s="28" t="str">
        <f>IF(L74=1,IFERROR(INDEX(PARTNERS!$B$2:$B$88,MATCH(B74,PARTNERS!$A$2:$A$88,0)),""),"")</f>
        <v>https://calendly.com/partner000/interview</v>
      </c>
      <c r="AE74" s="28">
        <f ca="1">IF(X74=1,IFERROR(INDEX(SETTINGS!$B$34:$D$36,MATCH(I74,SETTINGS!$A$34:$A$36,0),MIN(Q74,2)+1),SETTINGS!$B$36),0)</f>
        <v>0</v>
      </c>
      <c r="AF74" s="28">
        <f t="shared" si="15"/>
        <v>1</v>
      </c>
      <c r="AG74" s="28">
        <f ca="1">IF(AND(Y74=1,AB74=1),ROUND(AA74*AE74*IF(AF74&gt;1,SETTINGS!$B$16,1)*IF(W74&lt;=SETTINGS!$B$14,SETTINGS!$B$15,1)*IF(AU74=1,SETTINGS!$B$21,1),6),0)</f>
        <v>0</v>
      </c>
      <c r="AH74" s="28" t="str">
        <f ca="1">IF(AG74&gt;0,COUNTIFS($Z$2:$Z$601,Z74,$AG$2:$AG$601,"&gt;"&amp;AG74)+COUNTIFS($Z$2:Z74,Z74,$AG$2:AG74,AG74),"")</f>
        <v/>
      </c>
      <c r="AI74" s="28" t="str">
        <f t="shared" ca="1" si="16"/>
        <v/>
      </c>
      <c r="AJ74" s="28" t="str">
        <f t="shared" ca="1" si="17"/>
        <v/>
      </c>
      <c r="AK74" s="28">
        <f>IF(L74=1,IF(COUNTIFS($F$2:F74,F74,$L$2:L74,1)=1,1,0),0)</f>
        <v>1</v>
      </c>
      <c r="AL74" s="28" t="str">
        <f>IF(B74="","",IF(K74="DUPLICATE","Duplicate (removed)",IF(AO74=1,"Scheduled within 24h",IF(M74=1,"Scheduled late",IF(K74="BAD CONTACT","Bad contact details",IF(O74=1,"Stopped / wrong number",IF(N74=1,"Not interested",IF(P74=1,"Partner has no slots",IF(SETTINGS!$B$4&gt;=V74,IF(Q74=0,"Missed deadline: never tried","Missed deadline: tried, not booked"),IF(Q74&gt;=SETTINGS!$B$6,"No reply after max tries","Open"))))))))))</f>
        <v>Scheduled within 24h</v>
      </c>
      <c r="AM74" s="46">
        <f>IF(M74=1,IF(_xlfn.MINIFS(LOG!$G$2:$G$2001,LOG!$C$2:$C$2001,F74,LOG!$E$2:$E$2001,B74,LOG!$D$2:$D$2001,"*BOOKED")=0,_xlfn.MINIFS(LOG!$G$2:$G$2001,LOG!$C$2:$C$2001,F74,LOG!$E$2:$E$2001,"",LOG!$D$2:$D$2001,"*BOOKED"),IF(_xlfn.MINIFS(LOG!$G$2:$G$2001,LOG!$C$2:$C$2001,F74,LOG!$E$2:$E$2001,"",LOG!$D$2:$D$2001,"*BOOKED")=0,_xlfn.MINIFS(LOG!$G$2:$G$2001,LOG!$C$2:$C$2001,F74,LOG!$E$2:$E$2001,B74,LOG!$D$2:$D$2001,"*BOOKED"),MIN(_xlfn.MINIFS(LOG!$G$2:$G$2001,LOG!$C$2:$C$2001,F74,LOG!$E$2:$E$2001,B74,LOG!$D$2:$D$2001,"*BOOKED"),_xlfn.MINIFS(LOG!$G$2:$G$2001,LOG!$C$2:$C$2001,F74,LOG!$E$2:$E$2001,"",LOG!$D$2:$D$2001,"*BOOKED")))),"")</f>
        <v>46309.39872595507</v>
      </c>
      <c r="AN74" s="28">
        <f t="shared" si="18"/>
        <v>13.719422921771184</v>
      </c>
      <c r="AO74" s="28">
        <f>IF(AND(M74=1,AN74&lt;&gt;""),IF(AN74&lt;=SETTINGS!$B$5,1,0),0)</f>
        <v>1</v>
      </c>
      <c r="AP74" s="28">
        <f>IF(M74=1,IF(COUNTIFS(LOG!$C$2:$C$2001,F74,LOG!$E$2:$E$2001,B74,LOG!$D$2:$D$2001,"BOOKED")+COUNTIFS(LOG!$C$2:$C$2001,F74,LOG!$E$2:$E$2001,"",LOG!$D$2:$D$2001,"BOOKED")&gt;0,1,0),0)</f>
        <v>0</v>
      </c>
      <c r="AQ74" s="28" t="str">
        <f t="shared" si="19"/>
        <v>Vihaan</v>
      </c>
      <c r="AR74" s="28">
        <f>IF(AND(AK74=1,K74="OK"),COUNTIFS($AK$2:AK74,1,$K$2:K74,"OK"),"")</f>
        <v>71</v>
      </c>
      <c r="AS74" s="28" t="str">
        <f>IF(L74=1,IFERROR(INDEX(MESSAGES!$J$9:$J$1008,MATCH(F74,MESSAGES!$M$9:$M$1008,0))&amp;"",""),"")</f>
        <v/>
      </c>
      <c r="AT74" s="28" t="str">
        <f>IF(L74=1,IFERROR(INDEX(MESSAGES!$K$9:$K$1008,MATCH(F74,MESSAGES!$M$9:$M$1008,0))&amp;"",""),"")</f>
        <v/>
      </c>
      <c r="AU74" s="28">
        <f t="shared" ca="1" si="20"/>
        <v>0</v>
      </c>
      <c r="AV74" s="28" t="str">
        <f t="shared" si="21"/>
        <v>SEND</v>
      </c>
    </row>
    <row r="75" spans="1:48" x14ac:dyDescent="0.35">
      <c r="A75" s="28">
        <v>74</v>
      </c>
      <c r="B75" s="28" t="str">
        <f>IF(INPUT!A75="","",TRIM(INPUT!A75))</f>
        <v>Partner 034</v>
      </c>
      <c r="C75" s="28" t="str">
        <f>IF(B75="","",INPUT!C75)</f>
        <v>interviewer2@partner034.example.com</v>
      </c>
      <c r="D75" s="28" t="str">
        <f>IF(B75="","",INPUT!D75)</f>
        <v>Isha B.</v>
      </c>
      <c r="E75" s="28" t="str">
        <f>IF(B75="","",INPUT!E75)</f>
        <v>isha.b055@example.com</v>
      </c>
      <c r="F75" s="43" t="str">
        <f>IF(B75="","",TRIM(INPUT!F75&amp;""))</f>
        <v>9000000722</v>
      </c>
      <c r="G75" s="28" t="str">
        <f>IF(B75="","",INPUT!H75)</f>
        <v>Round1</v>
      </c>
      <c r="H75" s="46">
        <f>IF(B75="","",INPUT!I75)</f>
        <v>46308.82708333333</v>
      </c>
      <c r="I75" s="28" t="str">
        <f>IF(B75="","",IF(INPUT!J75="","None",INPUT!J75))</f>
        <v>Opened</v>
      </c>
      <c r="J75" s="28" t="str">
        <f t="shared" si="11"/>
        <v>isha.b055@example.com|partner 034|Round1|interviewer2@partner034.example.com</v>
      </c>
      <c r="K75" s="28" t="str">
        <f>IF(B75="","",IF(SUMPRODUCT(($J$2:$J$601=J75)*($H$2:$H$601&lt;H75))+SUMPRODUCT(($J$2:J75=J75)*($H$2:H75=H75))-1&gt;0,"DUPLICATE",IF(AND(ISNUMBER(SEARCH("@",E75)),ISNUMBER(SEARCH(".",E75)),LEN(F75)=10,ISNUMBER(VALUE(F75))),"OK","BAD CONTACT")))</f>
        <v>OK</v>
      </c>
      <c r="L75" s="28">
        <f t="shared" si="12"/>
        <v>1</v>
      </c>
      <c r="M75" s="28">
        <f>IF(L75=1,IF(COUNTIFS(LOG!$C$2:$C$2001,F75,LOG!$E$2:$E$2001,B75,LOG!$D$2:$D$2001,"*BOOKED")+COUNTIFS(LOG!$C$2:$C$2001,F75,LOG!$E$2:$E$2001,"",LOG!$D$2:$D$2001,"*BOOKED")&gt;0,1,0),0)</f>
        <v>0</v>
      </c>
      <c r="N75" s="28">
        <f>IF(L75=1,IF(COUNTIFS(LOG!$C$2:$C$2001,F75,LOG!$E$2:$E$2001,B75,LOG!$D$2:$D$2001,"NOT_INTERESTED")+COUNTIFS(LOG!$C$2:$C$2001,F75,LOG!$E$2:$E$2001,"",LOG!$D$2:$D$2001,"NOT_INTERESTED")&gt;0,1,0),0)</f>
        <v>0</v>
      </c>
      <c r="O75" s="28">
        <f>IF(L75=1,IF(COUNTIFS(LOG!$C$2:$C$2001,F75,LOG!$D$2:$D$2001,"STOP")+COUNTIFS(LOG!$C$2:$C$2001,F75,LOG!$D$2:$D$2001,"WRONG_NUMBER")&gt;0,1,IF(ISNUMBER(SEARCH("STOP",AT75)),1,0)),0)</f>
        <v>0</v>
      </c>
      <c r="P75" s="28">
        <f>IF(L75=1,IF(IFERROR(INDEX(PARTNERS!$D$2:$D$88,MATCH(B75,PARTNERS!$A$2:$A$88,0)),"")="NO SLOTS",1,IF(AND(IFERROR(INDEX(PARTNERS!$D$2:$D$88,MATCH(B75,PARTNERS!$A$2:$A$88,0)),"")&lt;&gt;"REOPENED",COUNTIFS(LOG!$E$2:$E$2001,B75,LOG!$D$2:$D$2001,"NO_SLOTS")&gt;0),1,0)),0)</f>
        <v>0</v>
      </c>
      <c r="Q75" s="28">
        <f>IF(L75=1,COUNTIFS(LOG!$C$2:$C$2001,F75,LOG!$H$2:$H$2001,1),0)</f>
        <v>0</v>
      </c>
      <c r="R75" s="46">
        <f>IF(Q75&gt;0,_xlfn.MAXIFS(LOG!$G$2:$G$2001,LOG!$C$2:$C$2001,F75,LOG!$H$2:$H$2001,1),0)</f>
        <v>0</v>
      </c>
      <c r="S75" s="28" t="str">
        <f>IF(Q75&gt;0,IFERROR(INDEX(LOG!$D$2:$D$2001,MATCH(F75&amp;"|"&amp;Q75,LOG!$I$2:$I$2001,0)),""),"")</f>
        <v/>
      </c>
      <c r="T75" s="28">
        <f>IF(S75="",0,IFERROR(VLOOKUP(S75,LISTS!$A$2:$E$10,4,FALSE),0))</f>
        <v>0</v>
      </c>
      <c r="U75" s="46">
        <f t="shared" si="13"/>
        <v>0</v>
      </c>
      <c r="V75" s="46">
        <f>IF(L75=1,H75+SETTINGS!$B$5/24,"")</f>
        <v>46309.82708333333</v>
      </c>
      <c r="W75" s="28">
        <f ca="1">IF(L75=1,(V75-SETTINGS!$B$4)*24,"")</f>
        <v>-1.6666666720993817E-2</v>
      </c>
      <c r="X75" s="28">
        <f ca="1">IF(AND(L75=1,K75="OK",M75=0,N75=0,O75=0,P75=0,SETTINGS!$B$4&lt;V75,Q75&lt;SETTINGS!$B$6),1,0)</f>
        <v>0</v>
      </c>
      <c r="Y75" s="28">
        <f ca="1">IF(AND(X75=1,SETTINGS!$B$4&gt;=H75,SETTINGS!$B$4&gt;=U75,ROUND(MOD(SETTINGS!$B$4,1)*1440,0)&gt;=ROUND(SETTINGS!$B$7*1440,0),ROUND(MOD(SETTINGS!$B$4,1)*1440,0)&lt;ROUND(SETTINGS!$B$8*1440,0)),1,0)</f>
        <v>0</v>
      </c>
      <c r="Z75" s="28" t="str">
        <f ca="1">IF(B75="","",IF(ROUND(MOD(SETTINGS!$B$4,1)*1440,0)&lt;ROUND(SETTINGS!$B$11*1440,0),"Ram",IF(ROUND(MOD(SETTINGS!$B$4,1)*1440,0)&gt;=ROUND(SETTINGS!$B$10*1440,0),"Shyam",IF(MOD(IFERROR(VALUE(RIGHT(F75,2)),0),2)=0,"Ram","Shyam"))))</f>
        <v>Shyam</v>
      </c>
      <c r="AA75" s="28">
        <f t="shared" ca="1" si="14"/>
        <v>0</v>
      </c>
      <c r="AB75" s="28">
        <f ca="1">IF(X75=1,COUNTIFS($F$2:F75,F75,$X$2:X75,1),0)</f>
        <v>0</v>
      </c>
      <c r="AC75" s="28" t="str">
        <f>IF(L75=1,IF(IFERROR(INDEX(PARTNERS!$C$2:$C$88,MATCH(B75,PARTNERS!$A$2:$A$88,0)),"")="YES","YES","NO"),"")</f>
        <v>YES</v>
      </c>
      <c r="AD75" s="28" t="str">
        <f>IF(L75=1,IFERROR(INDEX(PARTNERS!$B$2:$B$88,MATCH(B75,PARTNERS!$A$2:$A$88,0)),""),"")</f>
        <v>https://calendly.com/partner034/interview</v>
      </c>
      <c r="AE75" s="28">
        <f ca="1">IF(X75=1,IFERROR(INDEX(SETTINGS!$B$34:$D$36,MATCH(I75,SETTINGS!$A$34:$A$36,0),MIN(Q75,2)+1),SETTINGS!$B$36),0)</f>
        <v>0</v>
      </c>
      <c r="AF75" s="28">
        <f t="shared" si="15"/>
        <v>1</v>
      </c>
      <c r="AG75" s="28">
        <f ca="1">IF(AND(Y75=1,AB75=1),ROUND(AA75*AE75*IF(AF75&gt;1,SETTINGS!$B$16,1)*IF(W75&lt;=SETTINGS!$B$14,SETTINGS!$B$15,1)*IF(AU75=1,SETTINGS!$B$21,1),6),0)</f>
        <v>0</v>
      </c>
      <c r="AH75" s="28" t="str">
        <f ca="1">IF(AG75&gt;0,COUNTIFS($Z$2:$Z$601,Z75,$AG$2:$AG$601,"&gt;"&amp;AG75)+COUNTIFS($Z$2:Z75,Z75,$AG$2:AG75,AG75),"")</f>
        <v/>
      </c>
      <c r="AI75" s="28" t="str">
        <f t="shared" ca="1" si="16"/>
        <v/>
      </c>
      <c r="AJ75" s="28" t="str">
        <f t="shared" ca="1" si="17"/>
        <v/>
      </c>
      <c r="AK75" s="28">
        <f>IF(L75=1,IF(COUNTIFS($F$2:F75,F75,$L$2:L75,1)=1,1,0),0)</f>
        <v>1</v>
      </c>
      <c r="AL75" s="28" t="str">
        <f ca="1">IF(B75="","",IF(K75="DUPLICATE","Duplicate (removed)",IF(AO75=1,"Scheduled within 24h",IF(M75=1,"Scheduled late",IF(K75="BAD CONTACT","Bad contact details",IF(O75=1,"Stopped / wrong number",IF(N75=1,"Not interested",IF(P75=1,"Partner has no slots",IF(SETTINGS!$B$4&gt;=V75,IF(Q75=0,"Missed deadline: never tried","Missed deadline: tried, not booked"),IF(Q75&gt;=SETTINGS!$B$6,"No reply after max tries","Open"))))))))))</f>
        <v>Missed deadline: never tried</v>
      </c>
      <c r="AM75" s="46" t="str">
        <f>IF(M75=1,IF(_xlfn.MINIFS(LOG!$G$2:$G$2001,LOG!$C$2:$C$2001,F75,LOG!$E$2:$E$2001,B75,LOG!$D$2:$D$2001,"*BOOKED")=0,_xlfn.MINIFS(LOG!$G$2:$G$2001,LOG!$C$2:$C$2001,F75,LOG!$E$2:$E$2001,"",LOG!$D$2:$D$2001,"*BOOKED"),IF(_xlfn.MINIFS(LOG!$G$2:$G$2001,LOG!$C$2:$C$2001,F75,LOG!$E$2:$E$2001,"",LOG!$D$2:$D$2001,"*BOOKED")=0,_xlfn.MINIFS(LOG!$G$2:$G$2001,LOG!$C$2:$C$2001,F75,LOG!$E$2:$E$2001,B75,LOG!$D$2:$D$2001,"*BOOKED"),MIN(_xlfn.MINIFS(LOG!$G$2:$G$2001,LOG!$C$2:$C$2001,F75,LOG!$E$2:$E$2001,B75,LOG!$D$2:$D$2001,"*BOOKED"),_xlfn.MINIFS(LOG!$G$2:$G$2001,LOG!$C$2:$C$2001,F75,LOG!$E$2:$E$2001,"",LOG!$D$2:$D$2001,"*BOOKED")))),"")</f>
        <v/>
      </c>
      <c r="AN75" s="28" t="str">
        <f t="shared" si="18"/>
        <v/>
      </c>
      <c r="AO75" s="28">
        <f>IF(AND(M75=1,AN75&lt;&gt;""),IF(AN75&lt;=SETTINGS!$B$5,1,0),0)</f>
        <v>0</v>
      </c>
      <c r="AP75" s="28">
        <f>IF(M75=1,IF(COUNTIFS(LOG!$C$2:$C$2001,F75,LOG!$E$2:$E$2001,B75,LOG!$D$2:$D$2001,"BOOKED")+COUNTIFS(LOG!$C$2:$C$2001,F75,LOG!$E$2:$E$2001,"",LOG!$D$2:$D$2001,"BOOKED")&gt;0,1,0),0)</f>
        <v>0</v>
      </c>
      <c r="AQ75" s="28" t="str">
        <f t="shared" si="19"/>
        <v>Isha</v>
      </c>
      <c r="AR75" s="28">
        <f>IF(AND(AK75=1,K75="OK"),COUNTIFS($AK$2:AK75,1,$K$2:K75,"OK"),"")</f>
        <v>72</v>
      </c>
      <c r="AS75" s="28" t="str">
        <f>IF(L75=1,IFERROR(INDEX(MESSAGES!$J$9:$J$1008,MATCH(F75,MESSAGES!$M$9:$M$1008,0))&amp;"",""),"")</f>
        <v/>
      </c>
      <c r="AT75" s="28" t="str">
        <f>IF(L75=1,IFERROR(INDEX(MESSAGES!$K$9:$K$1008,MATCH(F75,MESSAGES!$M$9:$M$1008,0))&amp;"",""),"")</f>
        <v/>
      </c>
      <c r="AU75" s="28">
        <f t="shared" ca="1" si="20"/>
        <v>0</v>
      </c>
      <c r="AV75" s="28" t="str">
        <f t="shared" si="21"/>
        <v>SEND</v>
      </c>
    </row>
    <row r="76" spans="1:48" x14ac:dyDescent="0.35">
      <c r="A76" s="28">
        <v>75</v>
      </c>
      <c r="B76" s="28" t="str">
        <f>IF(INPUT!A76="","",TRIM(INPUT!A76))</f>
        <v>Partner 002</v>
      </c>
      <c r="C76" s="28" t="str">
        <f>IF(B76="","",INPUT!C76)</f>
        <v>interviewer0@partner002.example.com</v>
      </c>
      <c r="D76" s="28" t="str">
        <f>IF(B76="","",INPUT!D76)</f>
        <v>Isha H.</v>
      </c>
      <c r="E76" s="28" t="str">
        <f>IF(B76="","",INPUT!E76)</f>
        <v>isha.h235@example.com</v>
      </c>
      <c r="F76" s="43" t="str">
        <f>IF(B76="","",TRIM(INPUT!F76&amp;""))</f>
        <v>9000003062</v>
      </c>
      <c r="G76" s="28" t="str">
        <f>IF(B76="","",INPUT!H76)</f>
        <v>Round1</v>
      </c>
      <c r="H76" s="46">
        <f>IF(B76="","",INPUT!I76)</f>
        <v>46308.82708333333</v>
      </c>
      <c r="I76" s="28" t="str">
        <f>IF(B76="","",IF(INPUT!J76="","None",INPUT!J76))</f>
        <v>None</v>
      </c>
      <c r="J76" s="28" t="str">
        <f t="shared" si="11"/>
        <v>isha.h235@example.com|partner 002|Round1|interviewer0@partner002.example.com</v>
      </c>
      <c r="K76" s="28" t="str">
        <f>IF(B76="","",IF(SUMPRODUCT(($J$2:$J$601=J76)*($H$2:$H$601&lt;H76))+SUMPRODUCT(($J$2:J76=J76)*($H$2:H76=H76))-1&gt;0,"DUPLICATE",IF(AND(ISNUMBER(SEARCH("@",E76)),ISNUMBER(SEARCH(".",E76)),LEN(F76)=10,ISNUMBER(VALUE(F76))),"OK","BAD CONTACT")))</f>
        <v>OK</v>
      </c>
      <c r="L76" s="28">
        <f t="shared" si="12"/>
        <v>1</v>
      </c>
      <c r="M76" s="28">
        <f>IF(L76=1,IF(COUNTIFS(LOG!$C$2:$C$2001,F76,LOG!$E$2:$E$2001,B76,LOG!$D$2:$D$2001,"*BOOKED")+COUNTIFS(LOG!$C$2:$C$2001,F76,LOG!$E$2:$E$2001,"",LOG!$D$2:$D$2001,"*BOOKED")&gt;0,1,0),0)</f>
        <v>0</v>
      </c>
      <c r="N76" s="28">
        <f>IF(L76=1,IF(COUNTIFS(LOG!$C$2:$C$2001,F76,LOG!$E$2:$E$2001,B76,LOG!$D$2:$D$2001,"NOT_INTERESTED")+COUNTIFS(LOG!$C$2:$C$2001,F76,LOG!$E$2:$E$2001,"",LOG!$D$2:$D$2001,"NOT_INTERESTED")&gt;0,1,0),0)</f>
        <v>0</v>
      </c>
      <c r="O76" s="28">
        <f>IF(L76=1,IF(COUNTIFS(LOG!$C$2:$C$2001,F76,LOG!$D$2:$D$2001,"STOP")+COUNTIFS(LOG!$C$2:$C$2001,F76,LOG!$D$2:$D$2001,"WRONG_NUMBER")&gt;0,1,IF(ISNUMBER(SEARCH("STOP",AT76)),1,0)),0)</f>
        <v>0</v>
      </c>
      <c r="P76" s="28">
        <f>IF(L76=1,IF(IFERROR(INDEX(PARTNERS!$D$2:$D$88,MATCH(B76,PARTNERS!$A$2:$A$88,0)),"")="NO SLOTS",1,IF(AND(IFERROR(INDEX(PARTNERS!$D$2:$D$88,MATCH(B76,PARTNERS!$A$2:$A$88,0)),"")&lt;&gt;"REOPENED",COUNTIFS(LOG!$E$2:$E$2001,B76,LOG!$D$2:$D$2001,"NO_SLOTS")&gt;0),1,0)),0)</f>
        <v>0</v>
      </c>
      <c r="Q76" s="28">
        <f>IF(L76=1,COUNTIFS(LOG!$C$2:$C$2001,F76,LOG!$H$2:$H$2001,1),0)</f>
        <v>0</v>
      </c>
      <c r="R76" s="46">
        <f>IF(Q76&gt;0,_xlfn.MAXIFS(LOG!$G$2:$G$2001,LOG!$C$2:$C$2001,F76,LOG!$H$2:$H$2001,1),0)</f>
        <v>0</v>
      </c>
      <c r="S76" s="28" t="str">
        <f>IF(Q76&gt;0,IFERROR(INDEX(LOG!$D$2:$D$2001,MATCH(F76&amp;"|"&amp;Q76,LOG!$I$2:$I$2001,0)),""),"")</f>
        <v/>
      </c>
      <c r="T76" s="28">
        <f>IF(S76="",0,IFERROR(VLOOKUP(S76,LISTS!$A$2:$E$10,4,FALSE),0))</f>
        <v>0</v>
      </c>
      <c r="U76" s="46">
        <f t="shared" si="13"/>
        <v>0</v>
      </c>
      <c r="V76" s="46">
        <f>IF(L76=1,H76+SETTINGS!$B$5/24,"")</f>
        <v>46309.82708333333</v>
      </c>
      <c r="W76" s="28">
        <f ca="1">IF(L76=1,(V76-SETTINGS!$B$4)*24,"")</f>
        <v>-1.6666666720993817E-2</v>
      </c>
      <c r="X76" s="28">
        <f ca="1">IF(AND(L76=1,K76="OK",M76=0,N76=0,O76=0,P76=0,SETTINGS!$B$4&lt;V76,Q76&lt;SETTINGS!$B$6),1,0)</f>
        <v>0</v>
      </c>
      <c r="Y76" s="28">
        <f ca="1">IF(AND(X76=1,SETTINGS!$B$4&gt;=H76,SETTINGS!$B$4&gt;=U76,ROUND(MOD(SETTINGS!$B$4,1)*1440,0)&gt;=ROUND(SETTINGS!$B$7*1440,0),ROUND(MOD(SETTINGS!$B$4,1)*1440,0)&lt;ROUND(SETTINGS!$B$8*1440,0)),1,0)</f>
        <v>0</v>
      </c>
      <c r="Z76" s="28" t="str">
        <f ca="1">IF(B76="","",IF(ROUND(MOD(SETTINGS!$B$4,1)*1440,0)&lt;ROUND(SETTINGS!$B$11*1440,0),"Ram",IF(ROUND(MOD(SETTINGS!$B$4,1)*1440,0)&gt;=ROUND(SETTINGS!$B$10*1440,0),"Shyam",IF(MOD(IFERROR(VALUE(RIGHT(F76,2)),0),2)=0,"Ram","Shyam"))))</f>
        <v>Shyam</v>
      </c>
      <c r="AA76" s="28">
        <f t="shared" ca="1" si="14"/>
        <v>0</v>
      </c>
      <c r="AB76" s="28">
        <f ca="1">IF(X76=1,COUNTIFS($F$2:F76,F76,$X$2:X76,1),0)</f>
        <v>0</v>
      </c>
      <c r="AC76" s="28" t="str">
        <f>IF(L76=1,IF(IFERROR(INDEX(PARTNERS!$C$2:$C$88,MATCH(B76,PARTNERS!$A$2:$A$88,0)),"")="YES","YES","NO"),"")</f>
        <v>YES</v>
      </c>
      <c r="AD76" s="28" t="str">
        <f>IF(L76=1,IFERROR(INDEX(PARTNERS!$B$2:$B$88,MATCH(B76,PARTNERS!$A$2:$A$88,0)),""),"")</f>
        <v>https://calendly.com/partner002/interview</v>
      </c>
      <c r="AE76" s="28">
        <f ca="1">IF(X76=1,IFERROR(INDEX(SETTINGS!$B$34:$D$36,MATCH(I76,SETTINGS!$A$34:$A$36,0),MIN(Q76,2)+1),SETTINGS!$B$36),0)</f>
        <v>0</v>
      </c>
      <c r="AF76" s="28">
        <f t="shared" si="15"/>
        <v>1</v>
      </c>
      <c r="AG76" s="28">
        <f ca="1">IF(AND(Y76=1,AB76=1),ROUND(AA76*AE76*IF(AF76&gt;1,SETTINGS!$B$16,1)*IF(W76&lt;=SETTINGS!$B$14,SETTINGS!$B$15,1)*IF(AU76=1,SETTINGS!$B$21,1),6),0)</f>
        <v>0</v>
      </c>
      <c r="AH76" s="28" t="str">
        <f ca="1">IF(AG76&gt;0,COUNTIFS($Z$2:$Z$601,Z76,$AG$2:$AG$601,"&gt;"&amp;AG76)+COUNTIFS($Z$2:Z76,Z76,$AG$2:AG76,AG76),"")</f>
        <v/>
      </c>
      <c r="AI76" s="28" t="str">
        <f t="shared" ca="1" si="16"/>
        <v/>
      </c>
      <c r="AJ76" s="28" t="str">
        <f t="shared" ca="1" si="17"/>
        <v/>
      </c>
      <c r="AK76" s="28">
        <f>IF(L76=1,IF(COUNTIFS($F$2:F76,F76,$L$2:L76,1)=1,1,0),0)</f>
        <v>1</v>
      </c>
      <c r="AL76" s="28" t="str">
        <f ca="1">IF(B76="","",IF(K76="DUPLICATE","Duplicate (removed)",IF(AO76=1,"Scheduled within 24h",IF(M76=1,"Scheduled late",IF(K76="BAD CONTACT","Bad contact details",IF(O76=1,"Stopped / wrong number",IF(N76=1,"Not interested",IF(P76=1,"Partner has no slots",IF(SETTINGS!$B$4&gt;=V76,IF(Q76=0,"Missed deadline: never tried","Missed deadline: tried, not booked"),IF(Q76&gt;=SETTINGS!$B$6,"No reply after max tries","Open"))))))))))</f>
        <v>Missed deadline: never tried</v>
      </c>
      <c r="AM76" s="46" t="str">
        <f>IF(M76=1,IF(_xlfn.MINIFS(LOG!$G$2:$G$2001,LOG!$C$2:$C$2001,F76,LOG!$E$2:$E$2001,B76,LOG!$D$2:$D$2001,"*BOOKED")=0,_xlfn.MINIFS(LOG!$G$2:$G$2001,LOG!$C$2:$C$2001,F76,LOG!$E$2:$E$2001,"",LOG!$D$2:$D$2001,"*BOOKED"),IF(_xlfn.MINIFS(LOG!$G$2:$G$2001,LOG!$C$2:$C$2001,F76,LOG!$E$2:$E$2001,"",LOG!$D$2:$D$2001,"*BOOKED")=0,_xlfn.MINIFS(LOG!$G$2:$G$2001,LOG!$C$2:$C$2001,F76,LOG!$E$2:$E$2001,B76,LOG!$D$2:$D$2001,"*BOOKED"),MIN(_xlfn.MINIFS(LOG!$G$2:$G$2001,LOG!$C$2:$C$2001,F76,LOG!$E$2:$E$2001,B76,LOG!$D$2:$D$2001,"*BOOKED"),_xlfn.MINIFS(LOG!$G$2:$G$2001,LOG!$C$2:$C$2001,F76,LOG!$E$2:$E$2001,"",LOG!$D$2:$D$2001,"*BOOKED")))),"")</f>
        <v/>
      </c>
      <c r="AN76" s="28" t="str">
        <f t="shared" si="18"/>
        <v/>
      </c>
      <c r="AO76" s="28">
        <f>IF(AND(M76=1,AN76&lt;&gt;""),IF(AN76&lt;=SETTINGS!$B$5,1,0),0)</f>
        <v>0</v>
      </c>
      <c r="AP76" s="28">
        <f>IF(M76=1,IF(COUNTIFS(LOG!$C$2:$C$2001,F76,LOG!$E$2:$E$2001,B76,LOG!$D$2:$D$2001,"BOOKED")+COUNTIFS(LOG!$C$2:$C$2001,F76,LOG!$E$2:$E$2001,"",LOG!$D$2:$D$2001,"BOOKED")&gt;0,1,0),0)</f>
        <v>0</v>
      </c>
      <c r="AQ76" s="28" t="str">
        <f t="shared" si="19"/>
        <v>Isha</v>
      </c>
      <c r="AR76" s="28">
        <f>IF(AND(AK76=1,K76="OK"),COUNTIFS($AK$2:AK76,1,$K$2:K76,"OK"),"")</f>
        <v>73</v>
      </c>
      <c r="AS76" s="28" t="str">
        <f>IF(L76=1,IFERROR(INDEX(MESSAGES!$J$9:$J$1008,MATCH(F76,MESSAGES!$M$9:$M$1008,0))&amp;"",""),"")</f>
        <v/>
      </c>
      <c r="AT76" s="28" t="str">
        <f>IF(L76=1,IFERROR(INDEX(MESSAGES!$K$9:$K$1008,MATCH(F76,MESSAGES!$M$9:$M$1008,0))&amp;"",""),"")</f>
        <v/>
      </c>
      <c r="AU76" s="28">
        <f t="shared" ca="1" si="20"/>
        <v>0</v>
      </c>
      <c r="AV76" s="28" t="str">
        <f t="shared" si="21"/>
        <v>SEND</v>
      </c>
    </row>
    <row r="77" spans="1:48" x14ac:dyDescent="0.35">
      <c r="A77" s="28">
        <v>76</v>
      </c>
      <c r="B77" s="28" t="str">
        <f>IF(INPUT!A77="","",TRIM(INPUT!A77))</f>
        <v>Partner 004</v>
      </c>
      <c r="C77" s="28" t="str">
        <f>IF(B77="","",INPUT!C77)</f>
        <v>interviewer2@partner004.example.com</v>
      </c>
      <c r="D77" s="28" t="str">
        <f>IF(B77="","",INPUT!D77)</f>
        <v>Rohan H.</v>
      </c>
      <c r="E77" s="28" t="str">
        <f>IF(B77="","",INPUT!E77)</f>
        <v>rohan.h220@example.com</v>
      </c>
      <c r="F77" s="43" t="str">
        <f>IF(B77="","",TRIM(INPUT!F77&amp;""))</f>
        <v>9000002867</v>
      </c>
      <c r="G77" s="28" t="str">
        <f>IF(B77="","",INPUT!H77)</f>
        <v>Round1</v>
      </c>
      <c r="H77" s="46">
        <f>IF(B77="","",INPUT!I77)</f>
        <v>46308.82708333333</v>
      </c>
      <c r="I77" s="28" t="str">
        <f>IF(B77="","",IF(INPUT!J77="","None",INPUT!J77))</f>
        <v>Clicked</v>
      </c>
      <c r="J77" s="28" t="str">
        <f t="shared" si="11"/>
        <v>rohan.h220@example.com|partner 004|Round1|interviewer2@partner004.example.com</v>
      </c>
      <c r="K77" s="28" t="str">
        <f>IF(B77="","",IF(SUMPRODUCT(($J$2:$J$601=J77)*($H$2:$H$601&lt;H77))+SUMPRODUCT(($J$2:J77=J77)*($H$2:H77=H77))-1&gt;0,"DUPLICATE",IF(AND(ISNUMBER(SEARCH("@",E77)),ISNUMBER(SEARCH(".",E77)),LEN(F77)=10,ISNUMBER(VALUE(F77))),"OK","BAD CONTACT")))</f>
        <v>OK</v>
      </c>
      <c r="L77" s="28">
        <f t="shared" si="12"/>
        <v>1</v>
      </c>
      <c r="M77" s="28">
        <f>IF(L77=1,IF(COUNTIFS(LOG!$C$2:$C$2001,F77,LOG!$E$2:$E$2001,B77,LOG!$D$2:$D$2001,"*BOOKED")+COUNTIFS(LOG!$C$2:$C$2001,F77,LOG!$E$2:$E$2001,"",LOG!$D$2:$D$2001,"*BOOKED")&gt;0,1,0),0)</f>
        <v>1</v>
      </c>
      <c r="N77" s="28">
        <f>IF(L77=1,IF(COUNTIFS(LOG!$C$2:$C$2001,F77,LOG!$E$2:$E$2001,B77,LOG!$D$2:$D$2001,"NOT_INTERESTED")+COUNTIFS(LOG!$C$2:$C$2001,F77,LOG!$E$2:$E$2001,"",LOG!$D$2:$D$2001,"NOT_INTERESTED")&gt;0,1,0),0)</f>
        <v>0</v>
      </c>
      <c r="O77" s="28">
        <f>IF(L77=1,IF(COUNTIFS(LOG!$C$2:$C$2001,F77,LOG!$D$2:$D$2001,"STOP")+COUNTIFS(LOG!$C$2:$C$2001,F77,LOG!$D$2:$D$2001,"WRONG_NUMBER")&gt;0,1,IF(ISNUMBER(SEARCH("STOP",AT77)),1,0)),0)</f>
        <v>0</v>
      </c>
      <c r="P77" s="28">
        <f>IF(L77=1,IF(IFERROR(INDEX(PARTNERS!$D$2:$D$88,MATCH(B77,PARTNERS!$A$2:$A$88,0)),"")="NO SLOTS",1,IF(AND(IFERROR(INDEX(PARTNERS!$D$2:$D$88,MATCH(B77,PARTNERS!$A$2:$A$88,0)),"")&lt;&gt;"REOPENED",COUNTIFS(LOG!$E$2:$E$2001,B77,LOG!$D$2:$D$2001,"NO_SLOTS")&gt;0),1,0)),0)</f>
        <v>0</v>
      </c>
      <c r="Q77" s="28">
        <f>IF(L77=1,COUNTIFS(LOG!$C$2:$C$2001,F77,LOG!$H$2:$H$2001,1),0)</f>
        <v>0</v>
      </c>
      <c r="R77" s="46">
        <f>IF(Q77&gt;0,_xlfn.MAXIFS(LOG!$G$2:$G$2001,LOG!$C$2:$C$2001,F77,LOG!$H$2:$H$2001,1),0)</f>
        <v>0</v>
      </c>
      <c r="S77" s="28" t="str">
        <f>IF(Q77&gt;0,IFERROR(INDEX(LOG!$D$2:$D$2001,MATCH(F77&amp;"|"&amp;Q77,LOG!$I$2:$I$2001,0)),""),"")</f>
        <v/>
      </c>
      <c r="T77" s="28">
        <f>IF(S77="",0,IFERROR(VLOOKUP(S77,LISTS!$A$2:$E$10,4,FALSE),0))</f>
        <v>0</v>
      </c>
      <c r="U77" s="46">
        <f t="shared" si="13"/>
        <v>0</v>
      </c>
      <c r="V77" s="46">
        <f>IF(L77=1,H77+SETTINGS!$B$5/24,"")</f>
        <v>46309.82708333333</v>
      </c>
      <c r="W77" s="28">
        <f ca="1">IF(L77=1,(V77-SETTINGS!$B$4)*24,"")</f>
        <v>-1.6666666720993817E-2</v>
      </c>
      <c r="X77" s="28">
        <f ca="1">IF(AND(L77=1,K77="OK",M77=0,N77=0,O77=0,P77=0,SETTINGS!$B$4&lt;V77,Q77&lt;SETTINGS!$B$6),1,0)</f>
        <v>0</v>
      </c>
      <c r="Y77" s="28">
        <f ca="1">IF(AND(X77=1,SETTINGS!$B$4&gt;=H77,SETTINGS!$B$4&gt;=U77,ROUND(MOD(SETTINGS!$B$4,1)*1440,0)&gt;=ROUND(SETTINGS!$B$7*1440,0),ROUND(MOD(SETTINGS!$B$4,1)*1440,0)&lt;ROUND(SETTINGS!$B$8*1440,0)),1,0)</f>
        <v>0</v>
      </c>
      <c r="Z77" s="28" t="str">
        <f ca="1">IF(B77="","",IF(ROUND(MOD(SETTINGS!$B$4,1)*1440,0)&lt;ROUND(SETTINGS!$B$11*1440,0),"Ram",IF(ROUND(MOD(SETTINGS!$B$4,1)*1440,0)&gt;=ROUND(SETTINGS!$B$10*1440,0),"Shyam",IF(MOD(IFERROR(VALUE(RIGHT(F77,2)),0),2)=0,"Ram","Shyam"))))</f>
        <v>Shyam</v>
      </c>
      <c r="AA77" s="28">
        <f t="shared" ca="1" si="14"/>
        <v>0</v>
      </c>
      <c r="AB77" s="28">
        <f ca="1">IF(X77=1,COUNTIFS($F$2:F77,F77,$X$2:X77,1),0)</f>
        <v>0</v>
      </c>
      <c r="AC77" s="28" t="str">
        <f>IF(L77=1,IF(IFERROR(INDEX(PARTNERS!$C$2:$C$88,MATCH(B77,PARTNERS!$A$2:$A$88,0)),"")="YES","YES","NO"),"")</f>
        <v>YES</v>
      </c>
      <c r="AD77" s="28" t="str">
        <f>IF(L77=1,IFERROR(INDEX(PARTNERS!$B$2:$B$88,MATCH(B77,PARTNERS!$A$2:$A$88,0)),""),"")</f>
        <v>https://calendly.com/partner004/interview</v>
      </c>
      <c r="AE77" s="28">
        <f ca="1">IF(X77=1,IFERROR(INDEX(SETTINGS!$B$34:$D$36,MATCH(I77,SETTINGS!$A$34:$A$36,0),MIN(Q77,2)+1),SETTINGS!$B$36),0)</f>
        <v>0</v>
      </c>
      <c r="AF77" s="28">
        <f t="shared" si="15"/>
        <v>1</v>
      </c>
      <c r="AG77" s="28">
        <f ca="1">IF(AND(Y77=1,AB77=1),ROUND(AA77*AE77*IF(AF77&gt;1,SETTINGS!$B$16,1)*IF(W77&lt;=SETTINGS!$B$14,SETTINGS!$B$15,1)*IF(AU77=1,SETTINGS!$B$21,1),6),0)</f>
        <v>0</v>
      </c>
      <c r="AH77" s="28" t="str">
        <f ca="1">IF(AG77&gt;0,COUNTIFS($Z$2:$Z$601,Z77,$AG$2:$AG$601,"&gt;"&amp;AG77)+COUNTIFS($Z$2:Z77,Z77,$AG$2:AG77,AG77),"")</f>
        <v/>
      </c>
      <c r="AI77" s="28" t="str">
        <f t="shared" ca="1" si="16"/>
        <v/>
      </c>
      <c r="AJ77" s="28" t="str">
        <f t="shared" ca="1" si="17"/>
        <v/>
      </c>
      <c r="AK77" s="28">
        <f>IF(L77=1,IF(COUNTIFS($F$2:F77,F77,$L$2:L77,1)=1,1,0),0)</f>
        <v>1</v>
      </c>
      <c r="AL77" s="28" t="str">
        <f>IF(B77="","",IF(K77="DUPLICATE","Duplicate (removed)",IF(AO77=1,"Scheduled within 24h",IF(M77=1,"Scheduled late",IF(K77="BAD CONTACT","Bad contact details",IF(O77=1,"Stopped / wrong number",IF(N77=1,"Not interested",IF(P77=1,"Partner has no slots",IF(SETTINGS!$B$4&gt;=V77,IF(Q77=0,"Missed deadline: never tried","Missed deadline: tried, not booked"),IF(Q77&gt;=SETTINGS!$B$6,"No reply after max tries","Open"))))))))))</f>
        <v>Scheduled within 24h</v>
      </c>
      <c r="AM77" s="46">
        <f>IF(M77=1,IF(_xlfn.MINIFS(LOG!$G$2:$G$2001,LOG!$C$2:$C$2001,F77,LOG!$E$2:$E$2001,B77,LOG!$D$2:$D$2001,"*BOOKED")=0,_xlfn.MINIFS(LOG!$G$2:$G$2001,LOG!$C$2:$C$2001,F77,LOG!$E$2:$E$2001,"",LOG!$D$2:$D$2001,"*BOOKED"),IF(_xlfn.MINIFS(LOG!$G$2:$G$2001,LOG!$C$2:$C$2001,F77,LOG!$E$2:$E$2001,"",LOG!$D$2:$D$2001,"*BOOKED")=0,_xlfn.MINIFS(LOG!$G$2:$G$2001,LOG!$C$2:$C$2001,F77,LOG!$E$2:$E$2001,B77,LOG!$D$2:$D$2001,"*BOOKED"),MIN(_xlfn.MINIFS(LOG!$G$2:$G$2001,LOG!$C$2:$C$2001,F77,LOG!$E$2:$E$2001,B77,LOG!$D$2:$D$2001,"*BOOKED"),_xlfn.MINIFS(LOG!$G$2:$G$2001,LOG!$C$2:$C$2001,F77,LOG!$E$2:$E$2001,"",LOG!$D$2:$D$2001,"*BOOKED")))),"")</f>
        <v>46309.339413047972</v>
      </c>
      <c r="AN77" s="28">
        <f t="shared" si="18"/>
        <v>12.295913151407149</v>
      </c>
      <c r="AO77" s="28">
        <f>IF(AND(M77=1,AN77&lt;&gt;""),IF(AN77&lt;=SETTINGS!$B$5,1,0),0)</f>
        <v>1</v>
      </c>
      <c r="AP77" s="28">
        <f>IF(M77=1,IF(COUNTIFS(LOG!$C$2:$C$2001,F77,LOG!$E$2:$E$2001,B77,LOG!$D$2:$D$2001,"BOOKED")+COUNTIFS(LOG!$C$2:$C$2001,F77,LOG!$E$2:$E$2001,"",LOG!$D$2:$D$2001,"BOOKED")&gt;0,1,0),0)</f>
        <v>0</v>
      </c>
      <c r="AQ77" s="28" t="str">
        <f t="shared" si="19"/>
        <v>Rohan</v>
      </c>
      <c r="AR77" s="28">
        <f>IF(AND(AK77=1,K77="OK"),COUNTIFS($AK$2:AK77,1,$K$2:K77,"OK"),"")</f>
        <v>74</v>
      </c>
      <c r="AS77" s="28" t="str">
        <f>IF(L77=1,IFERROR(INDEX(MESSAGES!$J$9:$J$1008,MATCH(F77,MESSAGES!$M$9:$M$1008,0))&amp;"",""),"")</f>
        <v/>
      </c>
      <c r="AT77" s="28" t="str">
        <f>IF(L77=1,IFERROR(INDEX(MESSAGES!$K$9:$K$1008,MATCH(F77,MESSAGES!$M$9:$M$1008,0))&amp;"",""),"")</f>
        <v/>
      </c>
      <c r="AU77" s="28">
        <f t="shared" ca="1" si="20"/>
        <v>0</v>
      </c>
      <c r="AV77" s="28" t="str">
        <f t="shared" si="21"/>
        <v>SEND</v>
      </c>
    </row>
    <row r="78" spans="1:48" x14ac:dyDescent="0.35">
      <c r="A78" s="28">
        <v>77</v>
      </c>
      <c r="B78" s="28" t="str">
        <f>IF(INPUT!A78="","",TRIM(INPUT!A78))</f>
        <v>Partner 015</v>
      </c>
      <c r="C78" s="28" t="str">
        <f>IF(B78="","",INPUT!C78)</f>
        <v>interviewer0@partner015.example.com</v>
      </c>
      <c r="D78" s="28" t="str">
        <f>IF(B78="","",INPUT!D78)</f>
        <v>Ananya G.</v>
      </c>
      <c r="E78" s="28" t="str">
        <f>IF(B78="","",INPUT!E78)</f>
        <v>ananya.g183@example.com</v>
      </c>
      <c r="F78" s="43" t="str">
        <f>IF(B78="","",TRIM(INPUT!F78&amp;""))</f>
        <v>9000002386</v>
      </c>
      <c r="G78" s="28" t="str">
        <f>IF(B78="","",INPUT!H78)</f>
        <v>Round1</v>
      </c>
      <c r="H78" s="46">
        <f>IF(B78="","",INPUT!I78)</f>
        <v>46308.82708333333</v>
      </c>
      <c r="I78" s="28" t="str">
        <f>IF(B78="","",IF(INPUT!J78="","None",INPUT!J78))</f>
        <v>None</v>
      </c>
      <c r="J78" s="28" t="str">
        <f t="shared" si="11"/>
        <v>ananya.g183@example.com|partner 015|Round1|interviewer0@partner015.example.com</v>
      </c>
      <c r="K78" s="28" t="str">
        <f>IF(B78="","",IF(SUMPRODUCT(($J$2:$J$601=J78)*($H$2:$H$601&lt;H78))+SUMPRODUCT(($J$2:J78=J78)*($H$2:H78=H78))-1&gt;0,"DUPLICATE",IF(AND(ISNUMBER(SEARCH("@",E78)),ISNUMBER(SEARCH(".",E78)),LEN(F78)=10,ISNUMBER(VALUE(F78))),"OK","BAD CONTACT")))</f>
        <v>OK</v>
      </c>
      <c r="L78" s="28">
        <f t="shared" si="12"/>
        <v>1</v>
      </c>
      <c r="M78" s="28">
        <f>IF(L78=1,IF(COUNTIFS(LOG!$C$2:$C$2001,F78,LOG!$E$2:$E$2001,B78,LOG!$D$2:$D$2001,"*BOOKED")+COUNTIFS(LOG!$C$2:$C$2001,F78,LOG!$E$2:$E$2001,"",LOG!$D$2:$D$2001,"*BOOKED")&gt;0,1,0),0)</f>
        <v>0</v>
      </c>
      <c r="N78" s="28">
        <f>IF(L78=1,IF(COUNTIFS(LOG!$C$2:$C$2001,F78,LOG!$E$2:$E$2001,B78,LOG!$D$2:$D$2001,"NOT_INTERESTED")+COUNTIFS(LOG!$C$2:$C$2001,F78,LOG!$E$2:$E$2001,"",LOG!$D$2:$D$2001,"NOT_INTERESTED")&gt;0,1,0),0)</f>
        <v>0</v>
      </c>
      <c r="O78" s="28">
        <f>IF(L78=1,IF(COUNTIFS(LOG!$C$2:$C$2001,F78,LOG!$D$2:$D$2001,"STOP")+COUNTIFS(LOG!$C$2:$C$2001,F78,LOG!$D$2:$D$2001,"WRONG_NUMBER")&gt;0,1,IF(ISNUMBER(SEARCH("STOP",AT78)),1,0)),0)</f>
        <v>0</v>
      </c>
      <c r="P78" s="28">
        <f>IF(L78=1,IF(IFERROR(INDEX(PARTNERS!$D$2:$D$88,MATCH(B78,PARTNERS!$A$2:$A$88,0)),"")="NO SLOTS",1,IF(AND(IFERROR(INDEX(PARTNERS!$D$2:$D$88,MATCH(B78,PARTNERS!$A$2:$A$88,0)),"")&lt;&gt;"REOPENED",COUNTIFS(LOG!$E$2:$E$2001,B78,LOG!$D$2:$D$2001,"NO_SLOTS")&gt;0),1,0)),0)</f>
        <v>0</v>
      </c>
      <c r="Q78" s="28">
        <f>IF(L78=1,COUNTIFS(LOG!$C$2:$C$2001,F78,LOG!$H$2:$H$2001,1),0)</f>
        <v>2</v>
      </c>
      <c r="R78" s="46">
        <f>IF(Q78&gt;0,_xlfn.MAXIFS(LOG!$G$2:$G$2001,LOG!$C$2:$C$2001,F78,LOG!$H$2:$H$2001,1),0)</f>
        <v>46309.633741108482</v>
      </c>
      <c r="S78" s="28" t="str">
        <f>IF(Q78&gt;0,IFERROR(INDEX(LOG!$D$2:$D$2001,MATCH(F78&amp;"|"&amp;Q78,LOG!$I$2:$I$2001,0)),""),"")</f>
        <v>NO_ANSWER</v>
      </c>
      <c r="T78" s="28">
        <f>IF(S78="",0,IFERROR(VLOOKUP(S78,LISTS!$A$2:$E$10,4,FALSE),0))</f>
        <v>120</v>
      </c>
      <c r="U78" s="46">
        <f t="shared" si="13"/>
        <v>46309.717074441818</v>
      </c>
      <c r="V78" s="46">
        <f>IF(L78=1,H78+SETTINGS!$B$5/24,"")</f>
        <v>46309.82708333333</v>
      </c>
      <c r="W78" s="28">
        <f ca="1">IF(L78=1,(V78-SETTINGS!$B$4)*24,"")</f>
        <v>-1.6666666720993817E-2</v>
      </c>
      <c r="X78" s="28">
        <f ca="1">IF(AND(L78=1,K78="OK",M78=0,N78=0,O78=0,P78=0,SETTINGS!$B$4&lt;V78,Q78&lt;SETTINGS!$B$6),1,0)</f>
        <v>0</v>
      </c>
      <c r="Y78" s="28">
        <f ca="1">IF(AND(X78=1,SETTINGS!$B$4&gt;=H78,SETTINGS!$B$4&gt;=U78,ROUND(MOD(SETTINGS!$B$4,1)*1440,0)&gt;=ROUND(SETTINGS!$B$7*1440,0),ROUND(MOD(SETTINGS!$B$4,1)*1440,0)&lt;ROUND(SETTINGS!$B$8*1440,0)),1,0)</f>
        <v>0</v>
      </c>
      <c r="Z78" s="28" t="str">
        <f ca="1">IF(B78="","",IF(ROUND(MOD(SETTINGS!$B$4,1)*1440,0)&lt;ROUND(SETTINGS!$B$11*1440,0),"Ram",IF(ROUND(MOD(SETTINGS!$B$4,1)*1440,0)&gt;=ROUND(SETTINGS!$B$10*1440,0),"Shyam",IF(MOD(IFERROR(VALUE(RIGHT(F78,2)),0),2)=0,"Ram","Shyam"))))</f>
        <v>Shyam</v>
      </c>
      <c r="AA78" s="28">
        <f t="shared" ca="1" si="14"/>
        <v>0</v>
      </c>
      <c r="AB78" s="28">
        <f ca="1">IF(X78=1,COUNTIFS($F$2:F78,F78,$X$2:X78,1),0)</f>
        <v>0</v>
      </c>
      <c r="AC78" s="28" t="str">
        <f>IF(L78=1,IF(IFERROR(INDEX(PARTNERS!$C$2:$C$88,MATCH(B78,PARTNERS!$A$2:$A$88,0)),"")="YES","YES","NO"),"")</f>
        <v>YES</v>
      </c>
      <c r="AD78" s="28" t="str">
        <f>IF(L78=1,IFERROR(INDEX(PARTNERS!$B$2:$B$88,MATCH(B78,PARTNERS!$A$2:$A$88,0)),""),"")</f>
        <v>https://calendly.com/partner015/interview</v>
      </c>
      <c r="AE78" s="28">
        <f ca="1">IF(X78=1,IFERROR(INDEX(SETTINGS!$B$34:$D$36,MATCH(I78,SETTINGS!$A$34:$A$36,0),MIN(Q78,2)+1),SETTINGS!$B$36),0)</f>
        <v>0</v>
      </c>
      <c r="AF78" s="28">
        <f t="shared" si="15"/>
        <v>1</v>
      </c>
      <c r="AG78" s="28">
        <f ca="1">IF(AND(Y78=1,AB78=1),ROUND(AA78*AE78*IF(AF78&gt;1,SETTINGS!$B$16,1)*IF(W78&lt;=SETTINGS!$B$14,SETTINGS!$B$15,1)*IF(AU78=1,SETTINGS!$B$21,1),6),0)</f>
        <v>0</v>
      </c>
      <c r="AH78" s="28" t="str">
        <f ca="1">IF(AG78&gt;0,COUNTIFS($Z$2:$Z$601,Z78,$AG$2:$AG$601,"&gt;"&amp;AG78)+COUNTIFS($Z$2:Z78,Z78,$AG$2:AG78,AG78),"")</f>
        <v/>
      </c>
      <c r="AI78" s="28" t="str">
        <f t="shared" ca="1" si="16"/>
        <v/>
      </c>
      <c r="AJ78" s="28" t="str">
        <f t="shared" ca="1" si="17"/>
        <v/>
      </c>
      <c r="AK78" s="28">
        <f>IF(L78=1,IF(COUNTIFS($F$2:F78,F78,$L$2:L78,1)=1,1,0),0)</f>
        <v>1</v>
      </c>
      <c r="AL78" s="28" t="str">
        <f ca="1">IF(B78="","",IF(K78="DUPLICATE","Duplicate (removed)",IF(AO78=1,"Scheduled within 24h",IF(M78=1,"Scheduled late",IF(K78="BAD CONTACT","Bad contact details",IF(O78=1,"Stopped / wrong number",IF(N78=1,"Not interested",IF(P78=1,"Partner has no slots",IF(SETTINGS!$B$4&gt;=V78,IF(Q78=0,"Missed deadline: never tried","Missed deadline: tried, not booked"),IF(Q78&gt;=SETTINGS!$B$6,"No reply after max tries","Open"))))))))))</f>
        <v>Missed deadline: tried, not booked</v>
      </c>
      <c r="AM78" s="46" t="str">
        <f>IF(M78=1,IF(_xlfn.MINIFS(LOG!$G$2:$G$2001,LOG!$C$2:$C$2001,F78,LOG!$E$2:$E$2001,B78,LOG!$D$2:$D$2001,"*BOOKED")=0,_xlfn.MINIFS(LOG!$G$2:$G$2001,LOG!$C$2:$C$2001,F78,LOG!$E$2:$E$2001,"",LOG!$D$2:$D$2001,"*BOOKED"),IF(_xlfn.MINIFS(LOG!$G$2:$G$2001,LOG!$C$2:$C$2001,F78,LOG!$E$2:$E$2001,"",LOG!$D$2:$D$2001,"*BOOKED")=0,_xlfn.MINIFS(LOG!$G$2:$G$2001,LOG!$C$2:$C$2001,F78,LOG!$E$2:$E$2001,B78,LOG!$D$2:$D$2001,"*BOOKED"),MIN(_xlfn.MINIFS(LOG!$G$2:$G$2001,LOG!$C$2:$C$2001,F78,LOG!$E$2:$E$2001,B78,LOG!$D$2:$D$2001,"*BOOKED"),_xlfn.MINIFS(LOG!$G$2:$G$2001,LOG!$C$2:$C$2001,F78,LOG!$E$2:$E$2001,"",LOG!$D$2:$D$2001,"*BOOKED")))),"")</f>
        <v/>
      </c>
      <c r="AN78" s="28" t="str">
        <f t="shared" si="18"/>
        <v/>
      </c>
      <c r="AO78" s="28">
        <f>IF(AND(M78=1,AN78&lt;&gt;""),IF(AN78&lt;=SETTINGS!$B$5,1,0),0)</f>
        <v>0</v>
      </c>
      <c r="AP78" s="28">
        <f>IF(M78=1,IF(COUNTIFS(LOG!$C$2:$C$2001,F78,LOG!$E$2:$E$2001,B78,LOG!$D$2:$D$2001,"BOOKED")+COUNTIFS(LOG!$C$2:$C$2001,F78,LOG!$E$2:$E$2001,"",LOG!$D$2:$D$2001,"BOOKED")&gt;0,1,0),0)</f>
        <v>0</v>
      </c>
      <c r="AQ78" s="28" t="str">
        <f t="shared" si="19"/>
        <v>Ananya</v>
      </c>
      <c r="AR78" s="28">
        <f>IF(AND(AK78=1,K78="OK"),COUNTIFS($AK$2:AK78,1,$K$2:K78,"OK"),"")</f>
        <v>75</v>
      </c>
      <c r="AS78" s="28" t="str">
        <f>IF(L78=1,IFERROR(INDEX(MESSAGES!$J$9:$J$1008,MATCH(F78,MESSAGES!$M$9:$M$1008,0))&amp;"",""),"")</f>
        <v/>
      </c>
      <c r="AT78" s="28" t="str">
        <f>IF(L78=1,IFERROR(INDEX(MESSAGES!$K$9:$K$1008,MATCH(F78,MESSAGES!$M$9:$M$1008,0))&amp;"",""),"")</f>
        <v/>
      </c>
      <c r="AU78" s="28">
        <f t="shared" ca="1" si="20"/>
        <v>0</v>
      </c>
      <c r="AV78" s="28" t="str">
        <f t="shared" si="21"/>
        <v>SEND</v>
      </c>
    </row>
    <row r="79" spans="1:48" x14ac:dyDescent="0.35">
      <c r="A79" s="28">
        <v>78</v>
      </c>
      <c r="B79" s="28" t="str">
        <f>IF(INPUT!A79="","",TRIM(INPUT!A79))</f>
        <v>Partner 087</v>
      </c>
      <c r="C79" s="28" t="str">
        <f>IF(B79="","",INPUT!C79)</f>
        <v>interviewer0@partner087.example.com</v>
      </c>
      <c r="D79" s="28" t="str">
        <f>IF(B79="","",INPUT!D79)</f>
        <v>Ananya J.</v>
      </c>
      <c r="E79" s="28" t="str">
        <f>IF(B79="","",INPUT!E79)</f>
        <v>ananya.j243@example.com</v>
      </c>
      <c r="F79" s="43" t="str">
        <f>IF(B79="","",TRIM(INPUT!F79&amp;""))</f>
        <v>9000003166</v>
      </c>
      <c r="G79" s="28" t="str">
        <f>IF(B79="","",INPUT!H79)</f>
        <v>Round1</v>
      </c>
      <c r="H79" s="46">
        <f>IF(B79="","",INPUT!I79)</f>
        <v>46308.82708333333</v>
      </c>
      <c r="I79" s="28" t="str">
        <f>IF(B79="","",IF(INPUT!J79="","None",INPUT!J79))</f>
        <v>None</v>
      </c>
      <c r="J79" s="28" t="str">
        <f t="shared" si="11"/>
        <v>ananya.j243@example.com|partner 087|Round1|interviewer0@partner087.example.com</v>
      </c>
      <c r="K79" s="28" t="str">
        <f>IF(B79="","",IF(SUMPRODUCT(($J$2:$J$601=J79)*($H$2:$H$601&lt;H79))+SUMPRODUCT(($J$2:J79=J79)*($H$2:H79=H79))-1&gt;0,"DUPLICATE",IF(AND(ISNUMBER(SEARCH("@",E79)),ISNUMBER(SEARCH(".",E79)),LEN(F79)=10,ISNUMBER(VALUE(F79))),"OK","BAD CONTACT")))</f>
        <v>OK</v>
      </c>
      <c r="L79" s="28">
        <f t="shared" si="12"/>
        <v>1</v>
      </c>
      <c r="M79" s="28">
        <f>IF(L79=1,IF(COUNTIFS(LOG!$C$2:$C$2001,F79,LOG!$E$2:$E$2001,B79,LOG!$D$2:$D$2001,"*BOOKED")+COUNTIFS(LOG!$C$2:$C$2001,F79,LOG!$E$2:$E$2001,"",LOG!$D$2:$D$2001,"*BOOKED")&gt;0,1,0),0)</f>
        <v>0</v>
      </c>
      <c r="N79" s="28">
        <f>IF(L79=1,IF(COUNTIFS(LOG!$C$2:$C$2001,F79,LOG!$E$2:$E$2001,B79,LOG!$D$2:$D$2001,"NOT_INTERESTED")+COUNTIFS(LOG!$C$2:$C$2001,F79,LOG!$E$2:$E$2001,"",LOG!$D$2:$D$2001,"NOT_INTERESTED")&gt;0,1,0),0)</f>
        <v>0</v>
      </c>
      <c r="O79" s="28">
        <f>IF(L79=1,IF(COUNTIFS(LOG!$C$2:$C$2001,F79,LOG!$D$2:$D$2001,"STOP")+COUNTIFS(LOG!$C$2:$C$2001,F79,LOG!$D$2:$D$2001,"WRONG_NUMBER")&gt;0,1,IF(ISNUMBER(SEARCH("STOP",AT79)),1,0)),0)</f>
        <v>0</v>
      </c>
      <c r="P79" s="28">
        <f>IF(L79=1,IF(IFERROR(INDEX(PARTNERS!$D$2:$D$88,MATCH(B79,PARTNERS!$A$2:$A$88,0)),"")="NO SLOTS",1,IF(AND(IFERROR(INDEX(PARTNERS!$D$2:$D$88,MATCH(B79,PARTNERS!$A$2:$A$88,0)),"")&lt;&gt;"REOPENED",COUNTIFS(LOG!$E$2:$E$2001,B79,LOG!$D$2:$D$2001,"NO_SLOTS")&gt;0),1,0)),0)</f>
        <v>0</v>
      </c>
      <c r="Q79" s="28">
        <f>IF(L79=1,COUNTIFS(LOG!$C$2:$C$2001,F79,LOG!$H$2:$H$2001,1),0)</f>
        <v>0</v>
      </c>
      <c r="R79" s="46">
        <f>IF(Q79&gt;0,_xlfn.MAXIFS(LOG!$G$2:$G$2001,LOG!$C$2:$C$2001,F79,LOG!$H$2:$H$2001,1),0)</f>
        <v>0</v>
      </c>
      <c r="S79" s="28" t="str">
        <f>IF(Q79&gt;0,IFERROR(INDEX(LOG!$D$2:$D$2001,MATCH(F79&amp;"|"&amp;Q79,LOG!$I$2:$I$2001,0)),""),"")</f>
        <v/>
      </c>
      <c r="T79" s="28">
        <f>IF(S79="",0,IFERROR(VLOOKUP(S79,LISTS!$A$2:$E$10,4,FALSE),0))</f>
        <v>0</v>
      </c>
      <c r="U79" s="46">
        <f t="shared" si="13"/>
        <v>0</v>
      </c>
      <c r="V79" s="46">
        <f>IF(L79=1,H79+SETTINGS!$B$5/24,"")</f>
        <v>46309.82708333333</v>
      </c>
      <c r="W79" s="28">
        <f ca="1">IF(L79=1,(V79-SETTINGS!$B$4)*24,"")</f>
        <v>-1.6666666720993817E-2</v>
      </c>
      <c r="X79" s="28">
        <f ca="1">IF(AND(L79=1,K79="OK",M79=0,N79=0,O79=0,P79=0,SETTINGS!$B$4&lt;V79,Q79&lt;SETTINGS!$B$6),1,0)</f>
        <v>0</v>
      </c>
      <c r="Y79" s="28">
        <f ca="1">IF(AND(X79=1,SETTINGS!$B$4&gt;=H79,SETTINGS!$B$4&gt;=U79,ROUND(MOD(SETTINGS!$B$4,1)*1440,0)&gt;=ROUND(SETTINGS!$B$7*1440,0),ROUND(MOD(SETTINGS!$B$4,1)*1440,0)&lt;ROUND(SETTINGS!$B$8*1440,0)),1,0)</f>
        <v>0</v>
      </c>
      <c r="Z79" s="28" t="str">
        <f ca="1">IF(B79="","",IF(ROUND(MOD(SETTINGS!$B$4,1)*1440,0)&lt;ROUND(SETTINGS!$B$11*1440,0),"Ram",IF(ROUND(MOD(SETTINGS!$B$4,1)*1440,0)&gt;=ROUND(SETTINGS!$B$10*1440,0),"Shyam",IF(MOD(IFERROR(VALUE(RIGHT(F79,2)),0),2)=0,"Ram","Shyam"))))</f>
        <v>Shyam</v>
      </c>
      <c r="AA79" s="28">
        <f t="shared" ca="1" si="14"/>
        <v>0</v>
      </c>
      <c r="AB79" s="28">
        <f ca="1">IF(X79=1,COUNTIFS($F$2:F79,F79,$X$2:X79,1),0)</f>
        <v>0</v>
      </c>
      <c r="AC79" s="28" t="str">
        <f>IF(L79=1,IF(IFERROR(INDEX(PARTNERS!$C$2:$C$88,MATCH(B79,PARTNERS!$A$2:$A$88,0)),"")="YES","YES","NO"),"")</f>
        <v>NO</v>
      </c>
      <c r="AD79" s="28" t="str">
        <f>IF(L79=1,IFERROR(INDEX(PARTNERS!$B$2:$B$88,MATCH(B79,PARTNERS!$A$2:$A$88,0)),""),"")</f>
        <v>https://calendly.com/partner087/interview</v>
      </c>
      <c r="AE79" s="28">
        <f ca="1">IF(X79=1,IFERROR(INDEX(SETTINGS!$B$34:$D$36,MATCH(I79,SETTINGS!$A$34:$A$36,0),MIN(Q79,2)+1),SETTINGS!$B$36),0)</f>
        <v>0</v>
      </c>
      <c r="AF79" s="28">
        <f t="shared" si="15"/>
        <v>1</v>
      </c>
      <c r="AG79" s="28">
        <f ca="1">IF(AND(Y79=1,AB79=1),ROUND(AA79*AE79*IF(AF79&gt;1,SETTINGS!$B$16,1)*IF(W79&lt;=SETTINGS!$B$14,SETTINGS!$B$15,1)*IF(AU79=1,SETTINGS!$B$21,1),6),0)</f>
        <v>0</v>
      </c>
      <c r="AH79" s="28" t="str">
        <f ca="1">IF(AG79&gt;0,COUNTIFS($Z$2:$Z$601,Z79,$AG$2:$AG$601,"&gt;"&amp;AG79)+COUNTIFS($Z$2:Z79,Z79,$AG$2:AG79,AG79),"")</f>
        <v/>
      </c>
      <c r="AI79" s="28" t="str">
        <f t="shared" ca="1" si="16"/>
        <v/>
      </c>
      <c r="AJ79" s="28" t="str">
        <f t="shared" ca="1" si="17"/>
        <v/>
      </c>
      <c r="AK79" s="28">
        <f>IF(L79=1,IF(COUNTIFS($F$2:F79,F79,$L$2:L79,1)=1,1,0),0)</f>
        <v>1</v>
      </c>
      <c r="AL79" s="28" t="str">
        <f ca="1">IF(B79="","",IF(K79="DUPLICATE","Duplicate (removed)",IF(AO79=1,"Scheduled within 24h",IF(M79=1,"Scheduled late",IF(K79="BAD CONTACT","Bad contact details",IF(O79=1,"Stopped / wrong number",IF(N79=1,"Not interested",IF(P79=1,"Partner has no slots",IF(SETTINGS!$B$4&gt;=V79,IF(Q79=0,"Missed deadline: never tried","Missed deadline: tried, not booked"),IF(Q79&gt;=SETTINGS!$B$6,"No reply after max tries","Open"))))))))))</f>
        <v>Missed deadline: never tried</v>
      </c>
      <c r="AM79" s="46" t="str">
        <f>IF(M79=1,IF(_xlfn.MINIFS(LOG!$G$2:$G$2001,LOG!$C$2:$C$2001,F79,LOG!$E$2:$E$2001,B79,LOG!$D$2:$D$2001,"*BOOKED")=0,_xlfn.MINIFS(LOG!$G$2:$G$2001,LOG!$C$2:$C$2001,F79,LOG!$E$2:$E$2001,"",LOG!$D$2:$D$2001,"*BOOKED"),IF(_xlfn.MINIFS(LOG!$G$2:$G$2001,LOG!$C$2:$C$2001,F79,LOG!$E$2:$E$2001,"",LOG!$D$2:$D$2001,"*BOOKED")=0,_xlfn.MINIFS(LOG!$G$2:$G$2001,LOG!$C$2:$C$2001,F79,LOG!$E$2:$E$2001,B79,LOG!$D$2:$D$2001,"*BOOKED"),MIN(_xlfn.MINIFS(LOG!$G$2:$G$2001,LOG!$C$2:$C$2001,F79,LOG!$E$2:$E$2001,B79,LOG!$D$2:$D$2001,"*BOOKED"),_xlfn.MINIFS(LOG!$G$2:$G$2001,LOG!$C$2:$C$2001,F79,LOG!$E$2:$E$2001,"",LOG!$D$2:$D$2001,"*BOOKED")))),"")</f>
        <v/>
      </c>
      <c r="AN79" s="28" t="str">
        <f t="shared" si="18"/>
        <v/>
      </c>
      <c r="AO79" s="28">
        <f>IF(AND(M79=1,AN79&lt;&gt;""),IF(AN79&lt;=SETTINGS!$B$5,1,0),0)</f>
        <v>0</v>
      </c>
      <c r="AP79" s="28">
        <f>IF(M79=1,IF(COUNTIFS(LOG!$C$2:$C$2001,F79,LOG!$E$2:$E$2001,B79,LOG!$D$2:$D$2001,"BOOKED")+COUNTIFS(LOG!$C$2:$C$2001,F79,LOG!$E$2:$E$2001,"",LOG!$D$2:$D$2001,"BOOKED")&gt;0,1,0),0)</f>
        <v>0</v>
      </c>
      <c r="AQ79" s="28" t="str">
        <f t="shared" si="19"/>
        <v>Ananya</v>
      </c>
      <c r="AR79" s="28">
        <f>IF(AND(AK79=1,K79="OK"),COUNTIFS($AK$2:AK79,1,$K$2:K79,"OK"),"")</f>
        <v>76</v>
      </c>
      <c r="AS79" s="28" t="str">
        <f>IF(L79=1,IFERROR(INDEX(MESSAGES!$J$9:$J$1008,MATCH(F79,MESSAGES!$M$9:$M$1008,0))&amp;"",""),"")</f>
        <v/>
      </c>
      <c r="AT79" s="28" t="str">
        <f>IF(L79=1,IFERROR(INDEX(MESSAGES!$K$9:$K$1008,MATCH(F79,MESSAGES!$M$9:$M$1008,0))&amp;"",""),"")</f>
        <v/>
      </c>
      <c r="AU79" s="28">
        <f t="shared" ca="1" si="20"/>
        <v>0</v>
      </c>
      <c r="AV79" s="28" t="str">
        <f t="shared" si="21"/>
        <v>SEND</v>
      </c>
    </row>
    <row r="80" spans="1:48" x14ac:dyDescent="0.35">
      <c r="A80" s="28">
        <v>79</v>
      </c>
      <c r="B80" s="28" t="str">
        <f>IF(INPUT!A80="","",TRIM(INPUT!A80))</f>
        <v>Partner 000</v>
      </c>
      <c r="C80" s="28" t="str">
        <f>IF(B80="","",INPUT!C80)</f>
        <v>interviewer2@partner000.example.com</v>
      </c>
      <c r="D80" s="28" t="str">
        <f>IF(B80="","",INPUT!D80)</f>
        <v>Zoya D.</v>
      </c>
      <c r="E80" s="28" t="str">
        <f>IF(B80="","",INPUT!E80)</f>
        <v>zoya.d107@example.com</v>
      </c>
      <c r="F80" s="43" t="str">
        <f>IF(B80="","",TRIM(INPUT!F80&amp;""))</f>
        <v>9000001398</v>
      </c>
      <c r="G80" s="28" t="str">
        <f>IF(B80="","",INPUT!H80)</f>
        <v>Round1</v>
      </c>
      <c r="H80" s="46">
        <f>IF(B80="","",INPUT!I80)</f>
        <v>46308.82708333333</v>
      </c>
      <c r="I80" s="28" t="str">
        <f>IF(B80="","",IF(INPUT!J80="","None",INPUT!J80))</f>
        <v>Opened</v>
      </c>
      <c r="J80" s="28" t="str">
        <f t="shared" si="11"/>
        <v>zoya.d107@example.com|partner 000|Round1|interviewer2@partner000.example.com</v>
      </c>
      <c r="K80" s="28" t="str">
        <f>IF(B80="","",IF(SUMPRODUCT(($J$2:$J$601=J80)*($H$2:$H$601&lt;H80))+SUMPRODUCT(($J$2:J80=J80)*($H$2:H80=H80))-1&gt;0,"DUPLICATE",IF(AND(ISNUMBER(SEARCH("@",E80)),ISNUMBER(SEARCH(".",E80)),LEN(F80)=10,ISNUMBER(VALUE(F80))),"OK","BAD CONTACT")))</f>
        <v>OK</v>
      </c>
      <c r="L80" s="28">
        <f t="shared" si="12"/>
        <v>1</v>
      </c>
      <c r="M80" s="28">
        <f>IF(L80=1,IF(COUNTIFS(LOG!$C$2:$C$2001,F80,LOG!$E$2:$E$2001,B80,LOG!$D$2:$D$2001,"*BOOKED")+COUNTIFS(LOG!$C$2:$C$2001,F80,LOG!$E$2:$E$2001,"",LOG!$D$2:$D$2001,"*BOOKED")&gt;0,1,0),0)</f>
        <v>1</v>
      </c>
      <c r="N80" s="28">
        <f>IF(L80=1,IF(COUNTIFS(LOG!$C$2:$C$2001,F80,LOG!$E$2:$E$2001,B80,LOG!$D$2:$D$2001,"NOT_INTERESTED")+COUNTIFS(LOG!$C$2:$C$2001,F80,LOG!$E$2:$E$2001,"",LOG!$D$2:$D$2001,"NOT_INTERESTED")&gt;0,1,0),0)</f>
        <v>0</v>
      </c>
      <c r="O80" s="28">
        <f>IF(L80=1,IF(COUNTIFS(LOG!$C$2:$C$2001,F80,LOG!$D$2:$D$2001,"STOP")+COUNTIFS(LOG!$C$2:$C$2001,F80,LOG!$D$2:$D$2001,"WRONG_NUMBER")&gt;0,1,IF(ISNUMBER(SEARCH("STOP",AT80)),1,0)),0)</f>
        <v>0</v>
      </c>
      <c r="P80" s="28">
        <f>IF(L80=1,IF(IFERROR(INDEX(PARTNERS!$D$2:$D$88,MATCH(B80,PARTNERS!$A$2:$A$88,0)),"")="NO SLOTS",1,IF(AND(IFERROR(INDEX(PARTNERS!$D$2:$D$88,MATCH(B80,PARTNERS!$A$2:$A$88,0)),"")&lt;&gt;"REOPENED",COUNTIFS(LOG!$E$2:$E$2001,B80,LOG!$D$2:$D$2001,"NO_SLOTS")&gt;0),1,0)),0)</f>
        <v>0</v>
      </c>
      <c r="Q80" s="28">
        <f>IF(L80=1,COUNTIFS(LOG!$C$2:$C$2001,F80,LOG!$H$2:$H$2001,1),0)</f>
        <v>0</v>
      </c>
      <c r="R80" s="46">
        <f>IF(Q80&gt;0,_xlfn.MAXIFS(LOG!$G$2:$G$2001,LOG!$C$2:$C$2001,F80,LOG!$H$2:$H$2001,1),0)</f>
        <v>0</v>
      </c>
      <c r="S80" s="28" t="str">
        <f>IF(Q80&gt;0,IFERROR(INDEX(LOG!$D$2:$D$2001,MATCH(F80&amp;"|"&amp;Q80,LOG!$I$2:$I$2001,0)),""),"")</f>
        <v/>
      </c>
      <c r="T80" s="28">
        <f>IF(S80="",0,IFERROR(VLOOKUP(S80,LISTS!$A$2:$E$10,4,FALSE),0))</f>
        <v>0</v>
      </c>
      <c r="U80" s="46">
        <f t="shared" si="13"/>
        <v>0</v>
      </c>
      <c r="V80" s="46">
        <f>IF(L80=1,H80+SETTINGS!$B$5/24,"")</f>
        <v>46309.82708333333</v>
      </c>
      <c r="W80" s="28">
        <f ca="1">IF(L80=1,(V80-SETTINGS!$B$4)*24,"")</f>
        <v>-1.6666666720993817E-2</v>
      </c>
      <c r="X80" s="28">
        <f ca="1">IF(AND(L80=1,K80="OK",M80=0,N80=0,O80=0,P80=0,SETTINGS!$B$4&lt;V80,Q80&lt;SETTINGS!$B$6),1,0)</f>
        <v>0</v>
      </c>
      <c r="Y80" s="28">
        <f ca="1">IF(AND(X80=1,SETTINGS!$B$4&gt;=H80,SETTINGS!$B$4&gt;=U80,ROUND(MOD(SETTINGS!$B$4,1)*1440,0)&gt;=ROUND(SETTINGS!$B$7*1440,0),ROUND(MOD(SETTINGS!$B$4,1)*1440,0)&lt;ROUND(SETTINGS!$B$8*1440,0)),1,0)</f>
        <v>0</v>
      </c>
      <c r="Z80" s="28" t="str">
        <f ca="1">IF(B80="","",IF(ROUND(MOD(SETTINGS!$B$4,1)*1440,0)&lt;ROUND(SETTINGS!$B$11*1440,0),"Ram",IF(ROUND(MOD(SETTINGS!$B$4,1)*1440,0)&gt;=ROUND(SETTINGS!$B$10*1440,0),"Shyam",IF(MOD(IFERROR(VALUE(RIGHT(F80,2)),0),2)=0,"Ram","Shyam"))))</f>
        <v>Shyam</v>
      </c>
      <c r="AA80" s="28">
        <f t="shared" ca="1" si="14"/>
        <v>0</v>
      </c>
      <c r="AB80" s="28">
        <f ca="1">IF(X80=1,COUNTIFS($F$2:F80,F80,$X$2:X80,1),0)</f>
        <v>0</v>
      </c>
      <c r="AC80" s="28" t="str">
        <f>IF(L80=1,IF(IFERROR(INDEX(PARTNERS!$C$2:$C$88,MATCH(B80,PARTNERS!$A$2:$A$88,0)),"")="YES","YES","NO"),"")</f>
        <v>NO</v>
      </c>
      <c r="AD80" s="28" t="str">
        <f>IF(L80=1,IFERROR(INDEX(PARTNERS!$B$2:$B$88,MATCH(B80,PARTNERS!$A$2:$A$88,0)),""),"")</f>
        <v>https://calendly.com/partner000/interview</v>
      </c>
      <c r="AE80" s="28">
        <f ca="1">IF(X80=1,IFERROR(INDEX(SETTINGS!$B$34:$D$36,MATCH(I80,SETTINGS!$A$34:$A$36,0),MIN(Q80,2)+1),SETTINGS!$B$36),0)</f>
        <v>0</v>
      </c>
      <c r="AF80" s="28">
        <f t="shared" si="15"/>
        <v>1</v>
      </c>
      <c r="AG80" s="28">
        <f ca="1">IF(AND(Y80=1,AB80=1),ROUND(AA80*AE80*IF(AF80&gt;1,SETTINGS!$B$16,1)*IF(W80&lt;=SETTINGS!$B$14,SETTINGS!$B$15,1)*IF(AU80=1,SETTINGS!$B$21,1),6),0)</f>
        <v>0</v>
      </c>
      <c r="AH80" s="28" t="str">
        <f ca="1">IF(AG80&gt;0,COUNTIFS($Z$2:$Z$601,Z80,$AG$2:$AG$601,"&gt;"&amp;AG80)+COUNTIFS($Z$2:Z80,Z80,$AG$2:AG80,AG80),"")</f>
        <v/>
      </c>
      <c r="AI80" s="28" t="str">
        <f t="shared" ca="1" si="16"/>
        <v/>
      </c>
      <c r="AJ80" s="28" t="str">
        <f t="shared" ca="1" si="17"/>
        <v/>
      </c>
      <c r="AK80" s="28">
        <f>IF(L80=1,IF(COUNTIFS($F$2:F80,F80,$L$2:L80,1)=1,1,0),0)</f>
        <v>1</v>
      </c>
      <c r="AL80" s="28" t="str">
        <f>IF(B80="","",IF(K80="DUPLICATE","Duplicate (removed)",IF(AO80=1,"Scheduled within 24h",IF(M80=1,"Scheduled late",IF(K80="BAD CONTACT","Bad contact details",IF(O80=1,"Stopped / wrong number",IF(N80=1,"Not interested",IF(P80=1,"Partner has no slots",IF(SETTINGS!$B$4&gt;=V80,IF(Q80=0,"Missed deadline: never tried","Missed deadline: tried, not booked"),IF(Q80&gt;=SETTINGS!$B$6,"No reply after max tries","Open"))))))))))</f>
        <v>Scheduled within 24h</v>
      </c>
      <c r="AM80" s="46">
        <f>IF(M80=1,IF(_xlfn.MINIFS(LOG!$G$2:$G$2001,LOG!$C$2:$C$2001,F80,LOG!$E$2:$E$2001,B80,LOG!$D$2:$D$2001,"*BOOKED")=0,_xlfn.MINIFS(LOG!$G$2:$G$2001,LOG!$C$2:$C$2001,F80,LOG!$E$2:$E$2001,"",LOG!$D$2:$D$2001,"*BOOKED"),IF(_xlfn.MINIFS(LOG!$G$2:$G$2001,LOG!$C$2:$C$2001,F80,LOG!$E$2:$E$2001,"",LOG!$D$2:$D$2001,"*BOOKED")=0,_xlfn.MINIFS(LOG!$G$2:$G$2001,LOG!$C$2:$C$2001,F80,LOG!$E$2:$E$2001,B80,LOG!$D$2:$D$2001,"*BOOKED"),MIN(_xlfn.MINIFS(LOG!$G$2:$G$2001,LOG!$C$2:$C$2001,F80,LOG!$E$2:$E$2001,B80,LOG!$D$2:$D$2001,"*BOOKED"),_xlfn.MINIFS(LOG!$G$2:$G$2001,LOG!$C$2:$C$2001,F80,LOG!$E$2:$E$2001,"",LOG!$D$2:$D$2001,"*BOOKED")))),"")</f>
        <v>46308.929375932072</v>
      </c>
      <c r="AN80" s="28">
        <f t="shared" si="18"/>
        <v>2.4550223698024638</v>
      </c>
      <c r="AO80" s="28">
        <f>IF(AND(M80=1,AN80&lt;&gt;""),IF(AN80&lt;=SETTINGS!$B$5,1,0),0)</f>
        <v>1</v>
      </c>
      <c r="AP80" s="28">
        <f>IF(M80=1,IF(COUNTIFS(LOG!$C$2:$C$2001,F80,LOG!$E$2:$E$2001,B80,LOG!$D$2:$D$2001,"BOOKED")+COUNTIFS(LOG!$C$2:$C$2001,F80,LOG!$E$2:$E$2001,"",LOG!$D$2:$D$2001,"BOOKED")&gt;0,1,0),0)</f>
        <v>0</v>
      </c>
      <c r="AQ80" s="28" t="str">
        <f t="shared" si="19"/>
        <v>Zoya</v>
      </c>
      <c r="AR80" s="28">
        <f>IF(AND(AK80=1,K80="OK"),COUNTIFS($AK$2:AK80,1,$K$2:K80,"OK"),"")</f>
        <v>77</v>
      </c>
      <c r="AS80" s="28" t="str">
        <f>IF(L80=1,IFERROR(INDEX(MESSAGES!$J$9:$J$1008,MATCH(F80,MESSAGES!$M$9:$M$1008,0))&amp;"",""),"")</f>
        <v/>
      </c>
      <c r="AT80" s="28" t="str">
        <f>IF(L80=1,IFERROR(INDEX(MESSAGES!$K$9:$K$1008,MATCH(F80,MESSAGES!$M$9:$M$1008,0))&amp;"",""),"")</f>
        <v/>
      </c>
      <c r="AU80" s="28">
        <f t="shared" ca="1" si="20"/>
        <v>0</v>
      </c>
      <c r="AV80" s="28" t="str">
        <f t="shared" si="21"/>
        <v>HOLD</v>
      </c>
    </row>
    <row r="81" spans="1:48" x14ac:dyDescent="0.35">
      <c r="A81" s="28">
        <v>80</v>
      </c>
      <c r="B81" s="28" t="str">
        <f>IF(INPUT!A81="","",TRIM(INPUT!A81))</f>
        <v>Partner 001</v>
      </c>
      <c r="C81" s="28" t="str">
        <f>IF(B81="","",INPUT!C81)</f>
        <v>interviewer1@partner001.example.com</v>
      </c>
      <c r="D81" s="28" t="str">
        <f>IF(B81="","",INPUT!D81)</f>
        <v>Ananya G.</v>
      </c>
      <c r="E81" s="28" t="str">
        <f>IF(B81="","",INPUT!E81)</f>
        <v>ananya.g183@example.com</v>
      </c>
      <c r="F81" s="43" t="str">
        <f>IF(B81="","",TRIM(INPUT!F81&amp;""))</f>
        <v>9000002386</v>
      </c>
      <c r="G81" s="28" t="str">
        <f>IF(B81="","",INPUT!H81)</f>
        <v>Round1</v>
      </c>
      <c r="H81" s="46">
        <f>IF(B81="","",INPUT!I81)</f>
        <v>46308.82708333333</v>
      </c>
      <c r="I81" s="28" t="str">
        <f>IF(B81="","",IF(INPUT!J81="","None",INPUT!J81))</f>
        <v>None</v>
      </c>
      <c r="J81" s="28" t="str">
        <f t="shared" si="11"/>
        <v>ananya.g183@example.com|partner 001|Round1|interviewer1@partner001.example.com</v>
      </c>
      <c r="K81" s="28" t="str">
        <f>IF(B81="","",IF(SUMPRODUCT(($J$2:$J$601=J81)*($H$2:$H$601&lt;H81))+SUMPRODUCT(($J$2:J81=J81)*($H$2:H81=H81))-1&gt;0,"DUPLICATE",IF(AND(ISNUMBER(SEARCH("@",E81)),ISNUMBER(SEARCH(".",E81)),LEN(F81)=10,ISNUMBER(VALUE(F81))),"OK","BAD CONTACT")))</f>
        <v>OK</v>
      </c>
      <c r="L81" s="28">
        <f t="shared" si="12"/>
        <v>1</v>
      </c>
      <c r="M81" s="28">
        <f>IF(L81=1,IF(COUNTIFS(LOG!$C$2:$C$2001,F81,LOG!$E$2:$E$2001,B81,LOG!$D$2:$D$2001,"*BOOKED")+COUNTIFS(LOG!$C$2:$C$2001,F81,LOG!$E$2:$E$2001,"",LOG!$D$2:$D$2001,"*BOOKED")&gt;0,1,0),0)</f>
        <v>0</v>
      </c>
      <c r="N81" s="28">
        <f>IF(L81=1,IF(COUNTIFS(LOG!$C$2:$C$2001,F81,LOG!$E$2:$E$2001,B81,LOG!$D$2:$D$2001,"NOT_INTERESTED")+COUNTIFS(LOG!$C$2:$C$2001,F81,LOG!$E$2:$E$2001,"",LOG!$D$2:$D$2001,"NOT_INTERESTED")&gt;0,1,0),0)</f>
        <v>0</v>
      </c>
      <c r="O81" s="28">
        <f>IF(L81=1,IF(COUNTIFS(LOG!$C$2:$C$2001,F81,LOG!$D$2:$D$2001,"STOP")+COUNTIFS(LOG!$C$2:$C$2001,F81,LOG!$D$2:$D$2001,"WRONG_NUMBER")&gt;0,1,IF(ISNUMBER(SEARCH("STOP",AT81)),1,0)),0)</f>
        <v>0</v>
      </c>
      <c r="P81" s="28">
        <f>IF(L81=1,IF(IFERROR(INDEX(PARTNERS!$D$2:$D$88,MATCH(B81,PARTNERS!$A$2:$A$88,0)),"")="NO SLOTS",1,IF(AND(IFERROR(INDEX(PARTNERS!$D$2:$D$88,MATCH(B81,PARTNERS!$A$2:$A$88,0)),"")&lt;&gt;"REOPENED",COUNTIFS(LOG!$E$2:$E$2001,B81,LOG!$D$2:$D$2001,"NO_SLOTS")&gt;0),1,0)),0)</f>
        <v>0</v>
      </c>
      <c r="Q81" s="28">
        <f>IF(L81=1,COUNTIFS(LOG!$C$2:$C$2001,F81,LOG!$H$2:$H$2001,1),0)</f>
        <v>2</v>
      </c>
      <c r="R81" s="46">
        <f>IF(Q81&gt;0,_xlfn.MAXIFS(LOG!$G$2:$G$2001,LOG!$C$2:$C$2001,F81,LOG!$H$2:$H$2001,1),0)</f>
        <v>46309.633741108482</v>
      </c>
      <c r="S81" s="28" t="str">
        <f>IF(Q81&gt;0,IFERROR(INDEX(LOG!$D$2:$D$2001,MATCH(F81&amp;"|"&amp;Q81,LOG!$I$2:$I$2001,0)),""),"")</f>
        <v>NO_ANSWER</v>
      </c>
      <c r="T81" s="28">
        <f>IF(S81="",0,IFERROR(VLOOKUP(S81,LISTS!$A$2:$E$10,4,FALSE),0))</f>
        <v>120</v>
      </c>
      <c r="U81" s="46">
        <f t="shared" si="13"/>
        <v>46309.717074441818</v>
      </c>
      <c r="V81" s="46">
        <f>IF(L81=1,H81+SETTINGS!$B$5/24,"")</f>
        <v>46309.82708333333</v>
      </c>
      <c r="W81" s="28">
        <f ca="1">IF(L81=1,(V81-SETTINGS!$B$4)*24,"")</f>
        <v>-1.6666666720993817E-2</v>
      </c>
      <c r="X81" s="28">
        <f ca="1">IF(AND(L81=1,K81="OK",M81=0,N81=0,O81=0,P81=0,SETTINGS!$B$4&lt;V81,Q81&lt;SETTINGS!$B$6),1,0)</f>
        <v>0</v>
      </c>
      <c r="Y81" s="28">
        <f ca="1">IF(AND(X81=1,SETTINGS!$B$4&gt;=H81,SETTINGS!$B$4&gt;=U81,ROUND(MOD(SETTINGS!$B$4,1)*1440,0)&gt;=ROUND(SETTINGS!$B$7*1440,0),ROUND(MOD(SETTINGS!$B$4,1)*1440,0)&lt;ROUND(SETTINGS!$B$8*1440,0)),1,0)</f>
        <v>0</v>
      </c>
      <c r="Z81" s="28" t="str">
        <f ca="1">IF(B81="","",IF(ROUND(MOD(SETTINGS!$B$4,1)*1440,0)&lt;ROUND(SETTINGS!$B$11*1440,0),"Ram",IF(ROUND(MOD(SETTINGS!$B$4,1)*1440,0)&gt;=ROUND(SETTINGS!$B$10*1440,0),"Shyam",IF(MOD(IFERROR(VALUE(RIGHT(F81,2)),0),2)=0,"Ram","Shyam"))))</f>
        <v>Shyam</v>
      </c>
      <c r="AA81" s="28">
        <f t="shared" ca="1" si="14"/>
        <v>0</v>
      </c>
      <c r="AB81" s="28">
        <f ca="1">IF(X81=1,COUNTIFS($F$2:F81,F81,$X$2:X81,1),0)</f>
        <v>0</v>
      </c>
      <c r="AC81" s="28" t="str">
        <f>IF(L81=1,IF(IFERROR(INDEX(PARTNERS!$C$2:$C$88,MATCH(B81,PARTNERS!$A$2:$A$88,0)),"")="YES","YES","NO"),"")</f>
        <v>NO</v>
      </c>
      <c r="AD81" s="28" t="str">
        <f>IF(L81=1,IFERROR(INDEX(PARTNERS!$B$2:$B$88,MATCH(B81,PARTNERS!$A$2:$A$88,0)),""),"")</f>
        <v>https://calendly.com/partner001/interview</v>
      </c>
      <c r="AE81" s="28">
        <f ca="1">IF(X81=1,IFERROR(INDEX(SETTINGS!$B$34:$D$36,MATCH(I81,SETTINGS!$A$34:$A$36,0),MIN(Q81,2)+1),SETTINGS!$B$36),0)</f>
        <v>0</v>
      </c>
      <c r="AF81" s="28">
        <f t="shared" si="15"/>
        <v>1</v>
      </c>
      <c r="AG81" s="28">
        <f ca="1">IF(AND(Y81=1,AB81=1),ROUND(AA81*AE81*IF(AF81&gt;1,SETTINGS!$B$16,1)*IF(W81&lt;=SETTINGS!$B$14,SETTINGS!$B$15,1)*IF(AU81=1,SETTINGS!$B$21,1),6),0)</f>
        <v>0</v>
      </c>
      <c r="AH81" s="28" t="str">
        <f ca="1">IF(AG81&gt;0,COUNTIFS($Z$2:$Z$601,Z81,$AG$2:$AG$601,"&gt;"&amp;AG81)+COUNTIFS($Z$2:Z81,Z81,$AG$2:AG81,AG81),"")</f>
        <v/>
      </c>
      <c r="AI81" s="28" t="str">
        <f t="shared" ca="1" si="16"/>
        <v/>
      </c>
      <c r="AJ81" s="28" t="str">
        <f t="shared" ca="1" si="17"/>
        <v/>
      </c>
      <c r="AK81" s="28">
        <f>IF(L81=1,IF(COUNTIFS($F$2:F81,F81,$L$2:L81,1)=1,1,0),0)</f>
        <v>0</v>
      </c>
      <c r="AL81" s="28" t="str">
        <f ca="1">IF(B81="","",IF(K81="DUPLICATE","Duplicate (removed)",IF(AO81=1,"Scheduled within 24h",IF(M81=1,"Scheduled late",IF(K81="BAD CONTACT","Bad contact details",IF(O81=1,"Stopped / wrong number",IF(N81=1,"Not interested",IF(P81=1,"Partner has no slots",IF(SETTINGS!$B$4&gt;=V81,IF(Q81=0,"Missed deadline: never tried","Missed deadline: tried, not booked"),IF(Q81&gt;=SETTINGS!$B$6,"No reply after max tries","Open"))))))))))</f>
        <v>Missed deadline: tried, not booked</v>
      </c>
      <c r="AM81" s="46" t="str">
        <f>IF(M81=1,IF(_xlfn.MINIFS(LOG!$G$2:$G$2001,LOG!$C$2:$C$2001,F81,LOG!$E$2:$E$2001,B81,LOG!$D$2:$D$2001,"*BOOKED")=0,_xlfn.MINIFS(LOG!$G$2:$G$2001,LOG!$C$2:$C$2001,F81,LOG!$E$2:$E$2001,"",LOG!$D$2:$D$2001,"*BOOKED"),IF(_xlfn.MINIFS(LOG!$G$2:$G$2001,LOG!$C$2:$C$2001,F81,LOG!$E$2:$E$2001,"",LOG!$D$2:$D$2001,"*BOOKED")=0,_xlfn.MINIFS(LOG!$G$2:$G$2001,LOG!$C$2:$C$2001,F81,LOG!$E$2:$E$2001,B81,LOG!$D$2:$D$2001,"*BOOKED"),MIN(_xlfn.MINIFS(LOG!$G$2:$G$2001,LOG!$C$2:$C$2001,F81,LOG!$E$2:$E$2001,B81,LOG!$D$2:$D$2001,"*BOOKED"),_xlfn.MINIFS(LOG!$G$2:$G$2001,LOG!$C$2:$C$2001,F81,LOG!$E$2:$E$2001,"",LOG!$D$2:$D$2001,"*BOOKED")))),"")</f>
        <v/>
      </c>
      <c r="AN81" s="28" t="str">
        <f t="shared" si="18"/>
        <v/>
      </c>
      <c r="AO81" s="28">
        <f>IF(AND(M81=1,AN81&lt;&gt;""),IF(AN81&lt;=SETTINGS!$B$5,1,0),0)</f>
        <v>0</v>
      </c>
      <c r="AP81" s="28">
        <f>IF(M81=1,IF(COUNTIFS(LOG!$C$2:$C$2001,F81,LOG!$E$2:$E$2001,B81,LOG!$D$2:$D$2001,"BOOKED")+COUNTIFS(LOG!$C$2:$C$2001,F81,LOG!$E$2:$E$2001,"",LOG!$D$2:$D$2001,"BOOKED")&gt;0,1,0),0)</f>
        <v>0</v>
      </c>
      <c r="AQ81" s="28" t="str">
        <f t="shared" si="19"/>
        <v>Ananya</v>
      </c>
      <c r="AR81" s="28" t="str">
        <f>IF(AND(AK81=1,K81="OK"),COUNTIFS($AK$2:AK81,1,$K$2:K81,"OK"),"")</f>
        <v/>
      </c>
      <c r="AS81" s="28" t="str">
        <f>IF(L81=1,IFERROR(INDEX(MESSAGES!$J$9:$J$1008,MATCH(F81,MESSAGES!$M$9:$M$1008,0))&amp;"",""),"")</f>
        <v/>
      </c>
      <c r="AT81" s="28" t="str">
        <f>IF(L81=1,IFERROR(INDEX(MESSAGES!$K$9:$K$1008,MATCH(F81,MESSAGES!$M$9:$M$1008,0))&amp;"",""),"")</f>
        <v/>
      </c>
      <c r="AU81" s="28">
        <f t="shared" ca="1" si="20"/>
        <v>0</v>
      </c>
      <c r="AV81" s="28" t="str">
        <f t="shared" si="21"/>
        <v>SEND</v>
      </c>
    </row>
    <row r="82" spans="1:48" x14ac:dyDescent="0.35">
      <c r="A82" s="28">
        <v>81</v>
      </c>
      <c r="B82" s="28" t="str">
        <f>IF(INPUT!A82="","",TRIM(INPUT!A82))</f>
        <v>Partner 000</v>
      </c>
      <c r="C82" s="28" t="str">
        <f>IF(B82="","",INPUT!C82)</f>
        <v>interviewer1@partner000.example.com</v>
      </c>
      <c r="D82" s="28" t="str">
        <f>IF(B82="","",INPUT!D82)</f>
        <v>Rohan J.</v>
      </c>
      <c r="E82" s="28" t="str">
        <f>IF(B82="","",INPUT!E82)</f>
        <v>rohan.j250@example.com</v>
      </c>
      <c r="F82" s="43" t="str">
        <f>IF(B82="","",TRIM(INPUT!F82&amp;""))</f>
        <v>900000325</v>
      </c>
      <c r="G82" s="28" t="str">
        <f>IF(B82="","",INPUT!H82)</f>
        <v>Round1</v>
      </c>
      <c r="H82" s="46">
        <f>IF(B82="","",INPUT!I82)</f>
        <v>46308.82708333333</v>
      </c>
      <c r="I82" s="28" t="str">
        <f>IF(B82="","",IF(INPUT!J82="","None",INPUT!J82))</f>
        <v>Opened</v>
      </c>
      <c r="J82" s="28" t="str">
        <f t="shared" si="11"/>
        <v>rohan.j250@example.com|partner 000|Round1|interviewer1@partner000.example.com</v>
      </c>
      <c r="K82" s="28" t="str">
        <f>IF(B82="","",IF(SUMPRODUCT(($J$2:$J$601=J82)*($H$2:$H$601&lt;H82))+SUMPRODUCT(($J$2:J82=J82)*($H$2:H82=H82))-1&gt;0,"DUPLICATE",IF(AND(ISNUMBER(SEARCH("@",E82)),ISNUMBER(SEARCH(".",E82)),LEN(F82)=10,ISNUMBER(VALUE(F82))),"OK","BAD CONTACT")))</f>
        <v>BAD CONTACT</v>
      </c>
      <c r="L82" s="28">
        <f t="shared" si="12"/>
        <v>1</v>
      </c>
      <c r="M82" s="28">
        <f>IF(L82=1,IF(COUNTIFS(LOG!$C$2:$C$2001,F82,LOG!$E$2:$E$2001,B82,LOG!$D$2:$D$2001,"*BOOKED")+COUNTIFS(LOG!$C$2:$C$2001,F82,LOG!$E$2:$E$2001,"",LOG!$D$2:$D$2001,"*BOOKED")&gt;0,1,0),0)</f>
        <v>0</v>
      </c>
      <c r="N82" s="28">
        <f>IF(L82=1,IF(COUNTIFS(LOG!$C$2:$C$2001,F82,LOG!$E$2:$E$2001,B82,LOG!$D$2:$D$2001,"NOT_INTERESTED")+COUNTIFS(LOG!$C$2:$C$2001,F82,LOG!$E$2:$E$2001,"",LOG!$D$2:$D$2001,"NOT_INTERESTED")&gt;0,1,0),0)</f>
        <v>0</v>
      </c>
      <c r="O82" s="28">
        <f>IF(L82=1,IF(COUNTIFS(LOG!$C$2:$C$2001,F82,LOG!$D$2:$D$2001,"STOP")+COUNTIFS(LOG!$C$2:$C$2001,F82,LOG!$D$2:$D$2001,"WRONG_NUMBER")&gt;0,1,IF(ISNUMBER(SEARCH("STOP",AT82)),1,0)),0)</f>
        <v>0</v>
      </c>
      <c r="P82" s="28">
        <f>IF(L82=1,IF(IFERROR(INDEX(PARTNERS!$D$2:$D$88,MATCH(B82,PARTNERS!$A$2:$A$88,0)),"")="NO SLOTS",1,IF(AND(IFERROR(INDEX(PARTNERS!$D$2:$D$88,MATCH(B82,PARTNERS!$A$2:$A$88,0)),"")&lt;&gt;"REOPENED",COUNTIFS(LOG!$E$2:$E$2001,B82,LOG!$D$2:$D$2001,"NO_SLOTS")&gt;0),1,0)),0)</f>
        <v>0</v>
      </c>
      <c r="Q82" s="28">
        <f>IF(L82=1,COUNTIFS(LOG!$C$2:$C$2001,F82,LOG!$H$2:$H$2001,1),0)</f>
        <v>0</v>
      </c>
      <c r="R82" s="46">
        <f>IF(Q82&gt;0,_xlfn.MAXIFS(LOG!$G$2:$G$2001,LOG!$C$2:$C$2001,F82,LOG!$H$2:$H$2001,1),0)</f>
        <v>0</v>
      </c>
      <c r="S82" s="28" t="str">
        <f>IF(Q82&gt;0,IFERROR(INDEX(LOG!$D$2:$D$2001,MATCH(F82&amp;"|"&amp;Q82,LOG!$I$2:$I$2001,0)),""),"")</f>
        <v/>
      </c>
      <c r="T82" s="28">
        <f>IF(S82="",0,IFERROR(VLOOKUP(S82,LISTS!$A$2:$E$10,4,FALSE),0))</f>
        <v>0</v>
      </c>
      <c r="U82" s="46">
        <f t="shared" si="13"/>
        <v>0</v>
      </c>
      <c r="V82" s="46">
        <f>IF(L82=1,H82+SETTINGS!$B$5/24,"")</f>
        <v>46309.82708333333</v>
      </c>
      <c r="W82" s="28">
        <f ca="1">IF(L82=1,(V82-SETTINGS!$B$4)*24,"")</f>
        <v>-1.6666666720993817E-2</v>
      </c>
      <c r="X82" s="28">
        <f ca="1">IF(AND(L82=1,K82="OK",M82=0,N82=0,O82=0,P82=0,SETTINGS!$B$4&lt;V82,Q82&lt;SETTINGS!$B$6),1,0)</f>
        <v>0</v>
      </c>
      <c r="Y82" s="28">
        <f ca="1">IF(AND(X82=1,SETTINGS!$B$4&gt;=H82,SETTINGS!$B$4&gt;=U82,ROUND(MOD(SETTINGS!$B$4,1)*1440,0)&gt;=ROUND(SETTINGS!$B$7*1440,0),ROUND(MOD(SETTINGS!$B$4,1)*1440,0)&lt;ROUND(SETTINGS!$B$8*1440,0)),1,0)</f>
        <v>0</v>
      </c>
      <c r="Z82" s="28" t="str">
        <f ca="1">IF(B82="","",IF(ROUND(MOD(SETTINGS!$B$4,1)*1440,0)&lt;ROUND(SETTINGS!$B$11*1440,0),"Ram",IF(ROUND(MOD(SETTINGS!$B$4,1)*1440,0)&gt;=ROUND(SETTINGS!$B$10*1440,0),"Shyam",IF(MOD(IFERROR(VALUE(RIGHT(F82,2)),0),2)=0,"Ram","Shyam"))))</f>
        <v>Shyam</v>
      </c>
      <c r="AA82" s="28">
        <f t="shared" ca="1" si="14"/>
        <v>0</v>
      </c>
      <c r="AB82" s="28">
        <f ca="1">IF(X82=1,COUNTIFS($F$2:F82,F82,$X$2:X82,1),0)</f>
        <v>0</v>
      </c>
      <c r="AC82" s="28" t="str">
        <f>IF(L82=1,IF(IFERROR(INDEX(PARTNERS!$C$2:$C$88,MATCH(B82,PARTNERS!$A$2:$A$88,0)),"")="YES","YES","NO"),"")</f>
        <v>NO</v>
      </c>
      <c r="AD82" s="28" t="str">
        <f>IF(L82=1,IFERROR(INDEX(PARTNERS!$B$2:$B$88,MATCH(B82,PARTNERS!$A$2:$A$88,0)),""),"")</f>
        <v>https://calendly.com/partner000/interview</v>
      </c>
      <c r="AE82" s="28">
        <f ca="1">IF(X82=1,IFERROR(INDEX(SETTINGS!$B$34:$D$36,MATCH(I82,SETTINGS!$A$34:$A$36,0),MIN(Q82,2)+1),SETTINGS!$B$36),0)</f>
        <v>0</v>
      </c>
      <c r="AF82" s="28">
        <f t="shared" si="15"/>
        <v>1</v>
      </c>
      <c r="AG82" s="28">
        <f ca="1">IF(AND(Y82=1,AB82=1),ROUND(AA82*AE82*IF(AF82&gt;1,SETTINGS!$B$16,1)*IF(W82&lt;=SETTINGS!$B$14,SETTINGS!$B$15,1)*IF(AU82=1,SETTINGS!$B$21,1),6),0)</f>
        <v>0</v>
      </c>
      <c r="AH82" s="28" t="str">
        <f ca="1">IF(AG82&gt;0,COUNTIFS($Z$2:$Z$601,Z82,$AG$2:$AG$601,"&gt;"&amp;AG82)+COUNTIFS($Z$2:Z82,Z82,$AG$2:AG82,AG82),"")</f>
        <v/>
      </c>
      <c r="AI82" s="28" t="str">
        <f t="shared" ca="1" si="16"/>
        <v/>
      </c>
      <c r="AJ82" s="28" t="str">
        <f t="shared" ca="1" si="17"/>
        <v/>
      </c>
      <c r="AK82" s="28">
        <f>IF(L82=1,IF(COUNTIFS($F$2:F82,F82,$L$2:L82,1)=1,1,0),0)</f>
        <v>0</v>
      </c>
      <c r="AL82" s="28" t="str">
        <f>IF(B82="","",IF(K82="DUPLICATE","Duplicate (removed)",IF(AO82=1,"Scheduled within 24h",IF(M82=1,"Scheduled late",IF(K82="BAD CONTACT","Bad contact details",IF(O82=1,"Stopped / wrong number",IF(N82=1,"Not interested",IF(P82=1,"Partner has no slots",IF(SETTINGS!$B$4&gt;=V82,IF(Q82=0,"Missed deadline: never tried","Missed deadline: tried, not booked"),IF(Q82&gt;=SETTINGS!$B$6,"No reply after max tries","Open"))))))))))</f>
        <v>Bad contact details</v>
      </c>
      <c r="AM82" s="46" t="str">
        <f>IF(M82=1,IF(_xlfn.MINIFS(LOG!$G$2:$G$2001,LOG!$C$2:$C$2001,F82,LOG!$E$2:$E$2001,B82,LOG!$D$2:$D$2001,"*BOOKED")=0,_xlfn.MINIFS(LOG!$G$2:$G$2001,LOG!$C$2:$C$2001,F82,LOG!$E$2:$E$2001,"",LOG!$D$2:$D$2001,"*BOOKED"),IF(_xlfn.MINIFS(LOG!$G$2:$G$2001,LOG!$C$2:$C$2001,F82,LOG!$E$2:$E$2001,"",LOG!$D$2:$D$2001,"*BOOKED")=0,_xlfn.MINIFS(LOG!$G$2:$G$2001,LOG!$C$2:$C$2001,F82,LOG!$E$2:$E$2001,B82,LOG!$D$2:$D$2001,"*BOOKED"),MIN(_xlfn.MINIFS(LOG!$G$2:$G$2001,LOG!$C$2:$C$2001,F82,LOG!$E$2:$E$2001,B82,LOG!$D$2:$D$2001,"*BOOKED"),_xlfn.MINIFS(LOG!$G$2:$G$2001,LOG!$C$2:$C$2001,F82,LOG!$E$2:$E$2001,"",LOG!$D$2:$D$2001,"*BOOKED")))),"")</f>
        <v/>
      </c>
      <c r="AN82" s="28" t="str">
        <f t="shared" si="18"/>
        <v/>
      </c>
      <c r="AO82" s="28">
        <f>IF(AND(M82=1,AN82&lt;&gt;""),IF(AN82&lt;=SETTINGS!$B$5,1,0),0)</f>
        <v>0</v>
      </c>
      <c r="AP82" s="28">
        <f>IF(M82=1,IF(COUNTIFS(LOG!$C$2:$C$2001,F82,LOG!$E$2:$E$2001,B82,LOG!$D$2:$D$2001,"BOOKED")+COUNTIFS(LOG!$C$2:$C$2001,F82,LOG!$E$2:$E$2001,"",LOG!$D$2:$D$2001,"BOOKED")&gt;0,1,0),0)</f>
        <v>0</v>
      </c>
      <c r="AQ82" s="28" t="str">
        <f t="shared" si="19"/>
        <v>Rohan</v>
      </c>
      <c r="AR82" s="28" t="str">
        <f>IF(AND(AK82=1,K82="OK"),COUNTIFS($AK$2:AK82,1,$K$2:K82,"OK"),"")</f>
        <v/>
      </c>
      <c r="AS82" s="28" t="str">
        <f>IF(L82=1,IFERROR(INDEX(MESSAGES!$J$9:$J$1008,MATCH(F82,MESSAGES!$M$9:$M$1008,0))&amp;"",""),"")</f>
        <v/>
      </c>
      <c r="AT82" s="28" t="str">
        <f>IF(L82=1,IFERROR(INDEX(MESSAGES!$K$9:$K$1008,MATCH(F82,MESSAGES!$M$9:$M$1008,0))&amp;"",""),"")</f>
        <v/>
      </c>
      <c r="AU82" s="28">
        <f t="shared" ca="1" si="20"/>
        <v>0</v>
      </c>
      <c r="AV82" s="28" t="str">
        <f t="shared" si="21"/>
        <v>HOLD</v>
      </c>
    </row>
    <row r="83" spans="1:48" x14ac:dyDescent="0.35">
      <c r="A83" s="28">
        <v>82</v>
      </c>
      <c r="B83" s="28" t="str">
        <f>IF(INPUT!A83="","",TRIM(INPUT!A83))</f>
        <v>Partner 009</v>
      </c>
      <c r="C83" s="28" t="str">
        <f>IF(B83="","",INPUT!C83)</f>
        <v>interviewer1@partner009.example.com</v>
      </c>
      <c r="D83" s="28" t="str">
        <f>IF(B83="","",INPUT!D83)</f>
        <v>Varun J.</v>
      </c>
      <c r="E83" s="28" t="str">
        <f>IF(B83="","",INPUT!E83)</f>
        <v>varun.j268@example.com</v>
      </c>
      <c r="F83" s="43" t="str">
        <f>IF(B83="","",TRIM(INPUT!F83&amp;""))</f>
        <v>9000003491</v>
      </c>
      <c r="G83" s="28" t="str">
        <f>IF(B83="","",INPUT!H83)</f>
        <v>Round1</v>
      </c>
      <c r="H83" s="46">
        <f>IF(B83="","",INPUT!I83)</f>
        <v>46308.82708333333</v>
      </c>
      <c r="I83" s="28" t="str">
        <f>IF(B83="","",IF(INPUT!J83="","None",INPUT!J83))</f>
        <v>Opened</v>
      </c>
      <c r="J83" s="28" t="str">
        <f t="shared" si="11"/>
        <v>varun.j268@example.com|partner 009|Round1|interviewer1@partner009.example.com</v>
      </c>
      <c r="K83" s="28" t="str">
        <f>IF(B83="","",IF(SUMPRODUCT(($J$2:$J$601=J83)*($H$2:$H$601&lt;H83))+SUMPRODUCT(($J$2:J83=J83)*($H$2:H83=H83))-1&gt;0,"DUPLICATE",IF(AND(ISNUMBER(SEARCH("@",E83)),ISNUMBER(SEARCH(".",E83)),LEN(F83)=10,ISNUMBER(VALUE(F83))),"OK","BAD CONTACT")))</f>
        <v>OK</v>
      </c>
      <c r="L83" s="28">
        <f t="shared" si="12"/>
        <v>1</v>
      </c>
      <c r="M83" s="28">
        <f>IF(L83=1,IF(COUNTIFS(LOG!$C$2:$C$2001,F83,LOG!$E$2:$E$2001,B83,LOG!$D$2:$D$2001,"*BOOKED")+COUNTIFS(LOG!$C$2:$C$2001,F83,LOG!$E$2:$E$2001,"",LOG!$D$2:$D$2001,"*BOOKED")&gt;0,1,0),0)</f>
        <v>1</v>
      </c>
      <c r="N83" s="28">
        <f>IF(L83=1,IF(COUNTIFS(LOG!$C$2:$C$2001,F83,LOG!$E$2:$E$2001,B83,LOG!$D$2:$D$2001,"NOT_INTERESTED")+COUNTIFS(LOG!$C$2:$C$2001,F83,LOG!$E$2:$E$2001,"",LOG!$D$2:$D$2001,"NOT_INTERESTED")&gt;0,1,0),0)</f>
        <v>0</v>
      </c>
      <c r="O83" s="28">
        <f>IF(L83=1,IF(COUNTIFS(LOG!$C$2:$C$2001,F83,LOG!$D$2:$D$2001,"STOP")+COUNTIFS(LOG!$C$2:$C$2001,F83,LOG!$D$2:$D$2001,"WRONG_NUMBER")&gt;0,1,IF(ISNUMBER(SEARCH("STOP",AT83)),1,0)),0)</f>
        <v>0</v>
      </c>
      <c r="P83" s="28">
        <f>IF(L83=1,IF(IFERROR(INDEX(PARTNERS!$D$2:$D$88,MATCH(B83,PARTNERS!$A$2:$A$88,0)),"")="NO SLOTS",1,IF(AND(IFERROR(INDEX(PARTNERS!$D$2:$D$88,MATCH(B83,PARTNERS!$A$2:$A$88,0)),"")&lt;&gt;"REOPENED",COUNTIFS(LOG!$E$2:$E$2001,B83,LOG!$D$2:$D$2001,"NO_SLOTS")&gt;0),1,0)),0)</f>
        <v>0</v>
      </c>
      <c r="Q83" s="28">
        <f>IF(L83=1,COUNTIFS(LOG!$C$2:$C$2001,F83,LOG!$H$2:$H$2001,1),0)</f>
        <v>1</v>
      </c>
      <c r="R83" s="46">
        <f>IF(Q83&gt;0,_xlfn.MAXIFS(LOG!$G$2:$G$2001,LOG!$C$2:$C$2001,F83,LOG!$H$2:$H$2001,1),0)</f>
        <v>46309.490362378245</v>
      </c>
      <c r="S83" s="28" t="str">
        <f>IF(Q83&gt;0,IFERROR(INDEX(LOG!$D$2:$D$2001,MATCH(F83&amp;"|"&amp;Q83,LOG!$I$2:$I$2001,0)),""),"")</f>
        <v>BOOKED</v>
      </c>
      <c r="T83" s="28">
        <f>IF(S83="",0,IFERROR(VLOOKUP(S83,LISTS!$A$2:$E$10,4,FALSE),0))</f>
        <v>0</v>
      </c>
      <c r="U83" s="46">
        <f t="shared" si="13"/>
        <v>46309.490362378245</v>
      </c>
      <c r="V83" s="46">
        <f>IF(L83=1,H83+SETTINGS!$B$5/24,"")</f>
        <v>46309.82708333333</v>
      </c>
      <c r="W83" s="28">
        <f ca="1">IF(L83=1,(V83-SETTINGS!$B$4)*24,"")</f>
        <v>-1.6666666720993817E-2</v>
      </c>
      <c r="X83" s="28">
        <f ca="1">IF(AND(L83=1,K83="OK",M83=0,N83=0,O83=0,P83=0,SETTINGS!$B$4&lt;V83,Q83&lt;SETTINGS!$B$6),1,0)</f>
        <v>0</v>
      </c>
      <c r="Y83" s="28">
        <f ca="1">IF(AND(X83=1,SETTINGS!$B$4&gt;=H83,SETTINGS!$B$4&gt;=U83,ROUND(MOD(SETTINGS!$B$4,1)*1440,0)&gt;=ROUND(SETTINGS!$B$7*1440,0),ROUND(MOD(SETTINGS!$B$4,1)*1440,0)&lt;ROUND(SETTINGS!$B$8*1440,0)),1,0)</f>
        <v>0</v>
      </c>
      <c r="Z83" s="28" t="str">
        <f ca="1">IF(B83="","",IF(ROUND(MOD(SETTINGS!$B$4,1)*1440,0)&lt;ROUND(SETTINGS!$B$11*1440,0),"Ram",IF(ROUND(MOD(SETTINGS!$B$4,1)*1440,0)&gt;=ROUND(SETTINGS!$B$10*1440,0),"Shyam",IF(MOD(IFERROR(VALUE(RIGHT(F83,2)),0),2)=0,"Ram","Shyam"))))</f>
        <v>Shyam</v>
      </c>
      <c r="AA83" s="28">
        <f t="shared" ca="1" si="14"/>
        <v>0</v>
      </c>
      <c r="AB83" s="28">
        <f ca="1">IF(X83=1,COUNTIFS($F$2:F83,F83,$X$2:X83,1),0)</f>
        <v>0</v>
      </c>
      <c r="AC83" s="28" t="str">
        <f>IF(L83=1,IF(IFERROR(INDEX(PARTNERS!$C$2:$C$88,MATCH(B83,PARTNERS!$A$2:$A$88,0)),"")="YES","YES","NO"),"")</f>
        <v>YES</v>
      </c>
      <c r="AD83" s="28" t="str">
        <f>IF(L83=1,IFERROR(INDEX(PARTNERS!$B$2:$B$88,MATCH(B83,PARTNERS!$A$2:$A$88,0)),""),"")</f>
        <v>https://calendly.com/partner009/interview</v>
      </c>
      <c r="AE83" s="28">
        <f ca="1">IF(X83=1,IFERROR(INDEX(SETTINGS!$B$34:$D$36,MATCH(I83,SETTINGS!$A$34:$A$36,0),MIN(Q83,2)+1),SETTINGS!$B$36),0)</f>
        <v>0</v>
      </c>
      <c r="AF83" s="28">
        <f t="shared" si="15"/>
        <v>1</v>
      </c>
      <c r="AG83" s="28">
        <f ca="1">IF(AND(Y83=1,AB83=1),ROUND(AA83*AE83*IF(AF83&gt;1,SETTINGS!$B$16,1)*IF(W83&lt;=SETTINGS!$B$14,SETTINGS!$B$15,1)*IF(AU83=1,SETTINGS!$B$21,1),6),0)</f>
        <v>0</v>
      </c>
      <c r="AH83" s="28" t="str">
        <f ca="1">IF(AG83&gt;0,COUNTIFS($Z$2:$Z$601,Z83,$AG$2:$AG$601,"&gt;"&amp;AG83)+COUNTIFS($Z$2:Z83,Z83,$AG$2:AG83,AG83),"")</f>
        <v/>
      </c>
      <c r="AI83" s="28" t="str">
        <f t="shared" ca="1" si="16"/>
        <v/>
      </c>
      <c r="AJ83" s="28" t="str">
        <f t="shared" ca="1" si="17"/>
        <v/>
      </c>
      <c r="AK83" s="28">
        <f>IF(L83=1,IF(COUNTIFS($F$2:F83,F83,$L$2:L83,1)=1,1,0),0)</f>
        <v>1</v>
      </c>
      <c r="AL83" s="28" t="str">
        <f>IF(B83="","",IF(K83="DUPLICATE","Duplicate (removed)",IF(AO83=1,"Scheduled within 24h",IF(M83=1,"Scheduled late",IF(K83="BAD CONTACT","Bad contact details",IF(O83=1,"Stopped / wrong number",IF(N83=1,"Not interested",IF(P83=1,"Partner has no slots",IF(SETTINGS!$B$4&gt;=V83,IF(Q83=0,"Missed deadline: never tried","Missed deadline: tried, not booked"),IF(Q83&gt;=SETTINGS!$B$6,"No reply after max tries","Open"))))))))))</f>
        <v>Scheduled within 24h</v>
      </c>
      <c r="AM83" s="46">
        <f>IF(M83=1,IF(_xlfn.MINIFS(LOG!$G$2:$G$2001,LOG!$C$2:$C$2001,F83,LOG!$E$2:$E$2001,B83,LOG!$D$2:$D$2001,"*BOOKED")=0,_xlfn.MINIFS(LOG!$G$2:$G$2001,LOG!$C$2:$C$2001,F83,LOG!$E$2:$E$2001,"",LOG!$D$2:$D$2001,"*BOOKED"),IF(_xlfn.MINIFS(LOG!$G$2:$G$2001,LOG!$C$2:$C$2001,F83,LOG!$E$2:$E$2001,"",LOG!$D$2:$D$2001,"*BOOKED")=0,_xlfn.MINIFS(LOG!$G$2:$G$2001,LOG!$C$2:$C$2001,F83,LOG!$E$2:$E$2001,B83,LOG!$D$2:$D$2001,"*BOOKED"),MIN(_xlfn.MINIFS(LOG!$G$2:$G$2001,LOG!$C$2:$C$2001,F83,LOG!$E$2:$E$2001,B83,LOG!$D$2:$D$2001,"*BOOKED"),_xlfn.MINIFS(LOG!$G$2:$G$2001,LOG!$C$2:$C$2001,F83,LOG!$E$2:$E$2001,"",LOG!$D$2:$D$2001,"*BOOKED")))),"")</f>
        <v>46309.490362378245</v>
      </c>
      <c r="AN83" s="28">
        <f t="shared" si="18"/>
        <v>15.918697077955585</v>
      </c>
      <c r="AO83" s="28">
        <f>IF(AND(M83=1,AN83&lt;&gt;""),IF(AN83&lt;=SETTINGS!$B$5,1,0),0)</f>
        <v>1</v>
      </c>
      <c r="AP83" s="28">
        <f>IF(M83=1,IF(COUNTIFS(LOG!$C$2:$C$2001,F83,LOG!$E$2:$E$2001,B83,LOG!$D$2:$D$2001,"BOOKED")+COUNTIFS(LOG!$C$2:$C$2001,F83,LOG!$E$2:$E$2001,"",LOG!$D$2:$D$2001,"BOOKED")&gt;0,1,0),0)</f>
        <v>1</v>
      </c>
      <c r="AQ83" s="28" t="str">
        <f t="shared" si="19"/>
        <v>Varun</v>
      </c>
      <c r="AR83" s="28">
        <f>IF(AND(AK83=1,K83="OK"),COUNTIFS($AK$2:AK83,1,$K$2:K83,"OK"),"")</f>
        <v>78</v>
      </c>
      <c r="AS83" s="28" t="str">
        <f>IF(L83=1,IFERROR(INDEX(MESSAGES!$J$9:$J$1008,MATCH(F83,MESSAGES!$M$9:$M$1008,0))&amp;"",""),"")</f>
        <v/>
      </c>
      <c r="AT83" s="28" t="str">
        <f>IF(L83=1,IFERROR(INDEX(MESSAGES!$K$9:$K$1008,MATCH(F83,MESSAGES!$M$9:$M$1008,0))&amp;"",""),"")</f>
        <v/>
      </c>
      <c r="AU83" s="28">
        <f t="shared" ca="1" si="20"/>
        <v>0</v>
      </c>
      <c r="AV83" s="28" t="str">
        <f t="shared" si="21"/>
        <v>HOLD</v>
      </c>
    </row>
    <row r="84" spans="1:48" x14ac:dyDescent="0.35">
      <c r="A84" s="28">
        <v>83</v>
      </c>
      <c r="B84" s="28" t="str">
        <f>IF(INPUT!A84="","",TRIM(INPUT!A84))</f>
        <v>Partner 006</v>
      </c>
      <c r="C84" s="28" t="str">
        <f>IF(B84="","",INPUT!C84)</f>
        <v>interviewer1@partner006.example.com</v>
      </c>
      <c r="D84" s="28" t="str">
        <f>IF(B84="","",INPUT!D84)</f>
        <v>Varun K.</v>
      </c>
      <c r="E84" s="28" t="str">
        <f>IF(B84="","",INPUT!E84)</f>
        <v>varun.k298@example.com</v>
      </c>
      <c r="F84" s="43" t="str">
        <f>IF(B84="","",TRIM(INPUT!F84&amp;""))</f>
        <v>9000003881</v>
      </c>
      <c r="G84" s="28" t="str">
        <f>IF(B84="","",INPUT!H84)</f>
        <v>Round1</v>
      </c>
      <c r="H84" s="46">
        <f>IF(B84="","",INPUT!I84)</f>
        <v>46308.82708333333</v>
      </c>
      <c r="I84" s="28" t="str">
        <f>IF(B84="","",IF(INPUT!J84="","None",INPUT!J84))</f>
        <v>Clicked</v>
      </c>
      <c r="J84" s="28" t="str">
        <f t="shared" si="11"/>
        <v>varun.k298@example.com|partner 006|Round1|interviewer1@partner006.example.com</v>
      </c>
      <c r="K84" s="28" t="str">
        <f>IF(B84="","",IF(SUMPRODUCT(($J$2:$J$601=J84)*($H$2:$H$601&lt;H84))+SUMPRODUCT(($J$2:J84=J84)*($H$2:H84=H84))-1&gt;0,"DUPLICATE",IF(AND(ISNUMBER(SEARCH("@",E84)),ISNUMBER(SEARCH(".",E84)),LEN(F84)=10,ISNUMBER(VALUE(F84))),"OK","BAD CONTACT")))</f>
        <v>OK</v>
      </c>
      <c r="L84" s="28">
        <f t="shared" si="12"/>
        <v>1</v>
      </c>
      <c r="M84" s="28">
        <f>IF(L84=1,IF(COUNTIFS(LOG!$C$2:$C$2001,F84,LOG!$E$2:$E$2001,B84,LOG!$D$2:$D$2001,"*BOOKED")+COUNTIFS(LOG!$C$2:$C$2001,F84,LOG!$E$2:$E$2001,"",LOG!$D$2:$D$2001,"*BOOKED")&gt;0,1,0),0)</f>
        <v>1</v>
      </c>
      <c r="N84" s="28">
        <f>IF(L84=1,IF(COUNTIFS(LOG!$C$2:$C$2001,F84,LOG!$E$2:$E$2001,B84,LOG!$D$2:$D$2001,"NOT_INTERESTED")+COUNTIFS(LOG!$C$2:$C$2001,F84,LOG!$E$2:$E$2001,"",LOG!$D$2:$D$2001,"NOT_INTERESTED")&gt;0,1,0),0)</f>
        <v>0</v>
      </c>
      <c r="O84" s="28">
        <f>IF(L84=1,IF(COUNTIFS(LOG!$C$2:$C$2001,F84,LOG!$D$2:$D$2001,"STOP")+COUNTIFS(LOG!$C$2:$C$2001,F84,LOG!$D$2:$D$2001,"WRONG_NUMBER")&gt;0,1,IF(ISNUMBER(SEARCH("STOP",AT84)),1,0)),0)</f>
        <v>0</v>
      </c>
      <c r="P84" s="28">
        <f>IF(L84=1,IF(IFERROR(INDEX(PARTNERS!$D$2:$D$88,MATCH(B84,PARTNERS!$A$2:$A$88,0)),"")="NO SLOTS",1,IF(AND(IFERROR(INDEX(PARTNERS!$D$2:$D$88,MATCH(B84,PARTNERS!$A$2:$A$88,0)),"")&lt;&gt;"REOPENED",COUNTIFS(LOG!$E$2:$E$2001,B84,LOG!$D$2:$D$2001,"NO_SLOTS")&gt;0),1,0)),0)</f>
        <v>0</v>
      </c>
      <c r="Q84" s="28">
        <f>IF(L84=1,COUNTIFS(LOG!$C$2:$C$2001,F84,LOG!$H$2:$H$2001,1),0)</f>
        <v>0</v>
      </c>
      <c r="R84" s="46">
        <f>IF(Q84&gt;0,_xlfn.MAXIFS(LOG!$G$2:$G$2001,LOG!$C$2:$C$2001,F84,LOG!$H$2:$H$2001,1),0)</f>
        <v>0</v>
      </c>
      <c r="S84" s="28" t="str">
        <f>IF(Q84&gt;0,IFERROR(INDEX(LOG!$D$2:$D$2001,MATCH(F84&amp;"|"&amp;Q84,LOG!$I$2:$I$2001,0)),""),"")</f>
        <v/>
      </c>
      <c r="T84" s="28">
        <f>IF(S84="",0,IFERROR(VLOOKUP(S84,LISTS!$A$2:$E$10,4,FALSE),0))</f>
        <v>0</v>
      </c>
      <c r="U84" s="46">
        <f t="shared" si="13"/>
        <v>0</v>
      </c>
      <c r="V84" s="46">
        <f>IF(L84=1,H84+SETTINGS!$B$5/24,"")</f>
        <v>46309.82708333333</v>
      </c>
      <c r="W84" s="28">
        <f ca="1">IF(L84=1,(V84-SETTINGS!$B$4)*24,"")</f>
        <v>-1.6666666720993817E-2</v>
      </c>
      <c r="X84" s="28">
        <f ca="1">IF(AND(L84=1,K84="OK",M84=0,N84=0,O84=0,P84=0,SETTINGS!$B$4&lt;V84,Q84&lt;SETTINGS!$B$6),1,0)</f>
        <v>0</v>
      </c>
      <c r="Y84" s="28">
        <f ca="1">IF(AND(X84=1,SETTINGS!$B$4&gt;=H84,SETTINGS!$B$4&gt;=U84,ROUND(MOD(SETTINGS!$B$4,1)*1440,0)&gt;=ROUND(SETTINGS!$B$7*1440,0),ROUND(MOD(SETTINGS!$B$4,1)*1440,0)&lt;ROUND(SETTINGS!$B$8*1440,0)),1,0)</f>
        <v>0</v>
      </c>
      <c r="Z84" s="28" t="str">
        <f ca="1">IF(B84="","",IF(ROUND(MOD(SETTINGS!$B$4,1)*1440,0)&lt;ROUND(SETTINGS!$B$11*1440,0),"Ram",IF(ROUND(MOD(SETTINGS!$B$4,1)*1440,0)&gt;=ROUND(SETTINGS!$B$10*1440,0),"Shyam",IF(MOD(IFERROR(VALUE(RIGHT(F84,2)),0),2)=0,"Ram","Shyam"))))</f>
        <v>Shyam</v>
      </c>
      <c r="AA84" s="28">
        <f t="shared" ca="1" si="14"/>
        <v>0</v>
      </c>
      <c r="AB84" s="28">
        <f ca="1">IF(X84=1,COUNTIFS($F$2:F84,F84,$X$2:X84,1),0)</f>
        <v>0</v>
      </c>
      <c r="AC84" s="28" t="str">
        <f>IF(L84=1,IF(IFERROR(INDEX(PARTNERS!$C$2:$C$88,MATCH(B84,PARTNERS!$A$2:$A$88,0)),"")="YES","YES","NO"),"")</f>
        <v>YES</v>
      </c>
      <c r="AD84" s="28" t="str">
        <f>IF(L84=1,IFERROR(INDEX(PARTNERS!$B$2:$B$88,MATCH(B84,PARTNERS!$A$2:$A$88,0)),""),"")</f>
        <v>https://calendly.com/partner006/interview</v>
      </c>
      <c r="AE84" s="28">
        <f ca="1">IF(X84=1,IFERROR(INDEX(SETTINGS!$B$34:$D$36,MATCH(I84,SETTINGS!$A$34:$A$36,0),MIN(Q84,2)+1),SETTINGS!$B$36),0)</f>
        <v>0</v>
      </c>
      <c r="AF84" s="28">
        <f t="shared" si="15"/>
        <v>1</v>
      </c>
      <c r="AG84" s="28">
        <f ca="1">IF(AND(Y84=1,AB84=1),ROUND(AA84*AE84*IF(AF84&gt;1,SETTINGS!$B$16,1)*IF(W84&lt;=SETTINGS!$B$14,SETTINGS!$B$15,1)*IF(AU84=1,SETTINGS!$B$21,1),6),0)</f>
        <v>0</v>
      </c>
      <c r="AH84" s="28" t="str">
        <f ca="1">IF(AG84&gt;0,COUNTIFS($Z$2:$Z$601,Z84,$AG$2:$AG$601,"&gt;"&amp;AG84)+COUNTIFS($Z$2:Z84,Z84,$AG$2:AG84,AG84),"")</f>
        <v/>
      </c>
      <c r="AI84" s="28" t="str">
        <f t="shared" ca="1" si="16"/>
        <v/>
      </c>
      <c r="AJ84" s="28" t="str">
        <f t="shared" ca="1" si="17"/>
        <v/>
      </c>
      <c r="AK84" s="28">
        <f>IF(L84=1,IF(COUNTIFS($F$2:F84,F84,$L$2:L84,1)=1,1,0),0)</f>
        <v>1</v>
      </c>
      <c r="AL84" s="28" t="str">
        <f>IF(B84="","",IF(K84="DUPLICATE","Duplicate (removed)",IF(AO84=1,"Scheduled within 24h",IF(M84=1,"Scheduled late",IF(K84="BAD CONTACT","Bad contact details",IF(O84=1,"Stopped / wrong number",IF(N84=1,"Not interested",IF(P84=1,"Partner has no slots",IF(SETTINGS!$B$4&gt;=V84,IF(Q84=0,"Missed deadline: never tried","Missed deadline: tried, not booked"),IF(Q84&gt;=SETTINGS!$B$6,"No reply after max tries","Open"))))))))))</f>
        <v>Scheduled within 24h</v>
      </c>
      <c r="AM84" s="46">
        <f>IF(M84=1,IF(_xlfn.MINIFS(LOG!$G$2:$G$2001,LOG!$C$2:$C$2001,F84,LOG!$E$2:$E$2001,B84,LOG!$D$2:$D$2001,"*BOOKED")=0,_xlfn.MINIFS(LOG!$G$2:$G$2001,LOG!$C$2:$C$2001,F84,LOG!$E$2:$E$2001,"",LOG!$D$2:$D$2001,"*BOOKED"),IF(_xlfn.MINIFS(LOG!$G$2:$G$2001,LOG!$C$2:$C$2001,F84,LOG!$E$2:$E$2001,"",LOG!$D$2:$D$2001,"*BOOKED")=0,_xlfn.MINIFS(LOG!$G$2:$G$2001,LOG!$C$2:$C$2001,F84,LOG!$E$2:$E$2001,B84,LOG!$D$2:$D$2001,"*BOOKED"),MIN(_xlfn.MINIFS(LOG!$G$2:$G$2001,LOG!$C$2:$C$2001,F84,LOG!$E$2:$E$2001,B84,LOG!$D$2:$D$2001,"*BOOKED"),_xlfn.MINIFS(LOG!$G$2:$G$2001,LOG!$C$2:$C$2001,F84,LOG!$E$2:$E$2001,"",LOG!$D$2:$D$2001,"*BOOKED")))),"")</f>
        <v>46308.896892984987</v>
      </c>
      <c r="AN84" s="28">
        <f t="shared" si="18"/>
        <v>1.6754316397709772</v>
      </c>
      <c r="AO84" s="28">
        <f>IF(AND(M84=1,AN84&lt;&gt;""),IF(AN84&lt;=SETTINGS!$B$5,1,0),0)</f>
        <v>1</v>
      </c>
      <c r="AP84" s="28">
        <f>IF(M84=1,IF(COUNTIFS(LOG!$C$2:$C$2001,F84,LOG!$E$2:$E$2001,B84,LOG!$D$2:$D$2001,"BOOKED")+COUNTIFS(LOG!$C$2:$C$2001,F84,LOG!$E$2:$E$2001,"",LOG!$D$2:$D$2001,"BOOKED")&gt;0,1,0),0)</f>
        <v>0</v>
      </c>
      <c r="AQ84" s="28" t="str">
        <f t="shared" si="19"/>
        <v>Varun</v>
      </c>
      <c r="AR84" s="28">
        <f>IF(AND(AK84=1,K84="OK"),COUNTIFS($AK$2:AK84,1,$K$2:K84,"OK"),"")</f>
        <v>79</v>
      </c>
      <c r="AS84" s="28" t="str">
        <f>IF(L84=1,IFERROR(INDEX(MESSAGES!$J$9:$J$1008,MATCH(F84,MESSAGES!$M$9:$M$1008,0))&amp;"",""),"")</f>
        <v/>
      </c>
      <c r="AT84" s="28" t="str">
        <f>IF(L84=1,IFERROR(INDEX(MESSAGES!$K$9:$K$1008,MATCH(F84,MESSAGES!$M$9:$M$1008,0))&amp;"",""),"")</f>
        <v/>
      </c>
      <c r="AU84" s="28">
        <f t="shared" ca="1" si="20"/>
        <v>0</v>
      </c>
      <c r="AV84" s="28" t="str">
        <f t="shared" si="21"/>
        <v>SEND</v>
      </c>
    </row>
    <row r="85" spans="1:48" x14ac:dyDescent="0.35">
      <c r="A85" s="28">
        <v>84</v>
      </c>
      <c r="B85" s="28" t="str">
        <f>IF(INPUT!A85="","",TRIM(INPUT!A85))</f>
        <v>Partner 000</v>
      </c>
      <c r="C85" s="28" t="str">
        <f>IF(B85="","",INPUT!C85)</f>
        <v>interviewer1@partner000.example.com</v>
      </c>
      <c r="D85" s="28" t="str">
        <f>IF(B85="","",INPUT!D85)</f>
        <v>Aditya N.</v>
      </c>
      <c r="E85" s="28" t="str">
        <f>IF(B85="","",INPUT!E85)</f>
        <v>aditya.n382@example.com</v>
      </c>
      <c r="F85" s="43" t="str">
        <f>IF(B85="","",TRIM(INPUT!F85&amp;""))</f>
        <v>9000004973</v>
      </c>
      <c r="G85" s="28" t="str">
        <f>IF(B85="","",INPUT!H85)</f>
        <v>Round1</v>
      </c>
      <c r="H85" s="46">
        <f>IF(B85="","",INPUT!I85)</f>
        <v>46308.82708333333</v>
      </c>
      <c r="I85" s="28" t="str">
        <f>IF(B85="","",IF(INPUT!J85="","None",INPUT!J85))</f>
        <v>Opened</v>
      </c>
      <c r="J85" s="28" t="str">
        <f t="shared" si="11"/>
        <v>aditya.n382@example.com|partner 000|Round1|interviewer1@partner000.example.com</v>
      </c>
      <c r="K85" s="28" t="str">
        <f>IF(B85="","",IF(SUMPRODUCT(($J$2:$J$601=J85)*($H$2:$H$601&lt;H85))+SUMPRODUCT(($J$2:J85=J85)*($H$2:H85=H85))-1&gt;0,"DUPLICATE",IF(AND(ISNUMBER(SEARCH("@",E85)),ISNUMBER(SEARCH(".",E85)),LEN(F85)=10,ISNUMBER(VALUE(F85))),"OK","BAD CONTACT")))</f>
        <v>OK</v>
      </c>
      <c r="L85" s="28">
        <f t="shared" si="12"/>
        <v>1</v>
      </c>
      <c r="M85" s="28">
        <f>IF(L85=1,IF(COUNTIFS(LOG!$C$2:$C$2001,F85,LOG!$E$2:$E$2001,B85,LOG!$D$2:$D$2001,"*BOOKED")+COUNTIFS(LOG!$C$2:$C$2001,F85,LOG!$E$2:$E$2001,"",LOG!$D$2:$D$2001,"*BOOKED")&gt;0,1,0),0)</f>
        <v>0</v>
      </c>
      <c r="N85" s="28">
        <f>IF(L85=1,IF(COUNTIFS(LOG!$C$2:$C$2001,F85,LOG!$E$2:$E$2001,B85,LOG!$D$2:$D$2001,"NOT_INTERESTED")+COUNTIFS(LOG!$C$2:$C$2001,F85,LOG!$E$2:$E$2001,"",LOG!$D$2:$D$2001,"NOT_INTERESTED")&gt;0,1,0),0)</f>
        <v>0</v>
      </c>
      <c r="O85" s="28">
        <f>IF(L85=1,IF(COUNTIFS(LOG!$C$2:$C$2001,F85,LOG!$D$2:$D$2001,"STOP")+COUNTIFS(LOG!$C$2:$C$2001,F85,LOG!$D$2:$D$2001,"WRONG_NUMBER")&gt;0,1,IF(ISNUMBER(SEARCH("STOP",AT85)),1,0)),0)</f>
        <v>0</v>
      </c>
      <c r="P85" s="28">
        <f>IF(L85=1,IF(IFERROR(INDEX(PARTNERS!$D$2:$D$88,MATCH(B85,PARTNERS!$A$2:$A$88,0)),"")="NO SLOTS",1,IF(AND(IFERROR(INDEX(PARTNERS!$D$2:$D$88,MATCH(B85,PARTNERS!$A$2:$A$88,0)),"")&lt;&gt;"REOPENED",COUNTIFS(LOG!$E$2:$E$2001,B85,LOG!$D$2:$D$2001,"NO_SLOTS")&gt;0),1,0)),0)</f>
        <v>0</v>
      </c>
      <c r="Q85" s="28">
        <f>IF(L85=1,COUNTIFS(LOG!$C$2:$C$2001,F85,LOG!$H$2:$H$2001,1),0)</f>
        <v>0</v>
      </c>
      <c r="R85" s="46">
        <f>IF(Q85&gt;0,_xlfn.MAXIFS(LOG!$G$2:$G$2001,LOG!$C$2:$C$2001,F85,LOG!$H$2:$H$2001,1),0)</f>
        <v>0</v>
      </c>
      <c r="S85" s="28" t="str">
        <f>IF(Q85&gt;0,IFERROR(INDEX(LOG!$D$2:$D$2001,MATCH(F85&amp;"|"&amp;Q85,LOG!$I$2:$I$2001,0)),""),"")</f>
        <v/>
      </c>
      <c r="T85" s="28">
        <f>IF(S85="",0,IFERROR(VLOOKUP(S85,LISTS!$A$2:$E$10,4,FALSE),0))</f>
        <v>0</v>
      </c>
      <c r="U85" s="46">
        <f t="shared" si="13"/>
        <v>0</v>
      </c>
      <c r="V85" s="46">
        <f>IF(L85=1,H85+SETTINGS!$B$5/24,"")</f>
        <v>46309.82708333333</v>
      </c>
      <c r="W85" s="28">
        <f ca="1">IF(L85=1,(V85-SETTINGS!$B$4)*24,"")</f>
        <v>-1.6666666720993817E-2</v>
      </c>
      <c r="X85" s="28">
        <f ca="1">IF(AND(L85=1,K85="OK",M85=0,N85=0,O85=0,P85=0,SETTINGS!$B$4&lt;V85,Q85&lt;SETTINGS!$B$6),1,0)</f>
        <v>0</v>
      </c>
      <c r="Y85" s="28">
        <f ca="1">IF(AND(X85=1,SETTINGS!$B$4&gt;=H85,SETTINGS!$B$4&gt;=U85,ROUND(MOD(SETTINGS!$B$4,1)*1440,0)&gt;=ROUND(SETTINGS!$B$7*1440,0),ROUND(MOD(SETTINGS!$B$4,1)*1440,0)&lt;ROUND(SETTINGS!$B$8*1440,0)),1,0)</f>
        <v>0</v>
      </c>
      <c r="Z85" s="28" t="str">
        <f ca="1">IF(B85="","",IF(ROUND(MOD(SETTINGS!$B$4,1)*1440,0)&lt;ROUND(SETTINGS!$B$11*1440,0),"Ram",IF(ROUND(MOD(SETTINGS!$B$4,1)*1440,0)&gt;=ROUND(SETTINGS!$B$10*1440,0),"Shyam",IF(MOD(IFERROR(VALUE(RIGHT(F85,2)),0),2)=0,"Ram","Shyam"))))</f>
        <v>Shyam</v>
      </c>
      <c r="AA85" s="28">
        <f t="shared" ca="1" si="14"/>
        <v>0</v>
      </c>
      <c r="AB85" s="28">
        <f ca="1">IF(X85=1,COUNTIFS($F$2:F85,F85,$X$2:X85,1),0)</f>
        <v>0</v>
      </c>
      <c r="AC85" s="28" t="str">
        <f>IF(L85=1,IF(IFERROR(INDEX(PARTNERS!$C$2:$C$88,MATCH(B85,PARTNERS!$A$2:$A$88,0)),"")="YES","YES","NO"),"")</f>
        <v>NO</v>
      </c>
      <c r="AD85" s="28" t="str">
        <f>IF(L85=1,IFERROR(INDEX(PARTNERS!$B$2:$B$88,MATCH(B85,PARTNERS!$A$2:$A$88,0)),""),"")</f>
        <v>https://calendly.com/partner000/interview</v>
      </c>
      <c r="AE85" s="28">
        <f ca="1">IF(X85=1,IFERROR(INDEX(SETTINGS!$B$34:$D$36,MATCH(I85,SETTINGS!$A$34:$A$36,0),MIN(Q85,2)+1),SETTINGS!$B$36),0)</f>
        <v>0</v>
      </c>
      <c r="AF85" s="28">
        <f t="shared" si="15"/>
        <v>1</v>
      </c>
      <c r="AG85" s="28">
        <f ca="1">IF(AND(Y85=1,AB85=1),ROUND(AA85*AE85*IF(AF85&gt;1,SETTINGS!$B$16,1)*IF(W85&lt;=SETTINGS!$B$14,SETTINGS!$B$15,1)*IF(AU85=1,SETTINGS!$B$21,1),6),0)</f>
        <v>0</v>
      </c>
      <c r="AH85" s="28" t="str">
        <f ca="1">IF(AG85&gt;0,COUNTIFS($Z$2:$Z$601,Z85,$AG$2:$AG$601,"&gt;"&amp;AG85)+COUNTIFS($Z$2:Z85,Z85,$AG$2:AG85,AG85),"")</f>
        <v/>
      </c>
      <c r="AI85" s="28" t="str">
        <f t="shared" ca="1" si="16"/>
        <v/>
      </c>
      <c r="AJ85" s="28" t="str">
        <f t="shared" ca="1" si="17"/>
        <v/>
      </c>
      <c r="AK85" s="28">
        <f>IF(L85=1,IF(COUNTIFS($F$2:F85,F85,$L$2:L85,1)=1,1,0),0)</f>
        <v>1</v>
      </c>
      <c r="AL85" s="28" t="str">
        <f ca="1">IF(B85="","",IF(K85="DUPLICATE","Duplicate (removed)",IF(AO85=1,"Scheduled within 24h",IF(M85=1,"Scheduled late",IF(K85="BAD CONTACT","Bad contact details",IF(O85=1,"Stopped / wrong number",IF(N85=1,"Not interested",IF(P85=1,"Partner has no slots",IF(SETTINGS!$B$4&gt;=V85,IF(Q85=0,"Missed deadline: never tried","Missed deadline: tried, not booked"),IF(Q85&gt;=SETTINGS!$B$6,"No reply after max tries","Open"))))))))))</f>
        <v>Missed deadline: never tried</v>
      </c>
      <c r="AM85" s="46" t="str">
        <f>IF(M85=1,IF(_xlfn.MINIFS(LOG!$G$2:$G$2001,LOG!$C$2:$C$2001,F85,LOG!$E$2:$E$2001,B85,LOG!$D$2:$D$2001,"*BOOKED")=0,_xlfn.MINIFS(LOG!$G$2:$G$2001,LOG!$C$2:$C$2001,F85,LOG!$E$2:$E$2001,"",LOG!$D$2:$D$2001,"*BOOKED"),IF(_xlfn.MINIFS(LOG!$G$2:$G$2001,LOG!$C$2:$C$2001,F85,LOG!$E$2:$E$2001,"",LOG!$D$2:$D$2001,"*BOOKED")=0,_xlfn.MINIFS(LOG!$G$2:$G$2001,LOG!$C$2:$C$2001,F85,LOG!$E$2:$E$2001,B85,LOG!$D$2:$D$2001,"*BOOKED"),MIN(_xlfn.MINIFS(LOG!$G$2:$G$2001,LOG!$C$2:$C$2001,F85,LOG!$E$2:$E$2001,B85,LOG!$D$2:$D$2001,"*BOOKED"),_xlfn.MINIFS(LOG!$G$2:$G$2001,LOG!$C$2:$C$2001,F85,LOG!$E$2:$E$2001,"",LOG!$D$2:$D$2001,"*BOOKED")))),"")</f>
        <v/>
      </c>
      <c r="AN85" s="28" t="str">
        <f t="shared" si="18"/>
        <v/>
      </c>
      <c r="AO85" s="28">
        <f>IF(AND(M85=1,AN85&lt;&gt;""),IF(AN85&lt;=SETTINGS!$B$5,1,0),0)</f>
        <v>0</v>
      </c>
      <c r="AP85" s="28">
        <f>IF(M85=1,IF(COUNTIFS(LOG!$C$2:$C$2001,F85,LOG!$E$2:$E$2001,B85,LOG!$D$2:$D$2001,"BOOKED")+COUNTIFS(LOG!$C$2:$C$2001,F85,LOG!$E$2:$E$2001,"",LOG!$D$2:$D$2001,"BOOKED")&gt;0,1,0),0)</f>
        <v>0</v>
      </c>
      <c r="AQ85" s="28" t="str">
        <f t="shared" si="19"/>
        <v>Aditya</v>
      </c>
      <c r="AR85" s="28">
        <f>IF(AND(AK85=1,K85="OK"),COUNTIFS($AK$2:AK85,1,$K$2:K85,"OK"),"")</f>
        <v>80</v>
      </c>
      <c r="AS85" s="28" t="str">
        <f>IF(L85=1,IFERROR(INDEX(MESSAGES!$J$9:$J$1008,MATCH(F85,MESSAGES!$M$9:$M$1008,0))&amp;"",""),"")</f>
        <v/>
      </c>
      <c r="AT85" s="28" t="str">
        <f>IF(L85=1,IFERROR(INDEX(MESSAGES!$K$9:$K$1008,MATCH(F85,MESSAGES!$M$9:$M$1008,0))&amp;"",""),"")</f>
        <v/>
      </c>
      <c r="AU85" s="28">
        <f t="shared" ca="1" si="20"/>
        <v>0</v>
      </c>
      <c r="AV85" s="28" t="str">
        <f t="shared" si="21"/>
        <v>HOLD</v>
      </c>
    </row>
    <row r="86" spans="1:48" x14ac:dyDescent="0.35">
      <c r="A86" s="28">
        <v>85</v>
      </c>
      <c r="B86" s="28" t="str">
        <f>IF(INPUT!A86="","",TRIM(INPUT!A86))</f>
        <v>Partner 000</v>
      </c>
      <c r="C86" s="28" t="str">
        <f>IF(B86="","",INPUT!C86)</f>
        <v>interviewer0@partner000.example.com</v>
      </c>
      <c r="D86" s="28" t="str">
        <f>IF(B86="","",INPUT!D86)</f>
        <v>Neil A.</v>
      </c>
      <c r="E86" s="28" t="str">
        <f>IF(B86="","",INPUT!E86)</f>
        <v>neil.a018@example.com</v>
      </c>
      <c r="F86" s="43" t="str">
        <f>IF(B86="","",TRIM(INPUT!F86&amp;""))</f>
        <v>9000000241</v>
      </c>
      <c r="G86" s="28" t="str">
        <f>IF(B86="","",INPUT!H86)</f>
        <v>Round1</v>
      </c>
      <c r="H86" s="46">
        <f>IF(B86="","",INPUT!I86)</f>
        <v>46308.82708333333</v>
      </c>
      <c r="I86" s="28" t="str">
        <f>IF(B86="","",IF(INPUT!J86="","None",INPUT!J86))</f>
        <v>Opened</v>
      </c>
      <c r="J86" s="28" t="str">
        <f t="shared" si="11"/>
        <v>neil.a018@example.com|partner 000|Round1|interviewer0@partner000.example.com</v>
      </c>
      <c r="K86" s="28" t="str">
        <f>IF(B86="","",IF(SUMPRODUCT(($J$2:$J$601=J86)*($H$2:$H$601&lt;H86))+SUMPRODUCT(($J$2:J86=J86)*($H$2:H86=H86))-1&gt;0,"DUPLICATE",IF(AND(ISNUMBER(SEARCH("@",E86)),ISNUMBER(SEARCH(".",E86)),LEN(F86)=10,ISNUMBER(VALUE(F86))),"OK","BAD CONTACT")))</f>
        <v>OK</v>
      </c>
      <c r="L86" s="28">
        <f t="shared" si="12"/>
        <v>1</v>
      </c>
      <c r="M86" s="28">
        <f>IF(L86=1,IF(COUNTIFS(LOG!$C$2:$C$2001,F86,LOG!$E$2:$E$2001,B86,LOG!$D$2:$D$2001,"*BOOKED")+COUNTIFS(LOG!$C$2:$C$2001,F86,LOG!$E$2:$E$2001,"",LOG!$D$2:$D$2001,"*BOOKED")&gt;0,1,0),0)</f>
        <v>0</v>
      </c>
      <c r="N86" s="28">
        <f>IF(L86=1,IF(COUNTIFS(LOG!$C$2:$C$2001,F86,LOG!$E$2:$E$2001,B86,LOG!$D$2:$D$2001,"NOT_INTERESTED")+COUNTIFS(LOG!$C$2:$C$2001,F86,LOG!$E$2:$E$2001,"",LOG!$D$2:$D$2001,"NOT_INTERESTED")&gt;0,1,0),0)</f>
        <v>0</v>
      </c>
      <c r="O86" s="28">
        <f>IF(L86=1,IF(COUNTIFS(LOG!$C$2:$C$2001,F86,LOG!$D$2:$D$2001,"STOP")+COUNTIFS(LOG!$C$2:$C$2001,F86,LOG!$D$2:$D$2001,"WRONG_NUMBER")&gt;0,1,IF(ISNUMBER(SEARCH("STOP",AT86)),1,0)),0)</f>
        <v>0</v>
      </c>
      <c r="P86" s="28">
        <f>IF(L86=1,IF(IFERROR(INDEX(PARTNERS!$D$2:$D$88,MATCH(B86,PARTNERS!$A$2:$A$88,0)),"")="NO SLOTS",1,IF(AND(IFERROR(INDEX(PARTNERS!$D$2:$D$88,MATCH(B86,PARTNERS!$A$2:$A$88,0)),"")&lt;&gt;"REOPENED",COUNTIFS(LOG!$E$2:$E$2001,B86,LOG!$D$2:$D$2001,"NO_SLOTS")&gt;0),1,0)),0)</f>
        <v>0</v>
      </c>
      <c r="Q86" s="28">
        <f>IF(L86=1,COUNTIFS(LOG!$C$2:$C$2001,F86,LOG!$H$2:$H$2001,1),0)</f>
        <v>0</v>
      </c>
      <c r="R86" s="46">
        <f>IF(Q86&gt;0,_xlfn.MAXIFS(LOG!$G$2:$G$2001,LOG!$C$2:$C$2001,F86,LOG!$H$2:$H$2001,1),0)</f>
        <v>0</v>
      </c>
      <c r="S86" s="28" t="str">
        <f>IF(Q86&gt;0,IFERROR(INDEX(LOG!$D$2:$D$2001,MATCH(F86&amp;"|"&amp;Q86,LOG!$I$2:$I$2001,0)),""),"")</f>
        <v/>
      </c>
      <c r="T86" s="28">
        <f>IF(S86="",0,IFERROR(VLOOKUP(S86,LISTS!$A$2:$E$10,4,FALSE),0))</f>
        <v>0</v>
      </c>
      <c r="U86" s="46">
        <f t="shared" si="13"/>
        <v>0</v>
      </c>
      <c r="V86" s="46">
        <f>IF(L86=1,H86+SETTINGS!$B$5/24,"")</f>
        <v>46309.82708333333</v>
      </c>
      <c r="W86" s="28">
        <f ca="1">IF(L86=1,(V86-SETTINGS!$B$4)*24,"")</f>
        <v>-1.6666666720993817E-2</v>
      </c>
      <c r="X86" s="28">
        <f ca="1">IF(AND(L86=1,K86="OK",M86=0,N86=0,O86=0,P86=0,SETTINGS!$B$4&lt;V86,Q86&lt;SETTINGS!$B$6),1,0)</f>
        <v>0</v>
      </c>
      <c r="Y86" s="28">
        <f ca="1">IF(AND(X86=1,SETTINGS!$B$4&gt;=H86,SETTINGS!$B$4&gt;=U86,ROUND(MOD(SETTINGS!$B$4,1)*1440,0)&gt;=ROUND(SETTINGS!$B$7*1440,0),ROUND(MOD(SETTINGS!$B$4,1)*1440,0)&lt;ROUND(SETTINGS!$B$8*1440,0)),1,0)</f>
        <v>0</v>
      </c>
      <c r="Z86" s="28" t="str">
        <f ca="1">IF(B86="","",IF(ROUND(MOD(SETTINGS!$B$4,1)*1440,0)&lt;ROUND(SETTINGS!$B$11*1440,0),"Ram",IF(ROUND(MOD(SETTINGS!$B$4,1)*1440,0)&gt;=ROUND(SETTINGS!$B$10*1440,0),"Shyam",IF(MOD(IFERROR(VALUE(RIGHT(F86,2)),0),2)=0,"Ram","Shyam"))))</f>
        <v>Shyam</v>
      </c>
      <c r="AA86" s="28">
        <f t="shared" ca="1" si="14"/>
        <v>0</v>
      </c>
      <c r="AB86" s="28">
        <f ca="1">IF(X86=1,COUNTIFS($F$2:F86,F86,$X$2:X86,1),0)</f>
        <v>0</v>
      </c>
      <c r="AC86" s="28" t="str">
        <f>IF(L86=1,IF(IFERROR(INDEX(PARTNERS!$C$2:$C$88,MATCH(B86,PARTNERS!$A$2:$A$88,0)),"")="YES","YES","NO"),"")</f>
        <v>NO</v>
      </c>
      <c r="AD86" s="28" t="str">
        <f>IF(L86=1,IFERROR(INDEX(PARTNERS!$B$2:$B$88,MATCH(B86,PARTNERS!$A$2:$A$88,0)),""),"")</f>
        <v>https://calendly.com/partner000/interview</v>
      </c>
      <c r="AE86" s="28">
        <f ca="1">IF(X86=1,IFERROR(INDEX(SETTINGS!$B$34:$D$36,MATCH(I86,SETTINGS!$A$34:$A$36,0),MIN(Q86,2)+1),SETTINGS!$B$36),0)</f>
        <v>0</v>
      </c>
      <c r="AF86" s="28">
        <f t="shared" si="15"/>
        <v>1</v>
      </c>
      <c r="AG86" s="28">
        <f ca="1">IF(AND(Y86=1,AB86=1),ROUND(AA86*AE86*IF(AF86&gt;1,SETTINGS!$B$16,1)*IF(W86&lt;=SETTINGS!$B$14,SETTINGS!$B$15,1)*IF(AU86=1,SETTINGS!$B$21,1),6),0)</f>
        <v>0</v>
      </c>
      <c r="AH86" s="28" t="str">
        <f ca="1">IF(AG86&gt;0,COUNTIFS($Z$2:$Z$601,Z86,$AG$2:$AG$601,"&gt;"&amp;AG86)+COUNTIFS($Z$2:Z86,Z86,$AG$2:AG86,AG86),"")</f>
        <v/>
      </c>
      <c r="AI86" s="28" t="str">
        <f t="shared" ca="1" si="16"/>
        <v/>
      </c>
      <c r="AJ86" s="28" t="str">
        <f t="shared" ca="1" si="17"/>
        <v/>
      </c>
      <c r="AK86" s="28">
        <f>IF(L86=1,IF(COUNTIFS($F$2:F86,F86,$L$2:L86,1)=1,1,0),0)</f>
        <v>1</v>
      </c>
      <c r="AL86" s="28" t="str">
        <f ca="1">IF(B86="","",IF(K86="DUPLICATE","Duplicate (removed)",IF(AO86=1,"Scheduled within 24h",IF(M86=1,"Scheduled late",IF(K86="BAD CONTACT","Bad contact details",IF(O86=1,"Stopped / wrong number",IF(N86=1,"Not interested",IF(P86=1,"Partner has no slots",IF(SETTINGS!$B$4&gt;=V86,IF(Q86=0,"Missed deadline: never tried","Missed deadline: tried, not booked"),IF(Q86&gt;=SETTINGS!$B$6,"No reply after max tries","Open"))))))))))</f>
        <v>Missed deadline: never tried</v>
      </c>
      <c r="AM86" s="46" t="str">
        <f>IF(M86=1,IF(_xlfn.MINIFS(LOG!$G$2:$G$2001,LOG!$C$2:$C$2001,F86,LOG!$E$2:$E$2001,B86,LOG!$D$2:$D$2001,"*BOOKED")=0,_xlfn.MINIFS(LOG!$G$2:$G$2001,LOG!$C$2:$C$2001,F86,LOG!$E$2:$E$2001,"",LOG!$D$2:$D$2001,"*BOOKED"),IF(_xlfn.MINIFS(LOG!$G$2:$G$2001,LOG!$C$2:$C$2001,F86,LOG!$E$2:$E$2001,"",LOG!$D$2:$D$2001,"*BOOKED")=0,_xlfn.MINIFS(LOG!$G$2:$G$2001,LOG!$C$2:$C$2001,F86,LOG!$E$2:$E$2001,B86,LOG!$D$2:$D$2001,"*BOOKED"),MIN(_xlfn.MINIFS(LOG!$G$2:$G$2001,LOG!$C$2:$C$2001,F86,LOG!$E$2:$E$2001,B86,LOG!$D$2:$D$2001,"*BOOKED"),_xlfn.MINIFS(LOG!$G$2:$G$2001,LOG!$C$2:$C$2001,F86,LOG!$E$2:$E$2001,"",LOG!$D$2:$D$2001,"*BOOKED")))),"")</f>
        <v/>
      </c>
      <c r="AN86" s="28" t="str">
        <f t="shared" si="18"/>
        <v/>
      </c>
      <c r="AO86" s="28">
        <f>IF(AND(M86=1,AN86&lt;&gt;""),IF(AN86&lt;=SETTINGS!$B$5,1,0),0)</f>
        <v>0</v>
      </c>
      <c r="AP86" s="28">
        <f>IF(M86=1,IF(COUNTIFS(LOG!$C$2:$C$2001,F86,LOG!$E$2:$E$2001,B86,LOG!$D$2:$D$2001,"BOOKED")+COUNTIFS(LOG!$C$2:$C$2001,F86,LOG!$E$2:$E$2001,"",LOG!$D$2:$D$2001,"BOOKED")&gt;0,1,0),0)</f>
        <v>0</v>
      </c>
      <c r="AQ86" s="28" t="str">
        <f t="shared" si="19"/>
        <v>Neil</v>
      </c>
      <c r="AR86" s="28">
        <f>IF(AND(AK86=1,K86="OK"),COUNTIFS($AK$2:AK86,1,$K$2:K86,"OK"),"")</f>
        <v>81</v>
      </c>
      <c r="AS86" s="28" t="str">
        <f>IF(L86=1,IFERROR(INDEX(MESSAGES!$J$9:$J$1008,MATCH(F86,MESSAGES!$M$9:$M$1008,0))&amp;"",""),"")</f>
        <v/>
      </c>
      <c r="AT86" s="28" t="str">
        <f>IF(L86=1,IFERROR(INDEX(MESSAGES!$K$9:$K$1008,MATCH(F86,MESSAGES!$M$9:$M$1008,0))&amp;"",""),"")</f>
        <v/>
      </c>
      <c r="AU86" s="28">
        <f t="shared" ca="1" si="20"/>
        <v>0</v>
      </c>
      <c r="AV86" s="28" t="str">
        <f t="shared" si="21"/>
        <v>SEND</v>
      </c>
    </row>
    <row r="87" spans="1:48" x14ac:dyDescent="0.35">
      <c r="A87" s="28">
        <v>86</v>
      </c>
      <c r="B87" s="28" t="str">
        <f>IF(INPUT!A87="","",TRIM(INPUT!A87))</f>
        <v>Partner 003</v>
      </c>
      <c r="C87" s="28" t="str">
        <f>IF(B87="","",INPUT!C87)</f>
        <v>interviewer1@partner003.example.com</v>
      </c>
      <c r="D87" s="28" t="str">
        <f>IF(B87="","",INPUT!D87)</f>
        <v>Navya C.</v>
      </c>
      <c r="E87" s="28" t="str">
        <f>IF(B87="","",INPUT!E87)</f>
        <v>navya.c073@example.com</v>
      </c>
      <c r="F87" s="43" t="str">
        <f>IF(B87="","",TRIM(INPUT!F87&amp;""))</f>
        <v>9000000956</v>
      </c>
      <c r="G87" s="28" t="str">
        <f>IF(B87="","",INPUT!H87)</f>
        <v>Round1</v>
      </c>
      <c r="H87" s="46">
        <f>IF(B87="","",INPUT!I87)</f>
        <v>46308.82708333333</v>
      </c>
      <c r="I87" s="28" t="str">
        <f>IF(B87="","",IF(INPUT!J87="","None",INPUT!J87))</f>
        <v>Opened</v>
      </c>
      <c r="J87" s="28" t="str">
        <f t="shared" si="11"/>
        <v>navya.c073@example.com|partner 003|Round1|interviewer1@partner003.example.com</v>
      </c>
      <c r="K87" s="28" t="str">
        <f>IF(B87="","",IF(SUMPRODUCT(($J$2:$J$601=J87)*($H$2:$H$601&lt;H87))+SUMPRODUCT(($J$2:J87=J87)*($H$2:H87=H87))-1&gt;0,"DUPLICATE",IF(AND(ISNUMBER(SEARCH("@",E87)),ISNUMBER(SEARCH(".",E87)),LEN(F87)=10,ISNUMBER(VALUE(F87))),"OK","BAD CONTACT")))</f>
        <v>OK</v>
      </c>
      <c r="L87" s="28">
        <f t="shared" si="12"/>
        <v>1</v>
      </c>
      <c r="M87" s="28">
        <f>IF(L87=1,IF(COUNTIFS(LOG!$C$2:$C$2001,F87,LOG!$E$2:$E$2001,B87,LOG!$D$2:$D$2001,"*BOOKED")+COUNTIFS(LOG!$C$2:$C$2001,F87,LOG!$E$2:$E$2001,"",LOG!$D$2:$D$2001,"*BOOKED")&gt;0,1,0),0)</f>
        <v>1</v>
      </c>
      <c r="N87" s="28">
        <f>IF(L87=1,IF(COUNTIFS(LOG!$C$2:$C$2001,F87,LOG!$E$2:$E$2001,B87,LOG!$D$2:$D$2001,"NOT_INTERESTED")+COUNTIFS(LOG!$C$2:$C$2001,F87,LOG!$E$2:$E$2001,"",LOG!$D$2:$D$2001,"NOT_INTERESTED")&gt;0,1,0),0)</f>
        <v>0</v>
      </c>
      <c r="O87" s="28">
        <f>IF(L87=1,IF(COUNTIFS(LOG!$C$2:$C$2001,F87,LOG!$D$2:$D$2001,"STOP")+COUNTIFS(LOG!$C$2:$C$2001,F87,LOG!$D$2:$D$2001,"WRONG_NUMBER")&gt;0,1,IF(ISNUMBER(SEARCH("STOP",AT87)),1,0)),0)</f>
        <v>0</v>
      </c>
      <c r="P87" s="28">
        <f>IF(L87=1,IF(IFERROR(INDEX(PARTNERS!$D$2:$D$88,MATCH(B87,PARTNERS!$A$2:$A$88,0)),"")="NO SLOTS",1,IF(AND(IFERROR(INDEX(PARTNERS!$D$2:$D$88,MATCH(B87,PARTNERS!$A$2:$A$88,0)),"")&lt;&gt;"REOPENED",COUNTIFS(LOG!$E$2:$E$2001,B87,LOG!$D$2:$D$2001,"NO_SLOTS")&gt;0),1,0)),0)</f>
        <v>0</v>
      </c>
      <c r="Q87" s="28">
        <f>IF(L87=1,COUNTIFS(LOG!$C$2:$C$2001,F87,LOG!$H$2:$H$2001,1),0)</f>
        <v>0</v>
      </c>
      <c r="R87" s="46">
        <f>IF(Q87&gt;0,_xlfn.MAXIFS(LOG!$G$2:$G$2001,LOG!$C$2:$C$2001,F87,LOG!$H$2:$H$2001,1),0)</f>
        <v>0</v>
      </c>
      <c r="S87" s="28" t="str">
        <f>IF(Q87&gt;0,IFERROR(INDEX(LOG!$D$2:$D$2001,MATCH(F87&amp;"|"&amp;Q87,LOG!$I$2:$I$2001,0)),""),"")</f>
        <v/>
      </c>
      <c r="T87" s="28">
        <f>IF(S87="",0,IFERROR(VLOOKUP(S87,LISTS!$A$2:$E$10,4,FALSE),0))</f>
        <v>0</v>
      </c>
      <c r="U87" s="46">
        <f t="shared" si="13"/>
        <v>0</v>
      </c>
      <c r="V87" s="46">
        <f>IF(L87=1,H87+SETTINGS!$B$5/24,"")</f>
        <v>46309.82708333333</v>
      </c>
      <c r="W87" s="28">
        <f ca="1">IF(L87=1,(V87-SETTINGS!$B$4)*24,"")</f>
        <v>-1.6666666720993817E-2</v>
      </c>
      <c r="X87" s="28">
        <f ca="1">IF(AND(L87=1,K87="OK",M87=0,N87=0,O87=0,P87=0,SETTINGS!$B$4&lt;V87,Q87&lt;SETTINGS!$B$6),1,0)</f>
        <v>0</v>
      </c>
      <c r="Y87" s="28">
        <f ca="1">IF(AND(X87=1,SETTINGS!$B$4&gt;=H87,SETTINGS!$B$4&gt;=U87,ROUND(MOD(SETTINGS!$B$4,1)*1440,0)&gt;=ROUND(SETTINGS!$B$7*1440,0),ROUND(MOD(SETTINGS!$B$4,1)*1440,0)&lt;ROUND(SETTINGS!$B$8*1440,0)),1,0)</f>
        <v>0</v>
      </c>
      <c r="Z87" s="28" t="str">
        <f ca="1">IF(B87="","",IF(ROUND(MOD(SETTINGS!$B$4,1)*1440,0)&lt;ROUND(SETTINGS!$B$11*1440,0),"Ram",IF(ROUND(MOD(SETTINGS!$B$4,1)*1440,0)&gt;=ROUND(SETTINGS!$B$10*1440,0),"Shyam",IF(MOD(IFERROR(VALUE(RIGHT(F87,2)),0),2)=0,"Ram","Shyam"))))</f>
        <v>Shyam</v>
      </c>
      <c r="AA87" s="28">
        <f t="shared" ca="1" si="14"/>
        <v>0</v>
      </c>
      <c r="AB87" s="28">
        <f ca="1">IF(X87=1,COUNTIFS($F$2:F87,F87,$X$2:X87,1),0)</f>
        <v>0</v>
      </c>
      <c r="AC87" s="28" t="str">
        <f>IF(L87=1,IF(IFERROR(INDEX(PARTNERS!$C$2:$C$88,MATCH(B87,PARTNERS!$A$2:$A$88,0)),"")="YES","YES","NO"),"")</f>
        <v>NO</v>
      </c>
      <c r="AD87" s="28" t="str">
        <f>IF(L87=1,IFERROR(INDEX(PARTNERS!$B$2:$B$88,MATCH(B87,PARTNERS!$A$2:$A$88,0)),""),"")</f>
        <v>https://calendly.com/partner003/interview</v>
      </c>
      <c r="AE87" s="28">
        <f ca="1">IF(X87=1,IFERROR(INDEX(SETTINGS!$B$34:$D$36,MATCH(I87,SETTINGS!$A$34:$A$36,0),MIN(Q87,2)+1),SETTINGS!$B$36),0)</f>
        <v>0</v>
      </c>
      <c r="AF87" s="28">
        <f t="shared" si="15"/>
        <v>1</v>
      </c>
      <c r="AG87" s="28">
        <f ca="1">IF(AND(Y87=1,AB87=1),ROUND(AA87*AE87*IF(AF87&gt;1,SETTINGS!$B$16,1)*IF(W87&lt;=SETTINGS!$B$14,SETTINGS!$B$15,1)*IF(AU87=1,SETTINGS!$B$21,1),6),0)</f>
        <v>0</v>
      </c>
      <c r="AH87" s="28" t="str">
        <f ca="1">IF(AG87&gt;0,COUNTIFS($Z$2:$Z$601,Z87,$AG$2:$AG$601,"&gt;"&amp;AG87)+COUNTIFS($Z$2:Z87,Z87,$AG$2:AG87,AG87),"")</f>
        <v/>
      </c>
      <c r="AI87" s="28" t="str">
        <f t="shared" ca="1" si="16"/>
        <v/>
      </c>
      <c r="AJ87" s="28" t="str">
        <f t="shared" ca="1" si="17"/>
        <v/>
      </c>
      <c r="AK87" s="28">
        <f>IF(L87=1,IF(COUNTIFS($F$2:F87,F87,$L$2:L87,1)=1,1,0),0)</f>
        <v>1</v>
      </c>
      <c r="AL87" s="28" t="str">
        <f>IF(B87="","",IF(K87="DUPLICATE","Duplicate (removed)",IF(AO87=1,"Scheduled within 24h",IF(M87=1,"Scheduled late",IF(K87="BAD CONTACT","Bad contact details",IF(O87=1,"Stopped / wrong number",IF(N87=1,"Not interested",IF(P87=1,"Partner has no slots",IF(SETTINGS!$B$4&gt;=V87,IF(Q87=0,"Missed deadline: never tried","Missed deadline: tried, not booked"),IF(Q87&gt;=SETTINGS!$B$6,"No reply after max tries","Open"))))))))))</f>
        <v>Scheduled within 24h</v>
      </c>
      <c r="AM87" s="46">
        <f>IF(M87=1,IF(_xlfn.MINIFS(LOG!$G$2:$G$2001,LOG!$C$2:$C$2001,F87,LOG!$E$2:$E$2001,B87,LOG!$D$2:$D$2001,"*BOOKED")=0,_xlfn.MINIFS(LOG!$G$2:$G$2001,LOG!$C$2:$C$2001,F87,LOG!$E$2:$E$2001,"",LOG!$D$2:$D$2001,"*BOOKED"),IF(_xlfn.MINIFS(LOG!$G$2:$G$2001,LOG!$C$2:$C$2001,F87,LOG!$E$2:$E$2001,"",LOG!$D$2:$D$2001,"*BOOKED")=0,_xlfn.MINIFS(LOG!$G$2:$G$2001,LOG!$C$2:$C$2001,F87,LOG!$E$2:$E$2001,B87,LOG!$D$2:$D$2001,"*BOOKED"),MIN(_xlfn.MINIFS(LOG!$G$2:$G$2001,LOG!$C$2:$C$2001,F87,LOG!$E$2:$E$2001,B87,LOG!$D$2:$D$2001,"*BOOKED"),_xlfn.MINIFS(LOG!$G$2:$G$2001,LOG!$C$2:$C$2001,F87,LOG!$E$2:$E$2001,"",LOG!$D$2:$D$2001,"*BOOKED")))),"")</f>
        <v>46309.395406428441</v>
      </c>
      <c r="AN87" s="28">
        <f t="shared" si="18"/>
        <v>13.639754282659851</v>
      </c>
      <c r="AO87" s="28">
        <f>IF(AND(M87=1,AN87&lt;&gt;""),IF(AN87&lt;=SETTINGS!$B$5,1,0),0)</f>
        <v>1</v>
      </c>
      <c r="AP87" s="28">
        <f>IF(M87=1,IF(COUNTIFS(LOG!$C$2:$C$2001,F87,LOG!$E$2:$E$2001,B87,LOG!$D$2:$D$2001,"BOOKED")+COUNTIFS(LOG!$C$2:$C$2001,F87,LOG!$E$2:$E$2001,"",LOG!$D$2:$D$2001,"BOOKED")&gt;0,1,0),0)</f>
        <v>0</v>
      </c>
      <c r="AQ87" s="28" t="str">
        <f t="shared" si="19"/>
        <v>Navya</v>
      </c>
      <c r="AR87" s="28">
        <f>IF(AND(AK87=1,K87="OK"),COUNTIFS($AK$2:AK87,1,$K$2:K87,"OK"),"")</f>
        <v>82</v>
      </c>
      <c r="AS87" s="28" t="str">
        <f>IF(L87=1,IFERROR(INDEX(MESSAGES!$J$9:$J$1008,MATCH(F87,MESSAGES!$M$9:$M$1008,0))&amp;"",""),"")</f>
        <v/>
      </c>
      <c r="AT87" s="28" t="str">
        <f>IF(L87=1,IFERROR(INDEX(MESSAGES!$K$9:$K$1008,MATCH(F87,MESSAGES!$M$9:$M$1008,0))&amp;"",""),"")</f>
        <v/>
      </c>
      <c r="AU87" s="28">
        <f t="shared" ca="1" si="20"/>
        <v>0</v>
      </c>
      <c r="AV87" s="28" t="str">
        <f t="shared" si="21"/>
        <v>HOLD</v>
      </c>
    </row>
    <row r="88" spans="1:48" x14ac:dyDescent="0.35">
      <c r="A88" s="28">
        <v>87</v>
      </c>
      <c r="B88" s="28" t="str">
        <f>IF(INPUT!A88="","",TRIM(INPUT!A88))</f>
        <v>Partner 001</v>
      </c>
      <c r="C88" s="28" t="str">
        <f>IF(B88="","",INPUT!C88)</f>
        <v>interviewer1@partner001.example.com</v>
      </c>
      <c r="D88" s="28" t="str">
        <f>IF(B88="","",INPUT!D88)</f>
        <v>Pooja E.</v>
      </c>
      <c r="E88" s="28" t="str">
        <f>IF(B88="","",INPUT!E88)</f>
        <v>pooja.e141@example.com</v>
      </c>
      <c r="F88" s="43" t="str">
        <f>IF(B88="","",TRIM(INPUT!F88&amp;""))</f>
        <v>9000001840</v>
      </c>
      <c r="G88" s="28" t="str">
        <f>IF(B88="","",INPUT!H88)</f>
        <v>Round1</v>
      </c>
      <c r="H88" s="46">
        <f>IF(B88="","",INPUT!I88)</f>
        <v>46308.82708333333</v>
      </c>
      <c r="I88" s="28" t="str">
        <f>IF(B88="","",IF(INPUT!J88="","None",INPUT!J88))</f>
        <v>Clicked</v>
      </c>
      <c r="J88" s="28" t="str">
        <f t="shared" si="11"/>
        <v>pooja.e141@example.com|partner 001|Round1|interviewer1@partner001.example.com</v>
      </c>
      <c r="K88" s="28" t="str">
        <f>IF(B88="","",IF(SUMPRODUCT(($J$2:$J$601=J88)*($H$2:$H$601&lt;H88))+SUMPRODUCT(($J$2:J88=J88)*($H$2:H88=H88))-1&gt;0,"DUPLICATE",IF(AND(ISNUMBER(SEARCH("@",E88)),ISNUMBER(SEARCH(".",E88)),LEN(F88)=10,ISNUMBER(VALUE(F88))),"OK","BAD CONTACT")))</f>
        <v>OK</v>
      </c>
      <c r="L88" s="28">
        <f t="shared" si="12"/>
        <v>1</v>
      </c>
      <c r="M88" s="28">
        <f>IF(L88=1,IF(COUNTIFS(LOG!$C$2:$C$2001,F88,LOG!$E$2:$E$2001,B88,LOG!$D$2:$D$2001,"*BOOKED")+COUNTIFS(LOG!$C$2:$C$2001,F88,LOG!$E$2:$E$2001,"",LOG!$D$2:$D$2001,"*BOOKED")&gt;0,1,0),0)</f>
        <v>1</v>
      </c>
      <c r="N88" s="28">
        <f>IF(L88=1,IF(COUNTIFS(LOG!$C$2:$C$2001,F88,LOG!$E$2:$E$2001,B88,LOG!$D$2:$D$2001,"NOT_INTERESTED")+COUNTIFS(LOG!$C$2:$C$2001,F88,LOG!$E$2:$E$2001,"",LOG!$D$2:$D$2001,"NOT_INTERESTED")&gt;0,1,0),0)</f>
        <v>0</v>
      </c>
      <c r="O88" s="28">
        <f>IF(L88=1,IF(COUNTIFS(LOG!$C$2:$C$2001,F88,LOG!$D$2:$D$2001,"STOP")+COUNTIFS(LOG!$C$2:$C$2001,F88,LOG!$D$2:$D$2001,"WRONG_NUMBER")&gt;0,1,IF(ISNUMBER(SEARCH("STOP",AT88)),1,0)),0)</f>
        <v>0</v>
      </c>
      <c r="P88" s="28">
        <f>IF(L88=1,IF(IFERROR(INDEX(PARTNERS!$D$2:$D$88,MATCH(B88,PARTNERS!$A$2:$A$88,0)),"")="NO SLOTS",1,IF(AND(IFERROR(INDEX(PARTNERS!$D$2:$D$88,MATCH(B88,PARTNERS!$A$2:$A$88,0)),"")&lt;&gt;"REOPENED",COUNTIFS(LOG!$E$2:$E$2001,B88,LOG!$D$2:$D$2001,"NO_SLOTS")&gt;0),1,0)),0)</f>
        <v>0</v>
      </c>
      <c r="Q88" s="28">
        <f>IF(L88=1,COUNTIFS(LOG!$C$2:$C$2001,F88,LOG!$H$2:$H$2001,1),0)</f>
        <v>1</v>
      </c>
      <c r="R88" s="46">
        <f>IF(Q88&gt;0,_xlfn.MAXIFS(LOG!$G$2:$G$2001,LOG!$C$2:$C$2001,F88,LOG!$H$2:$H$2001,1),0)</f>
        <v>46309.573511108705</v>
      </c>
      <c r="S88" s="28" t="str">
        <f>IF(Q88&gt;0,IFERROR(INDEX(LOG!$D$2:$D$2001,MATCH(F88&amp;"|"&amp;Q88,LOG!$I$2:$I$2001,0)),""),"")</f>
        <v>SENT_LINK</v>
      </c>
      <c r="T88" s="28">
        <f>IF(S88="",0,IFERROR(VLOOKUP(S88,LISTS!$A$2:$E$10,4,FALSE),0))</f>
        <v>180</v>
      </c>
      <c r="U88" s="46">
        <f t="shared" si="13"/>
        <v>46309.698511108705</v>
      </c>
      <c r="V88" s="46">
        <f>IF(L88=1,H88+SETTINGS!$B$5/24,"")</f>
        <v>46309.82708333333</v>
      </c>
      <c r="W88" s="28">
        <f ca="1">IF(L88=1,(V88-SETTINGS!$B$4)*24,"")</f>
        <v>-1.6666666720993817E-2</v>
      </c>
      <c r="X88" s="28">
        <f ca="1">IF(AND(L88=1,K88="OK",M88=0,N88=0,O88=0,P88=0,SETTINGS!$B$4&lt;V88,Q88&lt;SETTINGS!$B$6),1,0)</f>
        <v>0</v>
      </c>
      <c r="Y88" s="28">
        <f ca="1">IF(AND(X88=1,SETTINGS!$B$4&gt;=H88,SETTINGS!$B$4&gt;=U88,ROUND(MOD(SETTINGS!$B$4,1)*1440,0)&gt;=ROUND(SETTINGS!$B$7*1440,0),ROUND(MOD(SETTINGS!$B$4,1)*1440,0)&lt;ROUND(SETTINGS!$B$8*1440,0)),1,0)</f>
        <v>0</v>
      </c>
      <c r="Z88" s="28" t="str">
        <f ca="1">IF(B88="","",IF(ROUND(MOD(SETTINGS!$B$4,1)*1440,0)&lt;ROUND(SETTINGS!$B$11*1440,0),"Ram",IF(ROUND(MOD(SETTINGS!$B$4,1)*1440,0)&gt;=ROUND(SETTINGS!$B$10*1440,0),"Shyam",IF(MOD(IFERROR(VALUE(RIGHT(F88,2)),0),2)=0,"Ram","Shyam"))))</f>
        <v>Shyam</v>
      </c>
      <c r="AA88" s="28">
        <f t="shared" ca="1" si="14"/>
        <v>0</v>
      </c>
      <c r="AB88" s="28">
        <f ca="1">IF(X88=1,COUNTIFS($F$2:F88,F88,$X$2:X88,1),0)</f>
        <v>0</v>
      </c>
      <c r="AC88" s="28" t="str">
        <f>IF(L88=1,IF(IFERROR(INDEX(PARTNERS!$C$2:$C$88,MATCH(B88,PARTNERS!$A$2:$A$88,0)),"")="YES","YES","NO"),"")</f>
        <v>NO</v>
      </c>
      <c r="AD88" s="28" t="str">
        <f>IF(L88=1,IFERROR(INDEX(PARTNERS!$B$2:$B$88,MATCH(B88,PARTNERS!$A$2:$A$88,0)),""),"")</f>
        <v>https://calendly.com/partner001/interview</v>
      </c>
      <c r="AE88" s="28">
        <f ca="1">IF(X88=1,IFERROR(INDEX(SETTINGS!$B$34:$D$36,MATCH(I88,SETTINGS!$A$34:$A$36,0),MIN(Q88,2)+1),SETTINGS!$B$36),0)</f>
        <v>0</v>
      </c>
      <c r="AF88" s="28">
        <f t="shared" si="15"/>
        <v>1</v>
      </c>
      <c r="AG88" s="28">
        <f ca="1">IF(AND(Y88=1,AB88=1),ROUND(AA88*AE88*IF(AF88&gt;1,SETTINGS!$B$16,1)*IF(W88&lt;=SETTINGS!$B$14,SETTINGS!$B$15,1)*IF(AU88=1,SETTINGS!$B$21,1),6),0)</f>
        <v>0</v>
      </c>
      <c r="AH88" s="28" t="str">
        <f ca="1">IF(AG88&gt;0,COUNTIFS($Z$2:$Z$601,Z88,$AG$2:$AG$601,"&gt;"&amp;AG88)+COUNTIFS($Z$2:Z88,Z88,$AG$2:AG88,AG88),"")</f>
        <v/>
      </c>
      <c r="AI88" s="28" t="str">
        <f t="shared" ca="1" si="16"/>
        <v/>
      </c>
      <c r="AJ88" s="28" t="str">
        <f t="shared" ca="1" si="17"/>
        <v/>
      </c>
      <c r="AK88" s="28">
        <f>IF(L88=1,IF(COUNTIFS($F$2:F88,F88,$L$2:L88,1)=1,1,0),0)</f>
        <v>1</v>
      </c>
      <c r="AL88" s="28" t="str">
        <f>IF(B88="","",IF(K88="DUPLICATE","Duplicate (removed)",IF(AO88=1,"Scheduled within 24h",IF(M88=1,"Scheduled late",IF(K88="BAD CONTACT","Bad contact details",IF(O88=1,"Stopped / wrong number",IF(N88=1,"Not interested",IF(P88=1,"Partner has no slots",IF(SETTINGS!$B$4&gt;=V88,IF(Q88=0,"Missed deadline: never tried","Missed deadline: tried, not booked"),IF(Q88&gt;=SETTINGS!$B$6,"No reply after max tries","Open"))))))))))</f>
        <v>Scheduled within 24h</v>
      </c>
      <c r="AM88" s="46">
        <f>IF(M88=1,IF(_xlfn.MINIFS(LOG!$G$2:$G$2001,LOG!$C$2:$C$2001,F88,LOG!$E$2:$E$2001,B88,LOG!$D$2:$D$2001,"*BOOKED")=0,_xlfn.MINIFS(LOG!$G$2:$G$2001,LOG!$C$2:$C$2001,F88,LOG!$E$2:$E$2001,"",LOG!$D$2:$D$2001,"*BOOKED"),IF(_xlfn.MINIFS(LOG!$G$2:$G$2001,LOG!$C$2:$C$2001,F88,LOG!$E$2:$E$2001,"",LOG!$D$2:$D$2001,"*BOOKED")=0,_xlfn.MINIFS(LOG!$G$2:$G$2001,LOG!$C$2:$C$2001,F88,LOG!$E$2:$E$2001,B88,LOG!$D$2:$D$2001,"*BOOKED"),MIN(_xlfn.MINIFS(LOG!$G$2:$G$2001,LOG!$C$2:$C$2001,F88,LOG!$E$2:$E$2001,B88,LOG!$D$2:$D$2001,"*BOOKED"),_xlfn.MINIFS(LOG!$G$2:$G$2001,LOG!$C$2:$C$2001,F88,LOG!$E$2:$E$2001,"",LOG!$D$2:$D$2001,"*BOOKED")))),"")</f>
        <v>46309.597429586072</v>
      </c>
      <c r="AN88" s="28">
        <f t="shared" si="18"/>
        <v>18.488310065818951</v>
      </c>
      <c r="AO88" s="28">
        <f>IF(AND(M88=1,AN88&lt;&gt;""),IF(AN88&lt;=SETTINGS!$B$5,1,0),0)</f>
        <v>1</v>
      </c>
      <c r="AP88" s="28">
        <f>IF(M88=1,IF(COUNTIFS(LOG!$C$2:$C$2001,F88,LOG!$E$2:$E$2001,B88,LOG!$D$2:$D$2001,"BOOKED")+COUNTIFS(LOG!$C$2:$C$2001,F88,LOG!$E$2:$E$2001,"",LOG!$D$2:$D$2001,"BOOKED")&gt;0,1,0),0)</f>
        <v>0</v>
      </c>
      <c r="AQ88" s="28" t="str">
        <f t="shared" si="19"/>
        <v>Pooja</v>
      </c>
      <c r="AR88" s="28">
        <f>IF(AND(AK88=1,K88="OK"),COUNTIFS($AK$2:AK88,1,$K$2:K88,"OK"),"")</f>
        <v>83</v>
      </c>
      <c r="AS88" s="28" t="str">
        <f>IF(L88=1,IFERROR(INDEX(MESSAGES!$J$9:$J$1008,MATCH(F88,MESSAGES!$M$9:$M$1008,0))&amp;"",""),"")</f>
        <v/>
      </c>
      <c r="AT88" s="28" t="str">
        <f>IF(L88=1,IFERROR(INDEX(MESSAGES!$K$9:$K$1008,MATCH(F88,MESSAGES!$M$9:$M$1008,0))&amp;"",""),"")</f>
        <v/>
      </c>
      <c r="AU88" s="28">
        <f t="shared" ca="1" si="20"/>
        <v>0</v>
      </c>
      <c r="AV88" s="28" t="str">
        <f t="shared" si="21"/>
        <v>SEND</v>
      </c>
    </row>
    <row r="89" spans="1:48" x14ac:dyDescent="0.35">
      <c r="A89" s="28">
        <v>88</v>
      </c>
      <c r="B89" s="28" t="str">
        <f>IF(INPUT!A89="","",TRIM(INPUT!A89))</f>
        <v>Partner 010</v>
      </c>
      <c r="C89" s="28" t="str">
        <f>IF(B89="","",INPUT!C89)</f>
        <v>interviewer1@partner010.example.com</v>
      </c>
      <c r="D89" s="28" t="str">
        <f>IF(B89="","",INPUT!D89)</f>
        <v>Neil J.</v>
      </c>
      <c r="E89" s="28" t="str">
        <f>IF(B89="","",INPUT!E89)</f>
        <v>neil.j258@example.com</v>
      </c>
      <c r="F89" s="43" t="str">
        <f>IF(B89="","",TRIM(INPUT!F89&amp;""))</f>
        <v>9000003361</v>
      </c>
      <c r="G89" s="28" t="str">
        <f>IF(B89="","",INPUT!H89)</f>
        <v>Round1</v>
      </c>
      <c r="H89" s="46">
        <f>IF(B89="","",INPUT!I89)</f>
        <v>46308.82708333333</v>
      </c>
      <c r="I89" s="28" t="str">
        <f>IF(B89="","",IF(INPUT!J89="","None",INPUT!J89))</f>
        <v>None</v>
      </c>
      <c r="J89" s="28" t="str">
        <f t="shared" si="11"/>
        <v>neil.j258@example.com|partner 010|Round1|interviewer1@partner010.example.com</v>
      </c>
      <c r="K89" s="28" t="str">
        <f>IF(B89="","",IF(SUMPRODUCT(($J$2:$J$601=J89)*($H$2:$H$601&lt;H89))+SUMPRODUCT(($J$2:J89=J89)*($H$2:H89=H89))-1&gt;0,"DUPLICATE",IF(AND(ISNUMBER(SEARCH("@",E89)),ISNUMBER(SEARCH(".",E89)),LEN(F89)=10,ISNUMBER(VALUE(F89))),"OK","BAD CONTACT")))</f>
        <v>OK</v>
      </c>
      <c r="L89" s="28">
        <f t="shared" si="12"/>
        <v>1</v>
      </c>
      <c r="M89" s="28">
        <f>IF(L89=1,IF(COUNTIFS(LOG!$C$2:$C$2001,F89,LOG!$E$2:$E$2001,B89,LOG!$D$2:$D$2001,"*BOOKED")+COUNTIFS(LOG!$C$2:$C$2001,F89,LOG!$E$2:$E$2001,"",LOG!$D$2:$D$2001,"*BOOKED")&gt;0,1,0),0)</f>
        <v>1</v>
      </c>
      <c r="N89" s="28">
        <f>IF(L89=1,IF(COUNTIFS(LOG!$C$2:$C$2001,F89,LOG!$E$2:$E$2001,B89,LOG!$D$2:$D$2001,"NOT_INTERESTED")+COUNTIFS(LOG!$C$2:$C$2001,F89,LOG!$E$2:$E$2001,"",LOG!$D$2:$D$2001,"NOT_INTERESTED")&gt;0,1,0),0)</f>
        <v>0</v>
      </c>
      <c r="O89" s="28">
        <f>IF(L89=1,IF(COUNTIFS(LOG!$C$2:$C$2001,F89,LOG!$D$2:$D$2001,"STOP")+COUNTIFS(LOG!$C$2:$C$2001,F89,LOG!$D$2:$D$2001,"WRONG_NUMBER")&gt;0,1,IF(ISNUMBER(SEARCH("STOP",AT89)),1,0)),0)</f>
        <v>0</v>
      </c>
      <c r="P89" s="28">
        <f>IF(L89=1,IF(IFERROR(INDEX(PARTNERS!$D$2:$D$88,MATCH(B89,PARTNERS!$A$2:$A$88,0)),"")="NO SLOTS",1,IF(AND(IFERROR(INDEX(PARTNERS!$D$2:$D$88,MATCH(B89,PARTNERS!$A$2:$A$88,0)),"")&lt;&gt;"REOPENED",COUNTIFS(LOG!$E$2:$E$2001,B89,LOG!$D$2:$D$2001,"NO_SLOTS")&gt;0),1,0)),0)</f>
        <v>0</v>
      </c>
      <c r="Q89" s="28">
        <f>IF(L89=1,COUNTIFS(LOG!$C$2:$C$2001,F89,LOG!$H$2:$H$2001,1),0)</f>
        <v>1</v>
      </c>
      <c r="R89" s="46">
        <f>IF(Q89&gt;0,_xlfn.MAXIFS(LOG!$G$2:$G$2001,LOG!$C$2:$C$2001,F89,LOG!$H$2:$H$2001,1),0)</f>
        <v>46309.515194377796</v>
      </c>
      <c r="S89" s="28" t="str">
        <f>IF(Q89&gt;0,IFERROR(INDEX(LOG!$D$2:$D$2001,MATCH(F89&amp;"|"&amp;Q89,LOG!$I$2:$I$2001,0)),""),"")</f>
        <v>BOOKED</v>
      </c>
      <c r="T89" s="28">
        <f>IF(S89="",0,IFERROR(VLOOKUP(S89,LISTS!$A$2:$E$10,4,FALSE),0))</f>
        <v>0</v>
      </c>
      <c r="U89" s="46">
        <f t="shared" si="13"/>
        <v>46309.515194377796</v>
      </c>
      <c r="V89" s="46">
        <f>IF(L89=1,H89+SETTINGS!$B$5/24,"")</f>
        <v>46309.82708333333</v>
      </c>
      <c r="W89" s="28">
        <f ca="1">IF(L89=1,(V89-SETTINGS!$B$4)*24,"")</f>
        <v>-1.6666666720993817E-2</v>
      </c>
      <c r="X89" s="28">
        <f ca="1">IF(AND(L89=1,K89="OK",M89=0,N89=0,O89=0,P89=0,SETTINGS!$B$4&lt;V89,Q89&lt;SETTINGS!$B$6),1,0)</f>
        <v>0</v>
      </c>
      <c r="Y89" s="28">
        <f ca="1">IF(AND(X89=1,SETTINGS!$B$4&gt;=H89,SETTINGS!$B$4&gt;=U89,ROUND(MOD(SETTINGS!$B$4,1)*1440,0)&gt;=ROUND(SETTINGS!$B$7*1440,0),ROUND(MOD(SETTINGS!$B$4,1)*1440,0)&lt;ROUND(SETTINGS!$B$8*1440,0)),1,0)</f>
        <v>0</v>
      </c>
      <c r="Z89" s="28" t="str">
        <f ca="1">IF(B89="","",IF(ROUND(MOD(SETTINGS!$B$4,1)*1440,0)&lt;ROUND(SETTINGS!$B$11*1440,0),"Ram",IF(ROUND(MOD(SETTINGS!$B$4,1)*1440,0)&gt;=ROUND(SETTINGS!$B$10*1440,0),"Shyam",IF(MOD(IFERROR(VALUE(RIGHT(F89,2)),0),2)=0,"Ram","Shyam"))))</f>
        <v>Shyam</v>
      </c>
      <c r="AA89" s="28">
        <f t="shared" ca="1" si="14"/>
        <v>0</v>
      </c>
      <c r="AB89" s="28">
        <f ca="1">IF(X89=1,COUNTIFS($F$2:F89,F89,$X$2:X89,1),0)</f>
        <v>0</v>
      </c>
      <c r="AC89" s="28" t="str">
        <f>IF(L89=1,IF(IFERROR(INDEX(PARTNERS!$C$2:$C$88,MATCH(B89,PARTNERS!$A$2:$A$88,0)),"")="YES","YES","NO"),"")</f>
        <v>YES</v>
      </c>
      <c r="AD89" s="28" t="str">
        <f>IF(L89=1,IFERROR(INDEX(PARTNERS!$B$2:$B$88,MATCH(B89,PARTNERS!$A$2:$A$88,0)),""),"")</f>
        <v>https://calendly.com/partner010/interview</v>
      </c>
      <c r="AE89" s="28">
        <f ca="1">IF(X89=1,IFERROR(INDEX(SETTINGS!$B$34:$D$36,MATCH(I89,SETTINGS!$A$34:$A$36,0),MIN(Q89,2)+1),SETTINGS!$B$36),0)</f>
        <v>0</v>
      </c>
      <c r="AF89" s="28">
        <f t="shared" si="15"/>
        <v>1</v>
      </c>
      <c r="AG89" s="28">
        <f ca="1">IF(AND(Y89=1,AB89=1),ROUND(AA89*AE89*IF(AF89&gt;1,SETTINGS!$B$16,1)*IF(W89&lt;=SETTINGS!$B$14,SETTINGS!$B$15,1)*IF(AU89=1,SETTINGS!$B$21,1),6),0)</f>
        <v>0</v>
      </c>
      <c r="AH89" s="28" t="str">
        <f ca="1">IF(AG89&gt;0,COUNTIFS($Z$2:$Z$601,Z89,$AG$2:$AG$601,"&gt;"&amp;AG89)+COUNTIFS($Z$2:Z89,Z89,$AG$2:AG89,AG89),"")</f>
        <v/>
      </c>
      <c r="AI89" s="28" t="str">
        <f t="shared" ca="1" si="16"/>
        <v/>
      </c>
      <c r="AJ89" s="28" t="str">
        <f t="shared" ca="1" si="17"/>
        <v/>
      </c>
      <c r="AK89" s="28">
        <f>IF(L89=1,IF(COUNTIFS($F$2:F89,F89,$L$2:L89,1)=1,1,0),0)</f>
        <v>1</v>
      </c>
      <c r="AL89" s="28" t="str">
        <f>IF(B89="","",IF(K89="DUPLICATE","Duplicate (removed)",IF(AO89=1,"Scheduled within 24h",IF(M89=1,"Scheduled late",IF(K89="BAD CONTACT","Bad contact details",IF(O89=1,"Stopped / wrong number",IF(N89=1,"Not interested",IF(P89=1,"Partner has no slots",IF(SETTINGS!$B$4&gt;=V89,IF(Q89=0,"Missed deadline: never tried","Missed deadline: tried, not booked"),IF(Q89&gt;=SETTINGS!$B$6,"No reply after max tries","Open"))))))))))</f>
        <v>Scheduled within 24h</v>
      </c>
      <c r="AM89" s="46">
        <f>IF(M89=1,IF(_xlfn.MINIFS(LOG!$G$2:$G$2001,LOG!$C$2:$C$2001,F89,LOG!$E$2:$E$2001,B89,LOG!$D$2:$D$2001,"*BOOKED")=0,_xlfn.MINIFS(LOG!$G$2:$G$2001,LOG!$C$2:$C$2001,F89,LOG!$E$2:$E$2001,"",LOG!$D$2:$D$2001,"*BOOKED"),IF(_xlfn.MINIFS(LOG!$G$2:$G$2001,LOG!$C$2:$C$2001,F89,LOG!$E$2:$E$2001,"",LOG!$D$2:$D$2001,"*BOOKED")=0,_xlfn.MINIFS(LOG!$G$2:$G$2001,LOG!$C$2:$C$2001,F89,LOG!$E$2:$E$2001,B89,LOG!$D$2:$D$2001,"*BOOKED"),MIN(_xlfn.MINIFS(LOG!$G$2:$G$2001,LOG!$C$2:$C$2001,F89,LOG!$E$2:$E$2001,B89,LOG!$D$2:$D$2001,"*BOOKED"),_xlfn.MINIFS(LOG!$G$2:$G$2001,LOG!$C$2:$C$2001,F89,LOG!$E$2:$E$2001,"",LOG!$D$2:$D$2001,"*BOOKED")))),"")</f>
        <v>46309.515194377796</v>
      </c>
      <c r="AN89" s="28">
        <f t="shared" si="18"/>
        <v>16.514665067195892</v>
      </c>
      <c r="AO89" s="28">
        <f>IF(AND(M89=1,AN89&lt;&gt;""),IF(AN89&lt;=SETTINGS!$B$5,1,0),0)</f>
        <v>1</v>
      </c>
      <c r="AP89" s="28">
        <f>IF(M89=1,IF(COUNTIFS(LOG!$C$2:$C$2001,F89,LOG!$E$2:$E$2001,B89,LOG!$D$2:$D$2001,"BOOKED")+COUNTIFS(LOG!$C$2:$C$2001,F89,LOG!$E$2:$E$2001,"",LOG!$D$2:$D$2001,"BOOKED")&gt;0,1,0),0)</f>
        <v>1</v>
      </c>
      <c r="AQ89" s="28" t="str">
        <f t="shared" si="19"/>
        <v>Neil</v>
      </c>
      <c r="AR89" s="28">
        <f>IF(AND(AK89=1,K89="OK"),COUNTIFS($AK$2:AK89,1,$K$2:K89,"OK"),"")</f>
        <v>84</v>
      </c>
      <c r="AS89" s="28" t="str">
        <f>IF(L89=1,IFERROR(INDEX(MESSAGES!$J$9:$J$1008,MATCH(F89,MESSAGES!$M$9:$M$1008,0))&amp;"",""),"")</f>
        <v/>
      </c>
      <c r="AT89" s="28" t="str">
        <f>IF(L89=1,IFERROR(INDEX(MESSAGES!$K$9:$K$1008,MATCH(F89,MESSAGES!$M$9:$M$1008,0))&amp;"",""),"")</f>
        <v/>
      </c>
      <c r="AU89" s="28">
        <f t="shared" ca="1" si="20"/>
        <v>0</v>
      </c>
      <c r="AV89" s="28" t="str">
        <f t="shared" si="21"/>
        <v>SEND</v>
      </c>
    </row>
    <row r="90" spans="1:48" x14ac:dyDescent="0.35">
      <c r="A90" s="28">
        <v>89</v>
      </c>
      <c r="B90" s="28" t="str">
        <f>IF(INPUT!A90="","",TRIM(INPUT!A90))</f>
        <v>Partner 003</v>
      </c>
      <c r="C90" s="28" t="str">
        <f>IF(B90="","",INPUT!C90)</f>
        <v>interviewer0@partner003.example.com</v>
      </c>
      <c r="D90" s="28" t="str">
        <f>IF(B90="","",INPUT!D90)</f>
        <v>Neil D.</v>
      </c>
      <c r="E90" s="28" t="str">
        <f>IF(B90="","",INPUT!E90)</f>
        <v>neil.d108@example.com</v>
      </c>
      <c r="F90" s="43" t="str">
        <f>IF(B90="","",TRIM(INPUT!F90&amp;""))</f>
        <v>9000001411</v>
      </c>
      <c r="G90" s="28" t="str">
        <f>IF(B90="","",INPUT!H90)</f>
        <v>Round1</v>
      </c>
      <c r="H90" s="46">
        <f>IF(B90="","",INPUT!I90)</f>
        <v>46308.82708333333</v>
      </c>
      <c r="I90" s="28" t="str">
        <f>IF(B90="","",IF(INPUT!J90="","None",INPUT!J90))</f>
        <v>Opened</v>
      </c>
      <c r="J90" s="28" t="str">
        <f t="shared" si="11"/>
        <v>neil.d108@example.com|partner 003|Round1|interviewer0@partner003.example.com</v>
      </c>
      <c r="K90" s="28" t="str">
        <f>IF(B90="","",IF(SUMPRODUCT(($J$2:$J$601=J90)*($H$2:$H$601&lt;H90))+SUMPRODUCT(($J$2:J90=J90)*($H$2:H90=H90))-1&gt;0,"DUPLICATE",IF(AND(ISNUMBER(SEARCH("@",E90)),ISNUMBER(SEARCH(".",E90)),LEN(F90)=10,ISNUMBER(VALUE(F90))),"OK","BAD CONTACT")))</f>
        <v>OK</v>
      </c>
      <c r="L90" s="28">
        <f t="shared" si="12"/>
        <v>1</v>
      </c>
      <c r="M90" s="28">
        <f>IF(L90=1,IF(COUNTIFS(LOG!$C$2:$C$2001,F90,LOG!$E$2:$E$2001,B90,LOG!$D$2:$D$2001,"*BOOKED")+COUNTIFS(LOG!$C$2:$C$2001,F90,LOG!$E$2:$E$2001,"",LOG!$D$2:$D$2001,"*BOOKED")&gt;0,1,0),0)</f>
        <v>0</v>
      </c>
      <c r="N90" s="28">
        <f>IF(L90=1,IF(COUNTIFS(LOG!$C$2:$C$2001,F90,LOG!$E$2:$E$2001,B90,LOG!$D$2:$D$2001,"NOT_INTERESTED")+COUNTIFS(LOG!$C$2:$C$2001,F90,LOG!$E$2:$E$2001,"",LOG!$D$2:$D$2001,"NOT_INTERESTED")&gt;0,1,0),0)</f>
        <v>0</v>
      </c>
      <c r="O90" s="28">
        <f>IF(L90=1,IF(COUNTIFS(LOG!$C$2:$C$2001,F90,LOG!$D$2:$D$2001,"STOP")+COUNTIFS(LOG!$C$2:$C$2001,F90,LOG!$D$2:$D$2001,"WRONG_NUMBER")&gt;0,1,IF(ISNUMBER(SEARCH("STOP",AT90)),1,0)),0)</f>
        <v>0</v>
      </c>
      <c r="P90" s="28">
        <f>IF(L90=1,IF(IFERROR(INDEX(PARTNERS!$D$2:$D$88,MATCH(B90,PARTNERS!$A$2:$A$88,0)),"")="NO SLOTS",1,IF(AND(IFERROR(INDEX(PARTNERS!$D$2:$D$88,MATCH(B90,PARTNERS!$A$2:$A$88,0)),"")&lt;&gt;"REOPENED",COUNTIFS(LOG!$E$2:$E$2001,B90,LOG!$D$2:$D$2001,"NO_SLOTS")&gt;0),1,0)),0)</f>
        <v>0</v>
      </c>
      <c r="Q90" s="28">
        <f>IF(L90=1,COUNTIFS(LOG!$C$2:$C$2001,F90,LOG!$H$2:$H$2001,1),0)</f>
        <v>0</v>
      </c>
      <c r="R90" s="46">
        <f>IF(Q90&gt;0,_xlfn.MAXIFS(LOG!$G$2:$G$2001,LOG!$C$2:$C$2001,F90,LOG!$H$2:$H$2001,1),0)</f>
        <v>0</v>
      </c>
      <c r="S90" s="28" t="str">
        <f>IF(Q90&gt;0,IFERROR(INDEX(LOG!$D$2:$D$2001,MATCH(F90&amp;"|"&amp;Q90,LOG!$I$2:$I$2001,0)),""),"")</f>
        <v/>
      </c>
      <c r="T90" s="28">
        <f>IF(S90="",0,IFERROR(VLOOKUP(S90,LISTS!$A$2:$E$10,4,FALSE),0))</f>
        <v>0</v>
      </c>
      <c r="U90" s="46">
        <f t="shared" si="13"/>
        <v>0</v>
      </c>
      <c r="V90" s="46">
        <f>IF(L90=1,H90+SETTINGS!$B$5/24,"")</f>
        <v>46309.82708333333</v>
      </c>
      <c r="W90" s="28">
        <f ca="1">IF(L90=1,(V90-SETTINGS!$B$4)*24,"")</f>
        <v>-1.6666666720993817E-2</v>
      </c>
      <c r="X90" s="28">
        <f ca="1">IF(AND(L90=1,K90="OK",M90=0,N90=0,O90=0,P90=0,SETTINGS!$B$4&lt;V90,Q90&lt;SETTINGS!$B$6),1,0)</f>
        <v>0</v>
      </c>
      <c r="Y90" s="28">
        <f ca="1">IF(AND(X90=1,SETTINGS!$B$4&gt;=H90,SETTINGS!$B$4&gt;=U90,ROUND(MOD(SETTINGS!$B$4,1)*1440,0)&gt;=ROUND(SETTINGS!$B$7*1440,0),ROUND(MOD(SETTINGS!$B$4,1)*1440,0)&lt;ROUND(SETTINGS!$B$8*1440,0)),1,0)</f>
        <v>0</v>
      </c>
      <c r="Z90" s="28" t="str">
        <f ca="1">IF(B90="","",IF(ROUND(MOD(SETTINGS!$B$4,1)*1440,0)&lt;ROUND(SETTINGS!$B$11*1440,0),"Ram",IF(ROUND(MOD(SETTINGS!$B$4,1)*1440,0)&gt;=ROUND(SETTINGS!$B$10*1440,0),"Shyam",IF(MOD(IFERROR(VALUE(RIGHT(F90,2)),0),2)=0,"Ram","Shyam"))))</f>
        <v>Shyam</v>
      </c>
      <c r="AA90" s="28">
        <f t="shared" ca="1" si="14"/>
        <v>0</v>
      </c>
      <c r="AB90" s="28">
        <f ca="1">IF(X90=1,COUNTIFS($F$2:F90,F90,$X$2:X90,1),0)</f>
        <v>0</v>
      </c>
      <c r="AC90" s="28" t="str">
        <f>IF(L90=1,IF(IFERROR(INDEX(PARTNERS!$C$2:$C$88,MATCH(B90,PARTNERS!$A$2:$A$88,0)),"")="YES","YES","NO"),"")</f>
        <v>NO</v>
      </c>
      <c r="AD90" s="28" t="str">
        <f>IF(L90=1,IFERROR(INDEX(PARTNERS!$B$2:$B$88,MATCH(B90,PARTNERS!$A$2:$A$88,0)),""),"")</f>
        <v>https://calendly.com/partner003/interview</v>
      </c>
      <c r="AE90" s="28">
        <f ca="1">IF(X90=1,IFERROR(INDEX(SETTINGS!$B$34:$D$36,MATCH(I90,SETTINGS!$A$34:$A$36,0),MIN(Q90,2)+1),SETTINGS!$B$36),0)</f>
        <v>0</v>
      </c>
      <c r="AF90" s="28">
        <f t="shared" si="15"/>
        <v>1</v>
      </c>
      <c r="AG90" s="28">
        <f ca="1">IF(AND(Y90=1,AB90=1),ROUND(AA90*AE90*IF(AF90&gt;1,SETTINGS!$B$16,1)*IF(W90&lt;=SETTINGS!$B$14,SETTINGS!$B$15,1)*IF(AU90=1,SETTINGS!$B$21,1),6),0)</f>
        <v>0</v>
      </c>
      <c r="AH90" s="28" t="str">
        <f ca="1">IF(AG90&gt;0,COUNTIFS($Z$2:$Z$601,Z90,$AG$2:$AG$601,"&gt;"&amp;AG90)+COUNTIFS($Z$2:Z90,Z90,$AG$2:AG90,AG90),"")</f>
        <v/>
      </c>
      <c r="AI90" s="28" t="str">
        <f t="shared" ca="1" si="16"/>
        <v/>
      </c>
      <c r="AJ90" s="28" t="str">
        <f t="shared" ca="1" si="17"/>
        <v/>
      </c>
      <c r="AK90" s="28">
        <f>IF(L90=1,IF(COUNTIFS($F$2:F90,F90,$L$2:L90,1)=1,1,0),0)</f>
        <v>1</v>
      </c>
      <c r="AL90" s="28" t="str">
        <f ca="1">IF(B90="","",IF(K90="DUPLICATE","Duplicate (removed)",IF(AO90=1,"Scheduled within 24h",IF(M90=1,"Scheduled late",IF(K90="BAD CONTACT","Bad contact details",IF(O90=1,"Stopped / wrong number",IF(N90=1,"Not interested",IF(P90=1,"Partner has no slots",IF(SETTINGS!$B$4&gt;=V90,IF(Q90=0,"Missed deadline: never tried","Missed deadline: tried, not booked"),IF(Q90&gt;=SETTINGS!$B$6,"No reply after max tries","Open"))))))))))</f>
        <v>Missed deadline: never tried</v>
      </c>
      <c r="AM90" s="46" t="str">
        <f>IF(M90=1,IF(_xlfn.MINIFS(LOG!$G$2:$G$2001,LOG!$C$2:$C$2001,F90,LOG!$E$2:$E$2001,B90,LOG!$D$2:$D$2001,"*BOOKED")=0,_xlfn.MINIFS(LOG!$G$2:$G$2001,LOG!$C$2:$C$2001,F90,LOG!$E$2:$E$2001,"",LOG!$D$2:$D$2001,"*BOOKED"),IF(_xlfn.MINIFS(LOG!$G$2:$G$2001,LOG!$C$2:$C$2001,F90,LOG!$E$2:$E$2001,"",LOG!$D$2:$D$2001,"*BOOKED")=0,_xlfn.MINIFS(LOG!$G$2:$G$2001,LOG!$C$2:$C$2001,F90,LOG!$E$2:$E$2001,B90,LOG!$D$2:$D$2001,"*BOOKED"),MIN(_xlfn.MINIFS(LOG!$G$2:$G$2001,LOG!$C$2:$C$2001,F90,LOG!$E$2:$E$2001,B90,LOG!$D$2:$D$2001,"*BOOKED"),_xlfn.MINIFS(LOG!$G$2:$G$2001,LOG!$C$2:$C$2001,F90,LOG!$E$2:$E$2001,"",LOG!$D$2:$D$2001,"*BOOKED")))),"")</f>
        <v/>
      </c>
      <c r="AN90" s="28" t="str">
        <f t="shared" si="18"/>
        <v/>
      </c>
      <c r="AO90" s="28">
        <f>IF(AND(M90=1,AN90&lt;&gt;""),IF(AN90&lt;=SETTINGS!$B$5,1,0),0)</f>
        <v>0</v>
      </c>
      <c r="AP90" s="28">
        <f>IF(M90=1,IF(COUNTIFS(LOG!$C$2:$C$2001,F90,LOG!$E$2:$E$2001,B90,LOG!$D$2:$D$2001,"BOOKED")+COUNTIFS(LOG!$C$2:$C$2001,F90,LOG!$E$2:$E$2001,"",LOG!$D$2:$D$2001,"BOOKED")&gt;0,1,0),0)</f>
        <v>0</v>
      </c>
      <c r="AQ90" s="28" t="str">
        <f t="shared" si="19"/>
        <v>Neil</v>
      </c>
      <c r="AR90" s="28">
        <f>IF(AND(AK90=1,K90="OK"),COUNTIFS($AK$2:AK90,1,$K$2:K90,"OK"),"")</f>
        <v>85</v>
      </c>
      <c r="AS90" s="28" t="str">
        <f>IF(L90=1,IFERROR(INDEX(MESSAGES!$J$9:$J$1008,MATCH(F90,MESSAGES!$M$9:$M$1008,0))&amp;"",""),"")</f>
        <v/>
      </c>
      <c r="AT90" s="28" t="str">
        <f>IF(L90=1,IFERROR(INDEX(MESSAGES!$K$9:$K$1008,MATCH(F90,MESSAGES!$M$9:$M$1008,0))&amp;"",""),"")</f>
        <v/>
      </c>
      <c r="AU90" s="28">
        <f t="shared" ca="1" si="20"/>
        <v>0</v>
      </c>
      <c r="AV90" s="28" t="str">
        <f t="shared" si="21"/>
        <v>HOLD</v>
      </c>
    </row>
    <row r="91" spans="1:48" x14ac:dyDescent="0.35">
      <c r="A91" s="28">
        <v>90</v>
      </c>
      <c r="B91" s="28" t="str">
        <f>IF(INPUT!A91="","",TRIM(INPUT!A91))</f>
        <v>Partner 004</v>
      </c>
      <c r="C91" s="28" t="str">
        <f>IF(B91="","",INPUT!C91)</f>
        <v>interviewer0@partner004.example.com</v>
      </c>
      <c r="D91" s="28" t="str">
        <f>IF(B91="","",INPUT!D91)</f>
        <v>Zoya C.</v>
      </c>
      <c r="E91" s="28" t="str">
        <f>IF(B91="","",INPUT!E91)</f>
        <v>zoya.c077@example.com</v>
      </c>
      <c r="F91" s="43" t="str">
        <f>IF(B91="","",TRIM(INPUT!F91&amp;""))</f>
        <v>9000001008</v>
      </c>
      <c r="G91" s="28" t="str">
        <f>IF(B91="","",INPUT!H91)</f>
        <v>Round1</v>
      </c>
      <c r="H91" s="46">
        <f>IF(B91="","",INPUT!I91)</f>
        <v>46308.82708333333</v>
      </c>
      <c r="I91" s="28" t="str">
        <f>IF(B91="","",IF(INPUT!J91="","None",INPUT!J91))</f>
        <v>Opened</v>
      </c>
      <c r="J91" s="28" t="str">
        <f t="shared" si="11"/>
        <v>zoya.c077@example.com|partner 004|Round1|interviewer0@partner004.example.com</v>
      </c>
      <c r="K91" s="28" t="str">
        <f>IF(B91="","",IF(SUMPRODUCT(($J$2:$J$601=J91)*($H$2:$H$601&lt;H91))+SUMPRODUCT(($J$2:J91=J91)*($H$2:H91=H91))-1&gt;0,"DUPLICATE",IF(AND(ISNUMBER(SEARCH("@",E91)),ISNUMBER(SEARCH(".",E91)),LEN(F91)=10,ISNUMBER(VALUE(F91))),"OK","BAD CONTACT")))</f>
        <v>OK</v>
      </c>
      <c r="L91" s="28">
        <f t="shared" si="12"/>
        <v>1</v>
      </c>
      <c r="M91" s="28">
        <f>IF(L91=1,IF(COUNTIFS(LOG!$C$2:$C$2001,F91,LOG!$E$2:$E$2001,B91,LOG!$D$2:$D$2001,"*BOOKED")+COUNTIFS(LOG!$C$2:$C$2001,F91,LOG!$E$2:$E$2001,"",LOG!$D$2:$D$2001,"*BOOKED")&gt;0,1,0),0)</f>
        <v>1</v>
      </c>
      <c r="N91" s="28">
        <f>IF(L91=1,IF(COUNTIFS(LOG!$C$2:$C$2001,F91,LOG!$E$2:$E$2001,B91,LOG!$D$2:$D$2001,"NOT_INTERESTED")+COUNTIFS(LOG!$C$2:$C$2001,F91,LOG!$E$2:$E$2001,"",LOG!$D$2:$D$2001,"NOT_INTERESTED")&gt;0,1,0),0)</f>
        <v>0</v>
      </c>
      <c r="O91" s="28">
        <f>IF(L91=1,IF(COUNTIFS(LOG!$C$2:$C$2001,F91,LOG!$D$2:$D$2001,"STOP")+COUNTIFS(LOG!$C$2:$C$2001,F91,LOG!$D$2:$D$2001,"WRONG_NUMBER")&gt;0,1,IF(ISNUMBER(SEARCH("STOP",AT91)),1,0)),0)</f>
        <v>0</v>
      </c>
      <c r="P91" s="28">
        <f>IF(L91=1,IF(IFERROR(INDEX(PARTNERS!$D$2:$D$88,MATCH(B91,PARTNERS!$A$2:$A$88,0)),"")="NO SLOTS",1,IF(AND(IFERROR(INDEX(PARTNERS!$D$2:$D$88,MATCH(B91,PARTNERS!$A$2:$A$88,0)),"")&lt;&gt;"REOPENED",COUNTIFS(LOG!$E$2:$E$2001,B91,LOG!$D$2:$D$2001,"NO_SLOTS")&gt;0),1,0)),0)</f>
        <v>0</v>
      </c>
      <c r="Q91" s="28">
        <f>IF(L91=1,COUNTIFS(LOG!$C$2:$C$2001,F91,LOG!$H$2:$H$2001,1),0)</f>
        <v>1</v>
      </c>
      <c r="R91" s="46">
        <f>IF(Q91&gt;0,_xlfn.MAXIFS(LOG!$G$2:$G$2001,LOG!$C$2:$C$2001,F91,LOG!$H$2:$H$2001,1),0)</f>
        <v>46309.482679723646</v>
      </c>
      <c r="S91" s="28" t="str">
        <f>IF(Q91&gt;0,IFERROR(INDEX(LOG!$D$2:$D$2001,MATCH(F91&amp;"|"&amp;Q91,LOG!$I$2:$I$2001,0)),""),"")</f>
        <v>BOOKED</v>
      </c>
      <c r="T91" s="28">
        <f>IF(S91="",0,IFERROR(VLOOKUP(S91,LISTS!$A$2:$E$10,4,FALSE),0))</f>
        <v>0</v>
      </c>
      <c r="U91" s="46">
        <f t="shared" si="13"/>
        <v>46309.482679723646</v>
      </c>
      <c r="V91" s="46">
        <f>IF(L91=1,H91+SETTINGS!$B$5/24,"")</f>
        <v>46309.82708333333</v>
      </c>
      <c r="W91" s="28">
        <f ca="1">IF(L91=1,(V91-SETTINGS!$B$4)*24,"")</f>
        <v>-1.6666666720993817E-2</v>
      </c>
      <c r="X91" s="28">
        <f ca="1">IF(AND(L91=1,K91="OK",M91=0,N91=0,O91=0,P91=0,SETTINGS!$B$4&lt;V91,Q91&lt;SETTINGS!$B$6),1,0)</f>
        <v>0</v>
      </c>
      <c r="Y91" s="28">
        <f ca="1">IF(AND(X91=1,SETTINGS!$B$4&gt;=H91,SETTINGS!$B$4&gt;=U91,ROUND(MOD(SETTINGS!$B$4,1)*1440,0)&gt;=ROUND(SETTINGS!$B$7*1440,0),ROUND(MOD(SETTINGS!$B$4,1)*1440,0)&lt;ROUND(SETTINGS!$B$8*1440,0)),1,0)</f>
        <v>0</v>
      </c>
      <c r="Z91" s="28" t="str">
        <f ca="1">IF(B91="","",IF(ROUND(MOD(SETTINGS!$B$4,1)*1440,0)&lt;ROUND(SETTINGS!$B$11*1440,0),"Ram",IF(ROUND(MOD(SETTINGS!$B$4,1)*1440,0)&gt;=ROUND(SETTINGS!$B$10*1440,0),"Shyam",IF(MOD(IFERROR(VALUE(RIGHT(F91,2)),0),2)=0,"Ram","Shyam"))))</f>
        <v>Shyam</v>
      </c>
      <c r="AA91" s="28">
        <f t="shared" ca="1" si="14"/>
        <v>0</v>
      </c>
      <c r="AB91" s="28">
        <f ca="1">IF(X91=1,COUNTIFS($F$2:F91,F91,$X$2:X91,1),0)</f>
        <v>0</v>
      </c>
      <c r="AC91" s="28" t="str">
        <f>IF(L91=1,IF(IFERROR(INDEX(PARTNERS!$C$2:$C$88,MATCH(B91,PARTNERS!$A$2:$A$88,0)),"")="YES","YES","NO"),"")</f>
        <v>YES</v>
      </c>
      <c r="AD91" s="28" t="str">
        <f>IF(L91=1,IFERROR(INDEX(PARTNERS!$B$2:$B$88,MATCH(B91,PARTNERS!$A$2:$A$88,0)),""),"")</f>
        <v>https://calendly.com/partner004/interview</v>
      </c>
      <c r="AE91" s="28">
        <f ca="1">IF(X91=1,IFERROR(INDEX(SETTINGS!$B$34:$D$36,MATCH(I91,SETTINGS!$A$34:$A$36,0),MIN(Q91,2)+1),SETTINGS!$B$36),0)</f>
        <v>0</v>
      </c>
      <c r="AF91" s="28">
        <f t="shared" si="15"/>
        <v>1</v>
      </c>
      <c r="AG91" s="28">
        <f ca="1">IF(AND(Y91=1,AB91=1),ROUND(AA91*AE91*IF(AF91&gt;1,SETTINGS!$B$16,1)*IF(W91&lt;=SETTINGS!$B$14,SETTINGS!$B$15,1)*IF(AU91=1,SETTINGS!$B$21,1),6),0)</f>
        <v>0</v>
      </c>
      <c r="AH91" s="28" t="str">
        <f ca="1">IF(AG91&gt;0,COUNTIFS($Z$2:$Z$601,Z91,$AG$2:$AG$601,"&gt;"&amp;AG91)+COUNTIFS($Z$2:Z91,Z91,$AG$2:AG91,AG91),"")</f>
        <v/>
      </c>
      <c r="AI91" s="28" t="str">
        <f t="shared" ca="1" si="16"/>
        <v/>
      </c>
      <c r="AJ91" s="28" t="str">
        <f t="shared" ca="1" si="17"/>
        <v/>
      </c>
      <c r="AK91" s="28">
        <f>IF(L91=1,IF(COUNTIFS($F$2:F91,F91,$L$2:L91,1)=1,1,0),0)</f>
        <v>0</v>
      </c>
      <c r="AL91" s="28" t="str">
        <f>IF(B91="","",IF(K91="DUPLICATE","Duplicate (removed)",IF(AO91=1,"Scheduled within 24h",IF(M91=1,"Scheduled late",IF(K91="BAD CONTACT","Bad contact details",IF(O91=1,"Stopped / wrong number",IF(N91=1,"Not interested",IF(P91=1,"Partner has no slots",IF(SETTINGS!$B$4&gt;=V91,IF(Q91=0,"Missed deadline: never tried","Missed deadline: tried, not booked"),IF(Q91&gt;=SETTINGS!$B$6,"No reply after max tries","Open"))))))))))</f>
        <v>Scheduled within 24h</v>
      </c>
      <c r="AM91" s="46">
        <f>IF(M91=1,IF(_xlfn.MINIFS(LOG!$G$2:$G$2001,LOG!$C$2:$C$2001,F91,LOG!$E$2:$E$2001,B91,LOG!$D$2:$D$2001,"*BOOKED")=0,_xlfn.MINIFS(LOG!$G$2:$G$2001,LOG!$C$2:$C$2001,F91,LOG!$E$2:$E$2001,"",LOG!$D$2:$D$2001,"*BOOKED"),IF(_xlfn.MINIFS(LOG!$G$2:$G$2001,LOG!$C$2:$C$2001,F91,LOG!$E$2:$E$2001,"",LOG!$D$2:$D$2001,"*BOOKED")=0,_xlfn.MINIFS(LOG!$G$2:$G$2001,LOG!$C$2:$C$2001,F91,LOG!$E$2:$E$2001,B91,LOG!$D$2:$D$2001,"*BOOKED"),MIN(_xlfn.MINIFS(LOG!$G$2:$G$2001,LOG!$C$2:$C$2001,F91,LOG!$E$2:$E$2001,B91,LOG!$D$2:$D$2001,"*BOOKED"),_xlfn.MINIFS(LOG!$G$2:$G$2001,LOG!$C$2:$C$2001,F91,LOG!$E$2:$E$2001,"",LOG!$D$2:$D$2001,"*BOOKED")))),"")</f>
        <v>46309.482679723646</v>
      </c>
      <c r="AN91" s="28">
        <f t="shared" si="18"/>
        <v>15.734313367574941</v>
      </c>
      <c r="AO91" s="28">
        <f>IF(AND(M91=1,AN91&lt;&gt;""),IF(AN91&lt;=SETTINGS!$B$5,1,0),0)</f>
        <v>1</v>
      </c>
      <c r="AP91" s="28">
        <f>IF(M91=1,IF(COUNTIFS(LOG!$C$2:$C$2001,F91,LOG!$E$2:$E$2001,B91,LOG!$D$2:$D$2001,"BOOKED")+COUNTIFS(LOG!$C$2:$C$2001,F91,LOG!$E$2:$E$2001,"",LOG!$D$2:$D$2001,"BOOKED")&gt;0,1,0),0)</f>
        <v>1</v>
      </c>
      <c r="AQ91" s="28" t="str">
        <f t="shared" si="19"/>
        <v>Zoya</v>
      </c>
      <c r="AR91" s="28" t="str">
        <f>IF(AND(AK91=1,K91="OK"),COUNTIFS($AK$2:AK91,1,$K$2:K91,"OK"),"")</f>
        <v/>
      </c>
      <c r="AS91" s="28" t="str">
        <f>IF(L91=1,IFERROR(INDEX(MESSAGES!$J$9:$J$1008,MATCH(F91,MESSAGES!$M$9:$M$1008,0))&amp;"",""),"")</f>
        <v/>
      </c>
      <c r="AT91" s="28" t="str">
        <f>IF(L91=1,IFERROR(INDEX(MESSAGES!$K$9:$K$1008,MATCH(F91,MESSAGES!$M$9:$M$1008,0))&amp;"",""),"")</f>
        <v/>
      </c>
      <c r="AU91" s="28">
        <f t="shared" ca="1" si="20"/>
        <v>0</v>
      </c>
      <c r="AV91" s="28" t="str">
        <f t="shared" si="21"/>
        <v>SEND</v>
      </c>
    </row>
    <row r="92" spans="1:48" x14ac:dyDescent="0.35">
      <c r="A92" s="28">
        <v>91</v>
      </c>
      <c r="B92" s="28" t="str">
        <f>IF(INPUT!A92="","",TRIM(INPUT!A92))</f>
        <v>Partner 001</v>
      </c>
      <c r="C92" s="28" t="str">
        <f>IF(B92="","",INPUT!C92)</f>
        <v>interviewer1@partner001.example.com</v>
      </c>
      <c r="D92" s="28" t="str">
        <f>IF(B92="","",INPUT!D92)</f>
        <v>Nisha F.</v>
      </c>
      <c r="E92" s="28" t="str">
        <f>IF(B92="","",INPUT!E92)</f>
        <v>nisha.f177@example.com</v>
      </c>
      <c r="F92" s="43" t="str">
        <f>IF(B92="","",TRIM(INPUT!F92&amp;""))</f>
        <v>9000002308</v>
      </c>
      <c r="G92" s="28" t="str">
        <f>IF(B92="","",INPUT!H92)</f>
        <v>Round1</v>
      </c>
      <c r="H92" s="46">
        <f>IF(B92="","",INPUT!I92)</f>
        <v>46308.82708333333</v>
      </c>
      <c r="I92" s="28" t="str">
        <f>IF(B92="","",IF(INPUT!J92="","None",INPUT!J92))</f>
        <v>Clicked</v>
      </c>
      <c r="J92" s="28" t="str">
        <f t="shared" si="11"/>
        <v>nisha.f177@example.com|partner 001|Round1|interviewer1@partner001.example.com</v>
      </c>
      <c r="K92" s="28" t="str">
        <f>IF(B92="","",IF(SUMPRODUCT(($J$2:$J$601=J92)*($H$2:$H$601&lt;H92))+SUMPRODUCT(($J$2:J92=J92)*($H$2:H92=H92))-1&gt;0,"DUPLICATE",IF(AND(ISNUMBER(SEARCH("@",E92)),ISNUMBER(SEARCH(".",E92)),LEN(F92)=10,ISNUMBER(VALUE(F92))),"OK","BAD CONTACT")))</f>
        <v>OK</v>
      </c>
      <c r="L92" s="28">
        <f t="shared" si="12"/>
        <v>1</v>
      </c>
      <c r="M92" s="28">
        <f>IF(L92=1,IF(COUNTIFS(LOG!$C$2:$C$2001,F92,LOG!$E$2:$E$2001,B92,LOG!$D$2:$D$2001,"*BOOKED")+COUNTIFS(LOG!$C$2:$C$2001,F92,LOG!$E$2:$E$2001,"",LOG!$D$2:$D$2001,"*BOOKED")&gt;0,1,0),0)</f>
        <v>0</v>
      </c>
      <c r="N92" s="28">
        <f>IF(L92=1,IF(COUNTIFS(LOG!$C$2:$C$2001,F92,LOG!$E$2:$E$2001,B92,LOG!$D$2:$D$2001,"NOT_INTERESTED")+COUNTIFS(LOG!$C$2:$C$2001,F92,LOG!$E$2:$E$2001,"",LOG!$D$2:$D$2001,"NOT_INTERESTED")&gt;0,1,0),0)</f>
        <v>0</v>
      </c>
      <c r="O92" s="28">
        <f>IF(L92=1,IF(COUNTIFS(LOG!$C$2:$C$2001,F92,LOG!$D$2:$D$2001,"STOP")+COUNTIFS(LOG!$C$2:$C$2001,F92,LOG!$D$2:$D$2001,"WRONG_NUMBER")&gt;0,1,IF(ISNUMBER(SEARCH("STOP",AT92)),1,0)),0)</f>
        <v>0</v>
      </c>
      <c r="P92" s="28">
        <f>IF(L92=1,IF(IFERROR(INDEX(PARTNERS!$D$2:$D$88,MATCH(B92,PARTNERS!$A$2:$A$88,0)),"")="NO SLOTS",1,IF(AND(IFERROR(INDEX(PARTNERS!$D$2:$D$88,MATCH(B92,PARTNERS!$A$2:$A$88,0)),"")&lt;&gt;"REOPENED",COUNTIFS(LOG!$E$2:$E$2001,B92,LOG!$D$2:$D$2001,"NO_SLOTS")&gt;0),1,0)),0)</f>
        <v>0</v>
      </c>
      <c r="Q92" s="28">
        <f>IF(L92=1,COUNTIFS(LOG!$C$2:$C$2001,F92,LOG!$H$2:$H$2001,1),0)</f>
        <v>2</v>
      </c>
      <c r="R92" s="46">
        <f>IF(Q92&gt;0,_xlfn.MAXIFS(LOG!$G$2:$G$2001,LOG!$C$2:$C$2001,F92,LOG!$H$2:$H$2001,1),0)</f>
        <v>46309.724860993148</v>
      </c>
      <c r="S92" s="28" t="str">
        <f>IF(Q92&gt;0,IFERROR(INDEX(LOG!$D$2:$D$2001,MATCH(F92&amp;"|"&amp;Q92,LOG!$I$2:$I$2001,0)),""),"")</f>
        <v>NO_ANSWER</v>
      </c>
      <c r="T92" s="28">
        <f>IF(S92="",0,IFERROR(VLOOKUP(S92,LISTS!$A$2:$E$10,4,FALSE),0))</f>
        <v>120</v>
      </c>
      <c r="U92" s="46">
        <f t="shared" si="13"/>
        <v>46309.808194326484</v>
      </c>
      <c r="V92" s="46">
        <f>IF(L92=1,H92+SETTINGS!$B$5/24,"")</f>
        <v>46309.82708333333</v>
      </c>
      <c r="W92" s="28">
        <f ca="1">IF(L92=1,(V92-SETTINGS!$B$4)*24,"")</f>
        <v>-1.6666666720993817E-2</v>
      </c>
      <c r="X92" s="28">
        <f ca="1">IF(AND(L92=1,K92="OK",M92=0,N92=0,O92=0,P92=0,SETTINGS!$B$4&lt;V92,Q92&lt;SETTINGS!$B$6),1,0)</f>
        <v>0</v>
      </c>
      <c r="Y92" s="28">
        <f ca="1">IF(AND(X92=1,SETTINGS!$B$4&gt;=H92,SETTINGS!$B$4&gt;=U92,ROUND(MOD(SETTINGS!$B$4,1)*1440,0)&gt;=ROUND(SETTINGS!$B$7*1440,0),ROUND(MOD(SETTINGS!$B$4,1)*1440,0)&lt;ROUND(SETTINGS!$B$8*1440,0)),1,0)</f>
        <v>0</v>
      </c>
      <c r="Z92" s="28" t="str">
        <f ca="1">IF(B92="","",IF(ROUND(MOD(SETTINGS!$B$4,1)*1440,0)&lt;ROUND(SETTINGS!$B$11*1440,0),"Ram",IF(ROUND(MOD(SETTINGS!$B$4,1)*1440,0)&gt;=ROUND(SETTINGS!$B$10*1440,0),"Shyam",IF(MOD(IFERROR(VALUE(RIGHT(F92,2)),0),2)=0,"Ram","Shyam"))))</f>
        <v>Shyam</v>
      </c>
      <c r="AA92" s="28">
        <f t="shared" ca="1" si="14"/>
        <v>0</v>
      </c>
      <c r="AB92" s="28">
        <f ca="1">IF(X92=1,COUNTIFS($F$2:F92,F92,$X$2:X92,1),0)</f>
        <v>0</v>
      </c>
      <c r="AC92" s="28" t="str">
        <f>IF(L92=1,IF(IFERROR(INDEX(PARTNERS!$C$2:$C$88,MATCH(B92,PARTNERS!$A$2:$A$88,0)),"")="YES","YES","NO"),"")</f>
        <v>NO</v>
      </c>
      <c r="AD92" s="28" t="str">
        <f>IF(L92=1,IFERROR(INDEX(PARTNERS!$B$2:$B$88,MATCH(B92,PARTNERS!$A$2:$A$88,0)),""),"")</f>
        <v>https://calendly.com/partner001/interview</v>
      </c>
      <c r="AE92" s="28">
        <f ca="1">IF(X92=1,IFERROR(INDEX(SETTINGS!$B$34:$D$36,MATCH(I92,SETTINGS!$A$34:$A$36,0),MIN(Q92,2)+1),SETTINGS!$B$36),0)</f>
        <v>0</v>
      </c>
      <c r="AF92" s="28">
        <f t="shared" si="15"/>
        <v>1</v>
      </c>
      <c r="AG92" s="28">
        <f ca="1">IF(AND(Y92=1,AB92=1),ROUND(AA92*AE92*IF(AF92&gt;1,SETTINGS!$B$16,1)*IF(W92&lt;=SETTINGS!$B$14,SETTINGS!$B$15,1)*IF(AU92=1,SETTINGS!$B$21,1),6),0)</f>
        <v>0</v>
      </c>
      <c r="AH92" s="28" t="str">
        <f ca="1">IF(AG92&gt;0,COUNTIFS($Z$2:$Z$601,Z92,$AG$2:$AG$601,"&gt;"&amp;AG92)+COUNTIFS($Z$2:Z92,Z92,$AG$2:AG92,AG92),"")</f>
        <v/>
      </c>
      <c r="AI92" s="28" t="str">
        <f t="shared" ca="1" si="16"/>
        <v/>
      </c>
      <c r="AJ92" s="28" t="str">
        <f t="shared" ca="1" si="17"/>
        <v/>
      </c>
      <c r="AK92" s="28">
        <f>IF(L92=1,IF(COUNTIFS($F$2:F92,F92,$L$2:L92,1)=1,1,0),0)</f>
        <v>1</v>
      </c>
      <c r="AL92" s="28" t="str">
        <f ca="1">IF(B92="","",IF(K92="DUPLICATE","Duplicate (removed)",IF(AO92=1,"Scheduled within 24h",IF(M92=1,"Scheduled late",IF(K92="BAD CONTACT","Bad contact details",IF(O92=1,"Stopped / wrong number",IF(N92=1,"Not interested",IF(P92=1,"Partner has no slots",IF(SETTINGS!$B$4&gt;=V92,IF(Q92=0,"Missed deadline: never tried","Missed deadline: tried, not booked"),IF(Q92&gt;=SETTINGS!$B$6,"No reply after max tries","Open"))))))))))</f>
        <v>Missed deadline: tried, not booked</v>
      </c>
      <c r="AM92" s="46" t="str">
        <f>IF(M92=1,IF(_xlfn.MINIFS(LOG!$G$2:$G$2001,LOG!$C$2:$C$2001,F92,LOG!$E$2:$E$2001,B92,LOG!$D$2:$D$2001,"*BOOKED")=0,_xlfn.MINIFS(LOG!$G$2:$G$2001,LOG!$C$2:$C$2001,F92,LOG!$E$2:$E$2001,"",LOG!$D$2:$D$2001,"*BOOKED"),IF(_xlfn.MINIFS(LOG!$G$2:$G$2001,LOG!$C$2:$C$2001,F92,LOG!$E$2:$E$2001,"",LOG!$D$2:$D$2001,"*BOOKED")=0,_xlfn.MINIFS(LOG!$G$2:$G$2001,LOG!$C$2:$C$2001,F92,LOG!$E$2:$E$2001,B92,LOG!$D$2:$D$2001,"*BOOKED"),MIN(_xlfn.MINIFS(LOG!$G$2:$G$2001,LOG!$C$2:$C$2001,F92,LOG!$E$2:$E$2001,B92,LOG!$D$2:$D$2001,"*BOOKED"),_xlfn.MINIFS(LOG!$G$2:$G$2001,LOG!$C$2:$C$2001,F92,LOG!$E$2:$E$2001,"",LOG!$D$2:$D$2001,"*BOOKED")))),"")</f>
        <v/>
      </c>
      <c r="AN92" s="28" t="str">
        <f t="shared" si="18"/>
        <v/>
      </c>
      <c r="AO92" s="28">
        <f>IF(AND(M92=1,AN92&lt;&gt;""),IF(AN92&lt;=SETTINGS!$B$5,1,0),0)</f>
        <v>0</v>
      </c>
      <c r="AP92" s="28">
        <f>IF(M92=1,IF(COUNTIFS(LOG!$C$2:$C$2001,F92,LOG!$E$2:$E$2001,B92,LOG!$D$2:$D$2001,"BOOKED")+COUNTIFS(LOG!$C$2:$C$2001,F92,LOG!$E$2:$E$2001,"",LOG!$D$2:$D$2001,"BOOKED")&gt;0,1,0),0)</f>
        <v>0</v>
      </c>
      <c r="AQ92" s="28" t="str">
        <f t="shared" si="19"/>
        <v>Nisha</v>
      </c>
      <c r="AR92" s="28">
        <f>IF(AND(AK92=1,K92="OK"),COUNTIFS($AK$2:AK92,1,$K$2:K92,"OK"),"")</f>
        <v>86</v>
      </c>
      <c r="AS92" s="28" t="str">
        <f>IF(L92=1,IFERROR(INDEX(MESSAGES!$J$9:$J$1008,MATCH(F92,MESSAGES!$M$9:$M$1008,0))&amp;"",""),"")</f>
        <v/>
      </c>
      <c r="AT92" s="28" t="str">
        <f>IF(L92=1,IFERROR(INDEX(MESSAGES!$K$9:$K$1008,MATCH(F92,MESSAGES!$M$9:$M$1008,0))&amp;"",""),"")</f>
        <v/>
      </c>
      <c r="AU92" s="28">
        <f t="shared" ca="1" si="20"/>
        <v>0</v>
      </c>
      <c r="AV92" s="28" t="str">
        <f t="shared" si="21"/>
        <v>SEND</v>
      </c>
    </row>
    <row r="93" spans="1:48" x14ac:dyDescent="0.35">
      <c r="A93" s="28">
        <v>92</v>
      </c>
      <c r="B93" s="28" t="str">
        <f>IF(INPUT!A93="","",TRIM(INPUT!A93))</f>
        <v>Partner 028</v>
      </c>
      <c r="C93" s="28" t="str">
        <f>IF(B93="","",INPUT!C93)</f>
        <v>interviewer2@partner028.example.com</v>
      </c>
      <c r="D93" s="28" t="str">
        <f>IF(B93="","",INPUT!D93)</f>
        <v>Varun L.</v>
      </c>
      <c r="E93" s="28" t="str">
        <f>IF(B93="","",INPUT!E93)</f>
        <v>varun.l328@example.com</v>
      </c>
      <c r="F93" s="43" t="str">
        <f>IF(B93="","",TRIM(INPUT!F93&amp;""))</f>
        <v>9000004271</v>
      </c>
      <c r="G93" s="28" t="str">
        <f>IF(B93="","",INPUT!H93)</f>
        <v>Round1</v>
      </c>
      <c r="H93" s="46">
        <f>IF(B93="","",INPUT!I93)</f>
        <v>46308.82708333333</v>
      </c>
      <c r="I93" s="28" t="str">
        <f>IF(B93="","",IF(INPUT!J93="","None",INPUT!J93))</f>
        <v>Opened</v>
      </c>
      <c r="J93" s="28" t="str">
        <f t="shared" si="11"/>
        <v>varun.l328@example.com|partner 028|Round1|interviewer2@partner028.example.com</v>
      </c>
      <c r="K93" s="28" t="str">
        <f>IF(B93="","",IF(SUMPRODUCT(($J$2:$J$601=J93)*($H$2:$H$601&lt;H93))+SUMPRODUCT(($J$2:J93=J93)*($H$2:H93=H93))-1&gt;0,"DUPLICATE",IF(AND(ISNUMBER(SEARCH("@",E93)),ISNUMBER(SEARCH(".",E93)),LEN(F93)=10,ISNUMBER(VALUE(F93))),"OK","BAD CONTACT")))</f>
        <v>OK</v>
      </c>
      <c r="L93" s="28">
        <f t="shared" si="12"/>
        <v>1</v>
      </c>
      <c r="M93" s="28">
        <f>IF(L93=1,IF(COUNTIFS(LOG!$C$2:$C$2001,F93,LOG!$E$2:$E$2001,B93,LOG!$D$2:$D$2001,"*BOOKED")+COUNTIFS(LOG!$C$2:$C$2001,F93,LOG!$E$2:$E$2001,"",LOG!$D$2:$D$2001,"*BOOKED")&gt;0,1,0),0)</f>
        <v>0</v>
      </c>
      <c r="N93" s="28">
        <f>IF(L93=1,IF(COUNTIFS(LOG!$C$2:$C$2001,F93,LOG!$E$2:$E$2001,B93,LOG!$D$2:$D$2001,"NOT_INTERESTED")+COUNTIFS(LOG!$C$2:$C$2001,F93,LOG!$E$2:$E$2001,"",LOG!$D$2:$D$2001,"NOT_INTERESTED")&gt;0,1,0),0)</f>
        <v>0</v>
      </c>
      <c r="O93" s="28">
        <f>IF(L93=1,IF(COUNTIFS(LOG!$C$2:$C$2001,F93,LOG!$D$2:$D$2001,"STOP")+COUNTIFS(LOG!$C$2:$C$2001,F93,LOG!$D$2:$D$2001,"WRONG_NUMBER")&gt;0,1,IF(ISNUMBER(SEARCH("STOP",AT93)),1,0)),0)</f>
        <v>0</v>
      </c>
      <c r="P93" s="28">
        <f>IF(L93=1,IF(IFERROR(INDEX(PARTNERS!$D$2:$D$88,MATCH(B93,PARTNERS!$A$2:$A$88,0)),"")="NO SLOTS",1,IF(AND(IFERROR(INDEX(PARTNERS!$D$2:$D$88,MATCH(B93,PARTNERS!$A$2:$A$88,0)),"")&lt;&gt;"REOPENED",COUNTIFS(LOG!$E$2:$E$2001,B93,LOG!$D$2:$D$2001,"NO_SLOTS")&gt;0),1,0)),0)</f>
        <v>0</v>
      </c>
      <c r="Q93" s="28">
        <f>IF(L93=1,COUNTIFS(LOG!$C$2:$C$2001,F93,LOG!$H$2:$H$2001,1),0)</f>
        <v>3</v>
      </c>
      <c r="R93" s="46">
        <f>IF(Q93&gt;0,_xlfn.MAXIFS(LOG!$G$2:$G$2001,LOG!$C$2:$C$2001,F93,LOG!$H$2:$H$2001,1),0)</f>
        <v>46309.690953984915</v>
      </c>
      <c r="S93" s="28" t="str">
        <f>IF(Q93&gt;0,IFERROR(INDEX(LOG!$D$2:$D$2001,MATCH(F93&amp;"|"&amp;Q93,LOG!$I$2:$I$2001,0)),""),"")</f>
        <v>NO_ANSWER</v>
      </c>
      <c r="T93" s="28">
        <f>IF(S93="",0,IFERROR(VLOOKUP(S93,LISTS!$A$2:$E$10,4,FALSE),0))</f>
        <v>120</v>
      </c>
      <c r="U93" s="46">
        <f t="shared" si="13"/>
        <v>46309.774287318251</v>
      </c>
      <c r="V93" s="46">
        <f>IF(L93=1,H93+SETTINGS!$B$5/24,"")</f>
        <v>46309.82708333333</v>
      </c>
      <c r="W93" s="28">
        <f ca="1">IF(L93=1,(V93-SETTINGS!$B$4)*24,"")</f>
        <v>-1.6666666720993817E-2</v>
      </c>
      <c r="X93" s="28">
        <f ca="1">IF(AND(L93=1,K93="OK",M93=0,N93=0,O93=0,P93=0,SETTINGS!$B$4&lt;V93,Q93&lt;SETTINGS!$B$6),1,0)</f>
        <v>0</v>
      </c>
      <c r="Y93" s="28">
        <f ca="1">IF(AND(X93=1,SETTINGS!$B$4&gt;=H93,SETTINGS!$B$4&gt;=U93,ROUND(MOD(SETTINGS!$B$4,1)*1440,0)&gt;=ROUND(SETTINGS!$B$7*1440,0),ROUND(MOD(SETTINGS!$B$4,1)*1440,0)&lt;ROUND(SETTINGS!$B$8*1440,0)),1,0)</f>
        <v>0</v>
      </c>
      <c r="Z93" s="28" t="str">
        <f ca="1">IF(B93="","",IF(ROUND(MOD(SETTINGS!$B$4,1)*1440,0)&lt;ROUND(SETTINGS!$B$11*1440,0),"Ram",IF(ROUND(MOD(SETTINGS!$B$4,1)*1440,0)&gt;=ROUND(SETTINGS!$B$10*1440,0),"Shyam",IF(MOD(IFERROR(VALUE(RIGHT(F93,2)),0),2)=0,"Ram","Shyam"))))</f>
        <v>Shyam</v>
      </c>
      <c r="AA93" s="28">
        <f t="shared" ca="1" si="14"/>
        <v>0</v>
      </c>
      <c r="AB93" s="28">
        <f ca="1">IF(X93=1,COUNTIFS($F$2:F93,F93,$X$2:X93,1),0)</f>
        <v>0</v>
      </c>
      <c r="AC93" s="28" t="str">
        <f>IF(L93=1,IF(IFERROR(INDEX(PARTNERS!$C$2:$C$88,MATCH(B93,PARTNERS!$A$2:$A$88,0)),"")="YES","YES","NO"),"")</f>
        <v>YES</v>
      </c>
      <c r="AD93" s="28" t="str">
        <f>IF(L93=1,IFERROR(INDEX(PARTNERS!$B$2:$B$88,MATCH(B93,PARTNERS!$A$2:$A$88,0)),""),"")</f>
        <v>https://calendly.com/partner028/interview</v>
      </c>
      <c r="AE93" s="28">
        <f ca="1">IF(X93=1,IFERROR(INDEX(SETTINGS!$B$34:$D$36,MATCH(I93,SETTINGS!$A$34:$A$36,0),MIN(Q93,2)+1),SETTINGS!$B$36),0)</f>
        <v>0</v>
      </c>
      <c r="AF93" s="28">
        <f t="shared" si="15"/>
        <v>1</v>
      </c>
      <c r="AG93" s="28">
        <f ca="1">IF(AND(Y93=1,AB93=1),ROUND(AA93*AE93*IF(AF93&gt;1,SETTINGS!$B$16,1)*IF(W93&lt;=SETTINGS!$B$14,SETTINGS!$B$15,1)*IF(AU93=1,SETTINGS!$B$21,1),6),0)</f>
        <v>0</v>
      </c>
      <c r="AH93" s="28" t="str">
        <f ca="1">IF(AG93&gt;0,COUNTIFS($Z$2:$Z$601,Z93,$AG$2:$AG$601,"&gt;"&amp;AG93)+COUNTIFS($Z$2:Z93,Z93,$AG$2:AG93,AG93),"")</f>
        <v/>
      </c>
      <c r="AI93" s="28" t="str">
        <f t="shared" ca="1" si="16"/>
        <v/>
      </c>
      <c r="AJ93" s="28" t="str">
        <f t="shared" ca="1" si="17"/>
        <v/>
      </c>
      <c r="AK93" s="28">
        <f>IF(L93=1,IF(COUNTIFS($F$2:F93,F93,$L$2:L93,1)=1,1,0),0)</f>
        <v>0</v>
      </c>
      <c r="AL93" s="28" t="str">
        <f ca="1">IF(B93="","",IF(K93="DUPLICATE","Duplicate (removed)",IF(AO93=1,"Scheduled within 24h",IF(M93=1,"Scheduled late",IF(K93="BAD CONTACT","Bad contact details",IF(O93=1,"Stopped / wrong number",IF(N93=1,"Not interested",IF(P93=1,"Partner has no slots",IF(SETTINGS!$B$4&gt;=V93,IF(Q93=0,"Missed deadline: never tried","Missed deadline: tried, not booked"),IF(Q93&gt;=SETTINGS!$B$6,"No reply after max tries","Open"))))))))))</f>
        <v>Missed deadline: tried, not booked</v>
      </c>
      <c r="AM93" s="46" t="str">
        <f>IF(M93=1,IF(_xlfn.MINIFS(LOG!$G$2:$G$2001,LOG!$C$2:$C$2001,F93,LOG!$E$2:$E$2001,B93,LOG!$D$2:$D$2001,"*BOOKED")=0,_xlfn.MINIFS(LOG!$G$2:$G$2001,LOG!$C$2:$C$2001,F93,LOG!$E$2:$E$2001,"",LOG!$D$2:$D$2001,"*BOOKED"),IF(_xlfn.MINIFS(LOG!$G$2:$G$2001,LOG!$C$2:$C$2001,F93,LOG!$E$2:$E$2001,"",LOG!$D$2:$D$2001,"*BOOKED")=0,_xlfn.MINIFS(LOG!$G$2:$G$2001,LOG!$C$2:$C$2001,F93,LOG!$E$2:$E$2001,B93,LOG!$D$2:$D$2001,"*BOOKED"),MIN(_xlfn.MINIFS(LOG!$G$2:$G$2001,LOG!$C$2:$C$2001,F93,LOG!$E$2:$E$2001,B93,LOG!$D$2:$D$2001,"*BOOKED"),_xlfn.MINIFS(LOG!$G$2:$G$2001,LOG!$C$2:$C$2001,F93,LOG!$E$2:$E$2001,"",LOG!$D$2:$D$2001,"*BOOKED")))),"")</f>
        <v/>
      </c>
      <c r="AN93" s="28" t="str">
        <f t="shared" si="18"/>
        <v/>
      </c>
      <c r="AO93" s="28">
        <f>IF(AND(M93=1,AN93&lt;&gt;""),IF(AN93&lt;=SETTINGS!$B$5,1,0),0)</f>
        <v>0</v>
      </c>
      <c r="AP93" s="28">
        <f>IF(M93=1,IF(COUNTIFS(LOG!$C$2:$C$2001,F93,LOG!$E$2:$E$2001,B93,LOG!$D$2:$D$2001,"BOOKED")+COUNTIFS(LOG!$C$2:$C$2001,F93,LOG!$E$2:$E$2001,"",LOG!$D$2:$D$2001,"BOOKED")&gt;0,1,0),0)</f>
        <v>0</v>
      </c>
      <c r="AQ93" s="28" t="str">
        <f t="shared" si="19"/>
        <v>Varun</v>
      </c>
      <c r="AR93" s="28" t="str">
        <f>IF(AND(AK93=1,K93="OK"),COUNTIFS($AK$2:AK93,1,$K$2:K93,"OK"),"")</f>
        <v/>
      </c>
      <c r="AS93" s="28" t="str">
        <f>IF(L93=1,IFERROR(INDEX(MESSAGES!$J$9:$J$1008,MATCH(F93,MESSAGES!$M$9:$M$1008,0))&amp;"",""),"")</f>
        <v/>
      </c>
      <c r="AT93" s="28" t="str">
        <f>IF(L93=1,IFERROR(INDEX(MESSAGES!$K$9:$K$1008,MATCH(F93,MESSAGES!$M$9:$M$1008,0))&amp;"",""),"")</f>
        <v/>
      </c>
      <c r="AU93" s="28">
        <f t="shared" ca="1" si="20"/>
        <v>0</v>
      </c>
      <c r="AV93" s="28" t="str">
        <f t="shared" si="21"/>
        <v>HOLD</v>
      </c>
    </row>
    <row r="94" spans="1:48" x14ac:dyDescent="0.35">
      <c r="A94" s="28">
        <v>93</v>
      </c>
      <c r="B94" s="28" t="str">
        <f>IF(INPUT!A94="","",TRIM(INPUT!A94))</f>
        <v>Partner 000</v>
      </c>
      <c r="C94" s="28" t="str">
        <f>IF(B94="","",INPUT!C94)</f>
        <v>interviewer1@partner000.example.com</v>
      </c>
      <c r="D94" s="28" t="str">
        <f>IF(B94="","",INPUT!D94)</f>
        <v>Vihaan K.</v>
      </c>
      <c r="E94" s="28" t="str">
        <f>IF(B94="","",INPUT!E94)</f>
        <v>vihaan.k274@example.com</v>
      </c>
      <c r="F94" s="43" t="str">
        <f>IF(B94="","",TRIM(INPUT!F94&amp;""))</f>
        <v>9000003569</v>
      </c>
      <c r="G94" s="28" t="str">
        <f>IF(B94="","",INPUT!H94)</f>
        <v>Round1</v>
      </c>
      <c r="H94" s="46">
        <f>IF(B94="","",INPUT!I94)</f>
        <v>46308.82708333333</v>
      </c>
      <c r="I94" s="28" t="str">
        <f>IF(B94="","",IF(INPUT!J94="","None",INPUT!J94))</f>
        <v>Opened</v>
      </c>
      <c r="J94" s="28" t="str">
        <f t="shared" si="11"/>
        <v>vihaan.k274@example.com|partner 000|Round1|interviewer1@partner000.example.com</v>
      </c>
      <c r="K94" s="28" t="str">
        <f>IF(B94="","",IF(SUMPRODUCT(($J$2:$J$601=J94)*($H$2:$H$601&lt;H94))+SUMPRODUCT(($J$2:J94=J94)*($H$2:H94=H94))-1&gt;0,"DUPLICATE",IF(AND(ISNUMBER(SEARCH("@",E94)),ISNUMBER(SEARCH(".",E94)),LEN(F94)=10,ISNUMBER(VALUE(F94))),"OK","BAD CONTACT")))</f>
        <v>OK</v>
      </c>
      <c r="L94" s="28">
        <f t="shared" si="12"/>
        <v>1</v>
      </c>
      <c r="M94" s="28">
        <f>IF(L94=1,IF(COUNTIFS(LOG!$C$2:$C$2001,F94,LOG!$E$2:$E$2001,B94,LOG!$D$2:$D$2001,"*BOOKED")+COUNTIFS(LOG!$C$2:$C$2001,F94,LOG!$E$2:$E$2001,"",LOG!$D$2:$D$2001,"*BOOKED")&gt;0,1,0),0)</f>
        <v>0</v>
      </c>
      <c r="N94" s="28">
        <f>IF(L94=1,IF(COUNTIFS(LOG!$C$2:$C$2001,F94,LOG!$E$2:$E$2001,B94,LOG!$D$2:$D$2001,"NOT_INTERESTED")+COUNTIFS(LOG!$C$2:$C$2001,F94,LOG!$E$2:$E$2001,"",LOG!$D$2:$D$2001,"NOT_INTERESTED")&gt;0,1,0),0)</f>
        <v>0</v>
      </c>
      <c r="O94" s="28">
        <f>IF(L94=1,IF(COUNTIFS(LOG!$C$2:$C$2001,F94,LOG!$D$2:$D$2001,"STOP")+COUNTIFS(LOG!$C$2:$C$2001,F94,LOG!$D$2:$D$2001,"WRONG_NUMBER")&gt;0,1,IF(ISNUMBER(SEARCH("STOP",AT94)),1,0)),0)</f>
        <v>0</v>
      </c>
      <c r="P94" s="28">
        <f>IF(L94=1,IF(IFERROR(INDEX(PARTNERS!$D$2:$D$88,MATCH(B94,PARTNERS!$A$2:$A$88,0)),"")="NO SLOTS",1,IF(AND(IFERROR(INDEX(PARTNERS!$D$2:$D$88,MATCH(B94,PARTNERS!$A$2:$A$88,0)),"")&lt;&gt;"REOPENED",COUNTIFS(LOG!$E$2:$E$2001,B94,LOG!$D$2:$D$2001,"NO_SLOTS")&gt;0),1,0)),0)</f>
        <v>0</v>
      </c>
      <c r="Q94" s="28">
        <f>IF(L94=1,COUNTIFS(LOG!$C$2:$C$2001,F94,LOG!$H$2:$H$2001,1),0)</f>
        <v>0</v>
      </c>
      <c r="R94" s="46">
        <f>IF(Q94&gt;0,_xlfn.MAXIFS(LOG!$G$2:$G$2001,LOG!$C$2:$C$2001,F94,LOG!$H$2:$H$2001,1),0)</f>
        <v>0</v>
      </c>
      <c r="S94" s="28" t="str">
        <f>IF(Q94&gt;0,IFERROR(INDEX(LOG!$D$2:$D$2001,MATCH(F94&amp;"|"&amp;Q94,LOG!$I$2:$I$2001,0)),""),"")</f>
        <v/>
      </c>
      <c r="T94" s="28">
        <f>IF(S94="",0,IFERROR(VLOOKUP(S94,LISTS!$A$2:$E$10,4,FALSE),0))</f>
        <v>0</v>
      </c>
      <c r="U94" s="46">
        <f t="shared" si="13"/>
        <v>0</v>
      </c>
      <c r="V94" s="46">
        <f>IF(L94=1,H94+SETTINGS!$B$5/24,"")</f>
        <v>46309.82708333333</v>
      </c>
      <c r="W94" s="28">
        <f ca="1">IF(L94=1,(V94-SETTINGS!$B$4)*24,"")</f>
        <v>-1.6666666720993817E-2</v>
      </c>
      <c r="X94" s="28">
        <f ca="1">IF(AND(L94=1,K94="OK",M94=0,N94=0,O94=0,P94=0,SETTINGS!$B$4&lt;V94,Q94&lt;SETTINGS!$B$6),1,0)</f>
        <v>0</v>
      </c>
      <c r="Y94" s="28">
        <f ca="1">IF(AND(X94=1,SETTINGS!$B$4&gt;=H94,SETTINGS!$B$4&gt;=U94,ROUND(MOD(SETTINGS!$B$4,1)*1440,0)&gt;=ROUND(SETTINGS!$B$7*1440,0),ROUND(MOD(SETTINGS!$B$4,1)*1440,0)&lt;ROUND(SETTINGS!$B$8*1440,0)),1,0)</f>
        <v>0</v>
      </c>
      <c r="Z94" s="28" t="str">
        <f ca="1">IF(B94="","",IF(ROUND(MOD(SETTINGS!$B$4,1)*1440,0)&lt;ROUND(SETTINGS!$B$11*1440,0),"Ram",IF(ROUND(MOD(SETTINGS!$B$4,1)*1440,0)&gt;=ROUND(SETTINGS!$B$10*1440,0),"Shyam",IF(MOD(IFERROR(VALUE(RIGHT(F94,2)),0),2)=0,"Ram","Shyam"))))</f>
        <v>Shyam</v>
      </c>
      <c r="AA94" s="28">
        <f t="shared" ca="1" si="14"/>
        <v>0</v>
      </c>
      <c r="AB94" s="28">
        <f ca="1">IF(X94=1,COUNTIFS($F$2:F94,F94,$X$2:X94,1),0)</f>
        <v>0</v>
      </c>
      <c r="AC94" s="28" t="str">
        <f>IF(L94=1,IF(IFERROR(INDEX(PARTNERS!$C$2:$C$88,MATCH(B94,PARTNERS!$A$2:$A$88,0)),"")="YES","YES","NO"),"")</f>
        <v>NO</v>
      </c>
      <c r="AD94" s="28" t="str">
        <f>IF(L94=1,IFERROR(INDEX(PARTNERS!$B$2:$B$88,MATCH(B94,PARTNERS!$A$2:$A$88,0)),""),"")</f>
        <v>https://calendly.com/partner000/interview</v>
      </c>
      <c r="AE94" s="28">
        <f ca="1">IF(X94=1,IFERROR(INDEX(SETTINGS!$B$34:$D$36,MATCH(I94,SETTINGS!$A$34:$A$36,0),MIN(Q94,2)+1),SETTINGS!$B$36),0)</f>
        <v>0</v>
      </c>
      <c r="AF94" s="28">
        <f t="shared" si="15"/>
        <v>1</v>
      </c>
      <c r="AG94" s="28">
        <f ca="1">IF(AND(Y94=1,AB94=1),ROUND(AA94*AE94*IF(AF94&gt;1,SETTINGS!$B$16,1)*IF(W94&lt;=SETTINGS!$B$14,SETTINGS!$B$15,1)*IF(AU94=1,SETTINGS!$B$21,1),6),0)</f>
        <v>0</v>
      </c>
      <c r="AH94" s="28" t="str">
        <f ca="1">IF(AG94&gt;0,COUNTIFS($Z$2:$Z$601,Z94,$AG$2:$AG$601,"&gt;"&amp;AG94)+COUNTIFS($Z$2:Z94,Z94,$AG$2:AG94,AG94),"")</f>
        <v/>
      </c>
      <c r="AI94" s="28" t="str">
        <f t="shared" ca="1" si="16"/>
        <v/>
      </c>
      <c r="AJ94" s="28" t="str">
        <f t="shared" ca="1" si="17"/>
        <v/>
      </c>
      <c r="AK94" s="28">
        <f>IF(L94=1,IF(COUNTIFS($F$2:F94,F94,$L$2:L94,1)=1,1,0),0)</f>
        <v>1</v>
      </c>
      <c r="AL94" s="28" t="str">
        <f ca="1">IF(B94="","",IF(K94="DUPLICATE","Duplicate (removed)",IF(AO94=1,"Scheduled within 24h",IF(M94=1,"Scheduled late",IF(K94="BAD CONTACT","Bad contact details",IF(O94=1,"Stopped / wrong number",IF(N94=1,"Not interested",IF(P94=1,"Partner has no slots",IF(SETTINGS!$B$4&gt;=V94,IF(Q94=0,"Missed deadline: never tried","Missed deadline: tried, not booked"),IF(Q94&gt;=SETTINGS!$B$6,"No reply after max tries","Open"))))))))))</f>
        <v>Missed deadline: never tried</v>
      </c>
      <c r="AM94" s="46" t="str">
        <f>IF(M94=1,IF(_xlfn.MINIFS(LOG!$G$2:$G$2001,LOG!$C$2:$C$2001,F94,LOG!$E$2:$E$2001,B94,LOG!$D$2:$D$2001,"*BOOKED")=0,_xlfn.MINIFS(LOG!$G$2:$G$2001,LOG!$C$2:$C$2001,F94,LOG!$E$2:$E$2001,"",LOG!$D$2:$D$2001,"*BOOKED"),IF(_xlfn.MINIFS(LOG!$G$2:$G$2001,LOG!$C$2:$C$2001,F94,LOG!$E$2:$E$2001,"",LOG!$D$2:$D$2001,"*BOOKED")=0,_xlfn.MINIFS(LOG!$G$2:$G$2001,LOG!$C$2:$C$2001,F94,LOG!$E$2:$E$2001,B94,LOG!$D$2:$D$2001,"*BOOKED"),MIN(_xlfn.MINIFS(LOG!$G$2:$G$2001,LOG!$C$2:$C$2001,F94,LOG!$E$2:$E$2001,B94,LOG!$D$2:$D$2001,"*BOOKED"),_xlfn.MINIFS(LOG!$G$2:$G$2001,LOG!$C$2:$C$2001,F94,LOG!$E$2:$E$2001,"",LOG!$D$2:$D$2001,"*BOOKED")))),"")</f>
        <v/>
      </c>
      <c r="AN94" s="28" t="str">
        <f t="shared" si="18"/>
        <v/>
      </c>
      <c r="AO94" s="28">
        <f>IF(AND(M94=1,AN94&lt;&gt;""),IF(AN94&lt;=SETTINGS!$B$5,1,0),0)</f>
        <v>0</v>
      </c>
      <c r="AP94" s="28">
        <f>IF(M94=1,IF(COUNTIFS(LOG!$C$2:$C$2001,F94,LOG!$E$2:$E$2001,B94,LOG!$D$2:$D$2001,"BOOKED")+COUNTIFS(LOG!$C$2:$C$2001,F94,LOG!$E$2:$E$2001,"",LOG!$D$2:$D$2001,"BOOKED")&gt;0,1,0),0)</f>
        <v>0</v>
      </c>
      <c r="AQ94" s="28" t="str">
        <f t="shared" si="19"/>
        <v>Vihaan</v>
      </c>
      <c r="AR94" s="28">
        <f>IF(AND(AK94=1,K94="OK"),COUNTIFS($AK$2:AK94,1,$K$2:K94,"OK"),"")</f>
        <v>87</v>
      </c>
      <c r="AS94" s="28" t="str">
        <f>IF(L94=1,IFERROR(INDEX(MESSAGES!$J$9:$J$1008,MATCH(F94,MESSAGES!$M$9:$M$1008,0))&amp;"",""),"")</f>
        <v/>
      </c>
      <c r="AT94" s="28" t="str">
        <f>IF(L94=1,IFERROR(INDEX(MESSAGES!$K$9:$K$1008,MATCH(F94,MESSAGES!$M$9:$M$1008,0))&amp;"",""),"")</f>
        <v/>
      </c>
      <c r="AU94" s="28">
        <f t="shared" ca="1" si="20"/>
        <v>0</v>
      </c>
      <c r="AV94" s="28" t="str">
        <f t="shared" si="21"/>
        <v>SEND</v>
      </c>
    </row>
    <row r="95" spans="1:48" x14ac:dyDescent="0.35">
      <c r="A95" s="28">
        <v>94</v>
      </c>
      <c r="B95" s="28" t="str">
        <f>IF(INPUT!A95="","",TRIM(INPUT!A95))</f>
        <v>Partner 005</v>
      </c>
      <c r="C95" s="28" t="str">
        <f>IF(B95="","",INPUT!C95)</f>
        <v>interviewer1@partner005.example.com</v>
      </c>
      <c r="D95" s="28" t="str">
        <f>IF(B95="","",INPUT!D95)</f>
        <v>Ishaan K.</v>
      </c>
      <c r="E95" s="28" t="str">
        <f>IF(B95="","",INPUT!E95)</f>
        <v>ishaan.k284@example.com</v>
      </c>
      <c r="F95" s="43" t="str">
        <f>IF(B95="","",TRIM(INPUT!F95&amp;""))</f>
        <v>9000003699</v>
      </c>
      <c r="G95" s="28" t="str">
        <f>IF(B95="","",INPUT!H95)</f>
        <v>Round1</v>
      </c>
      <c r="H95" s="46">
        <f>IF(B95="","",INPUT!I95)</f>
        <v>46308.82708333333</v>
      </c>
      <c r="I95" s="28" t="str">
        <f>IF(B95="","",IF(INPUT!J95="","None",INPUT!J95))</f>
        <v>Clicked</v>
      </c>
      <c r="J95" s="28" t="str">
        <f t="shared" si="11"/>
        <v>ishaan.k284@example.com|partner 005|Round1|interviewer1@partner005.example.com</v>
      </c>
      <c r="K95" s="28" t="str">
        <f>IF(B95="","",IF(SUMPRODUCT(($J$2:$J$601=J95)*($H$2:$H$601&lt;H95))+SUMPRODUCT(($J$2:J95=J95)*($H$2:H95=H95))-1&gt;0,"DUPLICATE",IF(AND(ISNUMBER(SEARCH("@",E95)),ISNUMBER(SEARCH(".",E95)),LEN(F95)=10,ISNUMBER(VALUE(F95))),"OK","BAD CONTACT")))</f>
        <v>OK</v>
      </c>
      <c r="L95" s="28">
        <f t="shared" si="12"/>
        <v>1</v>
      </c>
      <c r="M95" s="28">
        <f>IF(L95=1,IF(COUNTIFS(LOG!$C$2:$C$2001,F95,LOG!$E$2:$E$2001,B95,LOG!$D$2:$D$2001,"*BOOKED")+COUNTIFS(LOG!$C$2:$C$2001,F95,LOG!$E$2:$E$2001,"",LOG!$D$2:$D$2001,"*BOOKED")&gt;0,1,0),0)</f>
        <v>0</v>
      </c>
      <c r="N95" s="28">
        <f>IF(L95=1,IF(COUNTIFS(LOG!$C$2:$C$2001,F95,LOG!$E$2:$E$2001,B95,LOG!$D$2:$D$2001,"NOT_INTERESTED")+COUNTIFS(LOG!$C$2:$C$2001,F95,LOG!$E$2:$E$2001,"",LOG!$D$2:$D$2001,"NOT_INTERESTED")&gt;0,1,0),0)</f>
        <v>0</v>
      </c>
      <c r="O95" s="28">
        <f>IF(L95=1,IF(COUNTIFS(LOG!$C$2:$C$2001,F95,LOG!$D$2:$D$2001,"STOP")+COUNTIFS(LOG!$C$2:$C$2001,F95,LOG!$D$2:$D$2001,"WRONG_NUMBER")&gt;0,1,IF(ISNUMBER(SEARCH("STOP",AT95)),1,0)),0)</f>
        <v>1</v>
      </c>
      <c r="P95" s="28">
        <f>IF(L95=1,IF(IFERROR(INDEX(PARTNERS!$D$2:$D$88,MATCH(B95,PARTNERS!$A$2:$A$88,0)),"")="NO SLOTS",1,IF(AND(IFERROR(INDEX(PARTNERS!$D$2:$D$88,MATCH(B95,PARTNERS!$A$2:$A$88,0)),"")&lt;&gt;"REOPENED",COUNTIFS(LOG!$E$2:$E$2001,B95,LOG!$D$2:$D$2001,"NO_SLOTS")&gt;0),1,0)),0)</f>
        <v>0</v>
      </c>
      <c r="Q95" s="28">
        <f>IF(L95=1,COUNTIFS(LOG!$C$2:$C$2001,F95,LOG!$H$2:$H$2001,1),0)</f>
        <v>1</v>
      </c>
      <c r="R95" s="46">
        <f>IF(Q95&gt;0,_xlfn.MAXIFS(LOG!$G$2:$G$2001,LOG!$C$2:$C$2001,F95,LOG!$H$2:$H$2001,1),0)</f>
        <v>46309.44967991743</v>
      </c>
      <c r="S95" s="28" t="str">
        <f>IF(Q95&gt;0,IFERROR(INDEX(LOG!$D$2:$D$2001,MATCH(F95&amp;"|"&amp;Q95,LOG!$I$2:$I$2001,0)),""),"")</f>
        <v>STOP</v>
      </c>
      <c r="T95" s="28">
        <f>IF(S95="",0,IFERROR(VLOOKUP(S95,LISTS!$A$2:$E$10,4,FALSE),0))</f>
        <v>0</v>
      </c>
      <c r="U95" s="46">
        <f t="shared" si="13"/>
        <v>46309.44967991743</v>
      </c>
      <c r="V95" s="46">
        <f>IF(L95=1,H95+SETTINGS!$B$5/24,"")</f>
        <v>46309.82708333333</v>
      </c>
      <c r="W95" s="28">
        <f ca="1">IF(L95=1,(V95-SETTINGS!$B$4)*24,"")</f>
        <v>-1.6666666720993817E-2</v>
      </c>
      <c r="X95" s="28">
        <f ca="1">IF(AND(L95=1,K95="OK",M95=0,N95=0,O95=0,P95=0,SETTINGS!$B$4&lt;V95,Q95&lt;SETTINGS!$B$6),1,0)</f>
        <v>0</v>
      </c>
      <c r="Y95" s="28">
        <f ca="1">IF(AND(X95=1,SETTINGS!$B$4&gt;=H95,SETTINGS!$B$4&gt;=U95,ROUND(MOD(SETTINGS!$B$4,1)*1440,0)&gt;=ROUND(SETTINGS!$B$7*1440,0),ROUND(MOD(SETTINGS!$B$4,1)*1440,0)&lt;ROUND(SETTINGS!$B$8*1440,0)),1,0)</f>
        <v>0</v>
      </c>
      <c r="Z95" s="28" t="str">
        <f ca="1">IF(B95="","",IF(ROUND(MOD(SETTINGS!$B$4,1)*1440,0)&lt;ROUND(SETTINGS!$B$11*1440,0),"Ram",IF(ROUND(MOD(SETTINGS!$B$4,1)*1440,0)&gt;=ROUND(SETTINGS!$B$10*1440,0),"Shyam",IF(MOD(IFERROR(VALUE(RIGHT(F95,2)),0),2)=0,"Ram","Shyam"))))</f>
        <v>Shyam</v>
      </c>
      <c r="AA95" s="28">
        <f t="shared" ca="1" si="14"/>
        <v>0</v>
      </c>
      <c r="AB95" s="28">
        <f ca="1">IF(X95=1,COUNTIFS($F$2:F95,F95,$X$2:X95,1),0)</f>
        <v>0</v>
      </c>
      <c r="AC95" s="28" t="str">
        <f>IF(L95=1,IF(IFERROR(INDEX(PARTNERS!$C$2:$C$88,MATCH(B95,PARTNERS!$A$2:$A$88,0)),"")="YES","YES","NO"),"")</f>
        <v>YES</v>
      </c>
      <c r="AD95" s="28" t="str">
        <f>IF(L95=1,IFERROR(INDEX(PARTNERS!$B$2:$B$88,MATCH(B95,PARTNERS!$A$2:$A$88,0)),""),"")</f>
        <v>https://calendly.com/partner005/interview</v>
      </c>
      <c r="AE95" s="28">
        <f ca="1">IF(X95=1,IFERROR(INDEX(SETTINGS!$B$34:$D$36,MATCH(I95,SETTINGS!$A$34:$A$36,0),MIN(Q95,2)+1),SETTINGS!$B$36),0)</f>
        <v>0</v>
      </c>
      <c r="AF95" s="28">
        <f t="shared" si="15"/>
        <v>1</v>
      </c>
      <c r="AG95" s="28">
        <f ca="1">IF(AND(Y95=1,AB95=1),ROUND(AA95*AE95*IF(AF95&gt;1,SETTINGS!$B$16,1)*IF(W95&lt;=SETTINGS!$B$14,SETTINGS!$B$15,1)*IF(AU95=1,SETTINGS!$B$21,1),6),0)</f>
        <v>0</v>
      </c>
      <c r="AH95" s="28" t="str">
        <f ca="1">IF(AG95&gt;0,COUNTIFS($Z$2:$Z$601,Z95,$AG$2:$AG$601,"&gt;"&amp;AG95)+COUNTIFS($Z$2:Z95,Z95,$AG$2:AG95,AG95),"")</f>
        <v/>
      </c>
      <c r="AI95" s="28" t="str">
        <f t="shared" ca="1" si="16"/>
        <v/>
      </c>
      <c r="AJ95" s="28" t="str">
        <f t="shared" ca="1" si="17"/>
        <v/>
      </c>
      <c r="AK95" s="28">
        <f>IF(L95=1,IF(COUNTIFS($F$2:F95,F95,$L$2:L95,1)=1,1,0),0)</f>
        <v>1</v>
      </c>
      <c r="AL95" s="28" t="str">
        <f>IF(B95="","",IF(K95="DUPLICATE","Duplicate (removed)",IF(AO95=1,"Scheduled within 24h",IF(M95=1,"Scheduled late",IF(K95="BAD CONTACT","Bad contact details",IF(O95=1,"Stopped / wrong number",IF(N95=1,"Not interested",IF(P95=1,"Partner has no slots",IF(SETTINGS!$B$4&gt;=V95,IF(Q95=0,"Missed deadline: never tried","Missed deadline: tried, not booked"),IF(Q95&gt;=SETTINGS!$B$6,"No reply after max tries","Open"))))))))))</f>
        <v>Stopped / wrong number</v>
      </c>
      <c r="AM95" s="46" t="str">
        <f>IF(M95=1,IF(_xlfn.MINIFS(LOG!$G$2:$G$2001,LOG!$C$2:$C$2001,F95,LOG!$E$2:$E$2001,B95,LOG!$D$2:$D$2001,"*BOOKED")=0,_xlfn.MINIFS(LOG!$G$2:$G$2001,LOG!$C$2:$C$2001,F95,LOG!$E$2:$E$2001,"",LOG!$D$2:$D$2001,"*BOOKED"),IF(_xlfn.MINIFS(LOG!$G$2:$G$2001,LOG!$C$2:$C$2001,F95,LOG!$E$2:$E$2001,"",LOG!$D$2:$D$2001,"*BOOKED")=0,_xlfn.MINIFS(LOG!$G$2:$G$2001,LOG!$C$2:$C$2001,F95,LOG!$E$2:$E$2001,B95,LOG!$D$2:$D$2001,"*BOOKED"),MIN(_xlfn.MINIFS(LOG!$G$2:$G$2001,LOG!$C$2:$C$2001,F95,LOG!$E$2:$E$2001,B95,LOG!$D$2:$D$2001,"*BOOKED"),_xlfn.MINIFS(LOG!$G$2:$G$2001,LOG!$C$2:$C$2001,F95,LOG!$E$2:$E$2001,"",LOG!$D$2:$D$2001,"*BOOKED")))),"")</f>
        <v/>
      </c>
      <c r="AN95" s="28" t="str">
        <f t="shared" si="18"/>
        <v/>
      </c>
      <c r="AO95" s="28">
        <f>IF(AND(M95=1,AN95&lt;&gt;""),IF(AN95&lt;=SETTINGS!$B$5,1,0),0)</f>
        <v>0</v>
      </c>
      <c r="AP95" s="28">
        <f>IF(M95=1,IF(COUNTIFS(LOG!$C$2:$C$2001,F95,LOG!$E$2:$E$2001,B95,LOG!$D$2:$D$2001,"BOOKED")+COUNTIFS(LOG!$C$2:$C$2001,F95,LOG!$E$2:$E$2001,"",LOG!$D$2:$D$2001,"BOOKED")&gt;0,1,0),0)</f>
        <v>0</v>
      </c>
      <c r="AQ95" s="28" t="str">
        <f t="shared" si="19"/>
        <v>Ishaan</v>
      </c>
      <c r="AR95" s="28">
        <f>IF(AND(AK95=1,K95="OK"),COUNTIFS($AK$2:AK95,1,$K$2:K95,"OK"),"")</f>
        <v>88</v>
      </c>
      <c r="AS95" s="28" t="str">
        <f>IF(L95=1,IFERROR(INDEX(MESSAGES!$J$9:$J$1008,MATCH(F95,MESSAGES!$M$9:$M$1008,0))&amp;"",""),"")</f>
        <v/>
      </c>
      <c r="AT95" s="28" t="str">
        <f>IF(L95=1,IFERROR(INDEX(MESSAGES!$K$9:$K$1008,MATCH(F95,MESSAGES!$M$9:$M$1008,0))&amp;"",""),"")</f>
        <v/>
      </c>
      <c r="AU95" s="28">
        <f t="shared" ca="1" si="20"/>
        <v>0</v>
      </c>
      <c r="AV95" s="28" t="str">
        <f t="shared" si="21"/>
        <v>HOLD</v>
      </c>
    </row>
    <row r="96" spans="1:48" x14ac:dyDescent="0.35">
      <c r="A96" s="28">
        <v>95</v>
      </c>
      <c r="B96" s="28" t="str">
        <f>IF(INPUT!A96="","",TRIM(INPUT!A96))</f>
        <v>Partner 010</v>
      </c>
      <c r="C96" s="28" t="str">
        <f>IF(B96="","",INPUT!C96)</f>
        <v>interviewer2@partner010.example.com</v>
      </c>
      <c r="D96" s="28" t="str">
        <f>IF(B96="","",INPUT!D96)</f>
        <v>Rohan F.</v>
      </c>
      <c r="E96" s="28" t="str">
        <f>IF(B96="","",INPUT!E96)</f>
        <v>rohan.f160@example.com</v>
      </c>
      <c r="F96" s="43" t="str">
        <f>IF(B96="","",TRIM(INPUT!F96&amp;""))</f>
        <v>9000002087</v>
      </c>
      <c r="G96" s="28" t="str">
        <f>IF(B96="","",INPUT!H96)</f>
        <v>Round1</v>
      </c>
      <c r="H96" s="46">
        <f>IF(B96="","",INPUT!I96)</f>
        <v>46308.82708333333</v>
      </c>
      <c r="I96" s="28" t="str">
        <f>IF(B96="","",IF(INPUT!J96="","None",INPUT!J96))</f>
        <v>None</v>
      </c>
      <c r="J96" s="28" t="str">
        <f t="shared" si="11"/>
        <v>rohan.f160@example.com|partner 010|Round1|interviewer2@partner010.example.com</v>
      </c>
      <c r="K96" s="28" t="str">
        <f>IF(B96="","",IF(SUMPRODUCT(($J$2:$J$601=J96)*($H$2:$H$601&lt;H96))+SUMPRODUCT(($J$2:J96=J96)*($H$2:H96=H96))-1&gt;0,"DUPLICATE",IF(AND(ISNUMBER(SEARCH("@",E96)),ISNUMBER(SEARCH(".",E96)),LEN(F96)=10,ISNUMBER(VALUE(F96))),"OK","BAD CONTACT")))</f>
        <v>OK</v>
      </c>
      <c r="L96" s="28">
        <f t="shared" si="12"/>
        <v>1</v>
      </c>
      <c r="M96" s="28">
        <f>IF(L96=1,IF(COUNTIFS(LOG!$C$2:$C$2001,F96,LOG!$E$2:$E$2001,B96,LOG!$D$2:$D$2001,"*BOOKED")+COUNTIFS(LOG!$C$2:$C$2001,F96,LOG!$E$2:$E$2001,"",LOG!$D$2:$D$2001,"*BOOKED")&gt;0,1,0),0)</f>
        <v>0</v>
      </c>
      <c r="N96" s="28">
        <f>IF(L96=1,IF(COUNTIFS(LOG!$C$2:$C$2001,F96,LOG!$E$2:$E$2001,B96,LOG!$D$2:$D$2001,"NOT_INTERESTED")+COUNTIFS(LOG!$C$2:$C$2001,F96,LOG!$E$2:$E$2001,"",LOG!$D$2:$D$2001,"NOT_INTERESTED")&gt;0,1,0),0)</f>
        <v>0</v>
      </c>
      <c r="O96" s="28">
        <f>IF(L96=1,IF(COUNTIFS(LOG!$C$2:$C$2001,F96,LOG!$D$2:$D$2001,"STOP")+COUNTIFS(LOG!$C$2:$C$2001,F96,LOG!$D$2:$D$2001,"WRONG_NUMBER")&gt;0,1,IF(ISNUMBER(SEARCH("STOP",AT96)),1,0)),0)</f>
        <v>0</v>
      </c>
      <c r="P96" s="28">
        <f>IF(L96=1,IF(IFERROR(INDEX(PARTNERS!$D$2:$D$88,MATCH(B96,PARTNERS!$A$2:$A$88,0)),"")="NO SLOTS",1,IF(AND(IFERROR(INDEX(PARTNERS!$D$2:$D$88,MATCH(B96,PARTNERS!$A$2:$A$88,0)),"")&lt;&gt;"REOPENED",COUNTIFS(LOG!$E$2:$E$2001,B96,LOG!$D$2:$D$2001,"NO_SLOTS")&gt;0),1,0)),0)</f>
        <v>0</v>
      </c>
      <c r="Q96" s="28">
        <f>IF(L96=1,COUNTIFS(LOG!$C$2:$C$2001,F96,LOG!$H$2:$H$2001,1),0)</f>
        <v>0</v>
      </c>
      <c r="R96" s="46">
        <f>IF(Q96&gt;0,_xlfn.MAXIFS(LOG!$G$2:$G$2001,LOG!$C$2:$C$2001,F96,LOG!$H$2:$H$2001,1),0)</f>
        <v>0</v>
      </c>
      <c r="S96" s="28" t="str">
        <f>IF(Q96&gt;0,IFERROR(INDEX(LOG!$D$2:$D$2001,MATCH(F96&amp;"|"&amp;Q96,LOG!$I$2:$I$2001,0)),""),"")</f>
        <v/>
      </c>
      <c r="T96" s="28">
        <f>IF(S96="",0,IFERROR(VLOOKUP(S96,LISTS!$A$2:$E$10,4,FALSE),0))</f>
        <v>0</v>
      </c>
      <c r="U96" s="46">
        <f t="shared" si="13"/>
        <v>0</v>
      </c>
      <c r="V96" s="46">
        <f>IF(L96=1,H96+SETTINGS!$B$5/24,"")</f>
        <v>46309.82708333333</v>
      </c>
      <c r="W96" s="28">
        <f ca="1">IF(L96=1,(V96-SETTINGS!$B$4)*24,"")</f>
        <v>-1.6666666720993817E-2</v>
      </c>
      <c r="X96" s="28">
        <f ca="1">IF(AND(L96=1,K96="OK",M96=0,N96=0,O96=0,P96=0,SETTINGS!$B$4&lt;V96,Q96&lt;SETTINGS!$B$6),1,0)</f>
        <v>0</v>
      </c>
      <c r="Y96" s="28">
        <f ca="1">IF(AND(X96=1,SETTINGS!$B$4&gt;=H96,SETTINGS!$B$4&gt;=U96,ROUND(MOD(SETTINGS!$B$4,1)*1440,0)&gt;=ROUND(SETTINGS!$B$7*1440,0),ROUND(MOD(SETTINGS!$B$4,1)*1440,0)&lt;ROUND(SETTINGS!$B$8*1440,0)),1,0)</f>
        <v>0</v>
      </c>
      <c r="Z96" s="28" t="str">
        <f ca="1">IF(B96="","",IF(ROUND(MOD(SETTINGS!$B$4,1)*1440,0)&lt;ROUND(SETTINGS!$B$11*1440,0),"Ram",IF(ROUND(MOD(SETTINGS!$B$4,1)*1440,0)&gt;=ROUND(SETTINGS!$B$10*1440,0),"Shyam",IF(MOD(IFERROR(VALUE(RIGHT(F96,2)),0),2)=0,"Ram","Shyam"))))</f>
        <v>Shyam</v>
      </c>
      <c r="AA96" s="28">
        <f t="shared" ca="1" si="14"/>
        <v>0</v>
      </c>
      <c r="AB96" s="28">
        <f ca="1">IF(X96=1,COUNTIFS($F$2:F96,F96,$X$2:X96,1),0)</f>
        <v>0</v>
      </c>
      <c r="AC96" s="28" t="str">
        <f>IF(L96=1,IF(IFERROR(INDEX(PARTNERS!$C$2:$C$88,MATCH(B96,PARTNERS!$A$2:$A$88,0)),"")="YES","YES","NO"),"")</f>
        <v>YES</v>
      </c>
      <c r="AD96" s="28" t="str">
        <f>IF(L96=1,IFERROR(INDEX(PARTNERS!$B$2:$B$88,MATCH(B96,PARTNERS!$A$2:$A$88,0)),""),"")</f>
        <v>https://calendly.com/partner010/interview</v>
      </c>
      <c r="AE96" s="28">
        <f ca="1">IF(X96=1,IFERROR(INDEX(SETTINGS!$B$34:$D$36,MATCH(I96,SETTINGS!$A$34:$A$36,0),MIN(Q96,2)+1),SETTINGS!$B$36),0)</f>
        <v>0</v>
      </c>
      <c r="AF96" s="28">
        <f t="shared" si="15"/>
        <v>1</v>
      </c>
      <c r="AG96" s="28">
        <f ca="1">IF(AND(Y96=1,AB96=1),ROUND(AA96*AE96*IF(AF96&gt;1,SETTINGS!$B$16,1)*IF(W96&lt;=SETTINGS!$B$14,SETTINGS!$B$15,1)*IF(AU96=1,SETTINGS!$B$21,1),6),0)</f>
        <v>0</v>
      </c>
      <c r="AH96" s="28" t="str">
        <f ca="1">IF(AG96&gt;0,COUNTIFS($Z$2:$Z$601,Z96,$AG$2:$AG$601,"&gt;"&amp;AG96)+COUNTIFS($Z$2:Z96,Z96,$AG$2:AG96,AG96),"")</f>
        <v/>
      </c>
      <c r="AI96" s="28" t="str">
        <f t="shared" ca="1" si="16"/>
        <v/>
      </c>
      <c r="AJ96" s="28" t="str">
        <f t="shared" ca="1" si="17"/>
        <v/>
      </c>
      <c r="AK96" s="28">
        <f>IF(L96=1,IF(COUNTIFS($F$2:F96,F96,$L$2:L96,1)=1,1,0),0)</f>
        <v>1</v>
      </c>
      <c r="AL96" s="28" t="str">
        <f ca="1">IF(B96="","",IF(K96="DUPLICATE","Duplicate (removed)",IF(AO96=1,"Scheduled within 24h",IF(M96=1,"Scheduled late",IF(K96="BAD CONTACT","Bad contact details",IF(O96=1,"Stopped / wrong number",IF(N96=1,"Not interested",IF(P96=1,"Partner has no slots",IF(SETTINGS!$B$4&gt;=V96,IF(Q96=0,"Missed deadline: never tried","Missed deadline: tried, not booked"),IF(Q96&gt;=SETTINGS!$B$6,"No reply after max tries","Open"))))))))))</f>
        <v>Missed deadline: never tried</v>
      </c>
      <c r="AM96" s="46" t="str">
        <f>IF(M96=1,IF(_xlfn.MINIFS(LOG!$G$2:$G$2001,LOG!$C$2:$C$2001,F96,LOG!$E$2:$E$2001,B96,LOG!$D$2:$D$2001,"*BOOKED")=0,_xlfn.MINIFS(LOG!$G$2:$G$2001,LOG!$C$2:$C$2001,F96,LOG!$E$2:$E$2001,"",LOG!$D$2:$D$2001,"*BOOKED"),IF(_xlfn.MINIFS(LOG!$G$2:$G$2001,LOG!$C$2:$C$2001,F96,LOG!$E$2:$E$2001,"",LOG!$D$2:$D$2001,"*BOOKED")=0,_xlfn.MINIFS(LOG!$G$2:$G$2001,LOG!$C$2:$C$2001,F96,LOG!$E$2:$E$2001,B96,LOG!$D$2:$D$2001,"*BOOKED"),MIN(_xlfn.MINIFS(LOG!$G$2:$G$2001,LOG!$C$2:$C$2001,F96,LOG!$E$2:$E$2001,B96,LOG!$D$2:$D$2001,"*BOOKED"),_xlfn.MINIFS(LOG!$G$2:$G$2001,LOG!$C$2:$C$2001,F96,LOG!$E$2:$E$2001,"",LOG!$D$2:$D$2001,"*BOOKED")))),"")</f>
        <v/>
      </c>
      <c r="AN96" s="28" t="str">
        <f t="shared" si="18"/>
        <v/>
      </c>
      <c r="AO96" s="28">
        <f>IF(AND(M96=1,AN96&lt;&gt;""),IF(AN96&lt;=SETTINGS!$B$5,1,0),0)</f>
        <v>0</v>
      </c>
      <c r="AP96" s="28">
        <f>IF(M96=1,IF(COUNTIFS(LOG!$C$2:$C$2001,F96,LOG!$E$2:$E$2001,B96,LOG!$D$2:$D$2001,"BOOKED")+COUNTIFS(LOG!$C$2:$C$2001,F96,LOG!$E$2:$E$2001,"",LOG!$D$2:$D$2001,"BOOKED")&gt;0,1,0),0)</f>
        <v>0</v>
      </c>
      <c r="AQ96" s="28" t="str">
        <f t="shared" si="19"/>
        <v>Rohan</v>
      </c>
      <c r="AR96" s="28">
        <f>IF(AND(AK96=1,K96="OK"),COUNTIFS($AK$2:AK96,1,$K$2:K96,"OK"),"")</f>
        <v>89</v>
      </c>
      <c r="AS96" s="28" t="str">
        <f>IF(L96=1,IFERROR(INDEX(MESSAGES!$J$9:$J$1008,MATCH(F96,MESSAGES!$M$9:$M$1008,0))&amp;"",""),"")</f>
        <v/>
      </c>
      <c r="AT96" s="28" t="str">
        <f>IF(L96=1,IFERROR(INDEX(MESSAGES!$K$9:$K$1008,MATCH(F96,MESSAGES!$M$9:$M$1008,0))&amp;"",""),"")</f>
        <v/>
      </c>
      <c r="AU96" s="28">
        <f t="shared" ca="1" si="20"/>
        <v>0</v>
      </c>
      <c r="AV96" s="28" t="str">
        <f t="shared" si="21"/>
        <v>SEND</v>
      </c>
    </row>
    <row r="97" spans="1:48" x14ac:dyDescent="0.35">
      <c r="A97" s="28">
        <v>96</v>
      </c>
      <c r="B97" s="28" t="str">
        <f>IF(INPUT!A97="","",TRIM(INPUT!A97))</f>
        <v>Partner 033</v>
      </c>
      <c r="C97" s="28" t="str">
        <f>IF(B97="","",INPUT!C97)</f>
        <v>interviewer2@partner033.example.com</v>
      </c>
      <c r="D97" s="28" t="str">
        <f>IF(B97="","",INPUT!D97)</f>
        <v>Kavya J.</v>
      </c>
      <c r="E97" s="28" t="str">
        <f>IF(B97="","",INPUT!E97)</f>
        <v>kavya.j269@example.com</v>
      </c>
      <c r="F97" s="43" t="str">
        <f>IF(B97="","",TRIM(INPUT!F97&amp;""))</f>
        <v>9000003504</v>
      </c>
      <c r="G97" s="28" t="str">
        <f>IF(B97="","",INPUT!H97)</f>
        <v>Round1</v>
      </c>
      <c r="H97" s="46">
        <f>IF(B97="","",INPUT!I97)</f>
        <v>46308.82708333333</v>
      </c>
      <c r="I97" s="28" t="str">
        <f>IF(B97="","",IF(INPUT!J97="","None",INPUT!J97))</f>
        <v>Opened</v>
      </c>
      <c r="J97" s="28" t="str">
        <f t="shared" si="11"/>
        <v>kavya.j269@example.com|partner 033|Round1|interviewer2@partner033.example.com</v>
      </c>
      <c r="K97" s="28" t="str">
        <f>IF(B97="","",IF(SUMPRODUCT(($J$2:$J$601=J97)*($H$2:$H$601&lt;H97))+SUMPRODUCT(($J$2:J97=J97)*($H$2:H97=H97))-1&gt;0,"DUPLICATE",IF(AND(ISNUMBER(SEARCH("@",E97)),ISNUMBER(SEARCH(".",E97)),LEN(F97)=10,ISNUMBER(VALUE(F97))),"OK","BAD CONTACT")))</f>
        <v>OK</v>
      </c>
      <c r="L97" s="28">
        <f t="shared" si="12"/>
        <v>1</v>
      </c>
      <c r="M97" s="28">
        <f>IF(L97=1,IF(COUNTIFS(LOG!$C$2:$C$2001,F97,LOG!$E$2:$E$2001,B97,LOG!$D$2:$D$2001,"*BOOKED")+COUNTIFS(LOG!$C$2:$C$2001,F97,LOG!$E$2:$E$2001,"",LOG!$D$2:$D$2001,"*BOOKED")&gt;0,1,0),0)</f>
        <v>0</v>
      </c>
      <c r="N97" s="28">
        <f>IF(L97=1,IF(COUNTIFS(LOG!$C$2:$C$2001,F97,LOG!$E$2:$E$2001,B97,LOG!$D$2:$D$2001,"NOT_INTERESTED")+COUNTIFS(LOG!$C$2:$C$2001,F97,LOG!$E$2:$E$2001,"",LOG!$D$2:$D$2001,"NOT_INTERESTED")&gt;0,1,0),0)</f>
        <v>0</v>
      </c>
      <c r="O97" s="28">
        <f>IF(L97=1,IF(COUNTIFS(LOG!$C$2:$C$2001,F97,LOG!$D$2:$D$2001,"STOP")+COUNTIFS(LOG!$C$2:$C$2001,F97,LOG!$D$2:$D$2001,"WRONG_NUMBER")&gt;0,1,IF(ISNUMBER(SEARCH("STOP",AT97)),1,0)),0)</f>
        <v>0</v>
      </c>
      <c r="P97" s="28">
        <f>IF(L97=1,IF(IFERROR(INDEX(PARTNERS!$D$2:$D$88,MATCH(B97,PARTNERS!$A$2:$A$88,0)),"")="NO SLOTS",1,IF(AND(IFERROR(INDEX(PARTNERS!$D$2:$D$88,MATCH(B97,PARTNERS!$A$2:$A$88,0)),"")&lt;&gt;"REOPENED",COUNTIFS(LOG!$E$2:$E$2001,B97,LOG!$D$2:$D$2001,"NO_SLOTS")&gt;0),1,0)),0)</f>
        <v>0</v>
      </c>
      <c r="Q97" s="28">
        <f>IF(L97=1,COUNTIFS(LOG!$C$2:$C$2001,F97,LOG!$H$2:$H$2001,1),0)</f>
        <v>0</v>
      </c>
      <c r="R97" s="46">
        <f>IF(Q97&gt;0,_xlfn.MAXIFS(LOG!$G$2:$G$2001,LOG!$C$2:$C$2001,F97,LOG!$H$2:$H$2001,1),0)</f>
        <v>0</v>
      </c>
      <c r="S97" s="28" t="str">
        <f>IF(Q97&gt;0,IFERROR(INDEX(LOG!$D$2:$D$2001,MATCH(F97&amp;"|"&amp;Q97,LOG!$I$2:$I$2001,0)),""),"")</f>
        <v/>
      </c>
      <c r="T97" s="28">
        <f>IF(S97="",0,IFERROR(VLOOKUP(S97,LISTS!$A$2:$E$10,4,FALSE),0))</f>
        <v>0</v>
      </c>
      <c r="U97" s="46">
        <f t="shared" si="13"/>
        <v>0</v>
      </c>
      <c r="V97" s="46">
        <f>IF(L97=1,H97+SETTINGS!$B$5/24,"")</f>
        <v>46309.82708333333</v>
      </c>
      <c r="W97" s="28">
        <f ca="1">IF(L97=1,(V97-SETTINGS!$B$4)*24,"")</f>
        <v>-1.6666666720993817E-2</v>
      </c>
      <c r="X97" s="28">
        <f ca="1">IF(AND(L97=1,K97="OK",M97=0,N97=0,O97=0,P97=0,SETTINGS!$B$4&lt;V97,Q97&lt;SETTINGS!$B$6),1,0)</f>
        <v>0</v>
      </c>
      <c r="Y97" s="28">
        <f ca="1">IF(AND(X97=1,SETTINGS!$B$4&gt;=H97,SETTINGS!$B$4&gt;=U97,ROUND(MOD(SETTINGS!$B$4,1)*1440,0)&gt;=ROUND(SETTINGS!$B$7*1440,0),ROUND(MOD(SETTINGS!$B$4,1)*1440,0)&lt;ROUND(SETTINGS!$B$8*1440,0)),1,0)</f>
        <v>0</v>
      </c>
      <c r="Z97" s="28" t="str">
        <f ca="1">IF(B97="","",IF(ROUND(MOD(SETTINGS!$B$4,1)*1440,0)&lt;ROUND(SETTINGS!$B$11*1440,0),"Ram",IF(ROUND(MOD(SETTINGS!$B$4,1)*1440,0)&gt;=ROUND(SETTINGS!$B$10*1440,0),"Shyam",IF(MOD(IFERROR(VALUE(RIGHT(F97,2)),0),2)=0,"Ram","Shyam"))))</f>
        <v>Shyam</v>
      </c>
      <c r="AA97" s="28">
        <f t="shared" ca="1" si="14"/>
        <v>0</v>
      </c>
      <c r="AB97" s="28">
        <f ca="1">IF(X97=1,COUNTIFS($F$2:F97,F97,$X$2:X97,1),0)</f>
        <v>0</v>
      </c>
      <c r="AC97" s="28" t="str">
        <f>IF(L97=1,IF(IFERROR(INDEX(PARTNERS!$C$2:$C$88,MATCH(B97,PARTNERS!$A$2:$A$88,0)),"")="YES","YES","NO"),"")</f>
        <v>YES</v>
      </c>
      <c r="AD97" s="28" t="str">
        <f>IF(L97=1,IFERROR(INDEX(PARTNERS!$B$2:$B$88,MATCH(B97,PARTNERS!$A$2:$A$88,0)),""),"")</f>
        <v>https://calendly.com/partner033/interview</v>
      </c>
      <c r="AE97" s="28">
        <f ca="1">IF(X97=1,IFERROR(INDEX(SETTINGS!$B$34:$D$36,MATCH(I97,SETTINGS!$A$34:$A$36,0),MIN(Q97,2)+1),SETTINGS!$B$36),0)</f>
        <v>0</v>
      </c>
      <c r="AF97" s="28">
        <f t="shared" si="15"/>
        <v>1</v>
      </c>
      <c r="AG97" s="28">
        <f ca="1">IF(AND(Y97=1,AB97=1),ROUND(AA97*AE97*IF(AF97&gt;1,SETTINGS!$B$16,1)*IF(W97&lt;=SETTINGS!$B$14,SETTINGS!$B$15,1)*IF(AU97=1,SETTINGS!$B$21,1),6),0)</f>
        <v>0</v>
      </c>
      <c r="AH97" s="28" t="str">
        <f ca="1">IF(AG97&gt;0,COUNTIFS($Z$2:$Z$601,Z97,$AG$2:$AG$601,"&gt;"&amp;AG97)+COUNTIFS($Z$2:Z97,Z97,$AG$2:AG97,AG97),"")</f>
        <v/>
      </c>
      <c r="AI97" s="28" t="str">
        <f t="shared" ca="1" si="16"/>
        <v/>
      </c>
      <c r="AJ97" s="28" t="str">
        <f t="shared" ca="1" si="17"/>
        <v/>
      </c>
      <c r="AK97" s="28">
        <f>IF(L97=1,IF(COUNTIFS($F$2:F97,F97,$L$2:L97,1)=1,1,0),0)</f>
        <v>1</v>
      </c>
      <c r="AL97" s="28" t="str">
        <f ca="1">IF(B97="","",IF(K97="DUPLICATE","Duplicate (removed)",IF(AO97=1,"Scheduled within 24h",IF(M97=1,"Scheduled late",IF(K97="BAD CONTACT","Bad contact details",IF(O97=1,"Stopped / wrong number",IF(N97=1,"Not interested",IF(P97=1,"Partner has no slots",IF(SETTINGS!$B$4&gt;=V97,IF(Q97=0,"Missed deadline: never tried","Missed deadline: tried, not booked"),IF(Q97&gt;=SETTINGS!$B$6,"No reply after max tries","Open"))))))))))</f>
        <v>Missed deadline: never tried</v>
      </c>
      <c r="AM97" s="46" t="str">
        <f>IF(M97=1,IF(_xlfn.MINIFS(LOG!$G$2:$G$2001,LOG!$C$2:$C$2001,F97,LOG!$E$2:$E$2001,B97,LOG!$D$2:$D$2001,"*BOOKED")=0,_xlfn.MINIFS(LOG!$G$2:$G$2001,LOG!$C$2:$C$2001,F97,LOG!$E$2:$E$2001,"",LOG!$D$2:$D$2001,"*BOOKED"),IF(_xlfn.MINIFS(LOG!$G$2:$G$2001,LOG!$C$2:$C$2001,F97,LOG!$E$2:$E$2001,"",LOG!$D$2:$D$2001,"*BOOKED")=0,_xlfn.MINIFS(LOG!$G$2:$G$2001,LOG!$C$2:$C$2001,F97,LOG!$E$2:$E$2001,B97,LOG!$D$2:$D$2001,"*BOOKED"),MIN(_xlfn.MINIFS(LOG!$G$2:$G$2001,LOG!$C$2:$C$2001,F97,LOG!$E$2:$E$2001,B97,LOG!$D$2:$D$2001,"*BOOKED"),_xlfn.MINIFS(LOG!$G$2:$G$2001,LOG!$C$2:$C$2001,F97,LOG!$E$2:$E$2001,"",LOG!$D$2:$D$2001,"*BOOKED")))),"")</f>
        <v/>
      </c>
      <c r="AN97" s="28" t="str">
        <f t="shared" si="18"/>
        <v/>
      </c>
      <c r="AO97" s="28">
        <f>IF(AND(M97=1,AN97&lt;&gt;""),IF(AN97&lt;=SETTINGS!$B$5,1,0),0)</f>
        <v>0</v>
      </c>
      <c r="AP97" s="28">
        <f>IF(M97=1,IF(COUNTIFS(LOG!$C$2:$C$2001,F97,LOG!$E$2:$E$2001,B97,LOG!$D$2:$D$2001,"BOOKED")+COUNTIFS(LOG!$C$2:$C$2001,F97,LOG!$E$2:$E$2001,"",LOG!$D$2:$D$2001,"BOOKED")&gt;0,1,0),0)</f>
        <v>0</v>
      </c>
      <c r="AQ97" s="28" t="str">
        <f t="shared" si="19"/>
        <v>Kavya</v>
      </c>
      <c r="AR97" s="28">
        <f>IF(AND(AK97=1,K97="OK"),COUNTIFS($AK$2:AK97,1,$K$2:K97,"OK"),"")</f>
        <v>90</v>
      </c>
      <c r="AS97" s="28" t="str">
        <f>IF(L97=1,IFERROR(INDEX(MESSAGES!$J$9:$J$1008,MATCH(F97,MESSAGES!$M$9:$M$1008,0))&amp;"",""),"")</f>
        <v/>
      </c>
      <c r="AT97" s="28" t="str">
        <f>IF(L97=1,IFERROR(INDEX(MESSAGES!$K$9:$K$1008,MATCH(F97,MESSAGES!$M$9:$M$1008,0))&amp;"",""),"")</f>
        <v/>
      </c>
      <c r="AU97" s="28">
        <f t="shared" ca="1" si="20"/>
        <v>0</v>
      </c>
      <c r="AV97" s="28" t="str">
        <f t="shared" si="21"/>
        <v>SEND</v>
      </c>
    </row>
    <row r="98" spans="1:48" x14ac:dyDescent="0.35">
      <c r="A98" s="28">
        <v>97</v>
      </c>
      <c r="B98" s="28" t="str">
        <f>IF(INPUT!A98="","",TRIM(INPUT!A98))</f>
        <v>Partner 082</v>
      </c>
      <c r="C98" s="28" t="str">
        <f>IF(B98="","",INPUT!C98)</f>
        <v>interviewer0@partner082.example.com</v>
      </c>
      <c r="D98" s="28" t="str">
        <f>IF(B98="","",INPUT!D98)</f>
        <v>Rahul M.</v>
      </c>
      <c r="E98" s="28" t="str">
        <f>IF(B98="","",INPUT!E98)</f>
        <v>rahul.m356@example.com</v>
      </c>
      <c r="F98" s="43" t="str">
        <f>IF(B98="","",TRIM(INPUT!F98&amp;""))</f>
        <v>9000004635</v>
      </c>
      <c r="G98" s="28" t="str">
        <f>IF(B98="","",INPUT!H98)</f>
        <v>Round1</v>
      </c>
      <c r="H98" s="46">
        <f>IF(B98="","",INPUT!I98)</f>
        <v>46308.82708333333</v>
      </c>
      <c r="I98" s="28" t="str">
        <f>IF(B98="","",IF(INPUT!J98="","None",INPUT!J98))</f>
        <v>Opened</v>
      </c>
      <c r="J98" s="28" t="str">
        <f t="shared" si="11"/>
        <v>rahul.m356@example.com|partner 082|Round1|interviewer0@partner082.example.com</v>
      </c>
      <c r="K98" s="28" t="str">
        <f>IF(B98="","",IF(SUMPRODUCT(($J$2:$J$601=J98)*($H$2:$H$601&lt;H98))+SUMPRODUCT(($J$2:J98=J98)*($H$2:H98=H98))-1&gt;0,"DUPLICATE",IF(AND(ISNUMBER(SEARCH("@",E98)),ISNUMBER(SEARCH(".",E98)),LEN(F98)=10,ISNUMBER(VALUE(F98))),"OK","BAD CONTACT")))</f>
        <v>OK</v>
      </c>
      <c r="L98" s="28">
        <f t="shared" si="12"/>
        <v>1</v>
      </c>
      <c r="M98" s="28">
        <f>IF(L98=1,IF(COUNTIFS(LOG!$C$2:$C$2001,F98,LOG!$E$2:$E$2001,B98,LOG!$D$2:$D$2001,"*BOOKED")+COUNTIFS(LOG!$C$2:$C$2001,F98,LOG!$E$2:$E$2001,"",LOG!$D$2:$D$2001,"*BOOKED")&gt;0,1,0),0)</f>
        <v>0</v>
      </c>
      <c r="N98" s="28">
        <f>IF(L98=1,IF(COUNTIFS(LOG!$C$2:$C$2001,F98,LOG!$E$2:$E$2001,B98,LOG!$D$2:$D$2001,"NOT_INTERESTED")+COUNTIFS(LOG!$C$2:$C$2001,F98,LOG!$E$2:$E$2001,"",LOG!$D$2:$D$2001,"NOT_INTERESTED")&gt;0,1,0),0)</f>
        <v>0</v>
      </c>
      <c r="O98" s="28">
        <f>IF(L98=1,IF(COUNTIFS(LOG!$C$2:$C$2001,F98,LOG!$D$2:$D$2001,"STOP")+COUNTIFS(LOG!$C$2:$C$2001,F98,LOG!$D$2:$D$2001,"WRONG_NUMBER")&gt;0,1,IF(ISNUMBER(SEARCH("STOP",AT98)),1,0)),0)</f>
        <v>0</v>
      </c>
      <c r="P98" s="28">
        <f>IF(L98=1,IF(IFERROR(INDEX(PARTNERS!$D$2:$D$88,MATCH(B98,PARTNERS!$A$2:$A$88,0)),"")="NO SLOTS",1,IF(AND(IFERROR(INDEX(PARTNERS!$D$2:$D$88,MATCH(B98,PARTNERS!$A$2:$A$88,0)),"")&lt;&gt;"REOPENED",COUNTIFS(LOG!$E$2:$E$2001,B98,LOG!$D$2:$D$2001,"NO_SLOTS")&gt;0),1,0)),0)</f>
        <v>0</v>
      </c>
      <c r="Q98" s="28">
        <f>IF(L98=1,COUNTIFS(LOG!$C$2:$C$2001,F98,LOG!$H$2:$H$2001,1),0)</f>
        <v>0</v>
      </c>
      <c r="R98" s="46">
        <f>IF(Q98&gt;0,_xlfn.MAXIFS(LOG!$G$2:$G$2001,LOG!$C$2:$C$2001,F98,LOG!$H$2:$H$2001,1),0)</f>
        <v>0</v>
      </c>
      <c r="S98" s="28" t="str">
        <f>IF(Q98&gt;0,IFERROR(INDEX(LOG!$D$2:$D$2001,MATCH(F98&amp;"|"&amp;Q98,LOG!$I$2:$I$2001,0)),""),"")</f>
        <v/>
      </c>
      <c r="T98" s="28">
        <f>IF(S98="",0,IFERROR(VLOOKUP(S98,LISTS!$A$2:$E$10,4,FALSE),0))</f>
        <v>0</v>
      </c>
      <c r="U98" s="46">
        <f t="shared" si="13"/>
        <v>0</v>
      </c>
      <c r="V98" s="46">
        <f>IF(L98=1,H98+SETTINGS!$B$5/24,"")</f>
        <v>46309.82708333333</v>
      </c>
      <c r="W98" s="28">
        <f ca="1">IF(L98=1,(V98-SETTINGS!$B$4)*24,"")</f>
        <v>-1.6666666720993817E-2</v>
      </c>
      <c r="X98" s="28">
        <f ca="1">IF(AND(L98=1,K98="OK",M98=0,N98=0,O98=0,P98=0,SETTINGS!$B$4&lt;V98,Q98&lt;SETTINGS!$B$6),1,0)</f>
        <v>0</v>
      </c>
      <c r="Y98" s="28">
        <f ca="1">IF(AND(X98=1,SETTINGS!$B$4&gt;=H98,SETTINGS!$B$4&gt;=U98,ROUND(MOD(SETTINGS!$B$4,1)*1440,0)&gt;=ROUND(SETTINGS!$B$7*1440,0),ROUND(MOD(SETTINGS!$B$4,1)*1440,0)&lt;ROUND(SETTINGS!$B$8*1440,0)),1,0)</f>
        <v>0</v>
      </c>
      <c r="Z98" s="28" t="str">
        <f ca="1">IF(B98="","",IF(ROUND(MOD(SETTINGS!$B$4,1)*1440,0)&lt;ROUND(SETTINGS!$B$11*1440,0),"Ram",IF(ROUND(MOD(SETTINGS!$B$4,1)*1440,0)&gt;=ROUND(SETTINGS!$B$10*1440,0),"Shyam",IF(MOD(IFERROR(VALUE(RIGHT(F98,2)),0),2)=0,"Ram","Shyam"))))</f>
        <v>Shyam</v>
      </c>
      <c r="AA98" s="28">
        <f t="shared" ca="1" si="14"/>
        <v>0</v>
      </c>
      <c r="AB98" s="28">
        <f ca="1">IF(X98=1,COUNTIFS($F$2:F98,F98,$X$2:X98,1),0)</f>
        <v>0</v>
      </c>
      <c r="AC98" s="28" t="str">
        <f>IF(L98=1,IF(IFERROR(INDEX(PARTNERS!$C$2:$C$88,MATCH(B98,PARTNERS!$A$2:$A$88,0)),"")="YES","YES","NO"),"")</f>
        <v>YES</v>
      </c>
      <c r="AD98" s="28" t="str">
        <f>IF(L98=1,IFERROR(INDEX(PARTNERS!$B$2:$B$88,MATCH(B98,PARTNERS!$A$2:$A$88,0)),""),"")</f>
        <v>https://calendly.com/partner082/interview</v>
      </c>
      <c r="AE98" s="28">
        <f ca="1">IF(X98=1,IFERROR(INDEX(SETTINGS!$B$34:$D$36,MATCH(I98,SETTINGS!$A$34:$A$36,0),MIN(Q98,2)+1),SETTINGS!$B$36),0)</f>
        <v>0</v>
      </c>
      <c r="AF98" s="28">
        <f t="shared" si="15"/>
        <v>1</v>
      </c>
      <c r="AG98" s="28">
        <f ca="1">IF(AND(Y98=1,AB98=1),ROUND(AA98*AE98*IF(AF98&gt;1,SETTINGS!$B$16,1)*IF(W98&lt;=SETTINGS!$B$14,SETTINGS!$B$15,1)*IF(AU98=1,SETTINGS!$B$21,1),6),0)</f>
        <v>0</v>
      </c>
      <c r="AH98" s="28" t="str">
        <f ca="1">IF(AG98&gt;0,COUNTIFS($Z$2:$Z$601,Z98,$AG$2:$AG$601,"&gt;"&amp;AG98)+COUNTIFS($Z$2:Z98,Z98,$AG$2:AG98,AG98),"")</f>
        <v/>
      </c>
      <c r="AI98" s="28" t="str">
        <f t="shared" ca="1" si="16"/>
        <v/>
      </c>
      <c r="AJ98" s="28" t="str">
        <f t="shared" ca="1" si="17"/>
        <v/>
      </c>
      <c r="AK98" s="28">
        <f>IF(L98=1,IF(COUNTIFS($F$2:F98,F98,$L$2:L98,1)=1,1,0),0)</f>
        <v>1</v>
      </c>
      <c r="AL98" s="28" t="str">
        <f ca="1">IF(B98="","",IF(K98="DUPLICATE","Duplicate (removed)",IF(AO98=1,"Scheduled within 24h",IF(M98=1,"Scheduled late",IF(K98="BAD CONTACT","Bad contact details",IF(O98=1,"Stopped / wrong number",IF(N98=1,"Not interested",IF(P98=1,"Partner has no slots",IF(SETTINGS!$B$4&gt;=V98,IF(Q98=0,"Missed deadline: never tried","Missed deadline: tried, not booked"),IF(Q98&gt;=SETTINGS!$B$6,"No reply after max tries","Open"))))))))))</f>
        <v>Missed deadline: never tried</v>
      </c>
      <c r="AM98" s="46" t="str">
        <f>IF(M98=1,IF(_xlfn.MINIFS(LOG!$G$2:$G$2001,LOG!$C$2:$C$2001,F98,LOG!$E$2:$E$2001,B98,LOG!$D$2:$D$2001,"*BOOKED")=0,_xlfn.MINIFS(LOG!$G$2:$G$2001,LOG!$C$2:$C$2001,F98,LOG!$E$2:$E$2001,"",LOG!$D$2:$D$2001,"*BOOKED"),IF(_xlfn.MINIFS(LOG!$G$2:$G$2001,LOG!$C$2:$C$2001,F98,LOG!$E$2:$E$2001,"",LOG!$D$2:$D$2001,"*BOOKED")=0,_xlfn.MINIFS(LOG!$G$2:$G$2001,LOG!$C$2:$C$2001,F98,LOG!$E$2:$E$2001,B98,LOG!$D$2:$D$2001,"*BOOKED"),MIN(_xlfn.MINIFS(LOG!$G$2:$G$2001,LOG!$C$2:$C$2001,F98,LOG!$E$2:$E$2001,B98,LOG!$D$2:$D$2001,"*BOOKED"),_xlfn.MINIFS(LOG!$G$2:$G$2001,LOG!$C$2:$C$2001,F98,LOG!$E$2:$E$2001,"",LOG!$D$2:$D$2001,"*BOOKED")))),"")</f>
        <v/>
      </c>
      <c r="AN98" s="28" t="str">
        <f t="shared" si="18"/>
        <v/>
      </c>
      <c r="AO98" s="28">
        <f>IF(AND(M98=1,AN98&lt;&gt;""),IF(AN98&lt;=SETTINGS!$B$5,1,0),0)</f>
        <v>0</v>
      </c>
      <c r="AP98" s="28">
        <f>IF(M98=1,IF(COUNTIFS(LOG!$C$2:$C$2001,F98,LOG!$E$2:$E$2001,B98,LOG!$D$2:$D$2001,"BOOKED")+COUNTIFS(LOG!$C$2:$C$2001,F98,LOG!$E$2:$E$2001,"",LOG!$D$2:$D$2001,"BOOKED")&gt;0,1,0),0)</f>
        <v>0</v>
      </c>
      <c r="AQ98" s="28" t="str">
        <f t="shared" si="19"/>
        <v>Rahul</v>
      </c>
      <c r="AR98" s="28">
        <f>IF(AND(AK98=1,K98="OK"),COUNTIFS($AK$2:AK98,1,$K$2:K98,"OK"),"")</f>
        <v>91</v>
      </c>
      <c r="AS98" s="28" t="str">
        <f>IF(L98=1,IFERROR(INDEX(MESSAGES!$J$9:$J$1008,MATCH(F98,MESSAGES!$M$9:$M$1008,0))&amp;"",""),"")</f>
        <v/>
      </c>
      <c r="AT98" s="28" t="str">
        <f>IF(L98=1,IFERROR(INDEX(MESSAGES!$K$9:$K$1008,MATCH(F98,MESSAGES!$M$9:$M$1008,0))&amp;"",""),"")</f>
        <v/>
      </c>
      <c r="AU98" s="28">
        <f t="shared" ca="1" si="20"/>
        <v>0</v>
      </c>
      <c r="AV98" s="28" t="str">
        <f t="shared" si="21"/>
        <v>HOLD</v>
      </c>
    </row>
    <row r="99" spans="1:48" x14ac:dyDescent="0.35">
      <c r="A99" s="28">
        <v>98</v>
      </c>
      <c r="B99" s="28" t="str">
        <f>IF(INPUT!A99="","",TRIM(INPUT!A99))</f>
        <v>Partner 000</v>
      </c>
      <c r="C99" s="28" t="str">
        <f>IF(B99="","",INPUT!C99)</f>
        <v>interviewer2@partner000.example.com</v>
      </c>
      <c r="D99" s="28" t="str">
        <f>IF(B99="","",INPUT!D99)</f>
        <v>Ira B.</v>
      </c>
      <c r="E99" s="28" t="str">
        <f>IF(B99="","",INPUT!E99)</f>
        <v>ira.b035@example.com</v>
      </c>
      <c r="F99" s="43" t="str">
        <f>IF(B99="","",TRIM(INPUT!F99&amp;""))</f>
        <v>9000000462</v>
      </c>
      <c r="G99" s="28" t="str">
        <f>IF(B99="","",INPUT!H99)</f>
        <v>Round1</v>
      </c>
      <c r="H99" s="46">
        <f>IF(B99="","",INPUT!I99)</f>
        <v>46308.82708333333</v>
      </c>
      <c r="I99" s="28" t="str">
        <f>IF(B99="","",IF(INPUT!J99="","None",INPUT!J99))</f>
        <v>Opened</v>
      </c>
      <c r="J99" s="28" t="str">
        <f t="shared" si="11"/>
        <v>ira.b035@example.com|partner 000|Round1|interviewer2@partner000.example.com</v>
      </c>
      <c r="K99" s="28" t="str">
        <f>IF(B99="","",IF(SUMPRODUCT(($J$2:$J$601=J99)*($H$2:$H$601&lt;H99))+SUMPRODUCT(($J$2:J99=J99)*($H$2:H99=H99))-1&gt;0,"DUPLICATE",IF(AND(ISNUMBER(SEARCH("@",E99)),ISNUMBER(SEARCH(".",E99)),LEN(F99)=10,ISNUMBER(VALUE(F99))),"OK","BAD CONTACT")))</f>
        <v>OK</v>
      </c>
      <c r="L99" s="28">
        <f t="shared" si="12"/>
        <v>1</v>
      </c>
      <c r="M99" s="28">
        <f>IF(L99=1,IF(COUNTIFS(LOG!$C$2:$C$2001,F99,LOG!$E$2:$E$2001,B99,LOG!$D$2:$D$2001,"*BOOKED")+COUNTIFS(LOG!$C$2:$C$2001,F99,LOG!$E$2:$E$2001,"",LOG!$D$2:$D$2001,"*BOOKED")&gt;0,1,0),0)</f>
        <v>1</v>
      </c>
      <c r="N99" s="28">
        <f>IF(L99=1,IF(COUNTIFS(LOG!$C$2:$C$2001,F99,LOG!$E$2:$E$2001,B99,LOG!$D$2:$D$2001,"NOT_INTERESTED")+COUNTIFS(LOG!$C$2:$C$2001,F99,LOG!$E$2:$E$2001,"",LOG!$D$2:$D$2001,"NOT_INTERESTED")&gt;0,1,0),0)</f>
        <v>0</v>
      </c>
      <c r="O99" s="28">
        <f>IF(L99=1,IF(COUNTIFS(LOG!$C$2:$C$2001,F99,LOG!$D$2:$D$2001,"STOP")+COUNTIFS(LOG!$C$2:$C$2001,F99,LOG!$D$2:$D$2001,"WRONG_NUMBER")&gt;0,1,IF(ISNUMBER(SEARCH("STOP",AT99)),1,0)),0)</f>
        <v>0</v>
      </c>
      <c r="P99" s="28">
        <f>IF(L99=1,IF(IFERROR(INDEX(PARTNERS!$D$2:$D$88,MATCH(B99,PARTNERS!$A$2:$A$88,0)),"")="NO SLOTS",1,IF(AND(IFERROR(INDEX(PARTNERS!$D$2:$D$88,MATCH(B99,PARTNERS!$A$2:$A$88,0)),"")&lt;&gt;"REOPENED",COUNTIFS(LOG!$E$2:$E$2001,B99,LOG!$D$2:$D$2001,"NO_SLOTS")&gt;0),1,0)),0)</f>
        <v>0</v>
      </c>
      <c r="Q99" s="28">
        <f>IF(L99=1,COUNTIFS(LOG!$C$2:$C$2001,F99,LOG!$H$2:$H$2001,1),0)</f>
        <v>1</v>
      </c>
      <c r="R99" s="46">
        <f>IF(Q99&gt;0,_xlfn.MAXIFS(LOG!$G$2:$G$2001,LOG!$C$2:$C$2001,F99,LOG!$H$2:$H$2001,1),0)</f>
        <v>46309.49511669093</v>
      </c>
      <c r="S99" s="28" t="str">
        <f>IF(Q99&gt;0,IFERROR(INDEX(LOG!$D$2:$D$2001,MATCH(F99&amp;"|"&amp;Q99,LOG!$I$2:$I$2001,0)),""),"")</f>
        <v>SENT_LINK</v>
      </c>
      <c r="T99" s="28">
        <f>IF(S99="",0,IFERROR(VLOOKUP(S99,LISTS!$A$2:$E$10,4,FALSE),0))</f>
        <v>180</v>
      </c>
      <c r="U99" s="46">
        <f t="shared" si="13"/>
        <v>46309.62011669093</v>
      </c>
      <c r="V99" s="46">
        <f>IF(L99=1,H99+SETTINGS!$B$5/24,"")</f>
        <v>46309.82708333333</v>
      </c>
      <c r="W99" s="28">
        <f ca="1">IF(L99=1,(V99-SETTINGS!$B$4)*24,"")</f>
        <v>-1.6666666720993817E-2</v>
      </c>
      <c r="X99" s="28">
        <f ca="1">IF(AND(L99=1,K99="OK",M99=0,N99=0,O99=0,P99=0,SETTINGS!$B$4&lt;V99,Q99&lt;SETTINGS!$B$6),1,0)</f>
        <v>0</v>
      </c>
      <c r="Y99" s="28">
        <f ca="1">IF(AND(X99=1,SETTINGS!$B$4&gt;=H99,SETTINGS!$B$4&gt;=U99,ROUND(MOD(SETTINGS!$B$4,1)*1440,0)&gt;=ROUND(SETTINGS!$B$7*1440,0),ROUND(MOD(SETTINGS!$B$4,1)*1440,0)&lt;ROUND(SETTINGS!$B$8*1440,0)),1,0)</f>
        <v>0</v>
      </c>
      <c r="Z99" s="28" t="str">
        <f ca="1">IF(B99="","",IF(ROUND(MOD(SETTINGS!$B$4,1)*1440,0)&lt;ROUND(SETTINGS!$B$11*1440,0),"Ram",IF(ROUND(MOD(SETTINGS!$B$4,1)*1440,0)&gt;=ROUND(SETTINGS!$B$10*1440,0),"Shyam",IF(MOD(IFERROR(VALUE(RIGHT(F99,2)),0),2)=0,"Ram","Shyam"))))</f>
        <v>Shyam</v>
      </c>
      <c r="AA99" s="28">
        <f t="shared" ca="1" si="14"/>
        <v>0</v>
      </c>
      <c r="AB99" s="28">
        <f ca="1">IF(X99=1,COUNTIFS($F$2:F99,F99,$X$2:X99,1),0)</f>
        <v>0</v>
      </c>
      <c r="AC99" s="28" t="str">
        <f>IF(L99=1,IF(IFERROR(INDEX(PARTNERS!$C$2:$C$88,MATCH(B99,PARTNERS!$A$2:$A$88,0)),"")="YES","YES","NO"),"")</f>
        <v>NO</v>
      </c>
      <c r="AD99" s="28" t="str">
        <f>IF(L99=1,IFERROR(INDEX(PARTNERS!$B$2:$B$88,MATCH(B99,PARTNERS!$A$2:$A$88,0)),""),"")</f>
        <v>https://calendly.com/partner000/interview</v>
      </c>
      <c r="AE99" s="28">
        <f ca="1">IF(X99=1,IFERROR(INDEX(SETTINGS!$B$34:$D$36,MATCH(I99,SETTINGS!$A$34:$A$36,0),MIN(Q99,2)+1),SETTINGS!$B$36),0)</f>
        <v>0</v>
      </c>
      <c r="AF99" s="28">
        <f t="shared" si="15"/>
        <v>1</v>
      </c>
      <c r="AG99" s="28">
        <f ca="1">IF(AND(Y99=1,AB99=1),ROUND(AA99*AE99*IF(AF99&gt;1,SETTINGS!$B$16,1)*IF(W99&lt;=SETTINGS!$B$14,SETTINGS!$B$15,1)*IF(AU99=1,SETTINGS!$B$21,1),6),0)</f>
        <v>0</v>
      </c>
      <c r="AH99" s="28" t="str">
        <f ca="1">IF(AG99&gt;0,COUNTIFS($Z$2:$Z$601,Z99,$AG$2:$AG$601,"&gt;"&amp;AG99)+COUNTIFS($Z$2:Z99,Z99,$AG$2:AG99,AG99),"")</f>
        <v/>
      </c>
      <c r="AI99" s="28" t="str">
        <f t="shared" ca="1" si="16"/>
        <v/>
      </c>
      <c r="AJ99" s="28" t="str">
        <f t="shared" ca="1" si="17"/>
        <v/>
      </c>
      <c r="AK99" s="28">
        <f>IF(L99=1,IF(COUNTIFS($F$2:F99,F99,$L$2:L99,1)=1,1,0),0)</f>
        <v>1</v>
      </c>
      <c r="AL99" s="28" t="str">
        <f>IF(B99="","",IF(K99="DUPLICATE","Duplicate (removed)",IF(AO99=1,"Scheduled within 24h",IF(M99=1,"Scheduled late",IF(K99="BAD CONTACT","Bad contact details",IF(O99=1,"Stopped / wrong number",IF(N99=1,"Not interested",IF(P99=1,"Partner has no slots",IF(SETTINGS!$B$4&gt;=V99,IF(Q99=0,"Missed deadline: never tried","Missed deadline: tried, not booked"),IF(Q99&gt;=SETTINGS!$B$6,"No reply after max tries","Open"))))))))))</f>
        <v>Scheduled within 24h</v>
      </c>
      <c r="AM99" s="46">
        <f>IF(M99=1,IF(_xlfn.MINIFS(LOG!$G$2:$G$2001,LOG!$C$2:$C$2001,F99,LOG!$E$2:$E$2001,B99,LOG!$D$2:$D$2001,"*BOOKED")=0,_xlfn.MINIFS(LOG!$G$2:$G$2001,LOG!$C$2:$C$2001,F99,LOG!$E$2:$E$2001,"",LOG!$D$2:$D$2001,"*BOOKED"),IF(_xlfn.MINIFS(LOG!$G$2:$G$2001,LOG!$C$2:$C$2001,F99,LOG!$E$2:$E$2001,"",LOG!$D$2:$D$2001,"*BOOKED")=0,_xlfn.MINIFS(LOG!$G$2:$G$2001,LOG!$C$2:$C$2001,F99,LOG!$E$2:$E$2001,B99,LOG!$D$2:$D$2001,"*BOOKED"),MIN(_xlfn.MINIFS(LOG!$G$2:$G$2001,LOG!$C$2:$C$2001,F99,LOG!$E$2:$E$2001,B99,LOG!$D$2:$D$2001,"*BOOKED"),_xlfn.MINIFS(LOG!$G$2:$G$2001,LOG!$C$2:$C$2001,F99,LOG!$E$2:$E$2001,"",LOG!$D$2:$D$2001,"*BOOKED")))),"")</f>
        <v>46309.813843442498</v>
      </c>
      <c r="AN99" s="28">
        <f t="shared" si="18"/>
        <v>23.682242620037869</v>
      </c>
      <c r="AO99" s="28">
        <f>IF(AND(M99=1,AN99&lt;&gt;""),IF(AN99&lt;=SETTINGS!$B$5,1,0),0)</f>
        <v>1</v>
      </c>
      <c r="AP99" s="28">
        <f>IF(M99=1,IF(COUNTIFS(LOG!$C$2:$C$2001,F99,LOG!$E$2:$E$2001,B99,LOG!$D$2:$D$2001,"BOOKED")+COUNTIFS(LOG!$C$2:$C$2001,F99,LOG!$E$2:$E$2001,"",LOG!$D$2:$D$2001,"BOOKED")&gt;0,1,0),0)</f>
        <v>0</v>
      </c>
      <c r="AQ99" s="28" t="str">
        <f t="shared" si="19"/>
        <v>Ira</v>
      </c>
      <c r="AR99" s="28">
        <f>IF(AND(AK99=1,K99="OK"),COUNTIFS($AK$2:AK99,1,$K$2:K99,"OK"),"")</f>
        <v>92</v>
      </c>
      <c r="AS99" s="28" t="str">
        <f>IF(L99=1,IFERROR(INDEX(MESSAGES!$J$9:$J$1008,MATCH(F99,MESSAGES!$M$9:$M$1008,0))&amp;"",""),"")</f>
        <v/>
      </c>
      <c r="AT99" s="28" t="str">
        <f>IF(L99=1,IFERROR(INDEX(MESSAGES!$K$9:$K$1008,MATCH(F99,MESSAGES!$M$9:$M$1008,0))&amp;"",""),"")</f>
        <v/>
      </c>
      <c r="AU99" s="28">
        <f t="shared" ca="1" si="20"/>
        <v>0</v>
      </c>
      <c r="AV99" s="28" t="str">
        <f t="shared" si="21"/>
        <v>SEND</v>
      </c>
    </row>
    <row r="100" spans="1:48" x14ac:dyDescent="0.35">
      <c r="A100" s="28">
        <v>99</v>
      </c>
      <c r="B100" s="28" t="str">
        <f>IF(INPUT!A100="","",TRIM(INPUT!A100))</f>
        <v>Partner 000</v>
      </c>
      <c r="C100" s="28" t="str">
        <f>IF(B100="","",INPUT!C100)</f>
        <v>interviewer2@partner000.example.com</v>
      </c>
      <c r="D100" s="28" t="str">
        <f>IF(B100="","",INPUT!D100)</f>
        <v>Karan C.</v>
      </c>
      <c r="E100" s="28" t="str">
        <f>IF(B100="","",INPUT!E100)</f>
        <v>karan.c080@example.com</v>
      </c>
      <c r="F100" s="43" t="str">
        <f>IF(B100="","",TRIM(INPUT!F100&amp;""))</f>
        <v>9000001047</v>
      </c>
      <c r="G100" s="28" t="str">
        <f>IF(B100="","",INPUT!H100)</f>
        <v>Round1</v>
      </c>
      <c r="H100" s="46">
        <f>IF(B100="","",INPUT!I100)</f>
        <v>46308.82708333333</v>
      </c>
      <c r="I100" s="28" t="str">
        <f>IF(B100="","",IF(INPUT!J100="","None",INPUT!J100))</f>
        <v>Opened</v>
      </c>
      <c r="J100" s="28" t="str">
        <f t="shared" si="11"/>
        <v>karan.c080@example.com|partner 000|Round1|interviewer2@partner000.example.com</v>
      </c>
      <c r="K100" s="28" t="str">
        <f>IF(B100="","",IF(SUMPRODUCT(($J$2:$J$601=J100)*($H$2:$H$601&lt;H100))+SUMPRODUCT(($J$2:J100=J100)*($H$2:H100=H100))-1&gt;0,"DUPLICATE",IF(AND(ISNUMBER(SEARCH("@",E100)),ISNUMBER(SEARCH(".",E100)),LEN(F100)=10,ISNUMBER(VALUE(F100))),"OK","BAD CONTACT")))</f>
        <v>OK</v>
      </c>
      <c r="L100" s="28">
        <f t="shared" si="12"/>
        <v>1</v>
      </c>
      <c r="M100" s="28">
        <f>IF(L100=1,IF(COUNTIFS(LOG!$C$2:$C$2001,F100,LOG!$E$2:$E$2001,B100,LOG!$D$2:$D$2001,"*BOOKED")+COUNTIFS(LOG!$C$2:$C$2001,F100,LOG!$E$2:$E$2001,"",LOG!$D$2:$D$2001,"*BOOKED")&gt;0,1,0),0)</f>
        <v>0</v>
      </c>
      <c r="N100" s="28">
        <f>IF(L100=1,IF(COUNTIFS(LOG!$C$2:$C$2001,F100,LOG!$E$2:$E$2001,B100,LOG!$D$2:$D$2001,"NOT_INTERESTED")+COUNTIFS(LOG!$C$2:$C$2001,F100,LOG!$E$2:$E$2001,"",LOG!$D$2:$D$2001,"NOT_INTERESTED")&gt;0,1,0),0)</f>
        <v>0</v>
      </c>
      <c r="O100" s="28">
        <f>IF(L100=1,IF(COUNTIFS(LOG!$C$2:$C$2001,F100,LOG!$D$2:$D$2001,"STOP")+COUNTIFS(LOG!$C$2:$C$2001,F100,LOG!$D$2:$D$2001,"WRONG_NUMBER")&gt;0,1,IF(ISNUMBER(SEARCH("STOP",AT100)),1,0)),0)</f>
        <v>0</v>
      </c>
      <c r="P100" s="28">
        <f>IF(L100=1,IF(IFERROR(INDEX(PARTNERS!$D$2:$D$88,MATCH(B100,PARTNERS!$A$2:$A$88,0)),"")="NO SLOTS",1,IF(AND(IFERROR(INDEX(PARTNERS!$D$2:$D$88,MATCH(B100,PARTNERS!$A$2:$A$88,0)),"")&lt;&gt;"REOPENED",COUNTIFS(LOG!$E$2:$E$2001,B100,LOG!$D$2:$D$2001,"NO_SLOTS")&gt;0),1,0)),0)</f>
        <v>0</v>
      </c>
      <c r="Q100" s="28">
        <f>IF(L100=1,COUNTIFS(LOG!$C$2:$C$2001,F100,LOG!$H$2:$H$2001,1),0)</f>
        <v>0</v>
      </c>
      <c r="R100" s="46">
        <f>IF(Q100&gt;0,_xlfn.MAXIFS(LOG!$G$2:$G$2001,LOG!$C$2:$C$2001,F100,LOG!$H$2:$H$2001,1),0)</f>
        <v>0</v>
      </c>
      <c r="S100" s="28" t="str">
        <f>IF(Q100&gt;0,IFERROR(INDEX(LOG!$D$2:$D$2001,MATCH(F100&amp;"|"&amp;Q100,LOG!$I$2:$I$2001,0)),""),"")</f>
        <v/>
      </c>
      <c r="T100" s="28">
        <f>IF(S100="",0,IFERROR(VLOOKUP(S100,LISTS!$A$2:$E$10,4,FALSE),0))</f>
        <v>0</v>
      </c>
      <c r="U100" s="46">
        <f t="shared" si="13"/>
        <v>0</v>
      </c>
      <c r="V100" s="46">
        <f>IF(L100=1,H100+SETTINGS!$B$5/24,"")</f>
        <v>46309.82708333333</v>
      </c>
      <c r="W100" s="28">
        <f ca="1">IF(L100=1,(V100-SETTINGS!$B$4)*24,"")</f>
        <v>-1.6666666720993817E-2</v>
      </c>
      <c r="X100" s="28">
        <f ca="1">IF(AND(L100=1,K100="OK",M100=0,N100=0,O100=0,P100=0,SETTINGS!$B$4&lt;V100,Q100&lt;SETTINGS!$B$6),1,0)</f>
        <v>0</v>
      </c>
      <c r="Y100" s="28">
        <f ca="1">IF(AND(X100=1,SETTINGS!$B$4&gt;=H100,SETTINGS!$B$4&gt;=U100,ROUND(MOD(SETTINGS!$B$4,1)*1440,0)&gt;=ROUND(SETTINGS!$B$7*1440,0),ROUND(MOD(SETTINGS!$B$4,1)*1440,0)&lt;ROUND(SETTINGS!$B$8*1440,0)),1,0)</f>
        <v>0</v>
      </c>
      <c r="Z100" s="28" t="str">
        <f ca="1">IF(B100="","",IF(ROUND(MOD(SETTINGS!$B$4,1)*1440,0)&lt;ROUND(SETTINGS!$B$11*1440,0),"Ram",IF(ROUND(MOD(SETTINGS!$B$4,1)*1440,0)&gt;=ROUND(SETTINGS!$B$10*1440,0),"Shyam",IF(MOD(IFERROR(VALUE(RIGHT(F100,2)),0),2)=0,"Ram","Shyam"))))</f>
        <v>Shyam</v>
      </c>
      <c r="AA100" s="28">
        <f t="shared" ca="1" si="14"/>
        <v>0</v>
      </c>
      <c r="AB100" s="28">
        <f ca="1">IF(X100=1,COUNTIFS($F$2:F100,F100,$X$2:X100,1),0)</f>
        <v>0</v>
      </c>
      <c r="AC100" s="28" t="str">
        <f>IF(L100=1,IF(IFERROR(INDEX(PARTNERS!$C$2:$C$88,MATCH(B100,PARTNERS!$A$2:$A$88,0)),"")="YES","YES","NO"),"")</f>
        <v>NO</v>
      </c>
      <c r="AD100" s="28" t="str">
        <f>IF(L100=1,IFERROR(INDEX(PARTNERS!$B$2:$B$88,MATCH(B100,PARTNERS!$A$2:$A$88,0)),""),"")</f>
        <v>https://calendly.com/partner000/interview</v>
      </c>
      <c r="AE100" s="28">
        <f ca="1">IF(X100=1,IFERROR(INDEX(SETTINGS!$B$34:$D$36,MATCH(I100,SETTINGS!$A$34:$A$36,0),MIN(Q100,2)+1),SETTINGS!$B$36),0)</f>
        <v>0</v>
      </c>
      <c r="AF100" s="28">
        <f t="shared" si="15"/>
        <v>1</v>
      </c>
      <c r="AG100" s="28">
        <f ca="1">IF(AND(Y100=1,AB100=1),ROUND(AA100*AE100*IF(AF100&gt;1,SETTINGS!$B$16,1)*IF(W100&lt;=SETTINGS!$B$14,SETTINGS!$B$15,1)*IF(AU100=1,SETTINGS!$B$21,1),6),0)</f>
        <v>0</v>
      </c>
      <c r="AH100" s="28" t="str">
        <f ca="1">IF(AG100&gt;0,COUNTIFS($Z$2:$Z$601,Z100,$AG$2:$AG$601,"&gt;"&amp;AG100)+COUNTIFS($Z$2:Z100,Z100,$AG$2:AG100,AG100),"")</f>
        <v/>
      </c>
      <c r="AI100" s="28" t="str">
        <f t="shared" ca="1" si="16"/>
        <v/>
      </c>
      <c r="AJ100" s="28" t="str">
        <f t="shared" ca="1" si="17"/>
        <v/>
      </c>
      <c r="AK100" s="28">
        <f>IF(L100=1,IF(COUNTIFS($F$2:F100,F100,$L$2:L100,1)=1,1,0),0)</f>
        <v>1</v>
      </c>
      <c r="AL100" s="28" t="str">
        <f ca="1">IF(B100="","",IF(K100="DUPLICATE","Duplicate (removed)",IF(AO100=1,"Scheduled within 24h",IF(M100=1,"Scheduled late",IF(K100="BAD CONTACT","Bad contact details",IF(O100=1,"Stopped / wrong number",IF(N100=1,"Not interested",IF(P100=1,"Partner has no slots",IF(SETTINGS!$B$4&gt;=V100,IF(Q100=0,"Missed deadline: never tried","Missed deadline: tried, not booked"),IF(Q100&gt;=SETTINGS!$B$6,"No reply after max tries","Open"))))))))))</f>
        <v>Missed deadline: never tried</v>
      </c>
      <c r="AM100" s="46" t="str">
        <f>IF(M100=1,IF(_xlfn.MINIFS(LOG!$G$2:$G$2001,LOG!$C$2:$C$2001,F100,LOG!$E$2:$E$2001,B100,LOG!$D$2:$D$2001,"*BOOKED")=0,_xlfn.MINIFS(LOG!$G$2:$G$2001,LOG!$C$2:$C$2001,F100,LOG!$E$2:$E$2001,"",LOG!$D$2:$D$2001,"*BOOKED"),IF(_xlfn.MINIFS(LOG!$G$2:$G$2001,LOG!$C$2:$C$2001,F100,LOG!$E$2:$E$2001,"",LOG!$D$2:$D$2001,"*BOOKED")=0,_xlfn.MINIFS(LOG!$G$2:$G$2001,LOG!$C$2:$C$2001,F100,LOG!$E$2:$E$2001,B100,LOG!$D$2:$D$2001,"*BOOKED"),MIN(_xlfn.MINIFS(LOG!$G$2:$G$2001,LOG!$C$2:$C$2001,F100,LOG!$E$2:$E$2001,B100,LOG!$D$2:$D$2001,"*BOOKED"),_xlfn.MINIFS(LOG!$G$2:$G$2001,LOG!$C$2:$C$2001,F100,LOG!$E$2:$E$2001,"",LOG!$D$2:$D$2001,"*BOOKED")))),"")</f>
        <v/>
      </c>
      <c r="AN100" s="28" t="str">
        <f t="shared" si="18"/>
        <v/>
      </c>
      <c r="AO100" s="28">
        <f>IF(AND(M100=1,AN100&lt;&gt;""),IF(AN100&lt;=SETTINGS!$B$5,1,0),0)</f>
        <v>0</v>
      </c>
      <c r="AP100" s="28">
        <f>IF(M100=1,IF(COUNTIFS(LOG!$C$2:$C$2001,F100,LOG!$E$2:$E$2001,B100,LOG!$D$2:$D$2001,"BOOKED")+COUNTIFS(LOG!$C$2:$C$2001,F100,LOG!$E$2:$E$2001,"",LOG!$D$2:$D$2001,"BOOKED")&gt;0,1,0),0)</f>
        <v>0</v>
      </c>
      <c r="AQ100" s="28" t="str">
        <f t="shared" si="19"/>
        <v>Karan</v>
      </c>
      <c r="AR100" s="28">
        <f>IF(AND(AK100=1,K100="OK"),COUNTIFS($AK$2:AK100,1,$K$2:K100,"OK"),"")</f>
        <v>93</v>
      </c>
      <c r="AS100" s="28" t="str">
        <f>IF(L100=1,IFERROR(INDEX(MESSAGES!$J$9:$J$1008,MATCH(F100,MESSAGES!$M$9:$M$1008,0))&amp;"",""),"")</f>
        <v/>
      </c>
      <c r="AT100" s="28" t="str">
        <f>IF(L100=1,IFERROR(INDEX(MESSAGES!$K$9:$K$1008,MATCH(F100,MESSAGES!$M$9:$M$1008,0))&amp;"",""),"")</f>
        <v/>
      </c>
      <c r="AU100" s="28">
        <f t="shared" ca="1" si="20"/>
        <v>0</v>
      </c>
      <c r="AV100" s="28" t="str">
        <f t="shared" si="21"/>
        <v>SEND</v>
      </c>
    </row>
    <row r="101" spans="1:48" x14ac:dyDescent="0.35">
      <c r="A101" s="28">
        <v>100</v>
      </c>
      <c r="B101" s="28" t="str">
        <f>IF(INPUT!A101="","",TRIM(INPUT!A101))</f>
        <v>Partner 045</v>
      </c>
      <c r="C101" s="28" t="str">
        <f>IF(B101="","",INPUT!C101)</f>
        <v>interviewer0@partner045.example.com</v>
      </c>
      <c r="D101" s="28" t="str">
        <f>IF(B101="","",INPUT!D101)</f>
        <v>Ananya A.</v>
      </c>
      <c r="E101" s="28" t="str">
        <f>IF(B101="","",INPUT!E101)</f>
        <v>ananya.a003@example.com</v>
      </c>
      <c r="F101" s="43" t="str">
        <f>IF(B101="","",TRIM(INPUT!F101&amp;""))</f>
        <v>9000000046</v>
      </c>
      <c r="G101" s="28" t="str">
        <f>IF(B101="","",INPUT!H101)</f>
        <v>Round1</v>
      </c>
      <c r="H101" s="46">
        <f>IF(B101="","",INPUT!I101)</f>
        <v>46308.82708333333</v>
      </c>
      <c r="I101" s="28" t="str">
        <f>IF(B101="","",IF(INPUT!J101="","None",INPUT!J101))</f>
        <v>Clicked</v>
      </c>
      <c r="J101" s="28" t="str">
        <f t="shared" si="11"/>
        <v>ananya.a003@example.com|partner 045|Round1|interviewer0@partner045.example.com</v>
      </c>
      <c r="K101" s="28" t="str">
        <f>IF(B101="","",IF(SUMPRODUCT(($J$2:$J$601=J101)*($H$2:$H$601&lt;H101))+SUMPRODUCT(($J$2:J101=J101)*($H$2:H101=H101))-1&gt;0,"DUPLICATE",IF(AND(ISNUMBER(SEARCH("@",E101)),ISNUMBER(SEARCH(".",E101)),LEN(F101)=10,ISNUMBER(VALUE(F101))),"OK","BAD CONTACT")))</f>
        <v>OK</v>
      </c>
      <c r="L101" s="28">
        <f t="shared" si="12"/>
        <v>1</v>
      </c>
      <c r="M101" s="28">
        <f>IF(L101=1,IF(COUNTIFS(LOG!$C$2:$C$2001,F101,LOG!$E$2:$E$2001,B101,LOG!$D$2:$D$2001,"*BOOKED")+COUNTIFS(LOG!$C$2:$C$2001,F101,LOG!$E$2:$E$2001,"",LOG!$D$2:$D$2001,"*BOOKED")&gt;0,1,0),0)</f>
        <v>1</v>
      </c>
      <c r="N101" s="28">
        <f>IF(L101=1,IF(COUNTIFS(LOG!$C$2:$C$2001,F101,LOG!$E$2:$E$2001,B101,LOG!$D$2:$D$2001,"NOT_INTERESTED")+COUNTIFS(LOG!$C$2:$C$2001,F101,LOG!$E$2:$E$2001,"",LOG!$D$2:$D$2001,"NOT_INTERESTED")&gt;0,1,0),0)</f>
        <v>0</v>
      </c>
      <c r="O101" s="28">
        <f>IF(L101=1,IF(COUNTIFS(LOG!$C$2:$C$2001,F101,LOG!$D$2:$D$2001,"STOP")+COUNTIFS(LOG!$C$2:$C$2001,F101,LOG!$D$2:$D$2001,"WRONG_NUMBER")&gt;0,1,IF(ISNUMBER(SEARCH("STOP",AT101)),1,0)),0)</f>
        <v>0</v>
      </c>
      <c r="P101" s="28">
        <f>IF(L101=1,IF(IFERROR(INDEX(PARTNERS!$D$2:$D$88,MATCH(B101,PARTNERS!$A$2:$A$88,0)),"")="NO SLOTS",1,IF(AND(IFERROR(INDEX(PARTNERS!$D$2:$D$88,MATCH(B101,PARTNERS!$A$2:$A$88,0)),"")&lt;&gt;"REOPENED",COUNTIFS(LOG!$E$2:$E$2001,B101,LOG!$D$2:$D$2001,"NO_SLOTS")&gt;0),1,0)),0)</f>
        <v>0</v>
      </c>
      <c r="Q101" s="28">
        <f>IF(L101=1,COUNTIFS(LOG!$C$2:$C$2001,F101,LOG!$H$2:$H$2001,1),0)</f>
        <v>1</v>
      </c>
      <c r="R101" s="46">
        <f>IF(Q101&gt;0,_xlfn.MAXIFS(LOG!$G$2:$G$2001,LOG!$C$2:$C$2001,F101,LOG!$H$2:$H$2001,1),0)</f>
        <v>46309.580147443863</v>
      </c>
      <c r="S101" s="28" t="str">
        <f>IF(Q101&gt;0,IFERROR(INDEX(LOG!$D$2:$D$2001,MATCH(F101&amp;"|"&amp;Q101,LOG!$I$2:$I$2001,0)),""),"")</f>
        <v>BOOKED</v>
      </c>
      <c r="T101" s="28">
        <f>IF(S101="",0,IFERROR(VLOOKUP(S101,LISTS!$A$2:$E$10,4,FALSE),0))</f>
        <v>0</v>
      </c>
      <c r="U101" s="46">
        <f t="shared" si="13"/>
        <v>46309.580147443863</v>
      </c>
      <c r="V101" s="46">
        <f>IF(L101=1,H101+SETTINGS!$B$5/24,"")</f>
        <v>46309.82708333333</v>
      </c>
      <c r="W101" s="28">
        <f ca="1">IF(L101=1,(V101-SETTINGS!$B$4)*24,"")</f>
        <v>-1.6666666720993817E-2</v>
      </c>
      <c r="X101" s="28">
        <f ca="1">IF(AND(L101=1,K101="OK",M101=0,N101=0,O101=0,P101=0,SETTINGS!$B$4&lt;V101,Q101&lt;SETTINGS!$B$6),1,0)</f>
        <v>0</v>
      </c>
      <c r="Y101" s="28">
        <f ca="1">IF(AND(X101=1,SETTINGS!$B$4&gt;=H101,SETTINGS!$B$4&gt;=U101,ROUND(MOD(SETTINGS!$B$4,1)*1440,0)&gt;=ROUND(SETTINGS!$B$7*1440,0),ROUND(MOD(SETTINGS!$B$4,1)*1440,0)&lt;ROUND(SETTINGS!$B$8*1440,0)),1,0)</f>
        <v>0</v>
      </c>
      <c r="Z101" s="28" t="str">
        <f ca="1">IF(B101="","",IF(ROUND(MOD(SETTINGS!$B$4,1)*1440,0)&lt;ROUND(SETTINGS!$B$11*1440,0),"Ram",IF(ROUND(MOD(SETTINGS!$B$4,1)*1440,0)&gt;=ROUND(SETTINGS!$B$10*1440,0),"Shyam",IF(MOD(IFERROR(VALUE(RIGHT(F101,2)),0),2)=0,"Ram","Shyam"))))</f>
        <v>Shyam</v>
      </c>
      <c r="AA101" s="28">
        <f t="shared" ca="1" si="14"/>
        <v>0</v>
      </c>
      <c r="AB101" s="28">
        <f ca="1">IF(X101=1,COUNTIFS($F$2:F101,F101,$X$2:X101,1),0)</f>
        <v>0</v>
      </c>
      <c r="AC101" s="28" t="str">
        <f>IF(L101=1,IF(IFERROR(INDEX(PARTNERS!$C$2:$C$88,MATCH(B101,PARTNERS!$A$2:$A$88,0)),"")="YES","YES","NO"),"")</f>
        <v>YES</v>
      </c>
      <c r="AD101" s="28" t="str">
        <f>IF(L101=1,IFERROR(INDEX(PARTNERS!$B$2:$B$88,MATCH(B101,PARTNERS!$A$2:$A$88,0)),""),"")</f>
        <v>https://calendly.com/partner045/interview</v>
      </c>
      <c r="AE101" s="28">
        <f ca="1">IF(X101=1,IFERROR(INDEX(SETTINGS!$B$34:$D$36,MATCH(I101,SETTINGS!$A$34:$A$36,0),MIN(Q101,2)+1),SETTINGS!$B$36),0)</f>
        <v>0</v>
      </c>
      <c r="AF101" s="28">
        <f t="shared" si="15"/>
        <v>1</v>
      </c>
      <c r="AG101" s="28">
        <f ca="1">IF(AND(Y101=1,AB101=1),ROUND(AA101*AE101*IF(AF101&gt;1,SETTINGS!$B$16,1)*IF(W101&lt;=SETTINGS!$B$14,SETTINGS!$B$15,1)*IF(AU101=1,SETTINGS!$B$21,1),6),0)</f>
        <v>0</v>
      </c>
      <c r="AH101" s="28" t="str">
        <f ca="1">IF(AG101&gt;0,COUNTIFS($Z$2:$Z$601,Z101,$AG$2:$AG$601,"&gt;"&amp;AG101)+COUNTIFS($Z$2:Z101,Z101,$AG$2:AG101,AG101),"")</f>
        <v/>
      </c>
      <c r="AI101" s="28" t="str">
        <f t="shared" ca="1" si="16"/>
        <v/>
      </c>
      <c r="AJ101" s="28" t="str">
        <f t="shared" ca="1" si="17"/>
        <v/>
      </c>
      <c r="AK101" s="28">
        <f>IF(L101=1,IF(COUNTIFS($F$2:F101,F101,$L$2:L101,1)=1,1,0),0)</f>
        <v>1</v>
      </c>
      <c r="AL101" s="28" t="str">
        <f>IF(B101="","",IF(K101="DUPLICATE","Duplicate (removed)",IF(AO101=1,"Scheduled within 24h",IF(M101=1,"Scheduled late",IF(K101="BAD CONTACT","Bad contact details",IF(O101=1,"Stopped / wrong number",IF(N101=1,"Not interested",IF(P101=1,"Partner has no slots",IF(SETTINGS!$B$4&gt;=V101,IF(Q101=0,"Missed deadline: never tried","Missed deadline: tried, not booked"),IF(Q101&gt;=SETTINGS!$B$6,"No reply after max tries","Open"))))))))))</f>
        <v>Scheduled within 24h</v>
      </c>
      <c r="AM101" s="46">
        <f>IF(M101=1,IF(_xlfn.MINIFS(LOG!$G$2:$G$2001,LOG!$C$2:$C$2001,F101,LOG!$E$2:$E$2001,B101,LOG!$D$2:$D$2001,"*BOOKED")=0,_xlfn.MINIFS(LOG!$G$2:$G$2001,LOG!$C$2:$C$2001,F101,LOG!$E$2:$E$2001,"",LOG!$D$2:$D$2001,"*BOOKED"),IF(_xlfn.MINIFS(LOG!$G$2:$G$2001,LOG!$C$2:$C$2001,F101,LOG!$E$2:$E$2001,"",LOG!$D$2:$D$2001,"*BOOKED")=0,_xlfn.MINIFS(LOG!$G$2:$G$2001,LOG!$C$2:$C$2001,F101,LOG!$E$2:$E$2001,B101,LOG!$D$2:$D$2001,"*BOOKED"),MIN(_xlfn.MINIFS(LOG!$G$2:$G$2001,LOG!$C$2:$C$2001,F101,LOG!$E$2:$E$2001,B101,LOG!$D$2:$D$2001,"*BOOKED"),_xlfn.MINIFS(LOG!$G$2:$G$2001,LOG!$C$2:$C$2001,F101,LOG!$E$2:$E$2001,"",LOG!$D$2:$D$2001,"*BOOKED")))),"")</f>
        <v>46309.580147443863</v>
      </c>
      <c r="AN101" s="28">
        <f t="shared" si="18"/>
        <v>18.073538652795833</v>
      </c>
      <c r="AO101" s="28">
        <f>IF(AND(M101=1,AN101&lt;&gt;""),IF(AN101&lt;=SETTINGS!$B$5,1,0),0)</f>
        <v>1</v>
      </c>
      <c r="AP101" s="28">
        <f>IF(M101=1,IF(COUNTIFS(LOG!$C$2:$C$2001,F101,LOG!$E$2:$E$2001,B101,LOG!$D$2:$D$2001,"BOOKED")+COUNTIFS(LOG!$C$2:$C$2001,F101,LOG!$E$2:$E$2001,"",LOG!$D$2:$D$2001,"BOOKED")&gt;0,1,0),0)</f>
        <v>1</v>
      </c>
      <c r="AQ101" s="28" t="str">
        <f t="shared" si="19"/>
        <v>Ananya</v>
      </c>
      <c r="AR101" s="28">
        <f>IF(AND(AK101=1,K101="OK"),COUNTIFS($AK$2:AK101,1,$K$2:K101,"OK"),"")</f>
        <v>94</v>
      </c>
      <c r="AS101" s="28" t="str">
        <f>IF(L101=1,IFERROR(INDEX(MESSAGES!$J$9:$J$1008,MATCH(F101,MESSAGES!$M$9:$M$1008,0))&amp;"",""),"")</f>
        <v/>
      </c>
      <c r="AT101" s="28" t="str">
        <f>IF(L101=1,IFERROR(INDEX(MESSAGES!$K$9:$K$1008,MATCH(F101,MESSAGES!$M$9:$M$1008,0))&amp;"",""),"")</f>
        <v/>
      </c>
      <c r="AU101" s="28">
        <f t="shared" ca="1" si="20"/>
        <v>0</v>
      </c>
      <c r="AV101" s="28" t="str">
        <f t="shared" si="21"/>
        <v>SEND</v>
      </c>
    </row>
    <row r="102" spans="1:48" x14ac:dyDescent="0.35">
      <c r="A102" s="28">
        <v>101</v>
      </c>
      <c r="B102" s="28" t="str">
        <f>IF(INPUT!A102="","",TRIM(INPUT!A102))</f>
        <v>Partner 048</v>
      </c>
      <c r="C102" s="28" t="str">
        <f>IF(B102="","",INPUT!C102)</f>
        <v>interviewer1@partner048.example.com</v>
      </c>
      <c r="D102" s="28" t="str">
        <f>IF(B102="","",INPUT!D102)</f>
        <v>Aditya G.</v>
      </c>
      <c r="E102" s="28" t="str">
        <f>IF(B102="","",INPUT!E102)</f>
        <v>aditya.g202@example.com</v>
      </c>
      <c r="F102" s="43" t="str">
        <f>IF(B102="","",TRIM(INPUT!F102&amp;""))</f>
        <v>9000002633</v>
      </c>
      <c r="G102" s="28" t="str">
        <f>IF(B102="","",INPUT!H102)</f>
        <v>Round1</v>
      </c>
      <c r="H102" s="46">
        <f>IF(B102="","",INPUT!I102)</f>
        <v>46308.82708333333</v>
      </c>
      <c r="I102" s="28" t="str">
        <f>IF(B102="","",IF(INPUT!J102="","None",INPUT!J102))</f>
        <v>Clicked</v>
      </c>
      <c r="J102" s="28" t="str">
        <f t="shared" si="11"/>
        <v>aditya.g202@example.com|partner 048|Round1|interviewer1@partner048.example.com</v>
      </c>
      <c r="K102" s="28" t="str">
        <f>IF(B102="","",IF(SUMPRODUCT(($J$2:$J$601=J102)*($H$2:$H$601&lt;H102))+SUMPRODUCT(($J$2:J102=J102)*($H$2:H102=H102))-1&gt;0,"DUPLICATE",IF(AND(ISNUMBER(SEARCH("@",E102)),ISNUMBER(SEARCH(".",E102)),LEN(F102)=10,ISNUMBER(VALUE(F102))),"OK","BAD CONTACT")))</f>
        <v>OK</v>
      </c>
      <c r="L102" s="28">
        <f t="shared" si="12"/>
        <v>1</v>
      </c>
      <c r="M102" s="28">
        <f>IF(L102=1,IF(COUNTIFS(LOG!$C$2:$C$2001,F102,LOG!$E$2:$E$2001,B102,LOG!$D$2:$D$2001,"*BOOKED")+COUNTIFS(LOG!$C$2:$C$2001,F102,LOG!$E$2:$E$2001,"",LOG!$D$2:$D$2001,"*BOOKED")&gt;0,1,0),0)</f>
        <v>1</v>
      </c>
      <c r="N102" s="28">
        <f>IF(L102=1,IF(COUNTIFS(LOG!$C$2:$C$2001,F102,LOG!$E$2:$E$2001,B102,LOG!$D$2:$D$2001,"NOT_INTERESTED")+COUNTIFS(LOG!$C$2:$C$2001,F102,LOG!$E$2:$E$2001,"",LOG!$D$2:$D$2001,"NOT_INTERESTED")&gt;0,1,0),0)</f>
        <v>0</v>
      </c>
      <c r="O102" s="28">
        <f>IF(L102=1,IF(COUNTIFS(LOG!$C$2:$C$2001,F102,LOG!$D$2:$D$2001,"STOP")+COUNTIFS(LOG!$C$2:$C$2001,F102,LOG!$D$2:$D$2001,"WRONG_NUMBER")&gt;0,1,IF(ISNUMBER(SEARCH("STOP",AT102)),1,0)),0)</f>
        <v>0</v>
      </c>
      <c r="P102" s="28">
        <f>IF(L102=1,IF(IFERROR(INDEX(PARTNERS!$D$2:$D$88,MATCH(B102,PARTNERS!$A$2:$A$88,0)),"")="NO SLOTS",1,IF(AND(IFERROR(INDEX(PARTNERS!$D$2:$D$88,MATCH(B102,PARTNERS!$A$2:$A$88,0)),"")&lt;&gt;"REOPENED",COUNTIFS(LOG!$E$2:$E$2001,B102,LOG!$D$2:$D$2001,"NO_SLOTS")&gt;0),1,0)),0)</f>
        <v>0</v>
      </c>
      <c r="Q102" s="28">
        <f>IF(L102=1,COUNTIFS(LOG!$C$2:$C$2001,F102,LOG!$H$2:$H$2001,1),0)</f>
        <v>1</v>
      </c>
      <c r="R102" s="46">
        <f>IF(Q102&gt;0,_xlfn.MAXIFS(LOG!$G$2:$G$2001,LOG!$C$2:$C$2001,F102,LOG!$H$2:$H$2001,1),0)</f>
        <v>46309.572937585188</v>
      </c>
      <c r="S102" s="28" t="str">
        <f>IF(Q102&gt;0,IFERROR(INDEX(LOG!$D$2:$D$2001,MATCH(F102&amp;"|"&amp;Q102,LOG!$I$2:$I$2001,0)),""),"")</f>
        <v>BOOKED</v>
      </c>
      <c r="T102" s="28">
        <f>IF(S102="",0,IFERROR(VLOOKUP(S102,LISTS!$A$2:$E$10,4,FALSE),0))</f>
        <v>0</v>
      </c>
      <c r="U102" s="46">
        <f t="shared" si="13"/>
        <v>46309.572937585188</v>
      </c>
      <c r="V102" s="46">
        <f>IF(L102=1,H102+SETTINGS!$B$5/24,"")</f>
        <v>46309.82708333333</v>
      </c>
      <c r="W102" s="28">
        <f ca="1">IF(L102=1,(V102-SETTINGS!$B$4)*24,"")</f>
        <v>-1.6666666720993817E-2</v>
      </c>
      <c r="X102" s="28">
        <f ca="1">IF(AND(L102=1,K102="OK",M102=0,N102=0,O102=0,P102=0,SETTINGS!$B$4&lt;V102,Q102&lt;SETTINGS!$B$6),1,0)</f>
        <v>0</v>
      </c>
      <c r="Y102" s="28">
        <f ca="1">IF(AND(X102=1,SETTINGS!$B$4&gt;=H102,SETTINGS!$B$4&gt;=U102,ROUND(MOD(SETTINGS!$B$4,1)*1440,0)&gt;=ROUND(SETTINGS!$B$7*1440,0),ROUND(MOD(SETTINGS!$B$4,1)*1440,0)&lt;ROUND(SETTINGS!$B$8*1440,0)),1,0)</f>
        <v>0</v>
      </c>
      <c r="Z102" s="28" t="str">
        <f ca="1">IF(B102="","",IF(ROUND(MOD(SETTINGS!$B$4,1)*1440,0)&lt;ROUND(SETTINGS!$B$11*1440,0),"Ram",IF(ROUND(MOD(SETTINGS!$B$4,1)*1440,0)&gt;=ROUND(SETTINGS!$B$10*1440,0),"Shyam",IF(MOD(IFERROR(VALUE(RIGHT(F102,2)),0),2)=0,"Ram","Shyam"))))</f>
        <v>Shyam</v>
      </c>
      <c r="AA102" s="28">
        <f t="shared" ca="1" si="14"/>
        <v>0</v>
      </c>
      <c r="AB102" s="28">
        <f ca="1">IF(X102=1,COUNTIFS($F$2:F102,F102,$X$2:X102,1),0)</f>
        <v>0</v>
      </c>
      <c r="AC102" s="28" t="str">
        <f>IF(L102=1,IF(IFERROR(INDEX(PARTNERS!$C$2:$C$88,MATCH(B102,PARTNERS!$A$2:$A$88,0)),"")="YES","YES","NO"),"")</f>
        <v>YES</v>
      </c>
      <c r="AD102" s="28" t="str">
        <f>IF(L102=1,IFERROR(INDEX(PARTNERS!$B$2:$B$88,MATCH(B102,PARTNERS!$A$2:$A$88,0)),""),"")</f>
        <v>https://calendly.com/partner048/interview</v>
      </c>
      <c r="AE102" s="28">
        <f ca="1">IF(X102=1,IFERROR(INDEX(SETTINGS!$B$34:$D$36,MATCH(I102,SETTINGS!$A$34:$A$36,0),MIN(Q102,2)+1),SETTINGS!$B$36),0)</f>
        <v>0</v>
      </c>
      <c r="AF102" s="28">
        <f t="shared" si="15"/>
        <v>1</v>
      </c>
      <c r="AG102" s="28">
        <f ca="1">IF(AND(Y102=1,AB102=1),ROUND(AA102*AE102*IF(AF102&gt;1,SETTINGS!$B$16,1)*IF(W102&lt;=SETTINGS!$B$14,SETTINGS!$B$15,1)*IF(AU102=1,SETTINGS!$B$21,1),6),0)</f>
        <v>0</v>
      </c>
      <c r="AH102" s="28" t="str">
        <f ca="1">IF(AG102&gt;0,COUNTIFS($Z$2:$Z$601,Z102,$AG$2:$AG$601,"&gt;"&amp;AG102)+COUNTIFS($Z$2:Z102,Z102,$AG$2:AG102,AG102),"")</f>
        <v/>
      </c>
      <c r="AI102" s="28" t="str">
        <f t="shared" ca="1" si="16"/>
        <v/>
      </c>
      <c r="AJ102" s="28" t="str">
        <f t="shared" ca="1" si="17"/>
        <v/>
      </c>
      <c r="AK102" s="28">
        <f>IF(L102=1,IF(COUNTIFS($F$2:F102,F102,$L$2:L102,1)=1,1,0),0)</f>
        <v>1</v>
      </c>
      <c r="AL102" s="28" t="str">
        <f>IF(B102="","",IF(K102="DUPLICATE","Duplicate (removed)",IF(AO102=1,"Scheduled within 24h",IF(M102=1,"Scheduled late",IF(K102="BAD CONTACT","Bad contact details",IF(O102=1,"Stopped / wrong number",IF(N102=1,"Not interested",IF(P102=1,"Partner has no slots",IF(SETTINGS!$B$4&gt;=V102,IF(Q102=0,"Missed deadline: never tried","Missed deadline: tried, not booked"),IF(Q102&gt;=SETTINGS!$B$6,"No reply after max tries","Open"))))))))))</f>
        <v>Scheduled within 24h</v>
      </c>
      <c r="AM102" s="46">
        <f>IF(M102=1,IF(_xlfn.MINIFS(LOG!$G$2:$G$2001,LOG!$C$2:$C$2001,F102,LOG!$E$2:$E$2001,B102,LOG!$D$2:$D$2001,"*BOOKED")=0,_xlfn.MINIFS(LOG!$G$2:$G$2001,LOG!$C$2:$C$2001,F102,LOG!$E$2:$E$2001,"",LOG!$D$2:$D$2001,"*BOOKED"),IF(_xlfn.MINIFS(LOG!$G$2:$G$2001,LOG!$C$2:$C$2001,F102,LOG!$E$2:$E$2001,"",LOG!$D$2:$D$2001,"*BOOKED")=0,_xlfn.MINIFS(LOG!$G$2:$G$2001,LOG!$C$2:$C$2001,F102,LOG!$E$2:$E$2001,B102,LOG!$D$2:$D$2001,"*BOOKED"),MIN(_xlfn.MINIFS(LOG!$G$2:$G$2001,LOG!$C$2:$C$2001,F102,LOG!$E$2:$E$2001,B102,LOG!$D$2:$D$2001,"*BOOKED"),_xlfn.MINIFS(LOG!$G$2:$G$2001,LOG!$C$2:$C$2001,F102,LOG!$E$2:$E$2001,"",LOG!$D$2:$D$2001,"*BOOKED")))),"")</f>
        <v>46309.572937585188</v>
      </c>
      <c r="AN102" s="28">
        <f t="shared" si="18"/>
        <v>17.900502044591121</v>
      </c>
      <c r="AO102" s="28">
        <f>IF(AND(M102=1,AN102&lt;&gt;""),IF(AN102&lt;=SETTINGS!$B$5,1,0),0)</f>
        <v>1</v>
      </c>
      <c r="AP102" s="28">
        <f>IF(M102=1,IF(COUNTIFS(LOG!$C$2:$C$2001,F102,LOG!$E$2:$E$2001,B102,LOG!$D$2:$D$2001,"BOOKED")+COUNTIFS(LOG!$C$2:$C$2001,F102,LOG!$E$2:$E$2001,"",LOG!$D$2:$D$2001,"BOOKED")&gt;0,1,0),0)</f>
        <v>1</v>
      </c>
      <c r="AQ102" s="28" t="str">
        <f t="shared" si="19"/>
        <v>Aditya</v>
      </c>
      <c r="AR102" s="28">
        <f>IF(AND(AK102=1,K102="OK"),COUNTIFS($AK$2:AK102,1,$K$2:K102,"OK"),"")</f>
        <v>95</v>
      </c>
      <c r="AS102" s="28" t="str">
        <f>IF(L102=1,IFERROR(INDEX(MESSAGES!$J$9:$J$1008,MATCH(F102,MESSAGES!$M$9:$M$1008,0))&amp;"",""),"")</f>
        <v/>
      </c>
      <c r="AT102" s="28" t="str">
        <f>IF(L102=1,IFERROR(INDEX(MESSAGES!$K$9:$K$1008,MATCH(F102,MESSAGES!$M$9:$M$1008,0))&amp;"",""),"")</f>
        <v/>
      </c>
      <c r="AU102" s="28">
        <f t="shared" ca="1" si="20"/>
        <v>0</v>
      </c>
      <c r="AV102" s="28" t="str">
        <f t="shared" si="21"/>
        <v>HOLD</v>
      </c>
    </row>
    <row r="103" spans="1:48" x14ac:dyDescent="0.35">
      <c r="A103" s="28">
        <v>102</v>
      </c>
      <c r="B103" s="28" t="str">
        <f>IF(INPUT!A103="","",TRIM(INPUT!A103))</f>
        <v>Partner 001</v>
      </c>
      <c r="C103" s="28" t="str">
        <f>IF(B103="","",INPUT!C103)</f>
        <v>interviewer1@partner001.example.com</v>
      </c>
      <c r="D103" s="28" t="str">
        <f>IF(B103="","",INPUT!D103)</f>
        <v>Saanvi H.</v>
      </c>
      <c r="E103" s="28" t="str">
        <f>IF(B103="","",INPUT!E103)</f>
        <v>saanvi.h219@example.com</v>
      </c>
      <c r="F103" s="43" t="str">
        <f>IF(B103="","",TRIM(INPUT!F103&amp;""))</f>
        <v>9000002854</v>
      </c>
      <c r="G103" s="28" t="str">
        <f>IF(B103="","",INPUT!H103)</f>
        <v>Round1</v>
      </c>
      <c r="H103" s="46">
        <f>IF(B103="","",INPUT!I103)</f>
        <v>46308.82708333333</v>
      </c>
      <c r="I103" s="28" t="str">
        <f>IF(B103="","",IF(INPUT!J103="","None",INPUT!J103))</f>
        <v>Opened</v>
      </c>
      <c r="J103" s="28" t="str">
        <f t="shared" si="11"/>
        <v>saanvi.h219@example.com|partner 001|Round1|interviewer1@partner001.example.com</v>
      </c>
      <c r="K103" s="28" t="str">
        <f>IF(B103="","",IF(SUMPRODUCT(($J$2:$J$601=J103)*($H$2:$H$601&lt;H103))+SUMPRODUCT(($J$2:J103=J103)*($H$2:H103=H103))-1&gt;0,"DUPLICATE",IF(AND(ISNUMBER(SEARCH("@",E103)),ISNUMBER(SEARCH(".",E103)),LEN(F103)=10,ISNUMBER(VALUE(F103))),"OK","BAD CONTACT")))</f>
        <v>OK</v>
      </c>
      <c r="L103" s="28">
        <f t="shared" si="12"/>
        <v>1</v>
      </c>
      <c r="M103" s="28">
        <f>IF(L103=1,IF(COUNTIFS(LOG!$C$2:$C$2001,F103,LOG!$E$2:$E$2001,B103,LOG!$D$2:$D$2001,"*BOOKED")+COUNTIFS(LOG!$C$2:$C$2001,F103,LOG!$E$2:$E$2001,"",LOG!$D$2:$D$2001,"*BOOKED")&gt;0,1,0),0)</f>
        <v>0</v>
      </c>
      <c r="N103" s="28">
        <f>IF(L103=1,IF(COUNTIFS(LOG!$C$2:$C$2001,F103,LOG!$E$2:$E$2001,B103,LOG!$D$2:$D$2001,"NOT_INTERESTED")+COUNTIFS(LOG!$C$2:$C$2001,F103,LOG!$E$2:$E$2001,"",LOG!$D$2:$D$2001,"NOT_INTERESTED")&gt;0,1,0),0)</f>
        <v>0</v>
      </c>
      <c r="O103" s="28">
        <f>IF(L103=1,IF(COUNTIFS(LOG!$C$2:$C$2001,F103,LOG!$D$2:$D$2001,"STOP")+COUNTIFS(LOG!$C$2:$C$2001,F103,LOG!$D$2:$D$2001,"WRONG_NUMBER")&gt;0,1,IF(ISNUMBER(SEARCH("STOP",AT103)),1,0)),0)</f>
        <v>0</v>
      </c>
      <c r="P103" s="28">
        <f>IF(L103=1,IF(IFERROR(INDEX(PARTNERS!$D$2:$D$88,MATCH(B103,PARTNERS!$A$2:$A$88,0)),"")="NO SLOTS",1,IF(AND(IFERROR(INDEX(PARTNERS!$D$2:$D$88,MATCH(B103,PARTNERS!$A$2:$A$88,0)),"")&lt;&gt;"REOPENED",COUNTIFS(LOG!$E$2:$E$2001,B103,LOG!$D$2:$D$2001,"NO_SLOTS")&gt;0),1,0)),0)</f>
        <v>0</v>
      </c>
      <c r="Q103" s="28">
        <f>IF(L103=1,COUNTIFS(LOG!$C$2:$C$2001,F103,LOG!$H$2:$H$2001,1),0)</f>
        <v>0</v>
      </c>
      <c r="R103" s="46">
        <f>IF(Q103&gt;0,_xlfn.MAXIFS(LOG!$G$2:$G$2001,LOG!$C$2:$C$2001,F103,LOG!$H$2:$H$2001,1),0)</f>
        <v>0</v>
      </c>
      <c r="S103" s="28" t="str">
        <f>IF(Q103&gt;0,IFERROR(INDEX(LOG!$D$2:$D$2001,MATCH(F103&amp;"|"&amp;Q103,LOG!$I$2:$I$2001,0)),""),"")</f>
        <v/>
      </c>
      <c r="T103" s="28">
        <f>IF(S103="",0,IFERROR(VLOOKUP(S103,LISTS!$A$2:$E$10,4,FALSE),0))</f>
        <v>0</v>
      </c>
      <c r="U103" s="46">
        <f t="shared" si="13"/>
        <v>0</v>
      </c>
      <c r="V103" s="46">
        <f>IF(L103=1,H103+SETTINGS!$B$5/24,"")</f>
        <v>46309.82708333333</v>
      </c>
      <c r="W103" s="28">
        <f ca="1">IF(L103=1,(V103-SETTINGS!$B$4)*24,"")</f>
        <v>-1.6666666720993817E-2</v>
      </c>
      <c r="X103" s="28">
        <f ca="1">IF(AND(L103=1,K103="OK",M103=0,N103=0,O103=0,P103=0,SETTINGS!$B$4&lt;V103,Q103&lt;SETTINGS!$B$6),1,0)</f>
        <v>0</v>
      </c>
      <c r="Y103" s="28">
        <f ca="1">IF(AND(X103=1,SETTINGS!$B$4&gt;=H103,SETTINGS!$B$4&gt;=U103,ROUND(MOD(SETTINGS!$B$4,1)*1440,0)&gt;=ROUND(SETTINGS!$B$7*1440,0),ROUND(MOD(SETTINGS!$B$4,1)*1440,0)&lt;ROUND(SETTINGS!$B$8*1440,0)),1,0)</f>
        <v>0</v>
      </c>
      <c r="Z103" s="28" t="str">
        <f ca="1">IF(B103="","",IF(ROUND(MOD(SETTINGS!$B$4,1)*1440,0)&lt;ROUND(SETTINGS!$B$11*1440,0),"Ram",IF(ROUND(MOD(SETTINGS!$B$4,1)*1440,0)&gt;=ROUND(SETTINGS!$B$10*1440,0),"Shyam",IF(MOD(IFERROR(VALUE(RIGHT(F103,2)),0),2)=0,"Ram","Shyam"))))</f>
        <v>Shyam</v>
      </c>
      <c r="AA103" s="28">
        <f t="shared" ca="1" si="14"/>
        <v>0</v>
      </c>
      <c r="AB103" s="28">
        <f ca="1">IF(X103=1,COUNTIFS($F$2:F103,F103,$X$2:X103,1),0)</f>
        <v>0</v>
      </c>
      <c r="AC103" s="28" t="str">
        <f>IF(L103=1,IF(IFERROR(INDEX(PARTNERS!$C$2:$C$88,MATCH(B103,PARTNERS!$A$2:$A$88,0)),"")="YES","YES","NO"),"")</f>
        <v>NO</v>
      </c>
      <c r="AD103" s="28" t="str">
        <f>IF(L103=1,IFERROR(INDEX(PARTNERS!$B$2:$B$88,MATCH(B103,PARTNERS!$A$2:$A$88,0)),""),"")</f>
        <v>https://calendly.com/partner001/interview</v>
      </c>
      <c r="AE103" s="28">
        <f ca="1">IF(X103=1,IFERROR(INDEX(SETTINGS!$B$34:$D$36,MATCH(I103,SETTINGS!$A$34:$A$36,0),MIN(Q103,2)+1),SETTINGS!$B$36),0)</f>
        <v>0</v>
      </c>
      <c r="AF103" s="28">
        <f t="shared" si="15"/>
        <v>1</v>
      </c>
      <c r="AG103" s="28">
        <f ca="1">IF(AND(Y103=1,AB103=1),ROUND(AA103*AE103*IF(AF103&gt;1,SETTINGS!$B$16,1)*IF(W103&lt;=SETTINGS!$B$14,SETTINGS!$B$15,1)*IF(AU103=1,SETTINGS!$B$21,1),6),0)</f>
        <v>0</v>
      </c>
      <c r="AH103" s="28" t="str">
        <f ca="1">IF(AG103&gt;0,COUNTIFS($Z$2:$Z$601,Z103,$AG$2:$AG$601,"&gt;"&amp;AG103)+COUNTIFS($Z$2:Z103,Z103,$AG$2:AG103,AG103),"")</f>
        <v/>
      </c>
      <c r="AI103" s="28" t="str">
        <f t="shared" ca="1" si="16"/>
        <v/>
      </c>
      <c r="AJ103" s="28" t="str">
        <f t="shared" ca="1" si="17"/>
        <v/>
      </c>
      <c r="AK103" s="28">
        <f>IF(L103=1,IF(COUNTIFS($F$2:F103,F103,$L$2:L103,1)=1,1,0),0)</f>
        <v>1</v>
      </c>
      <c r="AL103" s="28" t="str">
        <f ca="1">IF(B103="","",IF(K103="DUPLICATE","Duplicate (removed)",IF(AO103=1,"Scheduled within 24h",IF(M103=1,"Scheduled late",IF(K103="BAD CONTACT","Bad contact details",IF(O103=1,"Stopped / wrong number",IF(N103=1,"Not interested",IF(P103=1,"Partner has no slots",IF(SETTINGS!$B$4&gt;=V103,IF(Q103=0,"Missed deadline: never tried","Missed deadline: tried, not booked"),IF(Q103&gt;=SETTINGS!$B$6,"No reply after max tries","Open"))))))))))</f>
        <v>Missed deadline: never tried</v>
      </c>
      <c r="AM103" s="46" t="str">
        <f>IF(M103=1,IF(_xlfn.MINIFS(LOG!$G$2:$G$2001,LOG!$C$2:$C$2001,F103,LOG!$E$2:$E$2001,B103,LOG!$D$2:$D$2001,"*BOOKED")=0,_xlfn.MINIFS(LOG!$G$2:$G$2001,LOG!$C$2:$C$2001,F103,LOG!$E$2:$E$2001,"",LOG!$D$2:$D$2001,"*BOOKED"),IF(_xlfn.MINIFS(LOG!$G$2:$G$2001,LOG!$C$2:$C$2001,F103,LOG!$E$2:$E$2001,"",LOG!$D$2:$D$2001,"*BOOKED")=0,_xlfn.MINIFS(LOG!$G$2:$G$2001,LOG!$C$2:$C$2001,F103,LOG!$E$2:$E$2001,B103,LOG!$D$2:$D$2001,"*BOOKED"),MIN(_xlfn.MINIFS(LOG!$G$2:$G$2001,LOG!$C$2:$C$2001,F103,LOG!$E$2:$E$2001,B103,LOG!$D$2:$D$2001,"*BOOKED"),_xlfn.MINIFS(LOG!$G$2:$G$2001,LOG!$C$2:$C$2001,F103,LOG!$E$2:$E$2001,"",LOG!$D$2:$D$2001,"*BOOKED")))),"")</f>
        <v/>
      </c>
      <c r="AN103" s="28" t="str">
        <f t="shared" si="18"/>
        <v/>
      </c>
      <c r="AO103" s="28">
        <f>IF(AND(M103=1,AN103&lt;&gt;""),IF(AN103&lt;=SETTINGS!$B$5,1,0),0)</f>
        <v>0</v>
      </c>
      <c r="AP103" s="28">
        <f>IF(M103=1,IF(COUNTIFS(LOG!$C$2:$C$2001,F103,LOG!$E$2:$E$2001,B103,LOG!$D$2:$D$2001,"BOOKED")+COUNTIFS(LOG!$C$2:$C$2001,F103,LOG!$E$2:$E$2001,"",LOG!$D$2:$D$2001,"BOOKED")&gt;0,1,0),0)</f>
        <v>0</v>
      </c>
      <c r="AQ103" s="28" t="str">
        <f t="shared" si="19"/>
        <v>Saanvi</v>
      </c>
      <c r="AR103" s="28">
        <f>IF(AND(AK103=1,K103="OK"),COUNTIFS($AK$2:AK103,1,$K$2:K103,"OK"),"")</f>
        <v>96</v>
      </c>
      <c r="AS103" s="28" t="str">
        <f>IF(L103=1,IFERROR(INDEX(MESSAGES!$J$9:$J$1008,MATCH(F103,MESSAGES!$M$9:$M$1008,0))&amp;"",""),"")</f>
        <v/>
      </c>
      <c r="AT103" s="28" t="str">
        <f>IF(L103=1,IFERROR(INDEX(MESSAGES!$K$9:$K$1008,MATCH(F103,MESSAGES!$M$9:$M$1008,0))&amp;"",""),"")</f>
        <v/>
      </c>
      <c r="AU103" s="28">
        <f t="shared" ca="1" si="20"/>
        <v>0</v>
      </c>
      <c r="AV103" s="28" t="str">
        <f t="shared" si="21"/>
        <v>HOLD</v>
      </c>
    </row>
    <row r="104" spans="1:48" x14ac:dyDescent="0.35">
      <c r="A104" s="28">
        <v>103</v>
      </c>
      <c r="B104" s="28" t="str">
        <f>IF(INPUT!A104="","",TRIM(INPUT!A104))</f>
        <v>Partner 000</v>
      </c>
      <c r="C104" s="28" t="str">
        <f>IF(B104="","",INPUT!C104)</f>
        <v>interviewer1@partner000.example.com</v>
      </c>
      <c r="D104" s="28" t="str">
        <f>IF(B104="","",INPUT!D104)</f>
        <v>Navya G.</v>
      </c>
      <c r="E104" s="28" t="str">
        <f>IF(B104="","",INPUT!E104)</f>
        <v>navya.g193@example.com</v>
      </c>
      <c r="F104" s="43" t="str">
        <f>IF(B104="","",TRIM(INPUT!F104&amp;""))</f>
        <v>9000002516</v>
      </c>
      <c r="G104" s="28" t="str">
        <f>IF(B104="","",INPUT!H104)</f>
        <v>Round1</v>
      </c>
      <c r="H104" s="46">
        <f>IF(B104="","",INPUT!I104)</f>
        <v>46308.82708333333</v>
      </c>
      <c r="I104" s="28" t="str">
        <f>IF(B104="","",IF(INPUT!J104="","None",INPUT!J104))</f>
        <v>None</v>
      </c>
      <c r="J104" s="28" t="str">
        <f t="shared" si="11"/>
        <v>navya.g193@example.com|partner 000|Round1|interviewer1@partner000.example.com</v>
      </c>
      <c r="K104" s="28" t="str">
        <f>IF(B104="","",IF(SUMPRODUCT(($J$2:$J$601=J104)*($H$2:$H$601&lt;H104))+SUMPRODUCT(($J$2:J104=J104)*($H$2:H104=H104))-1&gt;0,"DUPLICATE",IF(AND(ISNUMBER(SEARCH("@",E104)),ISNUMBER(SEARCH(".",E104)),LEN(F104)=10,ISNUMBER(VALUE(F104))),"OK","BAD CONTACT")))</f>
        <v>OK</v>
      </c>
      <c r="L104" s="28">
        <f t="shared" si="12"/>
        <v>1</v>
      </c>
      <c r="M104" s="28">
        <f>IF(L104=1,IF(COUNTIFS(LOG!$C$2:$C$2001,F104,LOG!$E$2:$E$2001,B104,LOG!$D$2:$D$2001,"*BOOKED")+COUNTIFS(LOG!$C$2:$C$2001,F104,LOG!$E$2:$E$2001,"",LOG!$D$2:$D$2001,"*BOOKED")&gt;0,1,0),0)</f>
        <v>0</v>
      </c>
      <c r="N104" s="28">
        <f>IF(L104=1,IF(COUNTIFS(LOG!$C$2:$C$2001,F104,LOG!$E$2:$E$2001,B104,LOG!$D$2:$D$2001,"NOT_INTERESTED")+COUNTIFS(LOG!$C$2:$C$2001,F104,LOG!$E$2:$E$2001,"",LOG!$D$2:$D$2001,"NOT_INTERESTED")&gt;0,1,0),0)</f>
        <v>0</v>
      </c>
      <c r="O104" s="28">
        <f>IF(L104=1,IF(COUNTIFS(LOG!$C$2:$C$2001,F104,LOG!$D$2:$D$2001,"STOP")+COUNTIFS(LOG!$C$2:$C$2001,F104,LOG!$D$2:$D$2001,"WRONG_NUMBER")&gt;0,1,IF(ISNUMBER(SEARCH("STOP",AT104)),1,0)),0)</f>
        <v>0</v>
      </c>
      <c r="P104" s="28">
        <f>IF(L104=1,IF(IFERROR(INDEX(PARTNERS!$D$2:$D$88,MATCH(B104,PARTNERS!$A$2:$A$88,0)),"")="NO SLOTS",1,IF(AND(IFERROR(INDEX(PARTNERS!$D$2:$D$88,MATCH(B104,PARTNERS!$A$2:$A$88,0)),"")&lt;&gt;"REOPENED",COUNTIFS(LOG!$E$2:$E$2001,B104,LOG!$D$2:$D$2001,"NO_SLOTS")&gt;0),1,0)),0)</f>
        <v>0</v>
      </c>
      <c r="Q104" s="28">
        <f>IF(L104=1,COUNTIFS(LOG!$C$2:$C$2001,F104,LOG!$H$2:$H$2001,1),0)</f>
        <v>0</v>
      </c>
      <c r="R104" s="46">
        <f>IF(Q104&gt;0,_xlfn.MAXIFS(LOG!$G$2:$G$2001,LOG!$C$2:$C$2001,F104,LOG!$H$2:$H$2001,1),0)</f>
        <v>0</v>
      </c>
      <c r="S104" s="28" t="str">
        <f>IF(Q104&gt;0,IFERROR(INDEX(LOG!$D$2:$D$2001,MATCH(F104&amp;"|"&amp;Q104,LOG!$I$2:$I$2001,0)),""),"")</f>
        <v/>
      </c>
      <c r="T104" s="28">
        <f>IF(S104="",0,IFERROR(VLOOKUP(S104,LISTS!$A$2:$E$10,4,FALSE),0))</f>
        <v>0</v>
      </c>
      <c r="U104" s="46">
        <f t="shared" si="13"/>
        <v>0</v>
      </c>
      <c r="V104" s="46">
        <f>IF(L104=1,H104+SETTINGS!$B$5/24,"")</f>
        <v>46309.82708333333</v>
      </c>
      <c r="W104" s="28">
        <f ca="1">IF(L104=1,(V104-SETTINGS!$B$4)*24,"")</f>
        <v>-1.6666666720993817E-2</v>
      </c>
      <c r="X104" s="28">
        <f ca="1">IF(AND(L104=1,K104="OK",M104=0,N104=0,O104=0,P104=0,SETTINGS!$B$4&lt;V104,Q104&lt;SETTINGS!$B$6),1,0)</f>
        <v>0</v>
      </c>
      <c r="Y104" s="28">
        <f ca="1">IF(AND(X104=1,SETTINGS!$B$4&gt;=H104,SETTINGS!$B$4&gt;=U104,ROUND(MOD(SETTINGS!$B$4,1)*1440,0)&gt;=ROUND(SETTINGS!$B$7*1440,0),ROUND(MOD(SETTINGS!$B$4,1)*1440,0)&lt;ROUND(SETTINGS!$B$8*1440,0)),1,0)</f>
        <v>0</v>
      </c>
      <c r="Z104" s="28" t="str">
        <f ca="1">IF(B104="","",IF(ROUND(MOD(SETTINGS!$B$4,1)*1440,0)&lt;ROUND(SETTINGS!$B$11*1440,0),"Ram",IF(ROUND(MOD(SETTINGS!$B$4,1)*1440,0)&gt;=ROUND(SETTINGS!$B$10*1440,0),"Shyam",IF(MOD(IFERROR(VALUE(RIGHT(F104,2)),0),2)=0,"Ram","Shyam"))))</f>
        <v>Shyam</v>
      </c>
      <c r="AA104" s="28">
        <f t="shared" ca="1" si="14"/>
        <v>0</v>
      </c>
      <c r="AB104" s="28">
        <f ca="1">IF(X104=1,COUNTIFS($F$2:F104,F104,$X$2:X104,1),0)</f>
        <v>0</v>
      </c>
      <c r="AC104" s="28" t="str">
        <f>IF(L104=1,IF(IFERROR(INDEX(PARTNERS!$C$2:$C$88,MATCH(B104,PARTNERS!$A$2:$A$88,0)),"")="YES","YES","NO"),"")</f>
        <v>NO</v>
      </c>
      <c r="AD104" s="28" t="str">
        <f>IF(L104=1,IFERROR(INDEX(PARTNERS!$B$2:$B$88,MATCH(B104,PARTNERS!$A$2:$A$88,0)),""),"")</f>
        <v>https://calendly.com/partner000/interview</v>
      </c>
      <c r="AE104" s="28">
        <f ca="1">IF(X104=1,IFERROR(INDEX(SETTINGS!$B$34:$D$36,MATCH(I104,SETTINGS!$A$34:$A$36,0),MIN(Q104,2)+1),SETTINGS!$B$36),0)</f>
        <v>0</v>
      </c>
      <c r="AF104" s="28">
        <f t="shared" si="15"/>
        <v>1</v>
      </c>
      <c r="AG104" s="28">
        <f ca="1">IF(AND(Y104=1,AB104=1),ROUND(AA104*AE104*IF(AF104&gt;1,SETTINGS!$B$16,1)*IF(W104&lt;=SETTINGS!$B$14,SETTINGS!$B$15,1)*IF(AU104=1,SETTINGS!$B$21,1),6),0)</f>
        <v>0</v>
      </c>
      <c r="AH104" s="28" t="str">
        <f ca="1">IF(AG104&gt;0,COUNTIFS($Z$2:$Z$601,Z104,$AG$2:$AG$601,"&gt;"&amp;AG104)+COUNTIFS($Z$2:Z104,Z104,$AG$2:AG104,AG104),"")</f>
        <v/>
      </c>
      <c r="AI104" s="28" t="str">
        <f t="shared" ca="1" si="16"/>
        <v/>
      </c>
      <c r="AJ104" s="28" t="str">
        <f t="shared" ca="1" si="17"/>
        <v/>
      </c>
      <c r="AK104" s="28">
        <f>IF(L104=1,IF(COUNTIFS($F$2:F104,F104,$L$2:L104,1)=1,1,0),0)</f>
        <v>1</v>
      </c>
      <c r="AL104" s="28" t="str">
        <f ca="1">IF(B104="","",IF(K104="DUPLICATE","Duplicate (removed)",IF(AO104=1,"Scheduled within 24h",IF(M104=1,"Scheduled late",IF(K104="BAD CONTACT","Bad contact details",IF(O104=1,"Stopped / wrong number",IF(N104=1,"Not interested",IF(P104=1,"Partner has no slots",IF(SETTINGS!$B$4&gt;=V104,IF(Q104=0,"Missed deadline: never tried","Missed deadline: tried, not booked"),IF(Q104&gt;=SETTINGS!$B$6,"No reply after max tries","Open"))))))))))</f>
        <v>Missed deadline: never tried</v>
      </c>
      <c r="AM104" s="46" t="str">
        <f>IF(M104=1,IF(_xlfn.MINIFS(LOG!$G$2:$G$2001,LOG!$C$2:$C$2001,F104,LOG!$E$2:$E$2001,B104,LOG!$D$2:$D$2001,"*BOOKED")=0,_xlfn.MINIFS(LOG!$G$2:$G$2001,LOG!$C$2:$C$2001,F104,LOG!$E$2:$E$2001,"",LOG!$D$2:$D$2001,"*BOOKED"),IF(_xlfn.MINIFS(LOG!$G$2:$G$2001,LOG!$C$2:$C$2001,F104,LOG!$E$2:$E$2001,"",LOG!$D$2:$D$2001,"*BOOKED")=0,_xlfn.MINIFS(LOG!$G$2:$G$2001,LOG!$C$2:$C$2001,F104,LOG!$E$2:$E$2001,B104,LOG!$D$2:$D$2001,"*BOOKED"),MIN(_xlfn.MINIFS(LOG!$G$2:$G$2001,LOG!$C$2:$C$2001,F104,LOG!$E$2:$E$2001,B104,LOG!$D$2:$D$2001,"*BOOKED"),_xlfn.MINIFS(LOG!$G$2:$G$2001,LOG!$C$2:$C$2001,F104,LOG!$E$2:$E$2001,"",LOG!$D$2:$D$2001,"*BOOKED")))),"")</f>
        <v/>
      </c>
      <c r="AN104" s="28" t="str">
        <f t="shared" si="18"/>
        <v/>
      </c>
      <c r="AO104" s="28">
        <f>IF(AND(M104=1,AN104&lt;&gt;""),IF(AN104&lt;=SETTINGS!$B$5,1,0),0)</f>
        <v>0</v>
      </c>
      <c r="AP104" s="28">
        <f>IF(M104=1,IF(COUNTIFS(LOG!$C$2:$C$2001,F104,LOG!$E$2:$E$2001,B104,LOG!$D$2:$D$2001,"BOOKED")+COUNTIFS(LOG!$C$2:$C$2001,F104,LOG!$E$2:$E$2001,"",LOG!$D$2:$D$2001,"BOOKED")&gt;0,1,0),0)</f>
        <v>0</v>
      </c>
      <c r="AQ104" s="28" t="str">
        <f t="shared" si="19"/>
        <v>Navya</v>
      </c>
      <c r="AR104" s="28">
        <f>IF(AND(AK104=1,K104="OK"),COUNTIFS($AK$2:AK104,1,$K$2:K104,"OK"),"")</f>
        <v>97</v>
      </c>
      <c r="AS104" s="28" t="str">
        <f>IF(L104=1,IFERROR(INDEX(MESSAGES!$J$9:$J$1008,MATCH(F104,MESSAGES!$M$9:$M$1008,0))&amp;"",""),"")</f>
        <v/>
      </c>
      <c r="AT104" s="28" t="str">
        <f>IF(L104=1,IFERROR(INDEX(MESSAGES!$K$9:$K$1008,MATCH(F104,MESSAGES!$M$9:$M$1008,0))&amp;"",""),"")</f>
        <v/>
      </c>
      <c r="AU104" s="28">
        <f t="shared" ca="1" si="20"/>
        <v>0</v>
      </c>
      <c r="AV104" s="28" t="str">
        <f t="shared" si="21"/>
        <v>HOLD</v>
      </c>
    </row>
    <row r="105" spans="1:48" x14ac:dyDescent="0.35">
      <c r="A105" s="28">
        <v>104</v>
      </c>
      <c r="B105" s="28" t="str">
        <f>IF(INPUT!A105="","",TRIM(INPUT!A105))</f>
        <v>Partner 002</v>
      </c>
      <c r="C105" s="28" t="str">
        <f>IF(B105="","",INPUT!C105)</f>
        <v>interviewer0@partner002.example.com</v>
      </c>
      <c r="D105" s="28" t="str">
        <f>IF(B105="","",INPUT!D105)</f>
        <v>Vihaan C.</v>
      </c>
      <c r="E105" s="28" t="str">
        <f>IF(B105="","",INPUT!E105)</f>
        <v>vihaan.c064@example.com</v>
      </c>
      <c r="F105" s="43" t="str">
        <f>IF(B105="","",TRIM(INPUT!F105&amp;""))</f>
        <v>9000000839</v>
      </c>
      <c r="G105" s="28" t="str">
        <f>IF(B105="","",INPUT!H105)</f>
        <v>Round1</v>
      </c>
      <c r="H105" s="46">
        <f>IF(B105="","",INPUT!I105)</f>
        <v>46308.82708333333</v>
      </c>
      <c r="I105" s="28" t="str">
        <f>IF(B105="","",IF(INPUT!J105="","None",INPUT!J105))</f>
        <v>None</v>
      </c>
      <c r="J105" s="28" t="str">
        <f t="shared" si="11"/>
        <v>vihaan.c064@example.com|partner 002|Round1|interviewer0@partner002.example.com</v>
      </c>
      <c r="K105" s="28" t="str">
        <f>IF(B105="","",IF(SUMPRODUCT(($J$2:$J$601=J105)*($H$2:$H$601&lt;H105))+SUMPRODUCT(($J$2:J105=J105)*($H$2:H105=H105))-1&gt;0,"DUPLICATE",IF(AND(ISNUMBER(SEARCH("@",E105)),ISNUMBER(SEARCH(".",E105)),LEN(F105)=10,ISNUMBER(VALUE(F105))),"OK","BAD CONTACT")))</f>
        <v>OK</v>
      </c>
      <c r="L105" s="28">
        <f t="shared" si="12"/>
        <v>1</v>
      </c>
      <c r="M105" s="28">
        <f>IF(L105=1,IF(COUNTIFS(LOG!$C$2:$C$2001,F105,LOG!$E$2:$E$2001,B105,LOG!$D$2:$D$2001,"*BOOKED")+COUNTIFS(LOG!$C$2:$C$2001,F105,LOG!$E$2:$E$2001,"",LOG!$D$2:$D$2001,"*BOOKED")&gt;0,1,0),0)</f>
        <v>0</v>
      </c>
      <c r="N105" s="28">
        <f>IF(L105=1,IF(COUNTIFS(LOG!$C$2:$C$2001,F105,LOG!$E$2:$E$2001,B105,LOG!$D$2:$D$2001,"NOT_INTERESTED")+COUNTIFS(LOG!$C$2:$C$2001,F105,LOG!$E$2:$E$2001,"",LOG!$D$2:$D$2001,"NOT_INTERESTED")&gt;0,1,0),0)</f>
        <v>0</v>
      </c>
      <c r="O105" s="28">
        <f>IF(L105=1,IF(COUNTIFS(LOG!$C$2:$C$2001,F105,LOG!$D$2:$D$2001,"STOP")+COUNTIFS(LOG!$C$2:$C$2001,F105,LOG!$D$2:$D$2001,"WRONG_NUMBER")&gt;0,1,IF(ISNUMBER(SEARCH("STOP",AT105)),1,0)),0)</f>
        <v>0</v>
      </c>
      <c r="P105" s="28">
        <f>IF(L105=1,IF(IFERROR(INDEX(PARTNERS!$D$2:$D$88,MATCH(B105,PARTNERS!$A$2:$A$88,0)),"")="NO SLOTS",1,IF(AND(IFERROR(INDEX(PARTNERS!$D$2:$D$88,MATCH(B105,PARTNERS!$A$2:$A$88,0)),"")&lt;&gt;"REOPENED",COUNTIFS(LOG!$E$2:$E$2001,B105,LOG!$D$2:$D$2001,"NO_SLOTS")&gt;0),1,0)),0)</f>
        <v>0</v>
      </c>
      <c r="Q105" s="28">
        <f>IF(L105=1,COUNTIFS(LOG!$C$2:$C$2001,F105,LOG!$H$2:$H$2001,1),0)</f>
        <v>0</v>
      </c>
      <c r="R105" s="46">
        <f>IF(Q105&gt;0,_xlfn.MAXIFS(LOG!$G$2:$G$2001,LOG!$C$2:$C$2001,F105,LOG!$H$2:$H$2001,1),0)</f>
        <v>0</v>
      </c>
      <c r="S105" s="28" t="str">
        <f>IF(Q105&gt;0,IFERROR(INDEX(LOG!$D$2:$D$2001,MATCH(F105&amp;"|"&amp;Q105,LOG!$I$2:$I$2001,0)),""),"")</f>
        <v/>
      </c>
      <c r="T105" s="28">
        <f>IF(S105="",0,IFERROR(VLOOKUP(S105,LISTS!$A$2:$E$10,4,FALSE),0))</f>
        <v>0</v>
      </c>
      <c r="U105" s="46">
        <f t="shared" si="13"/>
        <v>0</v>
      </c>
      <c r="V105" s="46">
        <f>IF(L105=1,H105+SETTINGS!$B$5/24,"")</f>
        <v>46309.82708333333</v>
      </c>
      <c r="W105" s="28">
        <f ca="1">IF(L105=1,(V105-SETTINGS!$B$4)*24,"")</f>
        <v>-1.6666666720993817E-2</v>
      </c>
      <c r="X105" s="28">
        <f ca="1">IF(AND(L105=1,K105="OK",M105=0,N105=0,O105=0,P105=0,SETTINGS!$B$4&lt;V105,Q105&lt;SETTINGS!$B$6),1,0)</f>
        <v>0</v>
      </c>
      <c r="Y105" s="28">
        <f ca="1">IF(AND(X105=1,SETTINGS!$B$4&gt;=H105,SETTINGS!$B$4&gt;=U105,ROUND(MOD(SETTINGS!$B$4,1)*1440,0)&gt;=ROUND(SETTINGS!$B$7*1440,0),ROUND(MOD(SETTINGS!$B$4,1)*1440,0)&lt;ROUND(SETTINGS!$B$8*1440,0)),1,0)</f>
        <v>0</v>
      </c>
      <c r="Z105" s="28" t="str">
        <f ca="1">IF(B105="","",IF(ROUND(MOD(SETTINGS!$B$4,1)*1440,0)&lt;ROUND(SETTINGS!$B$11*1440,0),"Ram",IF(ROUND(MOD(SETTINGS!$B$4,1)*1440,0)&gt;=ROUND(SETTINGS!$B$10*1440,0),"Shyam",IF(MOD(IFERROR(VALUE(RIGHT(F105,2)),0),2)=0,"Ram","Shyam"))))</f>
        <v>Shyam</v>
      </c>
      <c r="AA105" s="28">
        <f t="shared" ca="1" si="14"/>
        <v>0</v>
      </c>
      <c r="AB105" s="28">
        <f ca="1">IF(X105=1,COUNTIFS($F$2:F105,F105,$X$2:X105,1),0)</f>
        <v>0</v>
      </c>
      <c r="AC105" s="28" t="str">
        <f>IF(L105=1,IF(IFERROR(INDEX(PARTNERS!$C$2:$C$88,MATCH(B105,PARTNERS!$A$2:$A$88,0)),"")="YES","YES","NO"),"")</f>
        <v>YES</v>
      </c>
      <c r="AD105" s="28" t="str">
        <f>IF(L105=1,IFERROR(INDEX(PARTNERS!$B$2:$B$88,MATCH(B105,PARTNERS!$A$2:$A$88,0)),""),"")</f>
        <v>https://calendly.com/partner002/interview</v>
      </c>
      <c r="AE105" s="28">
        <f ca="1">IF(X105=1,IFERROR(INDEX(SETTINGS!$B$34:$D$36,MATCH(I105,SETTINGS!$A$34:$A$36,0),MIN(Q105,2)+1),SETTINGS!$B$36),0)</f>
        <v>0</v>
      </c>
      <c r="AF105" s="28">
        <f t="shared" si="15"/>
        <v>1</v>
      </c>
      <c r="AG105" s="28">
        <f ca="1">IF(AND(Y105=1,AB105=1),ROUND(AA105*AE105*IF(AF105&gt;1,SETTINGS!$B$16,1)*IF(W105&lt;=SETTINGS!$B$14,SETTINGS!$B$15,1)*IF(AU105=1,SETTINGS!$B$21,1),6),0)</f>
        <v>0</v>
      </c>
      <c r="AH105" s="28" t="str">
        <f ca="1">IF(AG105&gt;0,COUNTIFS($Z$2:$Z$601,Z105,$AG$2:$AG$601,"&gt;"&amp;AG105)+COUNTIFS($Z$2:Z105,Z105,$AG$2:AG105,AG105),"")</f>
        <v/>
      </c>
      <c r="AI105" s="28" t="str">
        <f t="shared" ca="1" si="16"/>
        <v/>
      </c>
      <c r="AJ105" s="28" t="str">
        <f t="shared" ca="1" si="17"/>
        <v/>
      </c>
      <c r="AK105" s="28">
        <f>IF(L105=1,IF(COUNTIFS($F$2:F105,F105,$L$2:L105,1)=1,1,0),0)</f>
        <v>1</v>
      </c>
      <c r="AL105" s="28" t="str">
        <f ca="1">IF(B105="","",IF(K105="DUPLICATE","Duplicate (removed)",IF(AO105=1,"Scheduled within 24h",IF(M105=1,"Scheduled late",IF(K105="BAD CONTACT","Bad contact details",IF(O105=1,"Stopped / wrong number",IF(N105=1,"Not interested",IF(P105=1,"Partner has no slots",IF(SETTINGS!$B$4&gt;=V105,IF(Q105=0,"Missed deadline: never tried","Missed deadline: tried, not booked"),IF(Q105&gt;=SETTINGS!$B$6,"No reply after max tries","Open"))))))))))</f>
        <v>Missed deadline: never tried</v>
      </c>
      <c r="AM105" s="46" t="str">
        <f>IF(M105=1,IF(_xlfn.MINIFS(LOG!$G$2:$G$2001,LOG!$C$2:$C$2001,F105,LOG!$E$2:$E$2001,B105,LOG!$D$2:$D$2001,"*BOOKED")=0,_xlfn.MINIFS(LOG!$G$2:$G$2001,LOG!$C$2:$C$2001,F105,LOG!$E$2:$E$2001,"",LOG!$D$2:$D$2001,"*BOOKED"),IF(_xlfn.MINIFS(LOG!$G$2:$G$2001,LOG!$C$2:$C$2001,F105,LOG!$E$2:$E$2001,"",LOG!$D$2:$D$2001,"*BOOKED")=0,_xlfn.MINIFS(LOG!$G$2:$G$2001,LOG!$C$2:$C$2001,F105,LOG!$E$2:$E$2001,B105,LOG!$D$2:$D$2001,"*BOOKED"),MIN(_xlfn.MINIFS(LOG!$G$2:$G$2001,LOG!$C$2:$C$2001,F105,LOG!$E$2:$E$2001,B105,LOG!$D$2:$D$2001,"*BOOKED"),_xlfn.MINIFS(LOG!$G$2:$G$2001,LOG!$C$2:$C$2001,F105,LOG!$E$2:$E$2001,"",LOG!$D$2:$D$2001,"*BOOKED")))),"")</f>
        <v/>
      </c>
      <c r="AN105" s="28" t="str">
        <f t="shared" si="18"/>
        <v/>
      </c>
      <c r="AO105" s="28">
        <f>IF(AND(M105=1,AN105&lt;&gt;""),IF(AN105&lt;=SETTINGS!$B$5,1,0),0)</f>
        <v>0</v>
      </c>
      <c r="AP105" s="28">
        <f>IF(M105=1,IF(COUNTIFS(LOG!$C$2:$C$2001,F105,LOG!$E$2:$E$2001,B105,LOG!$D$2:$D$2001,"BOOKED")+COUNTIFS(LOG!$C$2:$C$2001,F105,LOG!$E$2:$E$2001,"",LOG!$D$2:$D$2001,"BOOKED")&gt;0,1,0),0)</f>
        <v>0</v>
      </c>
      <c r="AQ105" s="28" t="str">
        <f t="shared" si="19"/>
        <v>Vihaan</v>
      </c>
      <c r="AR105" s="28">
        <f>IF(AND(AK105=1,K105="OK"),COUNTIFS($AK$2:AK105,1,$K$2:K105,"OK"),"")</f>
        <v>98</v>
      </c>
      <c r="AS105" s="28" t="str">
        <f>IF(L105=1,IFERROR(INDEX(MESSAGES!$J$9:$J$1008,MATCH(F105,MESSAGES!$M$9:$M$1008,0))&amp;"",""),"")</f>
        <v/>
      </c>
      <c r="AT105" s="28" t="str">
        <f>IF(L105=1,IFERROR(INDEX(MESSAGES!$K$9:$K$1008,MATCH(F105,MESSAGES!$M$9:$M$1008,0))&amp;"",""),"")</f>
        <v/>
      </c>
      <c r="AU105" s="28">
        <f t="shared" ca="1" si="20"/>
        <v>0</v>
      </c>
      <c r="AV105" s="28" t="str">
        <f t="shared" si="21"/>
        <v>HOLD</v>
      </c>
    </row>
    <row r="106" spans="1:48" x14ac:dyDescent="0.35">
      <c r="A106" s="28">
        <v>105</v>
      </c>
      <c r="B106" s="28" t="str">
        <f>IF(INPUT!A106="","",TRIM(INPUT!A106))</f>
        <v>Partner 000</v>
      </c>
      <c r="C106" s="28" t="str">
        <f>IF(B106="","",INPUT!C106)</f>
        <v>interviewer0@partner000.example.com</v>
      </c>
      <c r="D106" s="28" t="str">
        <f>IF(B106="","",INPUT!D106)</f>
        <v>Tara N.</v>
      </c>
      <c r="E106" s="28" t="str">
        <f>IF(B106="","",INPUT!E106)</f>
        <v>tara.n375@example.com</v>
      </c>
      <c r="F106" s="43" t="str">
        <f>IF(B106="","",TRIM(INPUT!F106&amp;""))</f>
        <v>9000004882</v>
      </c>
      <c r="G106" s="28" t="str">
        <f>IF(B106="","",INPUT!H106)</f>
        <v>Round1</v>
      </c>
      <c r="H106" s="46">
        <f>IF(B106="","",INPUT!I106)</f>
        <v>46308.82708333333</v>
      </c>
      <c r="I106" s="28" t="str">
        <f>IF(B106="","",IF(INPUT!J106="","None",INPUT!J106))</f>
        <v>Opened</v>
      </c>
      <c r="J106" s="28" t="str">
        <f t="shared" si="11"/>
        <v>tara.n375@example.com|partner 000|Round1|interviewer0@partner000.example.com</v>
      </c>
      <c r="K106" s="28" t="str">
        <f>IF(B106="","",IF(SUMPRODUCT(($J$2:$J$601=J106)*($H$2:$H$601&lt;H106))+SUMPRODUCT(($J$2:J106=J106)*($H$2:H106=H106))-1&gt;0,"DUPLICATE",IF(AND(ISNUMBER(SEARCH("@",E106)),ISNUMBER(SEARCH(".",E106)),LEN(F106)=10,ISNUMBER(VALUE(F106))),"OK","BAD CONTACT")))</f>
        <v>OK</v>
      </c>
      <c r="L106" s="28">
        <f t="shared" si="12"/>
        <v>1</v>
      </c>
      <c r="M106" s="28">
        <f>IF(L106=1,IF(COUNTIFS(LOG!$C$2:$C$2001,F106,LOG!$E$2:$E$2001,B106,LOG!$D$2:$D$2001,"*BOOKED")+COUNTIFS(LOG!$C$2:$C$2001,F106,LOG!$E$2:$E$2001,"",LOG!$D$2:$D$2001,"*BOOKED")&gt;0,1,0),0)</f>
        <v>0</v>
      </c>
      <c r="N106" s="28">
        <f>IF(L106=1,IF(COUNTIFS(LOG!$C$2:$C$2001,F106,LOG!$E$2:$E$2001,B106,LOG!$D$2:$D$2001,"NOT_INTERESTED")+COUNTIFS(LOG!$C$2:$C$2001,F106,LOG!$E$2:$E$2001,"",LOG!$D$2:$D$2001,"NOT_INTERESTED")&gt;0,1,0),0)</f>
        <v>0</v>
      </c>
      <c r="O106" s="28">
        <f>IF(L106=1,IF(COUNTIFS(LOG!$C$2:$C$2001,F106,LOG!$D$2:$D$2001,"STOP")+COUNTIFS(LOG!$C$2:$C$2001,F106,LOG!$D$2:$D$2001,"WRONG_NUMBER")&gt;0,1,IF(ISNUMBER(SEARCH("STOP",AT106)),1,0)),0)</f>
        <v>0</v>
      </c>
      <c r="P106" s="28">
        <f>IF(L106=1,IF(IFERROR(INDEX(PARTNERS!$D$2:$D$88,MATCH(B106,PARTNERS!$A$2:$A$88,0)),"")="NO SLOTS",1,IF(AND(IFERROR(INDEX(PARTNERS!$D$2:$D$88,MATCH(B106,PARTNERS!$A$2:$A$88,0)),"")&lt;&gt;"REOPENED",COUNTIFS(LOG!$E$2:$E$2001,B106,LOG!$D$2:$D$2001,"NO_SLOTS")&gt;0),1,0)),0)</f>
        <v>0</v>
      </c>
      <c r="Q106" s="28">
        <f>IF(L106=1,COUNTIFS(LOG!$C$2:$C$2001,F106,LOG!$H$2:$H$2001,1),0)</f>
        <v>0</v>
      </c>
      <c r="R106" s="46">
        <f>IF(Q106&gt;0,_xlfn.MAXIFS(LOG!$G$2:$G$2001,LOG!$C$2:$C$2001,F106,LOG!$H$2:$H$2001,1),0)</f>
        <v>0</v>
      </c>
      <c r="S106" s="28" t="str">
        <f>IF(Q106&gt;0,IFERROR(INDEX(LOG!$D$2:$D$2001,MATCH(F106&amp;"|"&amp;Q106,LOG!$I$2:$I$2001,0)),""),"")</f>
        <v/>
      </c>
      <c r="T106" s="28">
        <f>IF(S106="",0,IFERROR(VLOOKUP(S106,LISTS!$A$2:$E$10,4,FALSE),0))</f>
        <v>0</v>
      </c>
      <c r="U106" s="46">
        <f t="shared" si="13"/>
        <v>0</v>
      </c>
      <c r="V106" s="46">
        <f>IF(L106=1,H106+SETTINGS!$B$5/24,"")</f>
        <v>46309.82708333333</v>
      </c>
      <c r="W106" s="28">
        <f ca="1">IF(L106=1,(V106-SETTINGS!$B$4)*24,"")</f>
        <v>-1.6666666720993817E-2</v>
      </c>
      <c r="X106" s="28">
        <f ca="1">IF(AND(L106=1,K106="OK",M106=0,N106=0,O106=0,P106=0,SETTINGS!$B$4&lt;V106,Q106&lt;SETTINGS!$B$6),1,0)</f>
        <v>0</v>
      </c>
      <c r="Y106" s="28">
        <f ca="1">IF(AND(X106=1,SETTINGS!$B$4&gt;=H106,SETTINGS!$B$4&gt;=U106,ROUND(MOD(SETTINGS!$B$4,1)*1440,0)&gt;=ROUND(SETTINGS!$B$7*1440,0),ROUND(MOD(SETTINGS!$B$4,1)*1440,0)&lt;ROUND(SETTINGS!$B$8*1440,0)),1,0)</f>
        <v>0</v>
      </c>
      <c r="Z106" s="28" t="str">
        <f ca="1">IF(B106="","",IF(ROUND(MOD(SETTINGS!$B$4,1)*1440,0)&lt;ROUND(SETTINGS!$B$11*1440,0),"Ram",IF(ROUND(MOD(SETTINGS!$B$4,1)*1440,0)&gt;=ROUND(SETTINGS!$B$10*1440,0),"Shyam",IF(MOD(IFERROR(VALUE(RIGHT(F106,2)),0),2)=0,"Ram","Shyam"))))</f>
        <v>Shyam</v>
      </c>
      <c r="AA106" s="28">
        <f t="shared" ca="1" si="14"/>
        <v>0</v>
      </c>
      <c r="AB106" s="28">
        <f ca="1">IF(X106=1,COUNTIFS($F$2:F106,F106,$X$2:X106,1),0)</f>
        <v>0</v>
      </c>
      <c r="AC106" s="28" t="str">
        <f>IF(L106=1,IF(IFERROR(INDEX(PARTNERS!$C$2:$C$88,MATCH(B106,PARTNERS!$A$2:$A$88,0)),"")="YES","YES","NO"),"")</f>
        <v>NO</v>
      </c>
      <c r="AD106" s="28" t="str">
        <f>IF(L106=1,IFERROR(INDEX(PARTNERS!$B$2:$B$88,MATCH(B106,PARTNERS!$A$2:$A$88,0)),""),"")</f>
        <v>https://calendly.com/partner000/interview</v>
      </c>
      <c r="AE106" s="28">
        <f ca="1">IF(X106=1,IFERROR(INDEX(SETTINGS!$B$34:$D$36,MATCH(I106,SETTINGS!$A$34:$A$36,0),MIN(Q106,2)+1),SETTINGS!$B$36),0)</f>
        <v>0</v>
      </c>
      <c r="AF106" s="28">
        <f t="shared" si="15"/>
        <v>1</v>
      </c>
      <c r="AG106" s="28">
        <f ca="1">IF(AND(Y106=1,AB106=1),ROUND(AA106*AE106*IF(AF106&gt;1,SETTINGS!$B$16,1)*IF(W106&lt;=SETTINGS!$B$14,SETTINGS!$B$15,1)*IF(AU106=1,SETTINGS!$B$21,1),6),0)</f>
        <v>0</v>
      </c>
      <c r="AH106" s="28" t="str">
        <f ca="1">IF(AG106&gt;0,COUNTIFS($Z$2:$Z$601,Z106,$AG$2:$AG$601,"&gt;"&amp;AG106)+COUNTIFS($Z$2:Z106,Z106,$AG$2:AG106,AG106),"")</f>
        <v/>
      </c>
      <c r="AI106" s="28" t="str">
        <f t="shared" ca="1" si="16"/>
        <v/>
      </c>
      <c r="AJ106" s="28" t="str">
        <f t="shared" ca="1" si="17"/>
        <v/>
      </c>
      <c r="AK106" s="28">
        <f>IF(L106=1,IF(COUNTIFS($F$2:F106,F106,$L$2:L106,1)=1,1,0),0)</f>
        <v>1</v>
      </c>
      <c r="AL106" s="28" t="str">
        <f ca="1">IF(B106="","",IF(K106="DUPLICATE","Duplicate (removed)",IF(AO106=1,"Scheduled within 24h",IF(M106=1,"Scheduled late",IF(K106="BAD CONTACT","Bad contact details",IF(O106=1,"Stopped / wrong number",IF(N106=1,"Not interested",IF(P106=1,"Partner has no slots",IF(SETTINGS!$B$4&gt;=V106,IF(Q106=0,"Missed deadline: never tried","Missed deadline: tried, not booked"),IF(Q106&gt;=SETTINGS!$B$6,"No reply after max tries","Open"))))))))))</f>
        <v>Missed deadline: never tried</v>
      </c>
      <c r="AM106" s="46" t="str">
        <f>IF(M106=1,IF(_xlfn.MINIFS(LOG!$G$2:$G$2001,LOG!$C$2:$C$2001,F106,LOG!$E$2:$E$2001,B106,LOG!$D$2:$D$2001,"*BOOKED")=0,_xlfn.MINIFS(LOG!$G$2:$G$2001,LOG!$C$2:$C$2001,F106,LOG!$E$2:$E$2001,"",LOG!$D$2:$D$2001,"*BOOKED"),IF(_xlfn.MINIFS(LOG!$G$2:$G$2001,LOG!$C$2:$C$2001,F106,LOG!$E$2:$E$2001,"",LOG!$D$2:$D$2001,"*BOOKED")=0,_xlfn.MINIFS(LOG!$G$2:$G$2001,LOG!$C$2:$C$2001,F106,LOG!$E$2:$E$2001,B106,LOG!$D$2:$D$2001,"*BOOKED"),MIN(_xlfn.MINIFS(LOG!$G$2:$G$2001,LOG!$C$2:$C$2001,F106,LOG!$E$2:$E$2001,B106,LOG!$D$2:$D$2001,"*BOOKED"),_xlfn.MINIFS(LOG!$G$2:$G$2001,LOG!$C$2:$C$2001,F106,LOG!$E$2:$E$2001,"",LOG!$D$2:$D$2001,"*BOOKED")))),"")</f>
        <v/>
      </c>
      <c r="AN106" s="28" t="str">
        <f t="shared" si="18"/>
        <v/>
      </c>
      <c r="AO106" s="28">
        <f>IF(AND(M106=1,AN106&lt;&gt;""),IF(AN106&lt;=SETTINGS!$B$5,1,0),0)</f>
        <v>0</v>
      </c>
      <c r="AP106" s="28">
        <f>IF(M106=1,IF(COUNTIFS(LOG!$C$2:$C$2001,F106,LOG!$E$2:$E$2001,B106,LOG!$D$2:$D$2001,"BOOKED")+COUNTIFS(LOG!$C$2:$C$2001,F106,LOG!$E$2:$E$2001,"",LOG!$D$2:$D$2001,"BOOKED")&gt;0,1,0),0)</f>
        <v>0</v>
      </c>
      <c r="AQ106" s="28" t="str">
        <f t="shared" si="19"/>
        <v>Tara</v>
      </c>
      <c r="AR106" s="28">
        <f>IF(AND(AK106=1,K106="OK"),COUNTIFS($AK$2:AK106,1,$K$2:K106,"OK"),"")</f>
        <v>99</v>
      </c>
      <c r="AS106" s="28" t="str">
        <f>IF(L106=1,IFERROR(INDEX(MESSAGES!$J$9:$J$1008,MATCH(F106,MESSAGES!$M$9:$M$1008,0))&amp;"",""),"")</f>
        <v/>
      </c>
      <c r="AT106" s="28" t="str">
        <f>IF(L106=1,IFERROR(INDEX(MESSAGES!$K$9:$K$1008,MATCH(F106,MESSAGES!$M$9:$M$1008,0))&amp;"",""),"")</f>
        <v/>
      </c>
      <c r="AU106" s="28">
        <f t="shared" ca="1" si="20"/>
        <v>0</v>
      </c>
      <c r="AV106" s="28" t="str">
        <f t="shared" si="21"/>
        <v>SEND</v>
      </c>
    </row>
    <row r="107" spans="1:48" x14ac:dyDescent="0.35">
      <c r="A107" s="28">
        <v>106</v>
      </c>
      <c r="B107" s="28" t="str">
        <f>IF(INPUT!A107="","",TRIM(INPUT!A107))</f>
        <v>Partner 000</v>
      </c>
      <c r="C107" s="28" t="str">
        <f>IF(B107="","",INPUT!C107)</f>
        <v>interviewer0@partner000.example.com</v>
      </c>
      <c r="D107" s="28" t="str">
        <f>IF(B107="","",INPUT!D107)</f>
        <v>Manav M.</v>
      </c>
      <c r="E107" s="28" t="str">
        <f>IF(B107="","",INPUT!E107)</f>
        <v>manav.m354@example.com</v>
      </c>
      <c r="F107" s="43" t="str">
        <f>IF(B107="","",TRIM(INPUT!F107&amp;""))</f>
        <v>9000004609</v>
      </c>
      <c r="G107" s="28" t="str">
        <f>IF(B107="","",INPUT!H107)</f>
        <v>Round1</v>
      </c>
      <c r="H107" s="46">
        <f>IF(B107="","",INPUT!I107)</f>
        <v>46308.82708333333</v>
      </c>
      <c r="I107" s="28" t="str">
        <f>IF(B107="","",IF(INPUT!J107="","None",INPUT!J107))</f>
        <v>None</v>
      </c>
      <c r="J107" s="28" t="str">
        <f t="shared" si="11"/>
        <v>manav.m354@example.com|partner 000|Round1|interviewer0@partner000.example.com</v>
      </c>
      <c r="K107" s="28" t="str">
        <f>IF(B107="","",IF(SUMPRODUCT(($J$2:$J$601=J107)*($H$2:$H$601&lt;H107))+SUMPRODUCT(($J$2:J107=J107)*($H$2:H107=H107))-1&gt;0,"DUPLICATE",IF(AND(ISNUMBER(SEARCH("@",E107)),ISNUMBER(SEARCH(".",E107)),LEN(F107)=10,ISNUMBER(VALUE(F107))),"OK","BAD CONTACT")))</f>
        <v>OK</v>
      </c>
      <c r="L107" s="28">
        <f t="shared" si="12"/>
        <v>1</v>
      </c>
      <c r="M107" s="28">
        <f>IF(L107=1,IF(COUNTIFS(LOG!$C$2:$C$2001,F107,LOG!$E$2:$E$2001,B107,LOG!$D$2:$D$2001,"*BOOKED")+COUNTIFS(LOG!$C$2:$C$2001,F107,LOG!$E$2:$E$2001,"",LOG!$D$2:$D$2001,"*BOOKED")&gt;0,1,0),0)</f>
        <v>0</v>
      </c>
      <c r="N107" s="28">
        <f>IF(L107=1,IF(COUNTIFS(LOG!$C$2:$C$2001,F107,LOG!$E$2:$E$2001,B107,LOG!$D$2:$D$2001,"NOT_INTERESTED")+COUNTIFS(LOG!$C$2:$C$2001,F107,LOG!$E$2:$E$2001,"",LOG!$D$2:$D$2001,"NOT_INTERESTED")&gt;0,1,0),0)</f>
        <v>0</v>
      </c>
      <c r="O107" s="28">
        <f>IF(L107=1,IF(COUNTIFS(LOG!$C$2:$C$2001,F107,LOG!$D$2:$D$2001,"STOP")+COUNTIFS(LOG!$C$2:$C$2001,F107,LOG!$D$2:$D$2001,"WRONG_NUMBER")&gt;0,1,IF(ISNUMBER(SEARCH("STOP",AT107)),1,0)),0)</f>
        <v>0</v>
      </c>
      <c r="P107" s="28">
        <f>IF(L107=1,IF(IFERROR(INDEX(PARTNERS!$D$2:$D$88,MATCH(B107,PARTNERS!$A$2:$A$88,0)),"")="NO SLOTS",1,IF(AND(IFERROR(INDEX(PARTNERS!$D$2:$D$88,MATCH(B107,PARTNERS!$A$2:$A$88,0)),"")&lt;&gt;"REOPENED",COUNTIFS(LOG!$E$2:$E$2001,B107,LOG!$D$2:$D$2001,"NO_SLOTS")&gt;0),1,0)),0)</f>
        <v>0</v>
      </c>
      <c r="Q107" s="28">
        <f>IF(L107=1,COUNTIFS(LOG!$C$2:$C$2001,F107,LOG!$H$2:$H$2001,1),0)</f>
        <v>0</v>
      </c>
      <c r="R107" s="46">
        <f>IF(Q107&gt;0,_xlfn.MAXIFS(LOG!$G$2:$G$2001,LOG!$C$2:$C$2001,F107,LOG!$H$2:$H$2001,1),0)</f>
        <v>0</v>
      </c>
      <c r="S107" s="28" t="str">
        <f>IF(Q107&gt;0,IFERROR(INDEX(LOG!$D$2:$D$2001,MATCH(F107&amp;"|"&amp;Q107,LOG!$I$2:$I$2001,0)),""),"")</f>
        <v/>
      </c>
      <c r="T107" s="28">
        <f>IF(S107="",0,IFERROR(VLOOKUP(S107,LISTS!$A$2:$E$10,4,FALSE),0))</f>
        <v>0</v>
      </c>
      <c r="U107" s="46">
        <f t="shared" si="13"/>
        <v>0</v>
      </c>
      <c r="V107" s="46">
        <f>IF(L107=1,H107+SETTINGS!$B$5/24,"")</f>
        <v>46309.82708333333</v>
      </c>
      <c r="W107" s="28">
        <f ca="1">IF(L107=1,(V107-SETTINGS!$B$4)*24,"")</f>
        <v>-1.6666666720993817E-2</v>
      </c>
      <c r="X107" s="28">
        <f ca="1">IF(AND(L107=1,K107="OK",M107=0,N107=0,O107=0,P107=0,SETTINGS!$B$4&lt;V107,Q107&lt;SETTINGS!$B$6),1,0)</f>
        <v>0</v>
      </c>
      <c r="Y107" s="28">
        <f ca="1">IF(AND(X107=1,SETTINGS!$B$4&gt;=H107,SETTINGS!$B$4&gt;=U107,ROUND(MOD(SETTINGS!$B$4,1)*1440,0)&gt;=ROUND(SETTINGS!$B$7*1440,0),ROUND(MOD(SETTINGS!$B$4,1)*1440,0)&lt;ROUND(SETTINGS!$B$8*1440,0)),1,0)</f>
        <v>0</v>
      </c>
      <c r="Z107" s="28" t="str">
        <f ca="1">IF(B107="","",IF(ROUND(MOD(SETTINGS!$B$4,1)*1440,0)&lt;ROUND(SETTINGS!$B$11*1440,0),"Ram",IF(ROUND(MOD(SETTINGS!$B$4,1)*1440,0)&gt;=ROUND(SETTINGS!$B$10*1440,0),"Shyam",IF(MOD(IFERROR(VALUE(RIGHT(F107,2)),0),2)=0,"Ram","Shyam"))))</f>
        <v>Shyam</v>
      </c>
      <c r="AA107" s="28">
        <f t="shared" ca="1" si="14"/>
        <v>0</v>
      </c>
      <c r="AB107" s="28">
        <f ca="1">IF(X107=1,COUNTIFS($F$2:F107,F107,$X$2:X107,1),0)</f>
        <v>0</v>
      </c>
      <c r="AC107" s="28" t="str">
        <f>IF(L107=1,IF(IFERROR(INDEX(PARTNERS!$C$2:$C$88,MATCH(B107,PARTNERS!$A$2:$A$88,0)),"")="YES","YES","NO"),"")</f>
        <v>NO</v>
      </c>
      <c r="AD107" s="28" t="str">
        <f>IF(L107=1,IFERROR(INDEX(PARTNERS!$B$2:$B$88,MATCH(B107,PARTNERS!$A$2:$A$88,0)),""),"")</f>
        <v>https://calendly.com/partner000/interview</v>
      </c>
      <c r="AE107" s="28">
        <f ca="1">IF(X107=1,IFERROR(INDEX(SETTINGS!$B$34:$D$36,MATCH(I107,SETTINGS!$A$34:$A$36,0),MIN(Q107,2)+1),SETTINGS!$B$36),0)</f>
        <v>0</v>
      </c>
      <c r="AF107" s="28">
        <f t="shared" si="15"/>
        <v>1</v>
      </c>
      <c r="AG107" s="28">
        <f ca="1">IF(AND(Y107=1,AB107=1),ROUND(AA107*AE107*IF(AF107&gt;1,SETTINGS!$B$16,1)*IF(W107&lt;=SETTINGS!$B$14,SETTINGS!$B$15,1)*IF(AU107=1,SETTINGS!$B$21,1),6),0)</f>
        <v>0</v>
      </c>
      <c r="AH107" s="28" t="str">
        <f ca="1">IF(AG107&gt;0,COUNTIFS($Z$2:$Z$601,Z107,$AG$2:$AG$601,"&gt;"&amp;AG107)+COUNTIFS($Z$2:Z107,Z107,$AG$2:AG107,AG107),"")</f>
        <v/>
      </c>
      <c r="AI107" s="28" t="str">
        <f t="shared" ca="1" si="16"/>
        <v/>
      </c>
      <c r="AJ107" s="28" t="str">
        <f t="shared" ca="1" si="17"/>
        <v/>
      </c>
      <c r="AK107" s="28">
        <f>IF(L107=1,IF(COUNTIFS($F$2:F107,F107,$L$2:L107,1)=1,1,0),0)</f>
        <v>1</v>
      </c>
      <c r="AL107" s="28" t="str">
        <f ca="1">IF(B107="","",IF(K107="DUPLICATE","Duplicate (removed)",IF(AO107=1,"Scheduled within 24h",IF(M107=1,"Scheduled late",IF(K107="BAD CONTACT","Bad contact details",IF(O107=1,"Stopped / wrong number",IF(N107=1,"Not interested",IF(P107=1,"Partner has no slots",IF(SETTINGS!$B$4&gt;=V107,IF(Q107=0,"Missed deadline: never tried","Missed deadline: tried, not booked"),IF(Q107&gt;=SETTINGS!$B$6,"No reply after max tries","Open"))))))))))</f>
        <v>Missed deadline: never tried</v>
      </c>
      <c r="AM107" s="46" t="str">
        <f>IF(M107=1,IF(_xlfn.MINIFS(LOG!$G$2:$G$2001,LOG!$C$2:$C$2001,F107,LOG!$E$2:$E$2001,B107,LOG!$D$2:$D$2001,"*BOOKED")=0,_xlfn.MINIFS(LOG!$G$2:$G$2001,LOG!$C$2:$C$2001,F107,LOG!$E$2:$E$2001,"",LOG!$D$2:$D$2001,"*BOOKED"),IF(_xlfn.MINIFS(LOG!$G$2:$G$2001,LOG!$C$2:$C$2001,F107,LOG!$E$2:$E$2001,"",LOG!$D$2:$D$2001,"*BOOKED")=0,_xlfn.MINIFS(LOG!$G$2:$G$2001,LOG!$C$2:$C$2001,F107,LOG!$E$2:$E$2001,B107,LOG!$D$2:$D$2001,"*BOOKED"),MIN(_xlfn.MINIFS(LOG!$G$2:$G$2001,LOG!$C$2:$C$2001,F107,LOG!$E$2:$E$2001,B107,LOG!$D$2:$D$2001,"*BOOKED"),_xlfn.MINIFS(LOG!$G$2:$G$2001,LOG!$C$2:$C$2001,F107,LOG!$E$2:$E$2001,"",LOG!$D$2:$D$2001,"*BOOKED")))),"")</f>
        <v/>
      </c>
      <c r="AN107" s="28" t="str">
        <f t="shared" si="18"/>
        <v/>
      </c>
      <c r="AO107" s="28">
        <f>IF(AND(M107=1,AN107&lt;&gt;""),IF(AN107&lt;=SETTINGS!$B$5,1,0),0)</f>
        <v>0</v>
      </c>
      <c r="AP107" s="28">
        <f>IF(M107=1,IF(COUNTIFS(LOG!$C$2:$C$2001,F107,LOG!$E$2:$E$2001,B107,LOG!$D$2:$D$2001,"BOOKED")+COUNTIFS(LOG!$C$2:$C$2001,F107,LOG!$E$2:$E$2001,"",LOG!$D$2:$D$2001,"BOOKED")&gt;0,1,0),0)</f>
        <v>0</v>
      </c>
      <c r="AQ107" s="28" t="str">
        <f t="shared" si="19"/>
        <v>Manav</v>
      </c>
      <c r="AR107" s="28">
        <f>IF(AND(AK107=1,K107="OK"),COUNTIFS($AK$2:AK107,1,$K$2:K107,"OK"),"")</f>
        <v>100</v>
      </c>
      <c r="AS107" s="28" t="str">
        <f>IF(L107=1,IFERROR(INDEX(MESSAGES!$J$9:$J$1008,MATCH(F107,MESSAGES!$M$9:$M$1008,0))&amp;"",""),"")</f>
        <v/>
      </c>
      <c r="AT107" s="28" t="str">
        <f>IF(L107=1,IFERROR(INDEX(MESSAGES!$K$9:$K$1008,MATCH(F107,MESSAGES!$M$9:$M$1008,0))&amp;"",""),"")</f>
        <v/>
      </c>
      <c r="AU107" s="28">
        <f t="shared" ca="1" si="20"/>
        <v>0</v>
      </c>
      <c r="AV107" s="28" t="str">
        <f t="shared" si="21"/>
        <v>SEND</v>
      </c>
    </row>
    <row r="108" spans="1:48" x14ac:dyDescent="0.35">
      <c r="A108" s="28">
        <v>107</v>
      </c>
      <c r="B108" s="28" t="str">
        <f>IF(INPUT!A108="","",TRIM(INPUT!A108))</f>
        <v>Partner 020</v>
      </c>
      <c r="C108" s="28" t="str">
        <f>IF(B108="","",INPUT!C108)</f>
        <v>interviewer0@partner020.example.com</v>
      </c>
      <c r="D108" s="28" t="str">
        <f>IF(B108="","",INPUT!D108)</f>
        <v>Diya P.</v>
      </c>
      <c r="E108" s="28" t="str">
        <f>IF(B108="","",INPUT!E108)</f>
        <v>diya.p391@example.com</v>
      </c>
      <c r="F108" s="43" t="str">
        <f>IF(B108="","",TRIM(INPUT!F108&amp;""))</f>
        <v>9000005090</v>
      </c>
      <c r="G108" s="28" t="str">
        <f>IF(B108="","",INPUT!H108)</f>
        <v>Round1</v>
      </c>
      <c r="H108" s="46">
        <f>IF(B108="","",INPUT!I108)</f>
        <v>46308.82708333333</v>
      </c>
      <c r="I108" s="28" t="str">
        <f>IF(B108="","",IF(INPUT!J108="","None",INPUT!J108))</f>
        <v>Opened</v>
      </c>
      <c r="J108" s="28" t="str">
        <f t="shared" si="11"/>
        <v>diya.p391@example.com|partner 020|Round1|interviewer0@partner020.example.com</v>
      </c>
      <c r="K108" s="28" t="str">
        <f>IF(B108="","",IF(SUMPRODUCT(($J$2:$J$601=J108)*($H$2:$H$601&lt;H108))+SUMPRODUCT(($J$2:J108=J108)*($H$2:H108=H108))-1&gt;0,"DUPLICATE",IF(AND(ISNUMBER(SEARCH("@",E108)),ISNUMBER(SEARCH(".",E108)),LEN(F108)=10,ISNUMBER(VALUE(F108))),"OK","BAD CONTACT")))</f>
        <v>OK</v>
      </c>
      <c r="L108" s="28">
        <f t="shared" si="12"/>
        <v>1</v>
      </c>
      <c r="M108" s="28">
        <f>IF(L108=1,IF(COUNTIFS(LOG!$C$2:$C$2001,F108,LOG!$E$2:$E$2001,B108,LOG!$D$2:$D$2001,"*BOOKED")+COUNTIFS(LOG!$C$2:$C$2001,F108,LOG!$E$2:$E$2001,"",LOG!$D$2:$D$2001,"*BOOKED")&gt;0,1,0),0)</f>
        <v>1</v>
      </c>
      <c r="N108" s="28">
        <f>IF(L108=1,IF(COUNTIFS(LOG!$C$2:$C$2001,F108,LOG!$E$2:$E$2001,B108,LOG!$D$2:$D$2001,"NOT_INTERESTED")+COUNTIFS(LOG!$C$2:$C$2001,F108,LOG!$E$2:$E$2001,"",LOG!$D$2:$D$2001,"NOT_INTERESTED")&gt;0,1,0),0)</f>
        <v>0</v>
      </c>
      <c r="O108" s="28">
        <f>IF(L108=1,IF(COUNTIFS(LOG!$C$2:$C$2001,F108,LOG!$D$2:$D$2001,"STOP")+COUNTIFS(LOG!$C$2:$C$2001,F108,LOG!$D$2:$D$2001,"WRONG_NUMBER")&gt;0,1,IF(ISNUMBER(SEARCH("STOP",AT108)),1,0)),0)</f>
        <v>0</v>
      </c>
      <c r="P108" s="28">
        <f>IF(L108=1,IF(IFERROR(INDEX(PARTNERS!$D$2:$D$88,MATCH(B108,PARTNERS!$A$2:$A$88,0)),"")="NO SLOTS",1,IF(AND(IFERROR(INDEX(PARTNERS!$D$2:$D$88,MATCH(B108,PARTNERS!$A$2:$A$88,0)),"")&lt;&gt;"REOPENED",COUNTIFS(LOG!$E$2:$E$2001,B108,LOG!$D$2:$D$2001,"NO_SLOTS")&gt;0),1,0)),0)</f>
        <v>0</v>
      </c>
      <c r="Q108" s="28">
        <f>IF(L108=1,COUNTIFS(LOG!$C$2:$C$2001,F108,LOG!$H$2:$H$2001,1),0)</f>
        <v>0</v>
      </c>
      <c r="R108" s="46">
        <f>IF(Q108&gt;0,_xlfn.MAXIFS(LOG!$G$2:$G$2001,LOG!$C$2:$C$2001,F108,LOG!$H$2:$H$2001,1),0)</f>
        <v>0</v>
      </c>
      <c r="S108" s="28" t="str">
        <f>IF(Q108&gt;0,IFERROR(INDEX(LOG!$D$2:$D$2001,MATCH(F108&amp;"|"&amp;Q108,LOG!$I$2:$I$2001,0)),""),"")</f>
        <v/>
      </c>
      <c r="T108" s="28">
        <f>IF(S108="",0,IFERROR(VLOOKUP(S108,LISTS!$A$2:$E$10,4,FALSE),0))</f>
        <v>0</v>
      </c>
      <c r="U108" s="46">
        <f t="shared" si="13"/>
        <v>0</v>
      </c>
      <c r="V108" s="46">
        <f>IF(L108=1,H108+SETTINGS!$B$5/24,"")</f>
        <v>46309.82708333333</v>
      </c>
      <c r="W108" s="28">
        <f ca="1">IF(L108=1,(V108-SETTINGS!$B$4)*24,"")</f>
        <v>-1.6666666720993817E-2</v>
      </c>
      <c r="X108" s="28">
        <f ca="1">IF(AND(L108=1,K108="OK",M108=0,N108=0,O108=0,P108=0,SETTINGS!$B$4&lt;V108,Q108&lt;SETTINGS!$B$6),1,0)</f>
        <v>0</v>
      </c>
      <c r="Y108" s="28">
        <f ca="1">IF(AND(X108=1,SETTINGS!$B$4&gt;=H108,SETTINGS!$B$4&gt;=U108,ROUND(MOD(SETTINGS!$B$4,1)*1440,0)&gt;=ROUND(SETTINGS!$B$7*1440,0),ROUND(MOD(SETTINGS!$B$4,1)*1440,0)&lt;ROUND(SETTINGS!$B$8*1440,0)),1,0)</f>
        <v>0</v>
      </c>
      <c r="Z108" s="28" t="str">
        <f ca="1">IF(B108="","",IF(ROUND(MOD(SETTINGS!$B$4,1)*1440,0)&lt;ROUND(SETTINGS!$B$11*1440,0),"Ram",IF(ROUND(MOD(SETTINGS!$B$4,1)*1440,0)&gt;=ROUND(SETTINGS!$B$10*1440,0),"Shyam",IF(MOD(IFERROR(VALUE(RIGHT(F108,2)),0),2)=0,"Ram","Shyam"))))</f>
        <v>Shyam</v>
      </c>
      <c r="AA108" s="28">
        <f t="shared" ca="1" si="14"/>
        <v>0</v>
      </c>
      <c r="AB108" s="28">
        <f ca="1">IF(X108=1,COUNTIFS($F$2:F108,F108,$X$2:X108,1),0)</f>
        <v>0</v>
      </c>
      <c r="AC108" s="28" t="str">
        <f>IF(L108=1,IF(IFERROR(INDEX(PARTNERS!$C$2:$C$88,MATCH(B108,PARTNERS!$A$2:$A$88,0)),"")="YES","YES","NO"),"")</f>
        <v>YES</v>
      </c>
      <c r="AD108" s="28" t="str">
        <f>IF(L108=1,IFERROR(INDEX(PARTNERS!$B$2:$B$88,MATCH(B108,PARTNERS!$A$2:$A$88,0)),""),"")</f>
        <v>https://calendly.com/partner020/interview</v>
      </c>
      <c r="AE108" s="28">
        <f ca="1">IF(X108=1,IFERROR(INDEX(SETTINGS!$B$34:$D$36,MATCH(I108,SETTINGS!$A$34:$A$36,0),MIN(Q108,2)+1),SETTINGS!$B$36),0)</f>
        <v>0</v>
      </c>
      <c r="AF108" s="28">
        <f t="shared" si="15"/>
        <v>1</v>
      </c>
      <c r="AG108" s="28">
        <f ca="1">IF(AND(Y108=1,AB108=1),ROUND(AA108*AE108*IF(AF108&gt;1,SETTINGS!$B$16,1)*IF(W108&lt;=SETTINGS!$B$14,SETTINGS!$B$15,1)*IF(AU108=1,SETTINGS!$B$21,1),6),0)</f>
        <v>0</v>
      </c>
      <c r="AH108" s="28" t="str">
        <f ca="1">IF(AG108&gt;0,COUNTIFS($Z$2:$Z$601,Z108,$AG$2:$AG$601,"&gt;"&amp;AG108)+COUNTIFS($Z$2:Z108,Z108,$AG$2:AG108,AG108),"")</f>
        <v/>
      </c>
      <c r="AI108" s="28" t="str">
        <f t="shared" ca="1" si="16"/>
        <v/>
      </c>
      <c r="AJ108" s="28" t="str">
        <f t="shared" ca="1" si="17"/>
        <v/>
      </c>
      <c r="AK108" s="28">
        <f>IF(L108=1,IF(COUNTIFS($F$2:F108,F108,$L$2:L108,1)=1,1,0),0)</f>
        <v>1</v>
      </c>
      <c r="AL108" s="28" t="str">
        <f>IF(B108="","",IF(K108="DUPLICATE","Duplicate (removed)",IF(AO108=1,"Scheduled within 24h",IF(M108=1,"Scheduled late",IF(K108="BAD CONTACT","Bad contact details",IF(O108=1,"Stopped / wrong number",IF(N108=1,"Not interested",IF(P108=1,"Partner has no slots",IF(SETTINGS!$B$4&gt;=V108,IF(Q108=0,"Missed deadline: never tried","Missed deadline: tried, not booked"),IF(Q108&gt;=SETTINGS!$B$6,"No reply after max tries","Open"))))))))))</f>
        <v>Scheduled within 24h</v>
      </c>
      <c r="AM108" s="46">
        <f>IF(M108=1,IF(_xlfn.MINIFS(LOG!$G$2:$G$2001,LOG!$C$2:$C$2001,F108,LOG!$E$2:$E$2001,B108,LOG!$D$2:$D$2001,"*BOOKED")=0,_xlfn.MINIFS(LOG!$G$2:$G$2001,LOG!$C$2:$C$2001,F108,LOG!$E$2:$E$2001,"",LOG!$D$2:$D$2001,"*BOOKED"),IF(_xlfn.MINIFS(LOG!$G$2:$G$2001,LOG!$C$2:$C$2001,F108,LOG!$E$2:$E$2001,"",LOG!$D$2:$D$2001,"*BOOKED")=0,_xlfn.MINIFS(LOG!$G$2:$G$2001,LOG!$C$2:$C$2001,F108,LOG!$E$2:$E$2001,B108,LOG!$D$2:$D$2001,"*BOOKED"),MIN(_xlfn.MINIFS(LOG!$G$2:$G$2001,LOG!$C$2:$C$2001,F108,LOG!$E$2:$E$2001,B108,LOG!$D$2:$D$2001,"*BOOKED"),_xlfn.MINIFS(LOG!$G$2:$G$2001,LOG!$C$2:$C$2001,F108,LOG!$E$2:$E$2001,"",LOG!$D$2:$D$2001,"*BOOKED")))),"")</f>
        <v>46309.348021026977</v>
      </c>
      <c r="AN108" s="28">
        <f t="shared" si="18"/>
        <v>12.502504647534806</v>
      </c>
      <c r="AO108" s="28">
        <f>IF(AND(M108=1,AN108&lt;&gt;""),IF(AN108&lt;=SETTINGS!$B$5,1,0),0)</f>
        <v>1</v>
      </c>
      <c r="AP108" s="28">
        <f>IF(M108=1,IF(COUNTIFS(LOG!$C$2:$C$2001,F108,LOG!$E$2:$E$2001,B108,LOG!$D$2:$D$2001,"BOOKED")+COUNTIFS(LOG!$C$2:$C$2001,F108,LOG!$E$2:$E$2001,"",LOG!$D$2:$D$2001,"BOOKED")&gt;0,1,0),0)</f>
        <v>0</v>
      </c>
      <c r="AQ108" s="28" t="str">
        <f t="shared" si="19"/>
        <v>Diya</v>
      </c>
      <c r="AR108" s="28">
        <f>IF(AND(AK108=1,K108="OK"),COUNTIFS($AK$2:AK108,1,$K$2:K108,"OK"),"")</f>
        <v>101</v>
      </c>
      <c r="AS108" s="28" t="str">
        <f>IF(L108=1,IFERROR(INDEX(MESSAGES!$J$9:$J$1008,MATCH(F108,MESSAGES!$M$9:$M$1008,0))&amp;"",""),"")</f>
        <v/>
      </c>
      <c r="AT108" s="28" t="str">
        <f>IF(L108=1,IFERROR(INDEX(MESSAGES!$K$9:$K$1008,MATCH(F108,MESSAGES!$M$9:$M$1008,0))&amp;"",""),"")</f>
        <v/>
      </c>
      <c r="AU108" s="28">
        <f t="shared" ca="1" si="20"/>
        <v>0</v>
      </c>
      <c r="AV108" s="28" t="str">
        <f t="shared" si="21"/>
        <v>HOLD</v>
      </c>
    </row>
    <row r="109" spans="1:48" x14ac:dyDescent="0.35">
      <c r="A109" s="28">
        <v>108</v>
      </c>
      <c r="B109" s="28" t="str">
        <f>IF(INPUT!A109="","",TRIM(INPUT!A109))</f>
        <v>Partner 000</v>
      </c>
      <c r="C109" s="28" t="str">
        <f>IF(B109="","",INPUT!C109)</f>
        <v>interviewer1@partner000.example.com</v>
      </c>
      <c r="D109" s="28" t="str">
        <f>IF(B109="","",INPUT!D109)</f>
        <v>Rohan M.</v>
      </c>
      <c r="E109" s="28" t="str">
        <f>IF(B109="","",INPUT!E109)</f>
        <v>rohan.m340@example.com</v>
      </c>
      <c r="F109" s="43" t="str">
        <f>IF(B109="","",TRIM(INPUT!F109&amp;""))</f>
        <v>9000004427</v>
      </c>
      <c r="G109" s="28" t="str">
        <f>IF(B109="","",INPUT!H109)</f>
        <v>Round1</v>
      </c>
      <c r="H109" s="46">
        <f>IF(B109="","",INPUT!I109)</f>
        <v>46308.82708333333</v>
      </c>
      <c r="I109" s="28" t="str">
        <f>IF(B109="","",IF(INPUT!J109="","None",INPUT!J109))</f>
        <v>Opened</v>
      </c>
      <c r="J109" s="28" t="str">
        <f t="shared" si="11"/>
        <v>rohan.m340@example.com|partner 000|Round1|interviewer1@partner000.example.com</v>
      </c>
      <c r="K109" s="28" t="str">
        <f>IF(B109="","",IF(SUMPRODUCT(($J$2:$J$601=J109)*($H$2:$H$601&lt;H109))+SUMPRODUCT(($J$2:J109=J109)*($H$2:H109=H109))-1&gt;0,"DUPLICATE",IF(AND(ISNUMBER(SEARCH("@",E109)),ISNUMBER(SEARCH(".",E109)),LEN(F109)=10,ISNUMBER(VALUE(F109))),"OK","BAD CONTACT")))</f>
        <v>OK</v>
      </c>
      <c r="L109" s="28">
        <f t="shared" si="12"/>
        <v>1</v>
      </c>
      <c r="M109" s="28">
        <f>IF(L109=1,IF(COUNTIFS(LOG!$C$2:$C$2001,F109,LOG!$E$2:$E$2001,B109,LOG!$D$2:$D$2001,"*BOOKED")+COUNTIFS(LOG!$C$2:$C$2001,F109,LOG!$E$2:$E$2001,"",LOG!$D$2:$D$2001,"*BOOKED")&gt;0,1,0),0)</f>
        <v>0</v>
      </c>
      <c r="N109" s="28">
        <f>IF(L109=1,IF(COUNTIFS(LOG!$C$2:$C$2001,F109,LOG!$E$2:$E$2001,B109,LOG!$D$2:$D$2001,"NOT_INTERESTED")+COUNTIFS(LOG!$C$2:$C$2001,F109,LOG!$E$2:$E$2001,"",LOG!$D$2:$D$2001,"NOT_INTERESTED")&gt;0,1,0),0)</f>
        <v>0</v>
      </c>
      <c r="O109" s="28">
        <f>IF(L109=1,IF(COUNTIFS(LOG!$C$2:$C$2001,F109,LOG!$D$2:$D$2001,"STOP")+COUNTIFS(LOG!$C$2:$C$2001,F109,LOG!$D$2:$D$2001,"WRONG_NUMBER")&gt;0,1,IF(ISNUMBER(SEARCH("STOP",AT109)),1,0)),0)</f>
        <v>0</v>
      </c>
      <c r="P109" s="28">
        <f>IF(L109=1,IF(IFERROR(INDEX(PARTNERS!$D$2:$D$88,MATCH(B109,PARTNERS!$A$2:$A$88,0)),"")="NO SLOTS",1,IF(AND(IFERROR(INDEX(PARTNERS!$D$2:$D$88,MATCH(B109,PARTNERS!$A$2:$A$88,0)),"")&lt;&gt;"REOPENED",COUNTIFS(LOG!$E$2:$E$2001,B109,LOG!$D$2:$D$2001,"NO_SLOTS")&gt;0),1,0)),0)</f>
        <v>0</v>
      </c>
      <c r="Q109" s="28">
        <f>IF(L109=1,COUNTIFS(LOG!$C$2:$C$2001,F109,LOG!$H$2:$H$2001,1),0)</f>
        <v>1</v>
      </c>
      <c r="R109" s="46">
        <f>IF(Q109&gt;0,_xlfn.MAXIFS(LOG!$G$2:$G$2001,LOG!$C$2:$C$2001,F109,LOG!$H$2:$H$2001,1),0)</f>
        <v>46309.499735475416</v>
      </c>
      <c r="S109" s="28" t="str">
        <f>IF(Q109&gt;0,IFERROR(INDEX(LOG!$D$2:$D$2001,MATCH(F109&amp;"|"&amp;Q109,LOG!$I$2:$I$2001,0)),""),"")</f>
        <v>SENT_LINK</v>
      </c>
      <c r="T109" s="28">
        <f>IF(S109="",0,IFERROR(VLOOKUP(S109,LISTS!$A$2:$E$10,4,FALSE),0))</f>
        <v>180</v>
      </c>
      <c r="U109" s="46">
        <f t="shared" si="13"/>
        <v>46309.624735475416</v>
      </c>
      <c r="V109" s="46">
        <f>IF(L109=1,H109+SETTINGS!$B$5/24,"")</f>
        <v>46309.82708333333</v>
      </c>
      <c r="W109" s="28">
        <f ca="1">IF(L109=1,(V109-SETTINGS!$B$4)*24,"")</f>
        <v>-1.6666666720993817E-2</v>
      </c>
      <c r="X109" s="28">
        <f ca="1">IF(AND(L109=1,K109="OK",M109=0,N109=0,O109=0,P109=0,SETTINGS!$B$4&lt;V109,Q109&lt;SETTINGS!$B$6),1,0)</f>
        <v>0</v>
      </c>
      <c r="Y109" s="28">
        <f ca="1">IF(AND(X109=1,SETTINGS!$B$4&gt;=H109,SETTINGS!$B$4&gt;=U109,ROUND(MOD(SETTINGS!$B$4,1)*1440,0)&gt;=ROUND(SETTINGS!$B$7*1440,0),ROUND(MOD(SETTINGS!$B$4,1)*1440,0)&lt;ROUND(SETTINGS!$B$8*1440,0)),1,0)</f>
        <v>0</v>
      </c>
      <c r="Z109" s="28" t="str">
        <f ca="1">IF(B109="","",IF(ROUND(MOD(SETTINGS!$B$4,1)*1440,0)&lt;ROUND(SETTINGS!$B$11*1440,0),"Ram",IF(ROUND(MOD(SETTINGS!$B$4,1)*1440,0)&gt;=ROUND(SETTINGS!$B$10*1440,0),"Shyam",IF(MOD(IFERROR(VALUE(RIGHT(F109,2)),0),2)=0,"Ram","Shyam"))))</f>
        <v>Shyam</v>
      </c>
      <c r="AA109" s="28">
        <f t="shared" ca="1" si="14"/>
        <v>0</v>
      </c>
      <c r="AB109" s="28">
        <f ca="1">IF(X109=1,COUNTIFS($F$2:F109,F109,$X$2:X109,1),0)</f>
        <v>0</v>
      </c>
      <c r="AC109" s="28" t="str">
        <f>IF(L109=1,IF(IFERROR(INDEX(PARTNERS!$C$2:$C$88,MATCH(B109,PARTNERS!$A$2:$A$88,0)),"")="YES","YES","NO"),"")</f>
        <v>NO</v>
      </c>
      <c r="AD109" s="28" t="str">
        <f>IF(L109=1,IFERROR(INDEX(PARTNERS!$B$2:$B$88,MATCH(B109,PARTNERS!$A$2:$A$88,0)),""),"")</f>
        <v>https://calendly.com/partner000/interview</v>
      </c>
      <c r="AE109" s="28">
        <f ca="1">IF(X109=1,IFERROR(INDEX(SETTINGS!$B$34:$D$36,MATCH(I109,SETTINGS!$A$34:$A$36,0),MIN(Q109,2)+1),SETTINGS!$B$36),0)</f>
        <v>0</v>
      </c>
      <c r="AF109" s="28">
        <f t="shared" si="15"/>
        <v>1</v>
      </c>
      <c r="AG109" s="28">
        <f ca="1">IF(AND(Y109=1,AB109=1),ROUND(AA109*AE109*IF(AF109&gt;1,SETTINGS!$B$16,1)*IF(W109&lt;=SETTINGS!$B$14,SETTINGS!$B$15,1)*IF(AU109=1,SETTINGS!$B$21,1),6),0)</f>
        <v>0</v>
      </c>
      <c r="AH109" s="28" t="str">
        <f ca="1">IF(AG109&gt;0,COUNTIFS($Z$2:$Z$601,Z109,$AG$2:$AG$601,"&gt;"&amp;AG109)+COUNTIFS($Z$2:Z109,Z109,$AG$2:AG109,AG109),"")</f>
        <v/>
      </c>
      <c r="AI109" s="28" t="str">
        <f t="shared" ca="1" si="16"/>
        <v/>
      </c>
      <c r="AJ109" s="28" t="str">
        <f t="shared" ca="1" si="17"/>
        <v/>
      </c>
      <c r="AK109" s="28">
        <f>IF(L109=1,IF(COUNTIFS($F$2:F109,F109,$L$2:L109,1)=1,1,0),0)</f>
        <v>1</v>
      </c>
      <c r="AL109" s="28" t="str">
        <f ca="1">IF(B109="","",IF(K109="DUPLICATE","Duplicate (removed)",IF(AO109=1,"Scheduled within 24h",IF(M109=1,"Scheduled late",IF(K109="BAD CONTACT","Bad contact details",IF(O109=1,"Stopped / wrong number",IF(N109=1,"Not interested",IF(P109=1,"Partner has no slots",IF(SETTINGS!$B$4&gt;=V109,IF(Q109=0,"Missed deadline: never tried","Missed deadline: tried, not booked"),IF(Q109&gt;=SETTINGS!$B$6,"No reply after max tries","Open"))))))))))</f>
        <v>Missed deadline: tried, not booked</v>
      </c>
      <c r="AM109" s="46" t="str">
        <f>IF(M109=1,IF(_xlfn.MINIFS(LOG!$G$2:$G$2001,LOG!$C$2:$C$2001,F109,LOG!$E$2:$E$2001,B109,LOG!$D$2:$D$2001,"*BOOKED")=0,_xlfn.MINIFS(LOG!$G$2:$G$2001,LOG!$C$2:$C$2001,F109,LOG!$E$2:$E$2001,"",LOG!$D$2:$D$2001,"*BOOKED"),IF(_xlfn.MINIFS(LOG!$G$2:$G$2001,LOG!$C$2:$C$2001,F109,LOG!$E$2:$E$2001,"",LOG!$D$2:$D$2001,"*BOOKED")=0,_xlfn.MINIFS(LOG!$G$2:$G$2001,LOG!$C$2:$C$2001,F109,LOG!$E$2:$E$2001,B109,LOG!$D$2:$D$2001,"*BOOKED"),MIN(_xlfn.MINIFS(LOG!$G$2:$G$2001,LOG!$C$2:$C$2001,F109,LOG!$E$2:$E$2001,B109,LOG!$D$2:$D$2001,"*BOOKED"),_xlfn.MINIFS(LOG!$G$2:$G$2001,LOG!$C$2:$C$2001,F109,LOG!$E$2:$E$2001,"",LOG!$D$2:$D$2001,"*BOOKED")))),"")</f>
        <v/>
      </c>
      <c r="AN109" s="28" t="str">
        <f t="shared" si="18"/>
        <v/>
      </c>
      <c r="AO109" s="28">
        <f>IF(AND(M109=1,AN109&lt;&gt;""),IF(AN109&lt;=SETTINGS!$B$5,1,0),0)</f>
        <v>0</v>
      </c>
      <c r="AP109" s="28">
        <f>IF(M109=1,IF(COUNTIFS(LOG!$C$2:$C$2001,F109,LOG!$E$2:$E$2001,B109,LOG!$D$2:$D$2001,"BOOKED")+COUNTIFS(LOG!$C$2:$C$2001,F109,LOG!$E$2:$E$2001,"",LOG!$D$2:$D$2001,"BOOKED")&gt;0,1,0),0)</f>
        <v>0</v>
      </c>
      <c r="AQ109" s="28" t="str">
        <f t="shared" si="19"/>
        <v>Rohan</v>
      </c>
      <c r="AR109" s="28">
        <f>IF(AND(AK109=1,K109="OK"),COUNTIFS($AK$2:AK109,1,$K$2:K109,"OK"),"")</f>
        <v>102</v>
      </c>
      <c r="AS109" s="28" t="str">
        <f>IF(L109=1,IFERROR(INDEX(MESSAGES!$J$9:$J$1008,MATCH(F109,MESSAGES!$M$9:$M$1008,0))&amp;"",""),"")</f>
        <v/>
      </c>
      <c r="AT109" s="28" t="str">
        <f>IF(L109=1,IFERROR(INDEX(MESSAGES!$K$9:$K$1008,MATCH(F109,MESSAGES!$M$9:$M$1008,0))&amp;"",""),"")</f>
        <v/>
      </c>
      <c r="AU109" s="28">
        <f t="shared" ca="1" si="20"/>
        <v>0</v>
      </c>
      <c r="AV109" s="28" t="str">
        <f t="shared" si="21"/>
        <v>SEND</v>
      </c>
    </row>
    <row r="110" spans="1:48" x14ac:dyDescent="0.35">
      <c r="A110" s="28">
        <v>109</v>
      </c>
      <c r="B110" s="28" t="str">
        <f>IF(INPUT!A110="","",TRIM(INPUT!A110))</f>
        <v>Partner 016</v>
      </c>
      <c r="C110" s="28" t="str">
        <f>IF(B110="","",INPUT!C110)</f>
        <v>interviewer0@partner016.example.com</v>
      </c>
      <c r="D110" s="28" t="str">
        <f>IF(B110="","",INPUT!D110)</f>
        <v>Kabir G.</v>
      </c>
      <c r="E110" s="28" t="str">
        <f>IF(B110="","",INPUT!E110)</f>
        <v>kabir.g182@example.com</v>
      </c>
      <c r="F110" s="43" t="str">
        <f>IF(B110="","",TRIM(INPUT!F110&amp;""))</f>
        <v>9000002373</v>
      </c>
      <c r="G110" s="28" t="str">
        <f>IF(B110="","",INPUT!H110)</f>
        <v>Round1</v>
      </c>
      <c r="H110" s="46">
        <f>IF(B110="","",INPUT!I110)</f>
        <v>46308.82708333333</v>
      </c>
      <c r="I110" s="28" t="str">
        <f>IF(B110="","",IF(INPUT!J110="","None",INPUT!J110))</f>
        <v>None</v>
      </c>
      <c r="J110" s="28" t="str">
        <f t="shared" si="11"/>
        <v>kabir.g182@example.com|partner 016|Round1|interviewer0@partner016.example.com</v>
      </c>
      <c r="K110" s="28" t="str">
        <f>IF(B110="","",IF(SUMPRODUCT(($J$2:$J$601=J110)*($H$2:$H$601&lt;H110))+SUMPRODUCT(($J$2:J110=J110)*($H$2:H110=H110))-1&gt;0,"DUPLICATE",IF(AND(ISNUMBER(SEARCH("@",E110)),ISNUMBER(SEARCH(".",E110)),LEN(F110)=10,ISNUMBER(VALUE(F110))),"OK","BAD CONTACT")))</f>
        <v>OK</v>
      </c>
      <c r="L110" s="28">
        <f t="shared" si="12"/>
        <v>1</v>
      </c>
      <c r="M110" s="28">
        <f>IF(L110=1,IF(COUNTIFS(LOG!$C$2:$C$2001,F110,LOG!$E$2:$E$2001,B110,LOG!$D$2:$D$2001,"*BOOKED")+COUNTIFS(LOG!$C$2:$C$2001,F110,LOG!$E$2:$E$2001,"",LOG!$D$2:$D$2001,"*BOOKED")&gt;0,1,0),0)</f>
        <v>0</v>
      </c>
      <c r="N110" s="28">
        <f>IF(L110=1,IF(COUNTIFS(LOG!$C$2:$C$2001,F110,LOG!$E$2:$E$2001,B110,LOG!$D$2:$D$2001,"NOT_INTERESTED")+COUNTIFS(LOG!$C$2:$C$2001,F110,LOG!$E$2:$E$2001,"",LOG!$D$2:$D$2001,"NOT_INTERESTED")&gt;0,1,0),0)</f>
        <v>0</v>
      </c>
      <c r="O110" s="28">
        <f>IF(L110=1,IF(COUNTIFS(LOG!$C$2:$C$2001,F110,LOG!$D$2:$D$2001,"STOP")+COUNTIFS(LOG!$C$2:$C$2001,F110,LOG!$D$2:$D$2001,"WRONG_NUMBER")&gt;0,1,IF(ISNUMBER(SEARCH("STOP",AT110)),1,0)),0)</f>
        <v>0</v>
      </c>
      <c r="P110" s="28">
        <f>IF(L110=1,IF(IFERROR(INDEX(PARTNERS!$D$2:$D$88,MATCH(B110,PARTNERS!$A$2:$A$88,0)),"")="NO SLOTS",1,IF(AND(IFERROR(INDEX(PARTNERS!$D$2:$D$88,MATCH(B110,PARTNERS!$A$2:$A$88,0)),"")&lt;&gt;"REOPENED",COUNTIFS(LOG!$E$2:$E$2001,B110,LOG!$D$2:$D$2001,"NO_SLOTS")&gt;0),1,0)),0)</f>
        <v>0</v>
      </c>
      <c r="Q110" s="28">
        <f>IF(L110=1,COUNTIFS(LOG!$C$2:$C$2001,F110,LOG!$H$2:$H$2001,1),0)</f>
        <v>1</v>
      </c>
      <c r="R110" s="46">
        <f>IF(Q110&gt;0,_xlfn.MAXIFS(LOG!$G$2:$G$2001,LOG!$C$2:$C$2001,F110,LOG!$H$2:$H$2001,1),0)</f>
        <v>46309.822105910273</v>
      </c>
      <c r="S110" s="28" t="str">
        <f>IF(Q110&gt;0,IFERROR(INDEX(LOG!$D$2:$D$2001,MATCH(F110&amp;"|"&amp;Q110,LOG!$I$2:$I$2001,0)),""),"")</f>
        <v>NO_ANSWER</v>
      </c>
      <c r="T110" s="28">
        <f>IF(S110="",0,IFERROR(VLOOKUP(S110,LISTS!$A$2:$E$10,4,FALSE),0))</f>
        <v>120</v>
      </c>
      <c r="U110" s="46">
        <f t="shared" si="13"/>
        <v>46309.905439243608</v>
      </c>
      <c r="V110" s="46">
        <f>IF(L110=1,H110+SETTINGS!$B$5/24,"")</f>
        <v>46309.82708333333</v>
      </c>
      <c r="W110" s="28">
        <f ca="1">IF(L110=1,(V110-SETTINGS!$B$4)*24,"")</f>
        <v>-1.6666666720993817E-2</v>
      </c>
      <c r="X110" s="28">
        <f ca="1">IF(AND(L110=1,K110="OK",M110=0,N110=0,O110=0,P110=0,SETTINGS!$B$4&lt;V110,Q110&lt;SETTINGS!$B$6),1,0)</f>
        <v>0</v>
      </c>
      <c r="Y110" s="28">
        <f ca="1">IF(AND(X110=1,SETTINGS!$B$4&gt;=H110,SETTINGS!$B$4&gt;=U110,ROUND(MOD(SETTINGS!$B$4,1)*1440,0)&gt;=ROUND(SETTINGS!$B$7*1440,0),ROUND(MOD(SETTINGS!$B$4,1)*1440,0)&lt;ROUND(SETTINGS!$B$8*1440,0)),1,0)</f>
        <v>0</v>
      </c>
      <c r="Z110" s="28" t="str">
        <f ca="1">IF(B110="","",IF(ROUND(MOD(SETTINGS!$B$4,1)*1440,0)&lt;ROUND(SETTINGS!$B$11*1440,0),"Ram",IF(ROUND(MOD(SETTINGS!$B$4,1)*1440,0)&gt;=ROUND(SETTINGS!$B$10*1440,0),"Shyam",IF(MOD(IFERROR(VALUE(RIGHT(F110,2)),0),2)=0,"Ram","Shyam"))))</f>
        <v>Shyam</v>
      </c>
      <c r="AA110" s="28">
        <f t="shared" ca="1" si="14"/>
        <v>0</v>
      </c>
      <c r="AB110" s="28">
        <f ca="1">IF(X110=1,COUNTIFS($F$2:F110,F110,$X$2:X110,1),0)</f>
        <v>0</v>
      </c>
      <c r="AC110" s="28" t="str">
        <f>IF(L110=1,IF(IFERROR(INDEX(PARTNERS!$C$2:$C$88,MATCH(B110,PARTNERS!$A$2:$A$88,0)),"")="YES","YES","NO"),"")</f>
        <v>NO</v>
      </c>
      <c r="AD110" s="28" t="str">
        <f>IF(L110=1,IFERROR(INDEX(PARTNERS!$B$2:$B$88,MATCH(B110,PARTNERS!$A$2:$A$88,0)),""),"")</f>
        <v>https://calendly.com/partner016/interview</v>
      </c>
      <c r="AE110" s="28">
        <f ca="1">IF(X110=1,IFERROR(INDEX(SETTINGS!$B$34:$D$36,MATCH(I110,SETTINGS!$A$34:$A$36,0),MIN(Q110,2)+1),SETTINGS!$B$36),0)</f>
        <v>0</v>
      </c>
      <c r="AF110" s="28">
        <f t="shared" si="15"/>
        <v>1</v>
      </c>
      <c r="AG110" s="28">
        <f ca="1">IF(AND(Y110=1,AB110=1),ROUND(AA110*AE110*IF(AF110&gt;1,SETTINGS!$B$16,1)*IF(W110&lt;=SETTINGS!$B$14,SETTINGS!$B$15,1)*IF(AU110=1,SETTINGS!$B$21,1),6),0)</f>
        <v>0</v>
      </c>
      <c r="AH110" s="28" t="str">
        <f ca="1">IF(AG110&gt;0,COUNTIFS($Z$2:$Z$601,Z110,$AG$2:$AG$601,"&gt;"&amp;AG110)+COUNTIFS($Z$2:Z110,Z110,$AG$2:AG110,AG110),"")</f>
        <v/>
      </c>
      <c r="AI110" s="28" t="str">
        <f t="shared" ca="1" si="16"/>
        <v/>
      </c>
      <c r="AJ110" s="28" t="str">
        <f t="shared" ca="1" si="17"/>
        <v/>
      </c>
      <c r="AK110" s="28">
        <f>IF(L110=1,IF(COUNTIFS($F$2:F110,F110,$L$2:L110,1)=1,1,0),0)</f>
        <v>1</v>
      </c>
      <c r="AL110" s="28" t="str">
        <f ca="1">IF(B110="","",IF(K110="DUPLICATE","Duplicate (removed)",IF(AO110=1,"Scheduled within 24h",IF(M110=1,"Scheduled late",IF(K110="BAD CONTACT","Bad contact details",IF(O110=1,"Stopped / wrong number",IF(N110=1,"Not interested",IF(P110=1,"Partner has no slots",IF(SETTINGS!$B$4&gt;=V110,IF(Q110=0,"Missed deadline: never tried","Missed deadline: tried, not booked"),IF(Q110&gt;=SETTINGS!$B$6,"No reply after max tries","Open"))))))))))</f>
        <v>Missed deadline: tried, not booked</v>
      </c>
      <c r="AM110" s="46" t="str">
        <f>IF(M110=1,IF(_xlfn.MINIFS(LOG!$G$2:$G$2001,LOG!$C$2:$C$2001,F110,LOG!$E$2:$E$2001,B110,LOG!$D$2:$D$2001,"*BOOKED")=0,_xlfn.MINIFS(LOG!$G$2:$G$2001,LOG!$C$2:$C$2001,F110,LOG!$E$2:$E$2001,"",LOG!$D$2:$D$2001,"*BOOKED"),IF(_xlfn.MINIFS(LOG!$G$2:$G$2001,LOG!$C$2:$C$2001,F110,LOG!$E$2:$E$2001,"",LOG!$D$2:$D$2001,"*BOOKED")=0,_xlfn.MINIFS(LOG!$G$2:$G$2001,LOG!$C$2:$C$2001,F110,LOG!$E$2:$E$2001,B110,LOG!$D$2:$D$2001,"*BOOKED"),MIN(_xlfn.MINIFS(LOG!$G$2:$G$2001,LOG!$C$2:$C$2001,F110,LOG!$E$2:$E$2001,B110,LOG!$D$2:$D$2001,"*BOOKED"),_xlfn.MINIFS(LOG!$G$2:$G$2001,LOG!$C$2:$C$2001,F110,LOG!$E$2:$E$2001,"",LOG!$D$2:$D$2001,"*BOOKED")))),"")</f>
        <v/>
      </c>
      <c r="AN110" s="28" t="str">
        <f t="shared" si="18"/>
        <v/>
      </c>
      <c r="AO110" s="28">
        <f>IF(AND(M110=1,AN110&lt;&gt;""),IF(AN110&lt;=SETTINGS!$B$5,1,0),0)</f>
        <v>0</v>
      </c>
      <c r="AP110" s="28">
        <f>IF(M110=1,IF(COUNTIFS(LOG!$C$2:$C$2001,F110,LOG!$E$2:$E$2001,B110,LOG!$D$2:$D$2001,"BOOKED")+COUNTIFS(LOG!$C$2:$C$2001,F110,LOG!$E$2:$E$2001,"",LOG!$D$2:$D$2001,"BOOKED")&gt;0,1,0),0)</f>
        <v>0</v>
      </c>
      <c r="AQ110" s="28" t="str">
        <f t="shared" si="19"/>
        <v>Kabir</v>
      </c>
      <c r="AR110" s="28">
        <f>IF(AND(AK110=1,K110="OK"),COUNTIFS($AK$2:AK110,1,$K$2:K110,"OK"),"")</f>
        <v>103</v>
      </c>
      <c r="AS110" s="28" t="str">
        <f>IF(L110=1,IFERROR(INDEX(MESSAGES!$J$9:$J$1008,MATCH(F110,MESSAGES!$M$9:$M$1008,0))&amp;"",""),"")</f>
        <v/>
      </c>
      <c r="AT110" s="28" t="str">
        <f>IF(L110=1,IFERROR(INDEX(MESSAGES!$K$9:$K$1008,MATCH(F110,MESSAGES!$M$9:$M$1008,0))&amp;"",""),"")</f>
        <v/>
      </c>
      <c r="AU110" s="28">
        <f t="shared" ca="1" si="20"/>
        <v>0</v>
      </c>
      <c r="AV110" s="28" t="str">
        <f t="shared" si="21"/>
        <v>HOLD</v>
      </c>
    </row>
    <row r="111" spans="1:48" x14ac:dyDescent="0.35">
      <c r="A111" s="28">
        <v>110</v>
      </c>
      <c r="B111" s="28" t="str">
        <f>IF(INPUT!A111="","",TRIM(INPUT!A111))</f>
        <v>Partner 061</v>
      </c>
      <c r="C111" s="28" t="str">
        <f>IF(B111="","",INPUT!C111)</f>
        <v>interviewer1@partner061.example.com</v>
      </c>
      <c r="D111" s="28" t="str">
        <f>IF(B111="","",INPUT!D111)</f>
        <v>Aarav F.</v>
      </c>
      <c r="E111" s="28" t="str">
        <f>IF(B111="","",INPUT!E111)</f>
        <v>aarav.f150@example.com</v>
      </c>
      <c r="F111" s="43" t="str">
        <f>IF(B111="","",TRIM(INPUT!F111&amp;""))</f>
        <v>9000001957</v>
      </c>
      <c r="G111" s="28" t="str">
        <f>IF(B111="","",INPUT!H111)</f>
        <v>Round1</v>
      </c>
      <c r="H111" s="46">
        <f>IF(B111="","",INPUT!I111)</f>
        <v>46308.82708333333</v>
      </c>
      <c r="I111" s="28" t="str">
        <f>IF(B111="","",IF(INPUT!J111="","None",INPUT!J111))</f>
        <v>None</v>
      </c>
      <c r="J111" s="28" t="str">
        <f t="shared" si="11"/>
        <v>aarav.f150@example.com|partner 061|Round1|interviewer1@partner061.example.com</v>
      </c>
      <c r="K111" s="28" t="str">
        <f>IF(B111="","",IF(SUMPRODUCT(($J$2:$J$601=J111)*($H$2:$H$601&lt;H111))+SUMPRODUCT(($J$2:J111=J111)*($H$2:H111=H111))-1&gt;0,"DUPLICATE",IF(AND(ISNUMBER(SEARCH("@",E111)),ISNUMBER(SEARCH(".",E111)),LEN(F111)=10,ISNUMBER(VALUE(F111))),"OK","BAD CONTACT")))</f>
        <v>OK</v>
      </c>
      <c r="L111" s="28">
        <f t="shared" si="12"/>
        <v>1</v>
      </c>
      <c r="M111" s="28">
        <f>IF(L111=1,IF(COUNTIFS(LOG!$C$2:$C$2001,F111,LOG!$E$2:$E$2001,B111,LOG!$D$2:$D$2001,"*BOOKED")+COUNTIFS(LOG!$C$2:$C$2001,F111,LOG!$E$2:$E$2001,"",LOG!$D$2:$D$2001,"*BOOKED")&gt;0,1,0),0)</f>
        <v>0</v>
      </c>
      <c r="N111" s="28">
        <f>IF(L111=1,IF(COUNTIFS(LOG!$C$2:$C$2001,F111,LOG!$E$2:$E$2001,B111,LOG!$D$2:$D$2001,"NOT_INTERESTED")+COUNTIFS(LOG!$C$2:$C$2001,F111,LOG!$E$2:$E$2001,"",LOG!$D$2:$D$2001,"NOT_INTERESTED")&gt;0,1,0),0)</f>
        <v>0</v>
      </c>
      <c r="O111" s="28">
        <f>IF(L111=1,IF(COUNTIFS(LOG!$C$2:$C$2001,F111,LOG!$D$2:$D$2001,"STOP")+COUNTIFS(LOG!$C$2:$C$2001,F111,LOG!$D$2:$D$2001,"WRONG_NUMBER")&gt;0,1,IF(ISNUMBER(SEARCH("STOP",AT111)),1,0)),0)</f>
        <v>0</v>
      </c>
      <c r="P111" s="28">
        <f>IF(L111=1,IF(IFERROR(INDEX(PARTNERS!$D$2:$D$88,MATCH(B111,PARTNERS!$A$2:$A$88,0)),"")="NO SLOTS",1,IF(AND(IFERROR(INDEX(PARTNERS!$D$2:$D$88,MATCH(B111,PARTNERS!$A$2:$A$88,0)),"")&lt;&gt;"REOPENED",COUNTIFS(LOG!$E$2:$E$2001,B111,LOG!$D$2:$D$2001,"NO_SLOTS")&gt;0),1,0)),0)</f>
        <v>0</v>
      </c>
      <c r="Q111" s="28">
        <f>IF(L111=1,COUNTIFS(LOG!$C$2:$C$2001,F111,LOG!$H$2:$H$2001,1),0)</f>
        <v>1</v>
      </c>
      <c r="R111" s="46">
        <f>IF(Q111&gt;0,_xlfn.MAXIFS(LOG!$G$2:$G$2001,LOG!$C$2:$C$2001,F111,LOG!$H$2:$H$2001,1),0)</f>
        <v>46309.826559237546</v>
      </c>
      <c r="S111" s="28" t="str">
        <f>IF(Q111&gt;0,IFERROR(INDEX(LOG!$D$2:$D$2001,MATCH(F111&amp;"|"&amp;Q111,LOG!$I$2:$I$2001,0)),""),"")</f>
        <v>SENT_LINK</v>
      </c>
      <c r="T111" s="28">
        <f>IF(S111="",0,IFERROR(VLOOKUP(S111,LISTS!$A$2:$E$10,4,FALSE),0))</f>
        <v>180</v>
      </c>
      <c r="U111" s="46">
        <f t="shared" si="13"/>
        <v>46309.951559237546</v>
      </c>
      <c r="V111" s="46">
        <f>IF(L111=1,H111+SETTINGS!$B$5/24,"")</f>
        <v>46309.82708333333</v>
      </c>
      <c r="W111" s="28">
        <f ca="1">IF(L111=1,(V111-SETTINGS!$B$4)*24,"")</f>
        <v>-1.6666666720993817E-2</v>
      </c>
      <c r="X111" s="28">
        <f ca="1">IF(AND(L111=1,K111="OK",M111=0,N111=0,O111=0,P111=0,SETTINGS!$B$4&lt;V111,Q111&lt;SETTINGS!$B$6),1,0)</f>
        <v>0</v>
      </c>
      <c r="Y111" s="28">
        <f ca="1">IF(AND(X111=1,SETTINGS!$B$4&gt;=H111,SETTINGS!$B$4&gt;=U111,ROUND(MOD(SETTINGS!$B$4,1)*1440,0)&gt;=ROUND(SETTINGS!$B$7*1440,0),ROUND(MOD(SETTINGS!$B$4,1)*1440,0)&lt;ROUND(SETTINGS!$B$8*1440,0)),1,0)</f>
        <v>0</v>
      </c>
      <c r="Z111" s="28" t="str">
        <f ca="1">IF(B111="","",IF(ROUND(MOD(SETTINGS!$B$4,1)*1440,0)&lt;ROUND(SETTINGS!$B$11*1440,0),"Ram",IF(ROUND(MOD(SETTINGS!$B$4,1)*1440,0)&gt;=ROUND(SETTINGS!$B$10*1440,0),"Shyam",IF(MOD(IFERROR(VALUE(RIGHT(F111,2)),0),2)=0,"Ram","Shyam"))))</f>
        <v>Shyam</v>
      </c>
      <c r="AA111" s="28">
        <f t="shared" ca="1" si="14"/>
        <v>0</v>
      </c>
      <c r="AB111" s="28">
        <f ca="1">IF(X111=1,COUNTIFS($F$2:F111,F111,$X$2:X111,1),0)</f>
        <v>0</v>
      </c>
      <c r="AC111" s="28" t="str">
        <f>IF(L111=1,IF(IFERROR(INDEX(PARTNERS!$C$2:$C$88,MATCH(B111,PARTNERS!$A$2:$A$88,0)),"")="YES","YES","NO"),"")</f>
        <v>NO</v>
      </c>
      <c r="AD111" s="28" t="str">
        <f>IF(L111=1,IFERROR(INDEX(PARTNERS!$B$2:$B$88,MATCH(B111,PARTNERS!$A$2:$A$88,0)),""),"")</f>
        <v>https://calendly.com/partner061/interview</v>
      </c>
      <c r="AE111" s="28">
        <f ca="1">IF(X111=1,IFERROR(INDEX(SETTINGS!$B$34:$D$36,MATCH(I111,SETTINGS!$A$34:$A$36,0),MIN(Q111,2)+1),SETTINGS!$B$36),0)</f>
        <v>0</v>
      </c>
      <c r="AF111" s="28">
        <f t="shared" si="15"/>
        <v>1</v>
      </c>
      <c r="AG111" s="28">
        <f ca="1">IF(AND(Y111=1,AB111=1),ROUND(AA111*AE111*IF(AF111&gt;1,SETTINGS!$B$16,1)*IF(W111&lt;=SETTINGS!$B$14,SETTINGS!$B$15,1)*IF(AU111=1,SETTINGS!$B$21,1),6),0)</f>
        <v>0</v>
      </c>
      <c r="AH111" s="28" t="str">
        <f ca="1">IF(AG111&gt;0,COUNTIFS($Z$2:$Z$601,Z111,$AG$2:$AG$601,"&gt;"&amp;AG111)+COUNTIFS($Z$2:Z111,Z111,$AG$2:AG111,AG111),"")</f>
        <v/>
      </c>
      <c r="AI111" s="28" t="str">
        <f t="shared" ca="1" si="16"/>
        <v/>
      </c>
      <c r="AJ111" s="28" t="str">
        <f t="shared" ca="1" si="17"/>
        <v/>
      </c>
      <c r="AK111" s="28">
        <f>IF(L111=1,IF(COUNTIFS($F$2:F111,F111,$L$2:L111,1)=1,1,0),0)</f>
        <v>1</v>
      </c>
      <c r="AL111" s="28" t="str">
        <f ca="1">IF(B111="","",IF(K111="DUPLICATE","Duplicate (removed)",IF(AO111=1,"Scheduled within 24h",IF(M111=1,"Scheduled late",IF(K111="BAD CONTACT","Bad contact details",IF(O111=1,"Stopped / wrong number",IF(N111=1,"Not interested",IF(P111=1,"Partner has no slots",IF(SETTINGS!$B$4&gt;=V111,IF(Q111=0,"Missed deadline: never tried","Missed deadline: tried, not booked"),IF(Q111&gt;=SETTINGS!$B$6,"No reply after max tries","Open"))))))))))</f>
        <v>Missed deadline: tried, not booked</v>
      </c>
      <c r="AM111" s="46" t="str">
        <f>IF(M111=1,IF(_xlfn.MINIFS(LOG!$G$2:$G$2001,LOG!$C$2:$C$2001,F111,LOG!$E$2:$E$2001,B111,LOG!$D$2:$D$2001,"*BOOKED")=0,_xlfn.MINIFS(LOG!$G$2:$G$2001,LOG!$C$2:$C$2001,F111,LOG!$E$2:$E$2001,"",LOG!$D$2:$D$2001,"*BOOKED"),IF(_xlfn.MINIFS(LOG!$G$2:$G$2001,LOG!$C$2:$C$2001,F111,LOG!$E$2:$E$2001,"",LOG!$D$2:$D$2001,"*BOOKED")=0,_xlfn.MINIFS(LOG!$G$2:$G$2001,LOG!$C$2:$C$2001,F111,LOG!$E$2:$E$2001,B111,LOG!$D$2:$D$2001,"*BOOKED"),MIN(_xlfn.MINIFS(LOG!$G$2:$G$2001,LOG!$C$2:$C$2001,F111,LOG!$E$2:$E$2001,B111,LOG!$D$2:$D$2001,"*BOOKED"),_xlfn.MINIFS(LOG!$G$2:$G$2001,LOG!$C$2:$C$2001,F111,LOG!$E$2:$E$2001,"",LOG!$D$2:$D$2001,"*BOOKED")))),"")</f>
        <v/>
      </c>
      <c r="AN111" s="28" t="str">
        <f t="shared" si="18"/>
        <v/>
      </c>
      <c r="AO111" s="28">
        <f>IF(AND(M111=1,AN111&lt;&gt;""),IF(AN111&lt;=SETTINGS!$B$5,1,0),0)</f>
        <v>0</v>
      </c>
      <c r="AP111" s="28">
        <f>IF(M111=1,IF(COUNTIFS(LOG!$C$2:$C$2001,F111,LOG!$E$2:$E$2001,B111,LOG!$D$2:$D$2001,"BOOKED")+COUNTIFS(LOG!$C$2:$C$2001,F111,LOG!$E$2:$E$2001,"",LOG!$D$2:$D$2001,"BOOKED")&gt;0,1,0),0)</f>
        <v>0</v>
      </c>
      <c r="AQ111" s="28" t="str">
        <f t="shared" si="19"/>
        <v>Aarav</v>
      </c>
      <c r="AR111" s="28">
        <f>IF(AND(AK111=1,K111="OK"),COUNTIFS($AK$2:AK111,1,$K$2:K111,"OK"),"")</f>
        <v>104</v>
      </c>
      <c r="AS111" s="28" t="str">
        <f>IF(L111=1,IFERROR(INDEX(MESSAGES!$J$9:$J$1008,MATCH(F111,MESSAGES!$M$9:$M$1008,0))&amp;"",""),"")</f>
        <v/>
      </c>
      <c r="AT111" s="28" t="str">
        <f>IF(L111=1,IFERROR(INDEX(MESSAGES!$K$9:$K$1008,MATCH(F111,MESSAGES!$M$9:$M$1008,0))&amp;"",""),"")</f>
        <v/>
      </c>
      <c r="AU111" s="28">
        <f t="shared" ca="1" si="20"/>
        <v>0</v>
      </c>
      <c r="AV111" s="28" t="str">
        <f t="shared" si="21"/>
        <v>HOLD</v>
      </c>
    </row>
    <row r="112" spans="1:48" x14ac:dyDescent="0.35">
      <c r="A112" s="28">
        <v>111</v>
      </c>
      <c r="B112" s="28" t="str">
        <f>IF(INPUT!A112="","",TRIM(INPUT!A112))</f>
        <v>Partner 000</v>
      </c>
      <c r="C112" s="28" t="str">
        <f>IF(B112="","",INPUT!C112)</f>
        <v>interviewer2@partner000.example.com</v>
      </c>
      <c r="D112" s="28" t="str">
        <f>IF(B112="","",INPUT!D112)</f>
        <v>Kiara E.</v>
      </c>
      <c r="E112" s="28" t="str">
        <f>IF(B112="","",INPUT!E112)</f>
        <v>kiara.e131@example.com</v>
      </c>
      <c r="F112" s="43" t="str">
        <f>IF(B112="","",TRIM(INPUT!F112&amp;""))</f>
        <v>9000001710</v>
      </c>
      <c r="G112" s="28" t="str">
        <f>IF(B112="","",INPUT!H112)</f>
        <v>Round1</v>
      </c>
      <c r="H112" s="46">
        <f>IF(B112="","",INPUT!I112)</f>
        <v>46308.82708333333</v>
      </c>
      <c r="I112" s="28" t="str">
        <f>IF(B112="","",IF(INPUT!J112="","None",INPUT!J112))</f>
        <v>None</v>
      </c>
      <c r="J112" s="28" t="str">
        <f t="shared" si="11"/>
        <v>kiara.e131@example.com|partner 000|Round1|interviewer2@partner000.example.com</v>
      </c>
      <c r="K112" s="28" t="str">
        <f>IF(B112="","",IF(SUMPRODUCT(($J$2:$J$601=J112)*($H$2:$H$601&lt;H112))+SUMPRODUCT(($J$2:J112=J112)*($H$2:H112=H112))-1&gt;0,"DUPLICATE",IF(AND(ISNUMBER(SEARCH("@",E112)),ISNUMBER(SEARCH(".",E112)),LEN(F112)=10,ISNUMBER(VALUE(F112))),"OK","BAD CONTACT")))</f>
        <v>OK</v>
      </c>
      <c r="L112" s="28">
        <f t="shared" si="12"/>
        <v>1</v>
      </c>
      <c r="M112" s="28">
        <f>IF(L112=1,IF(COUNTIFS(LOG!$C$2:$C$2001,F112,LOG!$E$2:$E$2001,B112,LOG!$D$2:$D$2001,"*BOOKED")+COUNTIFS(LOG!$C$2:$C$2001,F112,LOG!$E$2:$E$2001,"",LOG!$D$2:$D$2001,"*BOOKED")&gt;0,1,0),0)</f>
        <v>0</v>
      </c>
      <c r="N112" s="28">
        <f>IF(L112=1,IF(COUNTIFS(LOG!$C$2:$C$2001,F112,LOG!$E$2:$E$2001,B112,LOG!$D$2:$D$2001,"NOT_INTERESTED")+COUNTIFS(LOG!$C$2:$C$2001,F112,LOG!$E$2:$E$2001,"",LOG!$D$2:$D$2001,"NOT_INTERESTED")&gt;0,1,0),0)</f>
        <v>0</v>
      </c>
      <c r="O112" s="28">
        <f>IF(L112=1,IF(COUNTIFS(LOG!$C$2:$C$2001,F112,LOG!$D$2:$D$2001,"STOP")+COUNTIFS(LOG!$C$2:$C$2001,F112,LOG!$D$2:$D$2001,"WRONG_NUMBER")&gt;0,1,IF(ISNUMBER(SEARCH("STOP",AT112)),1,0)),0)</f>
        <v>0</v>
      </c>
      <c r="P112" s="28">
        <f>IF(L112=1,IF(IFERROR(INDEX(PARTNERS!$D$2:$D$88,MATCH(B112,PARTNERS!$A$2:$A$88,0)),"")="NO SLOTS",1,IF(AND(IFERROR(INDEX(PARTNERS!$D$2:$D$88,MATCH(B112,PARTNERS!$A$2:$A$88,0)),"")&lt;&gt;"REOPENED",COUNTIFS(LOG!$E$2:$E$2001,B112,LOG!$D$2:$D$2001,"NO_SLOTS")&gt;0),1,0)),0)</f>
        <v>0</v>
      </c>
      <c r="Q112" s="28">
        <f>IF(L112=1,COUNTIFS(LOG!$C$2:$C$2001,F112,LOG!$H$2:$H$2001,1),0)</f>
        <v>0</v>
      </c>
      <c r="R112" s="46">
        <f>IF(Q112&gt;0,_xlfn.MAXIFS(LOG!$G$2:$G$2001,LOG!$C$2:$C$2001,F112,LOG!$H$2:$H$2001,1),0)</f>
        <v>0</v>
      </c>
      <c r="S112" s="28" t="str">
        <f>IF(Q112&gt;0,IFERROR(INDEX(LOG!$D$2:$D$2001,MATCH(F112&amp;"|"&amp;Q112,LOG!$I$2:$I$2001,0)),""),"")</f>
        <v/>
      </c>
      <c r="T112" s="28">
        <f>IF(S112="",0,IFERROR(VLOOKUP(S112,LISTS!$A$2:$E$10,4,FALSE),0))</f>
        <v>0</v>
      </c>
      <c r="U112" s="46">
        <f t="shared" si="13"/>
        <v>0</v>
      </c>
      <c r="V112" s="46">
        <f>IF(L112=1,H112+SETTINGS!$B$5/24,"")</f>
        <v>46309.82708333333</v>
      </c>
      <c r="W112" s="28">
        <f ca="1">IF(L112=1,(V112-SETTINGS!$B$4)*24,"")</f>
        <v>-1.6666666720993817E-2</v>
      </c>
      <c r="X112" s="28">
        <f ca="1">IF(AND(L112=1,K112="OK",M112=0,N112=0,O112=0,P112=0,SETTINGS!$B$4&lt;V112,Q112&lt;SETTINGS!$B$6),1,0)</f>
        <v>0</v>
      </c>
      <c r="Y112" s="28">
        <f ca="1">IF(AND(X112=1,SETTINGS!$B$4&gt;=H112,SETTINGS!$B$4&gt;=U112,ROUND(MOD(SETTINGS!$B$4,1)*1440,0)&gt;=ROUND(SETTINGS!$B$7*1440,0),ROUND(MOD(SETTINGS!$B$4,1)*1440,0)&lt;ROUND(SETTINGS!$B$8*1440,0)),1,0)</f>
        <v>0</v>
      </c>
      <c r="Z112" s="28" t="str">
        <f ca="1">IF(B112="","",IF(ROUND(MOD(SETTINGS!$B$4,1)*1440,0)&lt;ROUND(SETTINGS!$B$11*1440,0),"Ram",IF(ROUND(MOD(SETTINGS!$B$4,1)*1440,0)&gt;=ROUND(SETTINGS!$B$10*1440,0),"Shyam",IF(MOD(IFERROR(VALUE(RIGHT(F112,2)),0),2)=0,"Ram","Shyam"))))</f>
        <v>Shyam</v>
      </c>
      <c r="AA112" s="28">
        <f t="shared" ca="1" si="14"/>
        <v>0</v>
      </c>
      <c r="AB112" s="28">
        <f ca="1">IF(X112=1,COUNTIFS($F$2:F112,F112,$X$2:X112,1),0)</f>
        <v>0</v>
      </c>
      <c r="AC112" s="28" t="str">
        <f>IF(L112=1,IF(IFERROR(INDEX(PARTNERS!$C$2:$C$88,MATCH(B112,PARTNERS!$A$2:$A$88,0)),"")="YES","YES","NO"),"")</f>
        <v>NO</v>
      </c>
      <c r="AD112" s="28" t="str">
        <f>IF(L112=1,IFERROR(INDEX(PARTNERS!$B$2:$B$88,MATCH(B112,PARTNERS!$A$2:$A$88,0)),""),"")</f>
        <v>https://calendly.com/partner000/interview</v>
      </c>
      <c r="AE112" s="28">
        <f ca="1">IF(X112=1,IFERROR(INDEX(SETTINGS!$B$34:$D$36,MATCH(I112,SETTINGS!$A$34:$A$36,0),MIN(Q112,2)+1),SETTINGS!$B$36),0)</f>
        <v>0</v>
      </c>
      <c r="AF112" s="28">
        <f t="shared" si="15"/>
        <v>1</v>
      </c>
      <c r="AG112" s="28">
        <f ca="1">IF(AND(Y112=1,AB112=1),ROUND(AA112*AE112*IF(AF112&gt;1,SETTINGS!$B$16,1)*IF(W112&lt;=SETTINGS!$B$14,SETTINGS!$B$15,1)*IF(AU112=1,SETTINGS!$B$21,1),6),0)</f>
        <v>0</v>
      </c>
      <c r="AH112" s="28" t="str">
        <f ca="1">IF(AG112&gt;0,COUNTIFS($Z$2:$Z$601,Z112,$AG$2:$AG$601,"&gt;"&amp;AG112)+COUNTIFS($Z$2:Z112,Z112,$AG$2:AG112,AG112),"")</f>
        <v/>
      </c>
      <c r="AI112" s="28" t="str">
        <f t="shared" ca="1" si="16"/>
        <v/>
      </c>
      <c r="AJ112" s="28" t="str">
        <f t="shared" ca="1" si="17"/>
        <v/>
      </c>
      <c r="AK112" s="28">
        <f>IF(L112=1,IF(COUNTIFS($F$2:F112,F112,$L$2:L112,1)=1,1,0),0)</f>
        <v>1</v>
      </c>
      <c r="AL112" s="28" t="str">
        <f ca="1">IF(B112="","",IF(K112="DUPLICATE","Duplicate (removed)",IF(AO112=1,"Scheduled within 24h",IF(M112=1,"Scheduled late",IF(K112="BAD CONTACT","Bad contact details",IF(O112=1,"Stopped / wrong number",IF(N112=1,"Not interested",IF(P112=1,"Partner has no slots",IF(SETTINGS!$B$4&gt;=V112,IF(Q112=0,"Missed deadline: never tried","Missed deadline: tried, not booked"),IF(Q112&gt;=SETTINGS!$B$6,"No reply after max tries","Open"))))))))))</f>
        <v>Missed deadline: never tried</v>
      </c>
      <c r="AM112" s="46" t="str">
        <f>IF(M112=1,IF(_xlfn.MINIFS(LOG!$G$2:$G$2001,LOG!$C$2:$C$2001,F112,LOG!$E$2:$E$2001,B112,LOG!$D$2:$D$2001,"*BOOKED")=0,_xlfn.MINIFS(LOG!$G$2:$G$2001,LOG!$C$2:$C$2001,F112,LOG!$E$2:$E$2001,"",LOG!$D$2:$D$2001,"*BOOKED"),IF(_xlfn.MINIFS(LOG!$G$2:$G$2001,LOG!$C$2:$C$2001,F112,LOG!$E$2:$E$2001,"",LOG!$D$2:$D$2001,"*BOOKED")=0,_xlfn.MINIFS(LOG!$G$2:$G$2001,LOG!$C$2:$C$2001,F112,LOG!$E$2:$E$2001,B112,LOG!$D$2:$D$2001,"*BOOKED"),MIN(_xlfn.MINIFS(LOG!$G$2:$G$2001,LOG!$C$2:$C$2001,F112,LOG!$E$2:$E$2001,B112,LOG!$D$2:$D$2001,"*BOOKED"),_xlfn.MINIFS(LOG!$G$2:$G$2001,LOG!$C$2:$C$2001,F112,LOG!$E$2:$E$2001,"",LOG!$D$2:$D$2001,"*BOOKED")))),"")</f>
        <v/>
      </c>
      <c r="AN112" s="28" t="str">
        <f t="shared" si="18"/>
        <v/>
      </c>
      <c r="AO112" s="28">
        <f>IF(AND(M112=1,AN112&lt;&gt;""),IF(AN112&lt;=SETTINGS!$B$5,1,0),0)</f>
        <v>0</v>
      </c>
      <c r="AP112" s="28">
        <f>IF(M112=1,IF(COUNTIFS(LOG!$C$2:$C$2001,F112,LOG!$E$2:$E$2001,B112,LOG!$D$2:$D$2001,"BOOKED")+COUNTIFS(LOG!$C$2:$C$2001,F112,LOG!$E$2:$E$2001,"",LOG!$D$2:$D$2001,"BOOKED")&gt;0,1,0),0)</f>
        <v>0</v>
      </c>
      <c r="AQ112" s="28" t="str">
        <f t="shared" si="19"/>
        <v>Kiara</v>
      </c>
      <c r="AR112" s="28">
        <f>IF(AND(AK112=1,K112="OK"),COUNTIFS($AK$2:AK112,1,$K$2:K112,"OK"),"")</f>
        <v>105</v>
      </c>
      <c r="AS112" s="28" t="str">
        <f>IF(L112=1,IFERROR(INDEX(MESSAGES!$J$9:$J$1008,MATCH(F112,MESSAGES!$M$9:$M$1008,0))&amp;"",""),"")</f>
        <v/>
      </c>
      <c r="AT112" s="28" t="str">
        <f>IF(L112=1,IFERROR(INDEX(MESSAGES!$K$9:$K$1008,MATCH(F112,MESSAGES!$M$9:$M$1008,0))&amp;"",""),"")</f>
        <v/>
      </c>
      <c r="AU112" s="28">
        <f t="shared" ca="1" si="20"/>
        <v>0</v>
      </c>
      <c r="AV112" s="28" t="str">
        <f t="shared" si="21"/>
        <v>HOLD</v>
      </c>
    </row>
    <row r="113" spans="1:48" x14ac:dyDescent="0.35">
      <c r="A113" s="28">
        <v>112</v>
      </c>
      <c r="B113" s="28" t="str">
        <f>IF(INPUT!A113="","",TRIM(INPUT!A113))</f>
        <v>Partner 000</v>
      </c>
      <c r="C113" s="28" t="str">
        <f>IF(B113="","",INPUT!C113)</f>
        <v>interviewer2@partner000.example.com</v>
      </c>
      <c r="D113" s="28" t="str">
        <f>IF(B113="","",INPUT!D113)</f>
        <v>Kabir K.</v>
      </c>
      <c r="E113" s="28" t="str">
        <f>IF(B113="","",INPUT!E113)</f>
        <v>kabir.k272@example.com</v>
      </c>
      <c r="F113" s="43" t="str">
        <f>IF(B113="","",TRIM(INPUT!F113&amp;""))</f>
        <v>9000003543</v>
      </c>
      <c r="G113" s="28" t="str">
        <f>IF(B113="","",INPUT!H113)</f>
        <v>Round1</v>
      </c>
      <c r="H113" s="46">
        <f>IF(B113="","",INPUT!I113)</f>
        <v>46308.82708333333</v>
      </c>
      <c r="I113" s="28" t="str">
        <f>IF(B113="","",IF(INPUT!J113="","None",INPUT!J113))</f>
        <v>Opened</v>
      </c>
      <c r="J113" s="28" t="str">
        <f t="shared" si="11"/>
        <v>kabir.k272@example.com|partner 000|Round1|interviewer2@partner000.example.com</v>
      </c>
      <c r="K113" s="28" t="str">
        <f>IF(B113="","",IF(SUMPRODUCT(($J$2:$J$601=J113)*($H$2:$H$601&lt;H113))+SUMPRODUCT(($J$2:J113=J113)*($H$2:H113=H113))-1&gt;0,"DUPLICATE",IF(AND(ISNUMBER(SEARCH("@",E113)),ISNUMBER(SEARCH(".",E113)),LEN(F113)=10,ISNUMBER(VALUE(F113))),"OK","BAD CONTACT")))</f>
        <v>OK</v>
      </c>
      <c r="L113" s="28">
        <f t="shared" si="12"/>
        <v>1</v>
      </c>
      <c r="M113" s="28">
        <f>IF(L113=1,IF(COUNTIFS(LOG!$C$2:$C$2001,F113,LOG!$E$2:$E$2001,B113,LOG!$D$2:$D$2001,"*BOOKED")+COUNTIFS(LOG!$C$2:$C$2001,F113,LOG!$E$2:$E$2001,"",LOG!$D$2:$D$2001,"*BOOKED")&gt;0,1,0),0)</f>
        <v>0</v>
      </c>
      <c r="N113" s="28">
        <f>IF(L113=1,IF(COUNTIFS(LOG!$C$2:$C$2001,F113,LOG!$E$2:$E$2001,B113,LOG!$D$2:$D$2001,"NOT_INTERESTED")+COUNTIFS(LOG!$C$2:$C$2001,F113,LOG!$E$2:$E$2001,"",LOG!$D$2:$D$2001,"NOT_INTERESTED")&gt;0,1,0),0)</f>
        <v>0</v>
      </c>
      <c r="O113" s="28">
        <f>IF(L113=1,IF(COUNTIFS(LOG!$C$2:$C$2001,F113,LOG!$D$2:$D$2001,"STOP")+COUNTIFS(LOG!$C$2:$C$2001,F113,LOG!$D$2:$D$2001,"WRONG_NUMBER")&gt;0,1,IF(ISNUMBER(SEARCH("STOP",AT113)),1,0)),0)</f>
        <v>0</v>
      </c>
      <c r="P113" s="28">
        <f>IF(L113=1,IF(IFERROR(INDEX(PARTNERS!$D$2:$D$88,MATCH(B113,PARTNERS!$A$2:$A$88,0)),"")="NO SLOTS",1,IF(AND(IFERROR(INDEX(PARTNERS!$D$2:$D$88,MATCH(B113,PARTNERS!$A$2:$A$88,0)),"")&lt;&gt;"REOPENED",COUNTIFS(LOG!$E$2:$E$2001,B113,LOG!$D$2:$D$2001,"NO_SLOTS")&gt;0),1,0)),0)</f>
        <v>0</v>
      </c>
      <c r="Q113" s="28">
        <f>IF(L113=1,COUNTIFS(LOG!$C$2:$C$2001,F113,LOG!$H$2:$H$2001,1),0)</f>
        <v>2</v>
      </c>
      <c r="R113" s="46">
        <f>IF(Q113&gt;0,_xlfn.MAXIFS(LOG!$G$2:$G$2001,LOG!$C$2:$C$2001,F113,LOG!$H$2:$H$2001,1),0)</f>
        <v>46309.535009124564</v>
      </c>
      <c r="S113" s="28" t="str">
        <f>IF(Q113&gt;0,IFERROR(INDEX(LOG!$D$2:$D$2001,MATCH(F113&amp;"|"&amp;Q113,LOG!$I$2:$I$2001,0)),""),"")</f>
        <v>SENT_LINK</v>
      </c>
      <c r="T113" s="28">
        <f>IF(S113="",0,IFERROR(VLOOKUP(S113,LISTS!$A$2:$E$10,4,FALSE),0))</f>
        <v>180</v>
      </c>
      <c r="U113" s="46">
        <f t="shared" si="13"/>
        <v>46309.660009124564</v>
      </c>
      <c r="V113" s="46">
        <f>IF(L113=1,H113+SETTINGS!$B$5/24,"")</f>
        <v>46309.82708333333</v>
      </c>
      <c r="W113" s="28">
        <f ca="1">IF(L113=1,(V113-SETTINGS!$B$4)*24,"")</f>
        <v>-1.6666666720993817E-2</v>
      </c>
      <c r="X113" s="28">
        <f ca="1">IF(AND(L113=1,K113="OK",M113=0,N113=0,O113=0,P113=0,SETTINGS!$B$4&lt;V113,Q113&lt;SETTINGS!$B$6),1,0)</f>
        <v>0</v>
      </c>
      <c r="Y113" s="28">
        <f ca="1">IF(AND(X113=1,SETTINGS!$B$4&gt;=H113,SETTINGS!$B$4&gt;=U113,ROUND(MOD(SETTINGS!$B$4,1)*1440,0)&gt;=ROUND(SETTINGS!$B$7*1440,0),ROUND(MOD(SETTINGS!$B$4,1)*1440,0)&lt;ROUND(SETTINGS!$B$8*1440,0)),1,0)</f>
        <v>0</v>
      </c>
      <c r="Z113" s="28" t="str">
        <f ca="1">IF(B113="","",IF(ROUND(MOD(SETTINGS!$B$4,1)*1440,0)&lt;ROUND(SETTINGS!$B$11*1440,0),"Ram",IF(ROUND(MOD(SETTINGS!$B$4,1)*1440,0)&gt;=ROUND(SETTINGS!$B$10*1440,0),"Shyam",IF(MOD(IFERROR(VALUE(RIGHT(F113,2)),0),2)=0,"Ram","Shyam"))))</f>
        <v>Shyam</v>
      </c>
      <c r="AA113" s="28">
        <f t="shared" ca="1" si="14"/>
        <v>0</v>
      </c>
      <c r="AB113" s="28">
        <f ca="1">IF(X113=1,COUNTIFS($F$2:F113,F113,$X$2:X113,1),0)</f>
        <v>0</v>
      </c>
      <c r="AC113" s="28" t="str">
        <f>IF(L113=1,IF(IFERROR(INDEX(PARTNERS!$C$2:$C$88,MATCH(B113,PARTNERS!$A$2:$A$88,0)),"")="YES","YES","NO"),"")</f>
        <v>NO</v>
      </c>
      <c r="AD113" s="28" t="str">
        <f>IF(L113=1,IFERROR(INDEX(PARTNERS!$B$2:$B$88,MATCH(B113,PARTNERS!$A$2:$A$88,0)),""),"")</f>
        <v>https://calendly.com/partner000/interview</v>
      </c>
      <c r="AE113" s="28">
        <f ca="1">IF(X113=1,IFERROR(INDEX(SETTINGS!$B$34:$D$36,MATCH(I113,SETTINGS!$A$34:$A$36,0),MIN(Q113,2)+1),SETTINGS!$B$36),0)</f>
        <v>0</v>
      </c>
      <c r="AF113" s="28">
        <f t="shared" si="15"/>
        <v>1</v>
      </c>
      <c r="AG113" s="28">
        <f ca="1">IF(AND(Y113=1,AB113=1),ROUND(AA113*AE113*IF(AF113&gt;1,SETTINGS!$B$16,1)*IF(W113&lt;=SETTINGS!$B$14,SETTINGS!$B$15,1)*IF(AU113=1,SETTINGS!$B$21,1),6),0)</f>
        <v>0</v>
      </c>
      <c r="AH113" s="28" t="str">
        <f ca="1">IF(AG113&gt;0,COUNTIFS($Z$2:$Z$601,Z113,$AG$2:$AG$601,"&gt;"&amp;AG113)+COUNTIFS($Z$2:Z113,Z113,$AG$2:AG113,AG113),"")</f>
        <v/>
      </c>
      <c r="AI113" s="28" t="str">
        <f t="shared" ca="1" si="16"/>
        <v/>
      </c>
      <c r="AJ113" s="28" t="str">
        <f t="shared" ca="1" si="17"/>
        <v/>
      </c>
      <c r="AK113" s="28">
        <f>IF(L113=1,IF(COUNTIFS($F$2:F113,F113,$L$2:L113,1)=1,1,0),0)</f>
        <v>1</v>
      </c>
      <c r="AL113" s="28" t="str">
        <f ca="1">IF(B113="","",IF(K113="DUPLICATE","Duplicate (removed)",IF(AO113=1,"Scheduled within 24h",IF(M113=1,"Scheduled late",IF(K113="BAD CONTACT","Bad contact details",IF(O113=1,"Stopped / wrong number",IF(N113=1,"Not interested",IF(P113=1,"Partner has no slots",IF(SETTINGS!$B$4&gt;=V113,IF(Q113=0,"Missed deadline: never tried","Missed deadline: tried, not booked"),IF(Q113&gt;=SETTINGS!$B$6,"No reply after max tries","Open"))))))))))</f>
        <v>Missed deadline: tried, not booked</v>
      </c>
      <c r="AM113" s="46" t="str">
        <f>IF(M113=1,IF(_xlfn.MINIFS(LOG!$G$2:$G$2001,LOG!$C$2:$C$2001,F113,LOG!$E$2:$E$2001,B113,LOG!$D$2:$D$2001,"*BOOKED")=0,_xlfn.MINIFS(LOG!$G$2:$G$2001,LOG!$C$2:$C$2001,F113,LOG!$E$2:$E$2001,"",LOG!$D$2:$D$2001,"*BOOKED"),IF(_xlfn.MINIFS(LOG!$G$2:$G$2001,LOG!$C$2:$C$2001,F113,LOG!$E$2:$E$2001,"",LOG!$D$2:$D$2001,"*BOOKED")=0,_xlfn.MINIFS(LOG!$G$2:$G$2001,LOG!$C$2:$C$2001,F113,LOG!$E$2:$E$2001,B113,LOG!$D$2:$D$2001,"*BOOKED"),MIN(_xlfn.MINIFS(LOG!$G$2:$G$2001,LOG!$C$2:$C$2001,F113,LOG!$E$2:$E$2001,B113,LOG!$D$2:$D$2001,"*BOOKED"),_xlfn.MINIFS(LOG!$G$2:$G$2001,LOG!$C$2:$C$2001,F113,LOG!$E$2:$E$2001,"",LOG!$D$2:$D$2001,"*BOOKED")))),"")</f>
        <v/>
      </c>
      <c r="AN113" s="28" t="str">
        <f t="shared" si="18"/>
        <v/>
      </c>
      <c r="AO113" s="28">
        <f>IF(AND(M113=1,AN113&lt;&gt;""),IF(AN113&lt;=SETTINGS!$B$5,1,0),0)</f>
        <v>0</v>
      </c>
      <c r="AP113" s="28">
        <f>IF(M113=1,IF(COUNTIFS(LOG!$C$2:$C$2001,F113,LOG!$E$2:$E$2001,B113,LOG!$D$2:$D$2001,"BOOKED")+COUNTIFS(LOG!$C$2:$C$2001,F113,LOG!$E$2:$E$2001,"",LOG!$D$2:$D$2001,"BOOKED")&gt;0,1,0),0)</f>
        <v>0</v>
      </c>
      <c r="AQ113" s="28" t="str">
        <f t="shared" si="19"/>
        <v>Kabir</v>
      </c>
      <c r="AR113" s="28">
        <f>IF(AND(AK113=1,K113="OK"),COUNTIFS($AK$2:AK113,1,$K$2:K113,"OK"),"")</f>
        <v>106</v>
      </c>
      <c r="AS113" s="28" t="str">
        <f>IF(L113=1,IFERROR(INDEX(MESSAGES!$J$9:$J$1008,MATCH(F113,MESSAGES!$M$9:$M$1008,0))&amp;"",""),"")</f>
        <v/>
      </c>
      <c r="AT113" s="28" t="str">
        <f>IF(L113=1,IFERROR(INDEX(MESSAGES!$K$9:$K$1008,MATCH(F113,MESSAGES!$M$9:$M$1008,0))&amp;"",""),"")</f>
        <v/>
      </c>
      <c r="AU113" s="28">
        <f t="shared" ca="1" si="20"/>
        <v>0</v>
      </c>
      <c r="AV113" s="28" t="str">
        <f t="shared" si="21"/>
        <v>SEND</v>
      </c>
    </row>
    <row r="114" spans="1:48" x14ac:dyDescent="0.35">
      <c r="A114" s="28">
        <v>113</v>
      </c>
      <c r="B114" s="28" t="str">
        <f>IF(INPUT!A114="","",TRIM(INPUT!A114))</f>
        <v>Partner 008</v>
      </c>
      <c r="C114" s="28" t="str">
        <f>IF(B114="","",INPUT!C114)</f>
        <v>interviewer2@partner008.example.com</v>
      </c>
      <c r="D114" s="28" t="str">
        <f>IF(B114="","",INPUT!D114)</f>
        <v>Nisha B.</v>
      </c>
      <c r="E114" s="28" t="str">
        <f>IF(B114="","",INPUT!E114)</f>
        <v>nisha.b057@example.com</v>
      </c>
      <c r="F114" s="43" t="str">
        <f>IF(B114="","",TRIM(INPUT!F114&amp;""))</f>
        <v>9000000748</v>
      </c>
      <c r="G114" s="28" t="str">
        <f>IF(B114="","",INPUT!H114)</f>
        <v>Round1</v>
      </c>
      <c r="H114" s="46">
        <f>IF(B114="","",INPUT!I114)</f>
        <v>46308.82708333333</v>
      </c>
      <c r="I114" s="28" t="str">
        <f>IF(B114="","",IF(INPUT!J114="","None",INPUT!J114))</f>
        <v>Clicked</v>
      </c>
      <c r="J114" s="28" t="str">
        <f t="shared" si="11"/>
        <v>nisha.b057@example.com|partner 008|Round1|interviewer2@partner008.example.com</v>
      </c>
      <c r="K114" s="28" t="str">
        <f>IF(B114="","",IF(SUMPRODUCT(($J$2:$J$601=J114)*($H$2:$H$601&lt;H114))+SUMPRODUCT(($J$2:J114=J114)*($H$2:H114=H114))-1&gt;0,"DUPLICATE",IF(AND(ISNUMBER(SEARCH("@",E114)),ISNUMBER(SEARCH(".",E114)),LEN(F114)=10,ISNUMBER(VALUE(F114))),"OK","BAD CONTACT")))</f>
        <v>OK</v>
      </c>
      <c r="L114" s="28">
        <f t="shared" si="12"/>
        <v>1</v>
      </c>
      <c r="M114" s="28">
        <f>IF(L114=1,IF(COUNTIFS(LOG!$C$2:$C$2001,F114,LOG!$E$2:$E$2001,B114,LOG!$D$2:$D$2001,"*BOOKED")+COUNTIFS(LOG!$C$2:$C$2001,F114,LOG!$E$2:$E$2001,"",LOG!$D$2:$D$2001,"*BOOKED")&gt;0,1,0),0)</f>
        <v>1</v>
      </c>
      <c r="N114" s="28">
        <f>IF(L114=1,IF(COUNTIFS(LOG!$C$2:$C$2001,F114,LOG!$E$2:$E$2001,B114,LOG!$D$2:$D$2001,"NOT_INTERESTED")+COUNTIFS(LOG!$C$2:$C$2001,F114,LOG!$E$2:$E$2001,"",LOG!$D$2:$D$2001,"NOT_INTERESTED")&gt;0,1,0),0)</f>
        <v>0</v>
      </c>
      <c r="O114" s="28">
        <f>IF(L114=1,IF(COUNTIFS(LOG!$C$2:$C$2001,F114,LOG!$D$2:$D$2001,"STOP")+COUNTIFS(LOG!$C$2:$C$2001,F114,LOG!$D$2:$D$2001,"WRONG_NUMBER")&gt;0,1,IF(ISNUMBER(SEARCH("STOP",AT114)),1,0)),0)</f>
        <v>0</v>
      </c>
      <c r="P114" s="28">
        <f>IF(L114=1,IF(IFERROR(INDEX(PARTNERS!$D$2:$D$88,MATCH(B114,PARTNERS!$A$2:$A$88,0)),"")="NO SLOTS",1,IF(AND(IFERROR(INDEX(PARTNERS!$D$2:$D$88,MATCH(B114,PARTNERS!$A$2:$A$88,0)),"")&lt;&gt;"REOPENED",COUNTIFS(LOG!$E$2:$E$2001,B114,LOG!$D$2:$D$2001,"NO_SLOTS")&gt;0),1,0)),0)</f>
        <v>0</v>
      </c>
      <c r="Q114" s="28">
        <f>IF(L114=1,COUNTIFS(LOG!$C$2:$C$2001,F114,LOG!$H$2:$H$2001,1),0)</f>
        <v>1</v>
      </c>
      <c r="R114" s="46">
        <f>IF(Q114&gt;0,_xlfn.MAXIFS(LOG!$G$2:$G$2001,LOG!$C$2:$C$2001,F114,LOG!$H$2:$H$2001,1),0)</f>
        <v>46309.583117434297</v>
      </c>
      <c r="S114" s="28" t="str">
        <f>IF(Q114&gt;0,IFERROR(INDEX(LOG!$D$2:$D$2001,MATCH(F114&amp;"|"&amp;Q114,LOG!$I$2:$I$2001,0)),""),"")</f>
        <v>BOOKED</v>
      </c>
      <c r="T114" s="28">
        <f>IF(S114="",0,IFERROR(VLOOKUP(S114,LISTS!$A$2:$E$10,4,FALSE),0))</f>
        <v>0</v>
      </c>
      <c r="U114" s="46">
        <f t="shared" si="13"/>
        <v>46309.583117434297</v>
      </c>
      <c r="V114" s="46">
        <f>IF(L114=1,H114+SETTINGS!$B$5/24,"")</f>
        <v>46309.82708333333</v>
      </c>
      <c r="W114" s="28">
        <f ca="1">IF(L114=1,(V114-SETTINGS!$B$4)*24,"")</f>
        <v>-1.6666666720993817E-2</v>
      </c>
      <c r="X114" s="28">
        <f ca="1">IF(AND(L114=1,K114="OK",M114=0,N114=0,O114=0,P114=0,SETTINGS!$B$4&lt;V114,Q114&lt;SETTINGS!$B$6),1,0)</f>
        <v>0</v>
      </c>
      <c r="Y114" s="28">
        <f ca="1">IF(AND(X114=1,SETTINGS!$B$4&gt;=H114,SETTINGS!$B$4&gt;=U114,ROUND(MOD(SETTINGS!$B$4,1)*1440,0)&gt;=ROUND(SETTINGS!$B$7*1440,0),ROUND(MOD(SETTINGS!$B$4,1)*1440,0)&lt;ROUND(SETTINGS!$B$8*1440,0)),1,0)</f>
        <v>0</v>
      </c>
      <c r="Z114" s="28" t="str">
        <f ca="1">IF(B114="","",IF(ROUND(MOD(SETTINGS!$B$4,1)*1440,0)&lt;ROUND(SETTINGS!$B$11*1440,0),"Ram",IF(ROUND(MOD(SETTINGS!$B$4,1)*1440,0)&gt;=ROUND(SETTINGS!$B$10*1440,0),"Shyam",IF(MOD(IFERROR(VALUE(RIGHT(F114,2)),0),2)=0,"Ram","Shyam"))))</f>
        <v>Shyam</v>
      </c>
      <c r="AA114" s="28">
        <f t="shared" ca="1" si="14"/>
        <v>0</v>
      </c>
      <c r="AB114" s="28">
        <f ca="1">IF(X114=1,COUNTIFS($F$2:F114,F114,$X$2:X114,1),0)</f>
        <v>0</v>
      </c>
      <c r="AC114" s="28" t="str">
        <f>IF(L114=1,IF(IFERROR(INDEX(PARTNERS!$C$2:$C$88,MATCH(B114,PARTNERS!$A$2:$A$88,0)),"")="YES","YES","NO"),"")</f>
        <v>YES</v>
      </c>
      <c r="AD114" s="28" t="str">
        <f>IF(L114=1,IFERROR(INDEX(PARTNERS!$B$2:$B$88,MATCH(B114,PARTNERS!$A$2:$A$88,0)),""),"")</f>
        <v>https://calendly.com/partner008/interview</v>
      </c>
      <c r="AE114" s="28">
        <f ca="1">IF(X114=1,IFERROR(INDEX(SETTINGS!$B$34:$D$36,MATCH(I114,SETTINGS!$A$34:$A$36,0),MIN(Q114,2)+1),SETTINGS!$B$36),0)</f>
        <v>0</v>
      </c>
      <c r="AF114" s="28">
        <f t="shared" si="15"/>
        <v>1</v>
      </c>
      <c r="AG114" s="28">
        <f ca="1">IF(AND(Y114=1,AB114=1),ROUND(AA114*AE114*IF(AF114&gt;1,SETTINGS!$B$16,1)*IF(W114&lt;=SETTINGS!$B$14,SETTINGS!$B$15,1)*IF(AU114=1,SETTINGS!$B$21,1),6),0)</f>
        <v>0</v>
      </c>
      <c r="AH114" s="28" t="str">
        <f ca="1">IF(AG114&gt;0,COUNTIFS($Z$2:$Z$601,Z114,$AG$2:$AG$601,"&gt;"&amp;AG114)+COUNTIFS($Z$2:Z114,Z114,$AG$2:AG114,AG114),"")</f>
        <v/>
      </c>
      <c r="AI114" s="28" t="str">
        <f t="shared" ca="1" si="16"/>
        <v/>
      </c>
      <c r="AJ114" s="28" t="str">
        <f t="shared" ca="1" si="17"/>
        <v/>
      </c>
      <c r="AK114" s="28">
        <f>IF(L114=1,IF(COUNTIFS($F$2:F114,F114,$L$2:L114,1)=1,1,0),0)</f>
        <v>1</v>
      </c>
      <c r="AL114" s="28" t="str">
        <f>IF(B114="","",IF(K114="DUPLICATE","Duplicate (removed)",IF(AO114=1,"Scheduled within 24h",IF(M114=1,"Scheduled late",IF(K114="BAD CONTACT","Bad contact details",IF(O114=1,"Stopped / wrong number",IF(N114=1,"Not interested",IF(P114=1,"Partner has no slots",IF(SETTINGS!$B$4&gt;=V114,IF(Q114=0,"Missed deadline: never tried","Missed deadline: tried, not booked"),IF(Q114&gt;=SETTINGS!$B$6,"No reply after max tries","Open"))))))))))</f>
        <v>Scheduled within 24h</v>
      </c>
      <c r="AM114" s="46">
        <f>IF(M114=1,IF(_xlfn.MINIFS(LOG!$G$2:$G$2001,LOG!$C$2:$C$2001,F114,LOG!$E$2:$E$2001,B114,LOG!$D$2:$D$2001,"*BOOKED")=0,_xlfn.MINIFS(LOG!$G$2:$G$2001,LOG!$C$2:$C$2001,F114,LOG!$E$2:$E$2001,"",LOG!$D$2:$D$2001,"*BOOKED"),IF(_xlfn.MINIFS(LOG!$G$2:$G$2001,LOG!$C$2:$C$2001,F114,LOG!$E$2:$E$2001,"",LOG!$D$2:$D$2001,"*BOOKED")=0,_xlfn.MINIFS(LOG!$G$2:$G$2001,LOG!$C$2:$C$2001,F114,LOG!$E$2:$E$2001,B114,LOG!$D$2:$D$2001,"*BOOKED"),MIN(_xlfn.MINIFS(LOG!$G$2:$G$2001,LOG!$C$2:$C$2001,F114,LOG!$E$2:$E$2001,B114,LOG!$D$2:$D$2001,"*BOOKED"),_xlfn.MINIFS(LOG!$G$2:$G$2001,LOG!$C$2:$C$2001,F114,LOG!$E$2:$E$2001,"",LOG!$D$2:$D$2001,"*BOOKED")))),"")</f>
        <v>46309.583117434297</v>
      </c>
      <c r="AN114" s="28">
        <f t="shared" si="18"/>
        <v>18.144818423199467</v>
      </c>
      <c r="AO114" s="28">
        <f>IF(AND(M114=1,AN114&lt;&gt;""),IF(AN114&lt;=SETTINGS!$B$5,1,0),0)</f>
        <v>1</v>
      </c>
      <c r="AP114" s="28">
        <f>IF(M114=1,IF(COUNTIFS(LOG!$C$2:$C$2001,F114,LOG!$E$2:$E$2001,B114,LOG!$D$2:$D$2001,"BOOKED")+COUNTIFS(LOG!$C$2:$C$2001,F114,LOG!$E$2:$E$2001,"",LOG!$D$2:$D$2001,"BOOKED")&gt;0,1,0),0)</f>
        <v>1</v>
      </c>
      <c r="AQ114" s="28" t="str">
        <f t="shared" si="19"/>
        <v>Nisha</v>
      </c>
      <c r="AR114" s="28">
        <f>IF(AND(AK114=1,K114="OK"),COUNTIFS($AK$2:AK114,1,$K$2:K114,"OK"),"")</f>
        <v>107</v>
      </c>
      <c r="AS114" s="28" t="str">
        <f>IF(L114=1,IFERROR(INDEX(MESSAGES!$J$9:$J$1008,MATCH(F114,MESSAGES!$M$9:$M$1008,0))&amp;"",""),"")</f>
        <v/>
      </c>
      <c r="AT114" s="28" t="str">
        <f>IF(L114=1,IFERROR(INDEX(MESSAGES!$K$9:$K$1008,MATCH(F114,MESSAGES!$M$9:$M$1008,0))&amp;"",""),"")</f>
        <v/>
      </c>
      <c r="AU114" s="28">
        <f t="shared" ca="1" si="20"/>
        <v>0</v>
      </c>
      <c r="AV114" s="28" t="str">
        <f t="shared" si="21"/>
        <v>SEND</v>
      </c>
    </row>
    <row r="115" spans="1:48" x14ac:dyDescent="0.35">
      <c r="A115" s="28">
        <v>114</v>
      </c>
      <c r="B115" s="28" t="str">
        <f>IF(INPUT!A115="","",TRIM(INPUT!A115))</f>
        <v>Partner 005</v>
      </c>
      <c r="C115" s="28" t="str">
        <f>IF(B115="","",INPUT!C115)</f>
        <v>interviewer0@partner005.example.com</v>
      </c>
      <c r="D115" s="28" t="str">
        <f>IF(B115="","",INPUT!D115)</f>
        <v>Diya F.</v>
      </c>
      <c r="E115" s="28" t="str">
        <f>IF(B115="","",INPUT!E115)</f>
        <v>diya.f151@example.com</v>
      </c>
      <c r="F115" s="43" t="str">
        <f>IF(B115="","",TRIM(INPUT!F115&amp;""))</f>
        <v>9000001970</v>
      </c>
      <c r="G115" s="28" t="str">
        <f>IF(B115="","",INPUT!H115)</f>
        <v>Round2</v>
      </c>
      <c r="H115" s="46">
        <f>IF(B115="","",INPUT!I115)</f>
        <v>46308.82708333333</v>
      </c>
      <c r="I115" s="28" t="str">
        <f>IF(B115="","",IF(INPUT!J115="","None",INPUT!J115))</f>
        <v>None</v>
      </c>
      <c r="J115" s="28" t="str">
        <f t="shared" si="11"/>
        <v>diya.f151@example.com|partner 005|Round2|interviewer0@partner005.example.com</v>
      </c>
      <c r="K115" s="28" t="str">
        <f>IF(B115="","",IF(SUMPRODUCT(($J$2:$J$601=J115)*($H$2:$H$601&lt;H115))+SUMPRODUCT(($J$2:J115=J115)*($H$2:H115=H115))-1&gt;0,"DUPLICATE",IF(AND(ISNUMBER(SEARCH("@",E115)),ISNUMBER(SEARCH(".",E115)),LEN(F115)=10,ISNUMBER(VALUE(F115))),"OK","BAD CONTACT")))</f>
        <v>OK</v>
      </c>
      <c r="L115" s="28">
        <f t="shared" si="12"/>
        <v>1</v>
      </c>
      <c r="M115" s="28">
        <f>IF(L115=1,IF(COUNTIFS(LOG!$C$2:$C$2001,F115,LOG!$E$2:$E$2001,B115,LOG!$D$2:$D$2001,"*BOOKED")+COUNTIFS(LOG!$C$2:$C$2001,F115,LOG!$E$2:$E$2001,"",LOG!$D$2:$D$2001,"*BOOKED")&gt;0,1,0),0)</f>
        <v>0</v>
      </c>
      <c r="N115" s="28">
        <f>IF(L115=1,IF(COUNTIFS(LOG!$C$2:$C$2001,F115,LOG!$E$2:$E$2001,B115,LOG!$D$2:$D$2001,"NOT_INTERESTED")+COUNTIFS(LOG!$C$2:$C$2001,F115,LOG!$E$2:$E$2001,"",LOG!$D$2:$D$2001,"NOT_INTERESTED")&gt;0,1,0),0)</f>
        <v>0</v>
      </c>
      <c r="O115" s="28">
        <f>IF(L115=1,IF(COUNTIFS(LOG!$C$2:$C$2001,F115,LOG!$D$2:$D$2001,"STOP")+COUNTIFS(LOG!$C$2:$C$2001,F115,LOG!$D$2:$D$2001,"WRONG_NUMBER")&gt;0,1,IF(ISNUMBER(SEARCH("STOP",AT115)),1,0)),0)</f>
        <v>0</v>
      </c>
      <c r="P115" s="28">
        <f>IF(L115=1,IF(IFERROR(INDEX(PARTNERS!$D$2:$D$88,MATCH(B115,PARTNERS!$A$2:$A$88,0)),"")="NO SLOTS",1,IF(AND(IFERROR(INDEX(PARTNERS!$D$2:$D$88,MATCH(B115,PARTNERS!$A$2:$A$88,0)),"")&lt;&gt;"REOPENED",COUNTIFS(LOG!$E$2:$E$2001,B115,LOG!$D$2:$D$2001,"NO_SLOTS")&gt;0),1,0)),0)</f>
        <v>0</v>
      </c>
      <c r="Q115" s="28">
        <f>IF(L115=1,COUNTIFS(LOG!$C$2:$C$2001,F115,LOG!$H$2:$H$2001,1),0)</f>
        <v>0</v>
      </c>
      <c r="R115" s="46">
        <f>IF(Q115&gt;0,_xlfn.MAXIFS(LOG!$G$2:$G$2001,LOG!$C$2:$C$2001,F115,LOG!$H$2:$H$2001,1),0)</f>
        <v>0</v>
      </c>
      <c r="S115" s="28" t="str">
        <f>IF(Q115&gt;0,IFERROR(INDEX(LOG!$D$2:$D$2001,MATCH(F115&amp;"|"&amp;Q115,LOG!$I$2:$I$2001,0)),""),"")</f>
        <v/>
      </c>
      <c r="T115" s="28">
        <f>IF(S115="",0,IFERROR(VLOOKUP(S115,LISTS!$A$2:$E$10,4,FALSE),0))</f>
        <v>0</v>
      </c>
      <c r="U115" s="46">
        <f t="shared" si="13"/>
        <v>0</v>
      </c>
      <c r="V115" s="46">
        <f>IF(L115=1,H115+SETTINGS!$B$5/24,"")</f>
        <v>46309.82708333333</v>
      </c>
      <c r="W115" s="28">
        <f ca="1">IF(L115=1,(V115-SETTINGS!$B$4)*24,"")</f>
        <v>-1.6666666720993817E-2</v>
      </c>
      <c r="X115" s="28">
        <f ca="1">IF(AND(L115=1,K115="OK",M115=0,N115=0,O115=0,P115=0,SETTINGS!$B$4&lt;V115,Q115&lt;SETTINGS!$B$6),1,0)</f>
        <v>0</v>
      </c>
      <c r="Y115" s="28">
        <f ca="1">IF(AND(X115=1,SETTINGS!$B$4&gt;=H115,SETTINGS!$B$4&gt;=U115,ROUND(MOD(SETTINGS!$B$4,1)*1440,0)&gt;=ROUND(SETTINGS!$B$7*1440,0),ROUND(MOD(SETTINGS!$B$4,1)*1440,0)&lt;ROUND(SETTINGS!$B$8*1440,0)),1,0)</f>
        <v>0</v>
      </c>
      <c r="Z115" s="28" t="str">
        <f ca="1">IF(B115="","",IF(ROUND(MOD(SETTINGS!$B$4,1)*1440,0)&lt;ROUND(SETTINGS!$B$11*1440,0),"Ram",IF(ROUND(MOD(SETTINGS!$B$4,1)*1440,0)&gt;=ROUND(SETTINGS!$B$10*1440,0),"Shyam",IF(MOD(IFERROR(VALUE(RIGHT(F115,2)),0),2)=0,"Ram","Shyam"))))</f>
        <v>Shyam</v>
      </c>
      <c r="AA115" s="28">
        <f t="shared" ca="1" si="14"/>
        <v>0</v>
      </c>
      <c r="AB115" s="28">
        <f ca="1">IF(X115=1,COUNTIFS($F$2:F115,F115,$X$2:X115,1),0)</f>
        <v>0</v>
      </c>
      <c r="AC115" s="28" t="str">
        <f>IF(L115=1,IF(IFERROR(INDEX(PARTNERS!$C$2:$C$88,MATCH(B115,PARTNERS!$A$2:$A$88,0)),"")="YES","YES","NO"),"")</f>
        <v>YES</v>
      </c>
      <c r="AD115" s="28" t="str">
        <f>IF(L115=1,IFERROR(INDEX(PARTNERS!$B$2:$B$88,MATCH(B115,PARTNERS!$A$2:$A$88,0)),""),"")</f>
        <v>https://calendly.com/partner005/interview</v>
      </c>
      <c r="AE115" s="28">
        <f ca="1">IF(X115=1,IFERROR(INDEX(SETTINGS!$B$34:$D$36,MATCH(I115,SETTINGS!$A$34:$A$36,0),MIN(Q115,2)+1),SETTINGS!$B$36),0)</f>
        <v>0</v>
      </c>
      <c r="AF115" s="28">
        <f t="shared" si="15"/>
        <v>2</v>
      </c>
      <c r="AG115" s="28">
        <f ca="1">IF(AND(Y115=1,AB115=1),ROUND(AA115*AE115*IF(AF115&gt;1,SETTINGS!$B$16,1)*IF(W115&lt;=SETTINGS!$B$14,SETTINGS!$B$15,1)*IF(AU115=1,SETTINGS!$B$21,1),6),0)</f>
        <v>0</v>
      </c>
      <c r="AH115" s="28" t="str">
        <f ca="1">IF(AG115&gt;0,COUNTIFS($Z$2:$Z$601,Z115,$AG$2:$AG$601,"&gt;"&amp;AG115)+COUNTIFS($Z$2:Z115,Z115,$AG$2:AG115,AG115),"")</f>
        <v/>
      </c>
      <c r="AI115" s="28" t="str">
        <f t="shared" ca="1" si="16"/>
        <v/>
      </c>
      <c r="AJ115" s="28" t="str">
        <f t="shared" ca="1" si="17"/>
        <v/>
      </c>
      <c r="AK115" s="28">
        <f>IF(L115=1,IF(COUNTIFS($F$2:F115,F115,$L$2:L115,1)=1,1,0),0)</f>
        <v>1</v>
      </c>
      <c r="AL115" s="28" t="str">
        <f ca="1">IF(B115="","",IF(K115="DUPLICATE","Duplicate (removed)",IF(AO115=1,"Scheduled within 24h",IF(M115=1,"Scheduled late",IF(K115="BAD CONTACT","Bad contact details",IF(O115=1,"Stopped / wrong number",IF(N115=1,"Not interested",IF(P115=1,"Partner has no slots",IF(SETTINGS!$B$4&gt;=V115,IF(Q115=0,"Missed deadline: never tried","Missed deadline: tried, not booked"),IF(Q115&gt;=SETTINGS!$B$6,"No reply after max tries","Open"))))))))))</f>
        <v>Missed deadline: never tried</v>
      </c>
      <c r="AM115" s="46" t="str">
        <f>IF(M115=1,IF(_xlfn.MINIFS(LOG!$G$2:$G$2001,LOG!$C$2:$C$2001,F115,LOG!$E$2:$E$2001,B115,LOG!$D$2:$D$2001,"*BOOKED")=0,_xlfn.MINIFS(LOG!$G$2:$G$2001,LOG!$C$2:$C$2001,F115,LOG!$E$2:$E$2001,"",LOG!$D$2:$D$2001,"*BOOKED"),IF(_xlfn.MINIFS(LOG!$G$2:$G$2001,LOG!$C$2:$C$2001,F115,LOG!$E$2:$E$2001,"",LOG!$D$2:$D$2001,"*BOOKED")=0,_xlfn.MINIFS(LOG!$G$2:$G$2001,LOG!$C$2:$C$2001,F115,LOG!$E$2:$E$2001,B115,LOG!$D$2:$D$2001,"*BOOKED"),MIN(_xlfn.MINIFS(LOG!$G$2:$G$2001,LOG!$C$2:$C$2001,F115,LOG!$E$2:$E$2001,B115,LOG!$D$2:$D$2001,"*BOOKED"),_xlfn.MINIFS(LOG!$G$2:$G$2001,LOG!$C$2:$C$2001,F115,LOG!$E$2:$E$2001,"",LOG!$D$2:$D$2001,"*BOOKED")))),"")</f>
        <v/>
      </c>
      <c r="AN115" s="28" t="str">
        <f t="shared" si="18"/>
        <v/>
      </c>
      <c r="AO115" s="28">
        <f>IF(AND(M115=1,AN115&lt;&gt;""),IF(AN115&lt;=SETTINGS!$B$5,1,0),0)</f>
        <v>0</v>
      </c>
      <c r="AP115" s="28">
        <f>IF(M115=1,IF(COUNTIFS(LOG!$C$2:$C$2001,F115,LOG!$E$2:$E$2001,B115,LOG!$D$2:$D$2001,"BOOKED")+COUNTIFS(LOG!$C$2:$C$2001,F115,LOG!$E$2:$E$2001,"",LOG!$D$2:$D$2001,"BOOKED")&gt;0,1,0),0)</f>
        <v>0</v>
      </c>
      <c r="AQ115" s="28" t="str">
        <f t="shared" si="19"/>
        <v>Diya</v>
      </c>
      <c r="AR115" s="28">
        <f>IF(AND(AK115=1,K115="OK"),COUNTIFS($AK$2:AK115,1,$K$2:K115,"OK"),"")</f>
        <v>108</v>
      </c>
      <c r="AS115" s="28" t="str">
        <f>IF(L115=1,IFERROR(INDEX(MESSAGES!$J$9:$J$1008,MATCH(F115,MESSAGES!$M$9:$M$1008,0))&amp;"",""),"")</f>
        <v/>
      </c>
      <c r="AT115" s="28" t="str">
        <f>IF(L115=1,IFERROR(INDEX(MESSAGES!$K$9:$K$1008,MATCH(F115,MESSAGES!$M$9:$M$1008,0))&amp;"",""),"")</f>
        <v/>
      </c>
      <c r="AU115" s="28">
        <f t="shared" ca="1" si="20"/>
        <v>0</v>
      </c>
      <c r="AV115" s="28" t="str">
        <f t="shared" si="21"/>
        <v>HOLD</v>
      </c>
    </row>
    <row r="116" spans="1:48" x14ac:dyDescent="0.35">
      <c r="A116" s="28">
        <v>115</v>
      </c>
      <c r="B116" s="28" t="str">
        <f>IF(INPUT!A116="","",TRIM(INPUT!A116))</f>
        <v>Partner 000</v>
      </c>
      <c r="C116" s="28" t="str">
        <f>IF(B116="","",INPUT!C116)</f>
        <v>interviewer1@partner000.example.com</v>
      </c>
      <c r="D116" s="28" t="str">
        <f>IF(B116="","",INPUT!D116)</f>
        <v>Navya D.</v>
      </c>
      <c r="E116" s="28" t="str">
        <f>IF(B116="","",INPUT!E116)</f>
        <v>navya.d103@example.com</v>
      </c>
      <c r="F116" s="43" t="str">
        <f>IF(B116="","",TRIM(INPUT!F116&amp;""))</f>
        <v>9000001346</v>
      </c>
      <c r="G116" s="28" t="str">
        <f>IF(B116="","",INPUT!H116)</f>
        <v>Round1</v>
      </c>
      <c r="H116" s="46">
        <f>IF(B116="","",INPUT!I116)</f>
        <v>46308.82708333333</v>
      </c>
      <c r="I116" s="28" t="str">
        <f>IF(B116="","",IF(INPUT!J116="","None",INPUT!J116))</f>
        <v>None</v>
      </c>
      <c r="J116" s="28" t="str">
        <f t="shared" si="11"/>
        <v>navya.d103@example.com|partner 000|Round1|interviewer1@partner000.example.com</v>
      </c>
      <c r="K116" s="28" t="str">
        <f>IF(B116="","",IF(SUMPRODUCT(($J$2:$J$601=J116)*($H$2:$H$601&lt;H116))+SUMPRODUCT(($J$2:J116=J116)*($H$2:H116=H116))-1&gt;0,"DUPLICATE",IF(AND(ISNUMBER(SEARCH("@",E116)),ISNUMBER(SEARCH(".",E116)),LEN(F116)=10,ISNUMBER(VALUE(F116))),"OK","BAD CONTACT")))</f>
        <v>OK</v>
      </c>
      <c r="L116" s="28">
        <f t="shared" si="12"/>
        <v>1</v>
      </c>
      <c r="M116" s="28">
        <f>IF(L116=1,IF(COUNTIFS(LOG!$C$2:$C$2001,F116,LOG!$E$2:$E$2001,B116,LOG!$D$2:$D$2001,"*BOOKED")+COUNTIFS(LOG!$C$2:$C$2001,F116,LOG!$E$2:$E$2001,"",LOG!$D$2:$D$2001,"*BOOKED")&gt;0,1,0),0)</f>
        <v>0</v>
      </c>
      <c r="N116" s="28">
        <f>IF(L116=1,IF(COUNTIFS(LOG!$C$2:$C$2001,F116,LOG!$E$2:$E$2001,B116,LOG!$D$2:$D$2001,"NOT_INTERESTED")+COUNTIFS(LOG!$C$2:$C$2001,F116,LOG!$E$2:$E$2001,"",LOG!$D$2:$D$2001,"NOT_INTERESTED")&gt;0,1,0),0)</f>
        <v>0</v>
      </c>
      <c r="O116" s="28">
        <f>IF(L116=1,IF(COUNTIFS(LOG!$C$2:$C$2001,F116,LOG!$D$2:$D$2001,"STOP")+COUNTIFS(LOG!$C$2:$C$2001,F116,LOG!$D$2:$D$2001,"WRONG_NUMBER")&gt;0,1,IF(ISNUMBER(SEARCH("STOP",AT116)),1,0)),0)</f>
        <v>0</v>
      </c>
      <c r="P116" s="28">
        <f>IF(L116=1,IF(IFERROR(INDEX(PARTNERS!$D$2:$D$88,MATCH(B116,PARTNERS!$A$2:$A$88,0)),"")="NO SLOTS",1,IF(AND(IFERROR(INDEX(PARTNERS!$D$2:$D$88,MATCH(B116,PARTNERS!$A$2:$A$88,0)),"")&lt;&gt;"REOPENED",COUNTIFS(LOG!$E$2:$E$2001,B116,LOG!$D$2:$D$2001,"NO_SLOTS")&gt;0),1,0)),0)</f>
        <v>0</v>
      </c>
      <c r="Q116" s="28">
        <f>IF(L116=1,COUNTIFS(LOG!$C$2:$C$2001,F116,LOG!$H$2:$H$2001,1),0)</f>
        <v>0</v>
      </c>
      <c r="R116" s="46">
        <f>IF(Q116&gt;0,_xlfn.MAXIFS(LOG!$G$2:$G$2001,LOG!$C$2:$C$2001,F116,LOG!$H$2:$H$2001,1),0)</f>
        <v>0</v>
      </c>
      <c r="S116" s="28" t="str">
        <f>IF(Q116&gt;0,IFERROR(INDEX(LOG!$D$2:$D$2001,MATCH(F116&amp;"|"&amp;Q116,LOG!$I$2:$I$2001,0)),""),"")</f>
        <v/>
      </c>
      <c r="T116" s="28">
        <f>IF(S116="",0,IFERROR(VLOOKUP(S116,LISTS!$A$2:$E$10,4,FALSE),0))</f>
        <v>0</v>
      </c>
      <c r="U116" s="46">
        <f t="shared" si="13"/>
        <v>0</v>
      </c>
      <c r="V116" s="46">
        <f>IF(L116=1,H116+SETTINGS!$B$5/24,"")</f>
        <v>46309.82708333333</v>
      </c>
      <c r="W116" s="28">
        <f ca="1">IF(L116=1,(V116-SETTINGS!$B$4)*24,"")</f>
        <v>-1.6666666720993817E-2</v>
      </c>
      <c r="X116" s="28">
        <f ca="1">IF(AND(L116=1,K116="OK",M116=0,N116=0,O116=0,P116=0,SETTINGS!$B$4&lt;V116,Q116&lt;SETTINGS!$B$6),1,0)</f>
        <v>0</v>
      </c>
      <c r="Y116" s="28">
        <f ca="1">IF(AND(X116=1,SETTINGS!$B$4&gt;=H116,SETTINGS!$B$4&gt;=U116,ROUND(MOD(SETTINGS!$B$4,1)*1440,0)&gt;=ROUND(SETTINGS!$B$7*1440,0),ROUND(MOD(SETTINGS!$B$4,1)*1440,0)&lt;ROUND(SETTINGS!$B$8*1440,0)),1,0)</f>
        <v>0</v>
      </c>
      <c r="Z116" s="28" t="str">
        <f ca="1">IF(B116="","",IF(ROUND(MOD(SETTINGS!$B$4,1)*1440,0)&lt;ROUND(SETTINGS!$B$11*1440,0),"Ram",IF(ROUND(MOD(SETTINGS!$B$4,1)*1440,0)&gt;=ROUND(SETTINGS!$B$10*1440,0),"Shyam",IF(MOD(IFERROR(VALUE(RIGHT(F116,2)),0),2)=0,"Ram","Shyam"))))</f>
        <v>Shyam</v>
      </c>
      <c r="AA116" s="28">
        <f t="shared" ca="1" si="14"/>
        <v>0</v>
      </c>
      <c r="AB116" s="28">
        <f ca="1">IF(X116=1,COUNTIFS($F$2:F116,F116,$X$2:X116,1),0)</f>
        <v>0</v>
      </c>
      <c r="AC116" s="28" t="str">
        <f>IF(L116=1,IF(IFERROR(INDEX(PARTNERS!$C$2:$C$88,MATCH(B116,PARTNERS!$A$2:$A$88,0)),"")="YES","YES","NO"),"")</f>
        <v>NO</v>
      </c>
      <c r="AD116" s="28" t="str">
        <f>IF(L116=1,IFERROR(INDEX(PARTNERS!$B$2:$B$88,MATCH(B116,PARTNERS!$A$2:$A$88,0)),""),"")</f>
        <v>https://calendly.com/partner000/interview</v>
      </c>
      <c r="AE116" s="28">
        <f ca="1">IF(X116=1,IFERROR(INDEX(SETTINGS!$B$34:$D$36,MATCH(I116,SETTINGS!$A$34:$A$36,0),MIN(Q116,2)+1),SETTINGS!$B$36),0)</f>
        <v>0</v>
      </c>
      <c r="AF116" s="28">
        <f t="shared" si="15"/>
        <v>1</v>
      </c>
      <c r="AG116" s="28">
        <f ca="1">IF(AND(Y116=1,AB116=1),ROUND(AA116*AE116*IF(AF116&gt;1,SETTINGS!$B$16,1)*IF(W116&lt;=SETTINGS!$B$14,SETTINGS!$B$15,1)*IF(AU116=1,SETTINGS!$B$21,1),6),0)</f>
        <v>0</v>
      </c>
      <c r="AH116" s="28" t="str">
        <f ca="1">IF(AG116&gt;0,COUNTIFS($Z$2:$Z$601,Z116,$AG$2:$AG$601,"&gt;"&amp;AG116)+COUNTIFS($Z$2:Z116,Z116,$AG$2:AG116,AG116),"")</f>
        <v/>
      </c>
      <c r="AI116" s="28" t="str">
        <f t="shared" ca="1" si="16"/>
        <v/>
      </c>
      <c r="AJ116" s="28" t="str">
        <f t="shared" ca="1" si="17"/>
        <v/>
      </c>
      <c r="AK116" s="28">
        <f>IF(L116=1,IF(COUNTIFS($F$2:F116,F116,$L$2:L116,1)=1,1,0),0)</f>
        <v>1</v>
      </c>
      <c r="AL116" s="28" t="str">
        <f ca="1">IF(B116="","",IF(K116="DUPLICATE","Duplicate (removed)",IF(AO116=1,"Scheduled within 24h",IF(M116=1,"Scheduled late",IF(K116="BAD CONTACT","Bad contact details",IF(O116=1,"Stopped / wrong number",IF(N116=1,"Not interested",IF(P116=1,"Partner has no slots",IF(SETTINGS!$B$4&gt;=V116,IF(Q116=0,"Missed deadline: never tried","Missed deadline: tried, not booked"),IF(Q116&gt;=SETTINGS!$B$6,"No reply after max tries","Open"))))))))))</f>
        <v>Missed deadline: never tried</v>
      </c>
      <c r="AM116" s="46" t="str">
        <f>IF(M116=1,IF(_xlfn.MINIFS(LOG!$G$2:$G$2001,LOG!$C$2:$C$2001,F116,LOG!$E$2:$E$2001,B116,LOG!$D$2:$D$2001,"*BOOKED")=0,_xlfn.MINIFS(LOG!$G$2:$G$2001,LOG!$C$2:$C$2001,F116,LOG!$E$2:$E$2001,"",LOG!$D$2:$D$2001,"*BOOKED"),IF(_xlfn.MINIFS(LOG!$G$2:$G$2001,LOG!$C$2:$C$2001,F116,LOG!$E$2:$E$2001,"",LOG!$D$2:$D$2001,"*BOOKED")=0,_xlfn.MINIFS(LOG!$G$2:$G$2001,LOG!$C$2:$C$2001,F116,LOG!$E$2:$E$2001,B116,LOG!$D$2:$D$2001,"*BOOKED"),MIN(_xlfn.MINIFS(LOG!$G$2:$G$2001,LOG!$C$2:$C$2001,F116,LOG!$E$2:$E$2001,B116,LOG!$D$2:$D$2001,"*BOOKED"),_xlfn.MINIFS(LOG!$G$2:$G$2001,LOG!$C$2:$C$2001,F116,LOG!$E$2:$E$2001,"",LOG!$D$2:$D$2001,"*BOOKED")))),"")</f>
        <v/>
      </c>
      <c r="AN116" s="28" t="str">
        <f t="shared" si="18"/>
        <v/>
      </c>
      <c r="AO116" s="28">
        <f>IF(AND(M116=1,AN116&lt;&gt;""),IF(AN116&lt;=SETTINGS!$B$5,1,0),0)</f>
        <v>0</v>
      </c>
      <c r="AP116" s="28">
        <f>IF(M116=1,IF(COUNTIFS(LOG!$C$2:$C$2001,F116,LOG!$E$2:$E$2001,B116,LOG!$D$2:$D$2001,"BOOKED")+COUNTIFS(LOG!$C$2:$C$2001,F116,LOG!$E$2:$E$2001,"",LOG!$D$2:$D$2001,"BOOKED")&gt;0,1,0),0)</f>
        <v>0</v>
      </c>
      <c r="AQ116" s="28" t="str">
        <f t="shared" si="19"/>
        <v>Navya</v>
      </c>
      <c r="AR116" s="28">
        <f>IF(AND(AK116=1,K116="OK"),COUNTIFS($AK$2:AK116,1,$K$2:K116,"OK"),"")</f>
        <v>109</v>
      </c>
      <c r="AS116" s="28" t="str">
        <f>IF(L116=1,IFERROR(INDEX(MESSAGES!$J$9:$J$1008,MATCH(F116,MESSAGES!$M$9:$M$1008,0))&amp;"",""),"")</f>
        <v/>
      </c>
      <c r="AT116" s="28" t="str">
        <f>IF(L116=1,IFERROR(INDEX(MESSAGES!$K$9:$K$1008,MATCH(F116,MESSAGES!$M$9:$M$1008,0))&amp;"",""),"")</f>
        <v/>
      </c>
      <c r="AU116" s="28">
        <f t="shared" ca="1" si="20"/>
        <v>0</v>
      </c>
      <c r="AV116" s="28" t="str">
        <f t="shared" si="21"/>
        <v>SEND</v>
      </c>
    </row>
    <row r="117" spans="1:48" x14ac:dyDescent="0.35">
      <c r="A117" s="28">
        <v>116</v>
      </c>
      <c r="B117" s="28" t="str">
        <f>IF(INPUT!A117="","",TRIM(INPUT!A117))</f>
        <v>Partner 006</v>
      </c>
      <c r="C117" s="28" t="str">
        <f>IF(B117="","",INPUT!C117)</f>
        <v>interviewer0@partner006.example.com</v>
      </c>
      <c r="D117" s="28" t="str">
        <f>IF(B117="","",INPUT!D117)</f>
        <v>Dev K.</v>
      </c>
      <c r="E117" s="28" t="str">
        <f>IF(B117="","",INPUT!E117)</f>
        <v>dev.k282@example.com</v>
      </c>
      <c r="F117" s="43" t="str">
        <f>IF(B117="","",TRIM(INPUT!F117&amp;""))</f>
        <v>9000003673</v>
      </c>
      <c r="G117" s="28" t="str">
        <f>IF(B117="","",INPUT!H117)</f>
        <v>Round1</v>
      </c>
      <c r="H117" s="46">
        <f>IF(B117="","",INPUT!I117)</f>
        <v>46308.82708333333</v>
      </c>
      <c r="I117" s="28" t="str">
        <f>IF(B117="","",IF(INPUT!J117="","None",INPUT!J117))</f>
        <v>Clicked</v>
      </c>
      <c r="J117" s="28" t="str">
        <f t="shared" si="11"/>
        <v>dev.k282@example.com|partner 006|Round1|interviewer0@partner006.example.com</v>
      </c>
      <c r="K117" s="28" t="str">
        <f>IF(B117="","",IF(SUMPRODUCT(($J$2:$J$601=J117)*($H$2:$H$601&lt;H117))+SUMPRODUCT(($J$2:J117=J117)*($H$2:H117=H117))-1&gt;0,"DUPLICATE",IF(AND(ISNUMBER(SEARCH("@",E117)),ISNUMBER(SEARCH(".",E117)),LEN(F117)=10,ISNUMBER(VALUE(F117))),"OK","BAD CONTACT")))</f>
        <v>OK</v>
      </c>
      <c r="L117" s="28">
        <f t="shared" si="12"/>
        <v>1</v>
      </c>
      <c r="M117" s="28">
        <f>IF(L117=1,IF(COUNTIFS(LOG!$C$2:$C$2001,F117,LOG!$E$2:$E$2001,B117,LOG!$D$2:$D$2001,"*BOOKED")+COUNTIFS(LOG!$C$2:$C$2001,F117,LOG!$E$2:$E$2001,"",LOG!$D$2:$D$2001,"*BOOKED")&gt;0,1,0),0)</f>
        <v>1</v>
      </c>
      <c r="N117" s="28">
        <f>IF(L117=1,IF(COUNTIFS(LOG!$C$2:$C$2001,F117,LOG!$E$2:$E$2001,B117,LOG!$D$2:$D$2001,"NOT_INTERESTED")+COUNTIFS(LOG!$C$2:$C$2001,F117,LOG!$E$2:$E$2001,"",LOG!$D$2:$D$2001,"NOT_INTERESTED")&gt;0,1,0),0)</f>
        <v>0</v>
      </c>
      <c r="O117" s="28">
        <f>IF(L117=1,IF(COUNTIFS(LOG!$C$2:$C$2001,F117,LOG!$D$2:$D$2001,"STOP")+COUNTIFS(LOG!$C$2:$C$2001,F117,LOG!$D$2:$D$2001,"WRONG_NUMBER")&gt;0,1,IF(ISNUMBER(SEARCH("STOP",AT117)),1,0)),0)</f>
        <v>0</v>
      </c>
      <c r="P117" s="28">
        <f>IF(L117=1,IF(IFERROR(INDEX(PARTNERS!$D$2:$D$88,MATCH(B117,PARTNERS!$A$2:$A$88,0)),"")="NO SLOTS",1,IF(AND(IFERROR(INDEX(PARTNERS!$D$2:$D$88,MATCH(B117,PARTNERS!$A$2:$A$88,0)),"")&lt;&gt;"REOPENED",COUNTIFS(LOG!$E$2:$E$2001,B117,LOG!$D$2:$D$2001,"NO_SLOTS")&gt;0),1,0)),0)</f>
        <v>0</v>
      </c>
      <c r="Q117" s="28">
        <f>IF(L117=1,COUNTIFS(LOG!$C$2:$C$2001,F117,LOG!$H$2:$H$2001,1),0)</f>
        <v>0</v>
      </c>
      <c r="R117" s="46">
        <f>IF(Q117&gt;0,_xlfn.MAXIFS(LOG!$G$2:$G$2001,LOG!$C$2:$C$2001,F117,LOG!$H$2:$H$2001,1),0)</f>
        <v>0</v>
      </c>
      <c r="S117" s="28" t="str">
        <f>IF(Q117&gt;0,IFERROR(INDEX(LOG!$D$2:$D$2001,MATCH(F117&amp;"|"&amp;Q117,LOG!$I$2:$I$2001,0)),""),"")</f>
        <v/>
      </c>
      <c r="T117" s="28">
        <f>IF(S117="",0,IFERROR(VLOOKUP(S117,LISTS!$A$2:$E$10,4,FALSE),0))</f>
        <v>0</v>
      </c>
      <c r="U117" s="46">
        <f t="shared" si="13"/>
        <v>0</v>
      </c>
      <c r="V117" s="46">
        <f>IF(L117=1,H117+SETTINGS!$B$5/24,"")</f>
        <v>46309.82708333333</v>
      </c>
      <c r="W117" s="28">
        <f ca="1">IF(L117=1,(V117-SETTINGS!$B$4)*24,"")</f>
        <v>-1.6666666720993817E-2</v>
      </c>
      <c r="X117" s="28">
        <f ca="1">IF(AND(L117=1,K117="OK",M117=0,N117=0,O117=0,P117=0,SETTINGS!$B$4&lt;V117,Q117&lt;SETTINGS!$B$6),1,0)</f>
        <v>0</v>
      </c>
      <c r="Y117" s="28">
        <f ca="1">IF(AND(X117=1,SETTINGS!$B$4&gt;=H117,SETTINGS!$B$4&gt;=U117,ROUND(MOD(SETTINGS!$B$4,1)*1440,0)&gt;=ROUND(SETTINGS!$B$7*1440,0),ROUND(MOD(SETTINGS!$B$4,1)*1440,0)&lt;ROUND(SETTINGS!$B$8*1440,0)),1,0)</f>
        <v>0</v>
      </c>
      <c r="Z117" s="28" t="str">
        <f ca="1">IF(B117="","",IF(ROUND(MOD(SETTINGS!$B$4,1)*1440,0)&lt;ROUND(SETTINGS!$B$11*1440,0),"Ram",IF(ROUND(MOD(SETTINGS!$B$4,1)*1440,0)&gt;=ROUND(SETTINGS!$B$10*1440,0),"Shyam",IF(MOD(IFERROR(VALUE(RIGHT(F117,2)),0),2)=0,"Ram","Shyam"))))</f>
        <v>Shyam</v>
      </c>
      <c r="AA117" s="28">
        <f t="shared" ca="1" si="14"/>
        <v>0</v>
      </c>
      <c r="AB117" s="28">
        <f ca="1">IF(X117=1,COUNTIFS($F$2:F117,F117,$X$2:X117,1),0)</f>
        <v>0</v>
      </c>
      <c r="AC117" s="28" t="str">
        <f>IF(L117=1,IF(IFERROR(INDEX(PARTNERS!$C$2:$C$88,MATCH(B117,PARTNERS!$A$2:$A$88,0)),"")="YES","YES","NO"),"")</f>
        <v>YES</v>
      </c>
      <c r="AD117" s="28" t="str">
        <f>IF(L117=1,IFERROR(INDEX(PARTNERS!$B$2:$B$88,MATCH(B117,PARTNERS!$A$2:$A$88,0)),""),"")</f>
        <v>https://calendly.com/partner006/interview</v>
      </c>
      <c r="AE117" s="28">
        <f ca="1">IF(X117=1,IFERROR(INDEX(SETTINGS!$B$34:$D$36,MATCH(I117,SETTINGS!$A$34:$A$36,0),MIN(Q117,2)+1),SETTINGS!$B$36),0)</f>
        <v>0</v>
      </c>
      <c r="AF117" s="28">
        <f t="shared" si="15"/>
        <v>1</v>
      </c>
      <c r="AG117" s="28">
        <f ca="1">IF(AND(Y117=1,AB117=1),ROUND(AA117*AE117*IF(AF117&gt;1,SETTINGS!$B$16,1)*IF(W117&lt;=SETTINGS!$B$14,SETTINGS!$B$15,1)*IF(AU117=1,SETTINGS!$B$21,1),6),0)</f>
        <v>0</v>
      </c>
      <c r="AH117" s="28" t="str">
        <f ca="1">IF(AG117&gt;0,COUNTIFS($Z$2:$Z$601,Z117,$AG$2:$AG$601,"&gt;"&amp;AG117)+COUNTIFS($Z$2:Z117,Z117,$AG$2:AG117,AG117),"")</f>
        <v/>
      </c>
      <c r="AI117" s="28" t="str">
        <f t="shared" ca="1" si="16"/>
        <v/>
      </c>
      <c r="AJ117" s="28" t="str">
        <f t="shared" ca="1" si="17"/>
        <v/>
      </c>
      <c r="AK117" s="28">
        <f>IF(L117=1,IF(COUNTIFS($F$2:F117,F117,$L$2:L117,1)=1,1,0),0)</f>
        <v>1</v>
      </c>
      <c r="AL117" s="28" t="str">
        <f>IF(B117="","",IF(K117="DUPLICATE","Duplicate (removed)",IF(AO117=1,"Scheduled within 24h",IF(M117=1,"Scheduled late",IF(K117="BAD CONTACT","Bad contact details",IF(O117=1,"Stopped / wrong number",IF(N117=1,"Not interested",IF(P117=1,"Partner has no slots",IF(SETTINGS!$B$4&gt;=V117,IF(Q117=0,"Missed deadline: never tried","Missed deadline: tried, not booked"),IF(Q117&gt;=SETTINGS!$B$6,"No reply after max tries","Open"))))))))))</f>
        <v>Scheduled within 24h</v>
      </c>
      <c r="AM117" s="46">
        <f>IF(M117=1,IF(_xlfn.MINIFS(LOG!$G$2:$G$2001,LOG!$C$2:$C$2001,F117,LOG!$E$2:$E$2001,B117,LOG!$D$2:$D$2001,"*BOOKED")=0,_xlfn.MINIFS(LOG!$G$2:$G$2001,LOG!$C$2:$C$2001,F117,LOG!$E$2:$E$2001,"",LOG!$D$2:$D$2001,"*BOOKED"),IF(_xlfn.MINIFS(LOG!$G$2:$G$2001,LOG!$C$2:$C$2001,F117,LOG!$E$2:$E$2001,"",LOG!$D$2:$D$2001,"*BOOKED")=0,_xlfn.MINIFS(LOG!$G$2:$G$2001,LOG!$C$2:$C$2001,F117,LOG!$E$2:$E$2001,B117,LOG!$D$2:$D$2001,"*BOOKED"),MIN(_xlfn.MINIFS(LOG!$G$2:$G$2001,LOG!$C$2:$C$2001,F117,LOG!$E$2:$E$2001,B117,LOG!$D$2:$D$2001,"*BOOKED"),_xlfn.MINIFS(LOG!$G$2:$G$2001,LOG!$C$2:$C$2001,F117,LOG!$E$2:$E$2001,"",LOG!$D$2:$D$2001,"*BOOKED")))),"")</f>
        <v>46309.41234450398</v>
      </c>
      <c r="AN117" s="28">
        <f t="shared" si="18"/>
        <v>14.046268095611595</v>
      </c>
      <c r="AO117" s="28">
        <f>IF(AND(M117=1,AN117&lt;&gt;""),IF(AN117&lt;=SETTINGS!$B$5,1,0),0)</f>
        <v>1</v>
      </c>
      <c r="AP117" s="28">
        <f>IF(M117=1,IF(COUNTIFS(LOG!$C$2:$C$2001,F117,LOG!$E$2:$E$2001,B117,LOG!$D$2:$D$2001,"BOOKED")+COUNTIFS(LOG!$C$2:$C$2001,F117,LOG!$E$2:$E$2001,"",LOG!$D$2:$D$2001,"BOOKED")&gt;0,1,0),0)</f>
        <v>0</v>
      </c>
      <c r="AQ117" s="28" t="str">
        <f t="shared" si="19"/>
        <v>Dev</v>
      </c>
      <c r="AR117" s="28">
        <f>IF(AND(AK117=1,K117="OK"),COUNTIFS($AK$2:AK117,1,$K$2:K117,"OK"),"")</f>
        <v>110</v>
      </c>
      <c r="AS117" s="28" t="str">
        <f>IF(L117=1,IFERROR(INDEX(MESSAGES!$J$9:$J$1008,MATCH(F117,MESSAGES!$M$9:$M$1008,0))&amp;"",""),"")</f>
        <v/>
      </c>
      <c r="AT117" s="28" t="str">
        <f>IF(L117=1,IFERROR(INDEX(MESSAGES!$K$9:$K$1008,MATCH(F117,MESSAGES!$M$9:$M$1008,0))&amp;"",""),"")</f>
        <v/>
      </c>
      <c r="AU117" s="28">
        <f t="shared" ca="1" si="20"/>
        <v>0</v>
      </c>
      <c r="AV117" s="28" t="str">
        <f t="shared" si="21"/>
        <v>HOLD</v>
      </c>
    </row>
    <row r="118" spans="1:48" x14ac:dyDescent="0.35">
      <c r="A118" s="28">
        <v>117</v>
      </c>
      <c r="B118" s="28" t="str">
        <f>IF(INPUT!A118="","",TRIM(INPUT!A118))</f>
        <v>Partner 008</v>
      </c>
      <c r="C118" s="28" t="str">
        <f>IF(B118="","",INPUT!C118)</f>
        <v>interviewer2@partner008.example.com</v>
      </c>
      <c r="D118" s="28" t="str">
        <f>IF(B118="","",INPUT!D118)</f>
        <v>Manav E.</v>
      </c>
      <c r="E118" s="28" t="str">
        <f>IF(B118="","",INPUT!E118)</f>
        <v>manav.e144@example.com</v>
      </c>
      <c r="F118" s="43" t="str">
        <f>IF(B118="","",TRIM(INPUT!F118&amp;""))</f>
        <v>9000001879</v>
      </c>
      <c r="G118" s="28" t="str">
        <f>IF(B118="","",INPUT!H118)</f>
        <v>Round1</v>
      </c>
      <c r="H118" s="46">
        <f>IF(B118="","",INPUT!I118)</f>
        <v>46308.82708333333</v>
      </c>
      <c r="I118" s="28" t="str">
        <f>IF(B118="","",IF(INPUT!J118="","None",INPUT!J118))</f>
        <v>Clicked</v>
      </c>
      <c r="J118" s="28" t="str">
        <f t="shared" si="11"/>
        <v>manav.e144@example.com|partner 008|Round1|interviewer2@partner008.example.com</v>
      </c>
      <c r="K118" s="28" t="str">
        <f>IF(B118="","",IF(SUMPRODUCT(($J$2:$J$601=J118)*($H$2:$H$601&lt;H118))+SUMPRODUCT(($J$2:J118=J118)*($H$2:H118=H118))-1&gt;0,"DUPLICATE",IF(AND(ISNUMBER(SEARCH("@",E118)),ISNUMBER(SEARCH(".",E118)),LEN(F118)=10,ISNUMBER(VALUE(F118))),"OK","BAD CONTACT")))</f>
        <v>OK</v>
      </c>
      <c r="L118" s="28">
        <f t="shared" si="12"/>
        <v>1</v>
      </c>
      <c r="M118" s="28">
        <f>IF(L118=1,IF(COUNTIFS(LOG!$C$2:$C$2001,F118,LOG!$E$2:$E$2001,B118,LOG!$D$2:$D$2001,"*BOOKED")+COUNTIFS(LOG!$C$2:$C$2001,F118,LOG!$E$2:$E$2001,"",LOG!$D$2:$D$2001,"*BOOKED")&gt;0,1,0),0)</f>
        <v>1</v>
      </c>
      <c r="N118" s="28">
        <f>IF(L118=1,IF(COUNTIFS(LOG!$C$2:$C$2001,F118,LOG!$E$2:$E$2001,B118,LOG!$D$2:$D$2001,"NOT_INTERESTED")+COUNTIFS(LOG!$C$2:$C$2001,F118,LOG!$E$2:$E$2001,"",LOG!$D$2:$D$2001,"NOT_INTERESTED")&gt;0,1,0),0)</f>
        <v>0</v>
      </c>
      <c r="O118" s="28">
        <f>IF(L118=1,IF(COUNTIFS(LOG!$C$2:$C$2001,F118,LOG!$D$2:$D$2001,"STOP")+COUNTIFS(LOG!$C$2:$C$2001,F118,LOG!$D$2:$D$2001,"WRONG_NUMBER")&gt;0,1,IF(ISNUMBER(SEARCH("STOP",AT118)),1,0)),0)</f>
        <v>0</v>
      </c>
      <c r="P118" s="28">
        <f>IF(L118=1,IF(IFERROR(INDEX(PARTNERS!$D$2:$D$88,MATCH(B118,PARTNERS!$A$2:$A$88,0)),"")="NO SLOTS",1,IF(AND(IFERROR(INDEX(PARTNERS!$D$2:$D$88,MATCH(B118,PARTNERS!$A$2:$A$88,0)),"")&lt;&gt;"REOPENED",COUNTIFS(LOG!$E$2:$E$2001,B118,LOG!$D$2:$D$2001,"NO_SLOTS")&gt;0),1,0)),0)</f>
        <v>0</v>
      </c>
      <c r="Q118" s="28">
        <f>IF(L118=1,COUNTIFS(LOG!$C$2:$C$2001,F118,LOG!$H$2:$H$2001,1),0)</f>
        <v>2</v>
      </c>
      <c r="R118" s="46">
        <f>IF(Q118&gt;0,_xlfn.MAXIFS(LOG!$G$2:$G$2001,LOG!$C$2:$C$2001,F118,LOG!$H$2:$H$2001,1),0)</f>
        <v>46309.719384324351</v>
      </c>
      <c r="S118" s="28" t="str">
        <f>IF(Q118&gt;0,IFERROR(INDEX(LOG!$D$2:$D$2001,MATCH(F118&amp;"|"&amp;Q118,LOG!$I$2:$I$2001,0)),""),"")</f>
        <v>BOOKED</v>
      </c>
      <c r="T118" s="28">
        <f>IF(S118="",0,IFERROR(VLOOKUP(S118,LISTS!$A$2:$E$10,4,FALSE),0))</f>
        <v>0</v>
      </c>
      <c r="U118" s="46">
        <f t="shared" si="13"/>
        <v>46309.719384324351</v>
      </c>
      <c r="V118" s="46">
        <f>IF(L118=1,H118+SETTINGS!$B$5/24,"")</f>
        <v>46309.82708333333</v>
      </c>
      <c r="W118" s="28">
        <f ca="1">IF(L118=1,(V118-SETTINGS!$B$4)*24,"")</f>
        <v>-1.6666666720993817E-2</v>
      </c>
      <c r="X118" s="28">
        <f ca="1">IF(AND(L118=1,K118="OK",M118=0,N118=0,O118=0,P118=0,SETTINGS!$B$4&lt;V118,Q118&lt;SETTINGS!$B$6),1,0)</f>
        <v>0</v>
      </c>
      <c r="Y118" s="28">
        <f ca="1">IF(AND(X118=1,SETTINGS!$B$4&gt;=H118,SETTINGS!$B$4&gt;=U118,ROUND(MOD(SETTINGS!$B$4,1)*1440,0)&gt;=ROUND(SETTINGS!$B$7*1440,0),ROUND(MOD(SETTINGS!$B$4,1)*1440,0)&lt;ROUND(SETTINGS!$B$8*1440,0)),1,0)</f>
        <v>0</v>
      </c>
      <c r="Z118" s="28" t="str">
        <f ca="1">IF(B118="","",IF(ROUND(MOD(SETTINGS!$B$4,1)*1440,0)&lt;ROUND(SETTINGS!$B$11*1440,0),"Ram",IF(ROUND(MOD(SETTINGS!$B$4,1)*1440,0)&gt;=ROUND(SETTINGS!$B$10*1440,0),"Shyam",IF(MOD(IFERROR(VALUE(RIGHT(F118,2)),0),2)=0,"Ram","Shyam"))))</f>
        <v>Shyam</v>
      </c>
      <c r="AA118" s="28">
        <f t="shared" ca="1" si="14"/>
        <v>0</v>
      </c>
      <c r="AB118" s="28">
        <f ca="1">IF(X118=1,COUNTIFS($F$2:F118,F118,$X$2:X118,1),0)</f>
        <v>0</v>
      </c>
      <c r="AC118" s="28" t="str">
        <f>IF(L118=1,IF(IFERROR(INDEX(PARTNERS!$C$2:$C$88,MATCH(B118,PARTNERS!$A$2:$A$88,0)),"")="YES","YES","NO"),"")</f>
        <v>YES</v>
      </c>
      <c r="AD118" s="28" t="str">
        <f>IF(L118=1,IFERROR(INDEX(PARTNERS!$B$2:$B$88,MATCH(B118,PARTNERS!$A$2:$A$88,0)),""),"")</f>
        <v>https://calendly.com/partner008/interview</v>
      </c>
      <c r="AE118" s="28">
        <f ca="1">IF(X118=1,IFERROR(INDEX(SETTINGS!$B$34:$D$36,MATCH(I118,SETTINGS!$A$34:$A$36,0),MIN(Q118,2)+1),SETTINGS!$B$36),0)</f>
        <v>0</v>
      </c>
      <c r="AF118" s="28">
        <f t="shared" si="15"/>
        <v>1</v>
      </c>
      <c r="AG118" s="28">
        <f ca="1">IF(AND(Y118=1,AB118=1),ROUND(AA118*AE118*IF(AF118&gt;1,SETTINGS!$B$16,1)*IF(W118&lt;=SETTINGS!$B$14,SETTINGS!$B$15,1)*IF(AU118=1,SETTINGS!$B$21,1),6),0)</f>
        <v>0</v>
      </c>
      <c r="AH118" s="28" t="str">
        <f ca="1">IF(AG118&gt;0,COUNTIFS($Z$2:$Z$601,Z118,$AG$2:$AG$601,"&gt;"&amp;AG118)+COUNTIFS($Z$2:Z118,Z118,$AG$2:AG118,AG118),"")</f>
        <v/>
      </c>
      <c r="AI118" s="28" t="str">
        <f t="shared" ca="1" si="16"/>
        <v/>
      </c>
      <c r="AJ118" s="28" t="str">
        <f t="shared" ca="1" si="17"/>
        <v/>
      </c>
      <c r="AK118" s="28">
        <f>IF(L118=1,IF(COUNTIFS($F$2:F118,F118,$L$2:L118,1)=1,1,0),0)</f>
        <v>1</v>
      </c>
      <c r="AL118" s="28" t="str">
        <f>IF(B118="","",IF(K118="DUPLICATE","Duplicate (removed)",IF(AO118=1,"Scheduled within 24h",IF(M118=1,"Scheduled late",IF(K118="BAD CONTACT","Bad contact details",IF(O118=1,"Stopped / wrong number",IF(N118=1,"Not interested",IF(P118=1,"Partner has no slots",IF(SETTINGS!$B$4&gt;=V118,IF(Q118=0,"Missed deadline: never tried","Missed deadline: tried, not booked"),IF(Q118&gt;=SETTINGS!$B$6,"No reply after max tries","Open"))))))))))</f>
        <v>Scheduled within 24h</v>
      </c>
      <c r="AM118" s="46">
        <f>IF(M118=1,IF(_xlfn.MINIFS(LOG!$G$2:$G$2001,LOG!$C$2:$C$2001,F118,LOG!$E$2:$E$2001,B118,LOG!$D$2:$D$2001,"*BOOKED")=0,_xlfn.MINIFS(LOG!$G$2:$G$2001,LOG!$C$2:$C$2001,F118,LOG!$E$2:$E$2001,"",LOG!$D$2:$D$2001,"*BOOKED"),IF(_xlfn.MINIFS(LOG!$G$2:$G$2001,LOG!$C$2:$C$2001,F118,LOG!$E$2:$E$2001,"",LOG!$D$2:$D$2001,"*BOOKED")=0,_xlfn.MINIFS(LOG!$G$2:$G$2001,LOG!$C$2:$C$2001,F118,LOG!$E$2:$E$2001,B118,LOG!$D$2:$D$2001,"*BOOKED"),MIN(_xlfn.MINIFS(LOG!$G$2:$G$2001,LOG!$C$2:$C$2001,F118,LOG!$E$2:$E$2001,B118,LOG!$D$2:$D$2001,"*BOOKED"),_xlfn.MINIFS(LOG!$G$2:$G$2001,LOG!$C$2:$C$2001,F118,LOG!$E$2:$E$2001,"",LOG!$D$2:$D$2001,"*BOOKED")))),"")</f>
        <v>46309.719384324351</v>
      </c>
      <c r="AN118" s="28">
        <f t="shared" si="18"/>
        <v>21.415223784511909</v>
      </c>
      <c r="AO118" s="28">
        <f>IF(AND(M118=1,AN118&lt;&gt;""),IF(AN118&lt;=SETTINGS!$B$5,1,0),0)</f>
        <v>1</v>
      </c>
      <c r="AP118" s="28">
        <f>IF(M118=1,IF(COUNTIFS(LOG!$C$2:$C$2001,F118,LOG!$E$2:$E$2001,B118,LOG!$D$2:$D$2001,"BOOKED")+COUNTIFS(LOG!$C$2:$C$2001,F118,LOG!$E$2:$E$2001,"",LOG!$D$2:$D$2001,"BOOKED")&gt;0,1,0),0)</f>
        <v>1</v>
      </c>
      <c r="AQ118" s="28" t="str">
        <f t="shared" si="19"/>
        <v>Manav</v>
      </c>
      <c r="AR118" s="28">
        <f>IF(AND(AK118=1,K118="OK"),COUNTIFS($AK$2:AK118,1,$K$2:K118,"OK"),"")</f>
        <v>111</v>
      </c>
      <c r="AS118" s="28" t="str">
        <f>IF(L118=1,IFERROR(INDEX(MESSAGES!$J$9:$J$1008,MATCH(F118,MESSAGES!$M$9:$M$1008,0))&amp;"",""),"")</f>
        <v/>
      </c>
      <c r="AT118" s="28" t="str">
        <f>IF(L118=1,IFERROR(INDEX(MESSAGES!$K$9:$K$1008,MATCH(F118,MESSAGES!$M$9:$M$1008,0))&amp;"",""),"")</f>
        <v/>
      </c>
      <c r="AU118" s="28">
        <f t="shared" ca="1" si="20"/>
        <v>0</v>
      </c>
      <c r="AV118" s="28" t="str">
        <f t="shared" si="21"/>
        <v>HOLD</v>
      </c>
    </row>
    <row r="119" spans="1:48" x14ac:dyDescent="0.35">
      <c r="A119" s="28">
        <v>118</v>
      </c>
      <c r="B119" s="28" t="str">
        <f>IF(INPUT!A119="","",TRIM(INPUT!A119))</f>
        <v>Partner 001</v>
      </c>
      <c r="C119" s="28" t="str">
        <f>IF(B119="","",INPUT!C119)</f>
        <v>interviewer0@partner001.example.com</v>
      </c>
      <c r="D119" s="28" t="str">
        <f>IF(B119="","",INPUT!D119)</f>
        <v>Arjun F.</v>
      </c>
      <c r="E119" s="28" t="str">
        <f>IF(B119="","",INPUT!E119)</f>
        <v>arjun.f158@example.com</v>
      </c>
      <c r="F119" s="43" t="str">
        <f>IF(B119="","",TRIM(INPUT!F119&amp;""))</f>
        <v>9000002061</v>
      </c>
      <c r="G119" s="28" t="str">
        <f>IF(B119="","",INPUT!H119)</f>
        <v>Round1</v>
      </c>
      <c r="H119" s="46">
        <f>IF(B119="","",INPUT!I119)</f>
        <v>46308.82708333333</v>
      </c>
      <c r="I119" s="28" t="str">
        <f>IF(B119="","",IF(INPUT!J119="","None",INPUT!J119))</f>
        <v>None</v>
      </c>
      <c r="J119" s="28" t="str">
        <f t="shared" si="11"/>
        <v>arjun.f158@example.com|partner 001|Round1|interviewer0@partner001.example.com</v>
      </c>
      <c r="K119" s="28" t="str">
        <f>IF(B119="","",IF(SUMPRODUCT(($J$2:$J$601=J119)*($H$2:$H$601&lt;H119))+SUMPRODUCT(($J$2:J119=J119)*($H$2:H119=H119))-1&gt;0,"DUPLICATE",IF(AND(ISNUMBER(SEARCH("@",E119)),ISNUMBER(SEARCH(".",E119)),LEN(F119)=10,ISNUMBER(VALUE(F119))),"OK","BAD CONTACT")))</f>
        <v>OK</v>
      </c>
      <c r="L119" s="28">
        <f t="shared" si="12"/>
        <v>1</v>
      </c>
      <c r="M119" s="28">
        <f>IF(L119=1,IF(COUNTIFS(LOG!$C$2:$C$2001,F119,LOG!$E$2:$E$2001,B119,LOG!$D$2:$D$2001,"*BOOKED")+COUNTIFS(LOG!$C$2:$C$2001,F119,LOG!$E$2:$E$2001,"",LOG!$D$2:$D$2001,"*BOOKED")&gt;0,1,0),0)</f>
        <v>1</v>
      </c>
      <c r="N119" s="28">
        <f>IF(L119=1,IF(COUNTIFS(LOG!$C$2:$C$2001,F119,LOG!$E$2:$E$2001,B119,LOG!$D$2:$D$2001,"NOT_INTERESTED")+COUNTIFS(LOG!$C$2:$C$2001,F119,LOG!$E$2:$E$2001,"",LOG!$D$2:$D$2001,"NOT_INTERESTED")&gt;0,1,0),0)</f>
        <v>0</v>
      </c>
      <c r="O119" s="28">
        <f>IF(L119=1,IF(COUNTIFS(LOG!$C$2:$C$2001,F119,LOG!$D$2:$D$2001,"STOP")+COUNTIFS(LOG!$C$2:$C$2001,F119,LOG!$D$2:$D$2001,"WRONG_NUMBER")&gt;0,1,IF(ISNUMBER(SEARCH("STOP",AT119)),1,0)),0)</f>
        <v>0</v>
      </c>
      <c r="P119" s="28">
        <f>IF(L119=1,IF(IFERROR(INDEX(PARTNERS!$D$2:$D$88,MATCH(B119,PARTNERS!$A$2:$A$88,0)),"")="NO SLOTS",1,IF(AND(IFERROR(INDEX(PARTNERS!$D$2:$D$88,MATCH(B119,PARTNERS!$A$2:$A$88,0)),"")&lt;&gt;"REOPENED",COUNTIFS(LOG!$E$2:$E$2001,B119,LOG!$D$2:$D$2001,"NO_SLOTS")&gt;0),1,0)),0)</f>
        <v>0</v>
      </c>
      <c r="Q119" s="28">
        <f>IF(L119=1,COUNTIFS(LOG!$C$2:$C$2001,F119,LOG!$H$2:$H$2001,1),0)</f>
        <v>0</v>
      </c>
      <c r="R119" s="46">
        <f>IF(Q119&gt;0,_xlfn.MAXIFS(LOG!$G$2:$G$2001,LOG!$C$2:$C$2001,F119,LOG!$H$2:$H$2001,1),0)</f>
        <v>0</v>
      </c>
      <c r="S119" s="28" t="str">
        <f>IF(Q119&gt;0,IFERROR(INDEX(LOG!$D$2:$D$2001,MATCH(F119&amp;"|"&amp;Q119,LOG!$I$2:$I$2001,0)),""),"")</f>
        <v/>
      </c>
      <c r="T119" s="28">
        <f>IF(S119="",0,IFERROR(VLOOKUP(S119,LISTS!$A$2:$E$10,4,FALSE),0))</f>
        <v>0</v>
      </c>
      <c r="U119" s="46">
        <f t="shared" si="13"/>
        <v>0</v>
      </c>
      <c r="V119" s="46">
        <f>IF(L119=1,H119+SETTINGS!$B$5/24,"")</f>
        <v>46309.82708333333</v>
      </c>
      <c r="W119" s="28">
        <f ca="1">IF(L119=1,(V119-SETTINGS!$B$4)*24,"")</f>
        <v>-1.6666666720993817E-2</v>
      </c>
      <c r="X119" s="28">
        <f ca="1">IF(AND(L119=1,K119="OK",M119=0,N119=0,O119=0,P119=0,SETTINGS!$B$4&lt;V119,Q119&lt;SETTINGS!$B$6),1,0)</f>
        <v>0</v>
      </c>
      <c r="Y119" s="28">
        <f ca="1">IF(AND(X119=1,SETTINGS!$B$4&gt;=H119,SETTINGS!$B$4&gt;=U119,ROUND(MOD(SETTINGS!$B$4,1)*1440,0)&gt;=ROUND(SETTINGS!$B$7*1440,0),ROUND(MOD(SETTINGS!$B$4,1)*1440,0)&lt;ROUND(SETTINGS!$B$8*1440,0)),1,0)</f>
        <v>0</v>
      </c>
      <c r="Z119" s="28" t="str">
        <f ca="1">IF(B119="","",IF(ROUND(MOD(SETTINGS!$B$4,1)*1440,0)&lt;ROUND(SETTINGS!$B$11*1440,0),"Ram",IF(ROUND(MOD(SETTINGS!$B$4,1)*1440,0)&gt;=ROUND(SETTINGS!$B$10*1440,0),"Shyam",IF(MOD(IFERROR(VALUE(RIGHT(F119,2)),0),2)=0,"Ram","Shyam"))))</f>
        <v>Shyam</v>
      </c>
      <c r="AA119" s="28">
        <f t="shared" ca="1" si="14"/>
        <v>0</v>
      </c>
      <c r="AB119" s="28">
        <f ca="1">IF(X119=1,COUNTIFS($F$2:F119,F119,$X$2:X119,1),0)</f>
        <v>0</v>
      </c>
      <c r="AC119" s="28" t="str">
        <f>IF(L119=1,IF(IFERROR(INDEX(PARTNERS!$C$2:$C$88,MATCH(B119,PARTNERS!$A$2:$A$88,0)),"")="YES","YES","NO"),"")</f>
        <v>NO</v>
      </c>
      <c r="AD119" s="28" t="str">
        <f>IF(L119=1,IFERROR(INDEX(PARTNERS!$B$2:$B$88,MATCH(B119,PARTNERS!$A$2:$A$88,0)),""),"")</f>
        <v>https://calendly.com/partner001/interview</v>
      </c>
      <c r="AE119" s="28">
        <f ca="1">IF(X119=1,IFERROR(INDEX(SETTINGS!$B$34:$D$36,MATCH(I119,SETTINGS!$A$34:$A$36,0),MIN(Q119,2)+1),SETTINGS!$B$36),0)</f>
        <v>0</v>
      </c>
      <c r="AF119" s="28">
        <f t="shared" si="15"/>
        <v>1</v>
      </c>
      <c r="AG119" s="28">
        <f ca="1">IF(AND(Y119=1,AB119=1),ROUND(AA119*AE119*IF(AF119&gt;1,SETTINGS!$B$16,1)*IF(W119&lt;=SETTINGS!$B$14,SETTINGS!$B$15,1)*IF(AU119=1,SETTINGS!$B$21,1),6),0)</f>
        <v>0</v>
      </c>
      <c r="AH119" s="28" t="str">
        <f ca="1">IF(AG119&gt;0,COUNTIFS($Z$2:$Z$601,Z119,$AG$2:$AG$601,"&gt;"&amp;AG119)+COUNTIFS($Z$2:Z119,Z119,$AG$2:AG119,AG119),"")</f>
        <v/>
      </c>
      <c r="AI119" s="28" t="str">
        <f t="shared" ca="1" si="16"/>
        <v/>
      </c>
      <c r="AJ119" s="28" t="str">
        <f t="shared" ca="1" si="17"/>
        <v/>
      </c>
      <c r="AK119" s="28">
        <f>IF(L119=1,IF(COUNTIFS($F$2:F119,F119,$L$2:L119,1)=1,1,0),0)</f>
        <v>1</v>
      </c>
      <c r="AL119" s="28" t="str">
        <f>IF(B119="","",IF(K119="DUPLICATE","Duplicate (removed)",IF(AO119=1,"Scheduled within 24h",IF(M119=1,"Scheduled late",IF(K119="BAD CONTACT","Bad contact details",IF(O119=1,"Stopped / wrong number",IF(N119=1,"Not interested",IF(P119=1,"Partner has no slots",IF(SETTINGS!$B$4&gt;=V119,IF(Q119=0,"Missed deadline: never tried","Missed deadline: tried, not booked"),IF(Q119&gt;=SETTINGS!$B$6,"No reply after max tries","Open"))))))))))</f>
        <v>Scheduled within 24h</v>
      </c>
      <c r="AM119" s="46">
        <f>IF(M119=1,IF(_xlfn.MINIFS(LOG!$G$2:$G$2001,LOG!$C$2:$C$2001,F119,LOG!$E$2:$E$2001,B119,LOG!$D$2:$D$2001,"*BOOKED")=0,_xlfn.MINIFS(LOG!$G$2:$G$2001,LOG!$C$2:$C$2001,F119,LOG!$E$2:$E$2001,"",LOG!$D$2:$D$2001,"*BOOKED"),IF(_xlfn.MINIFS(LOG!$G$2:$G$2001,LOG!$C$2:$C$2001,F119,LOG!$E$2:$E$2001,"",LOG!$D$2:$D$2001,"*BOOKED")=0,_xlfn.MINIFS(LOG!$G$2:$G$2001,LOG!$C$2:$C$2001,F119,LOG!$E$2:$E$2001,B119,LOG!$D$2:$D$2001,"*BOOKED"),MIN(_xlfn.MINIFS(LOG!$G$2:$G$2001,LOG!$C$2:$C$2001,F119,LOG!$E$2:$E$2001,B119,LOG!$D$2:$D$2001,"*BOOKED"),_xlfn.MINIFS(LOG!$G$2:$G$2001,LOG!$C$2:$C$2001,F119,LOG!$E$2:$E$2001,"",LOG!$D$2:$D$2001,"*BOOKED")))),"")</f>
        <v>46309.557924797809</v>
      </c>
      <c r="AN119" s="28">
        <f t="shared" si="18"/>
        <v>17.540195147506893</v>
      </c>
      <c r="AO119" s="28">
        <f>IF(AND(M119=1,AN119&lt;&gt;""),IF(AN119&lt;=SETTINGS!$B$5,1,0),0)</f>
        <v>1</v>
      </c>
      <c r="AP119" s="28">
        <f>IF(M119=1,IF(COUNTIFS(LOG!$C$2:$C$2001,F119,LOG!$E$2:$E$2001,B119,LOG!$D$2:$D$2001,"BOOKED")+COUNTIFS(LOG!$C$2:$C$2001,F119,LOG!$E$2:$E$2001,"",LOG!$D$2:$D$2001,"BOOKED")&gt;0,1,0),0)</f>
        <v>0</v>
      </c>
      <c r="AQ119" s="28" t="str">
        <f t="shared" si="19"/>
        <v>Arjun</v>
      </c>
      <c r="AR119" s="28">
        <f>IF(AND(AK119=1,K119="OK"),COUNTIFS($AK$2:AK119,1,$K$2:K119,"OK"),"")</f>
        <v>112</v>
      </c>
      <c r="AS119" s="28" t="str">
        <f>IF(L119=1,IFERROR(INDEX(MESSAGES!$J$9:$J$1008,MATCH(F119,MESSAGES!$M$9:$M$1008,0))&amp;"",""),"")</f>
        <v/>
      </c>
      <c r="AT119" s="28" t="str">
        <f>IF(L119=1,IFERROR(INDEX(MESSAGES!$K$9:$K$1008,MATCH(F119,MESSAGES!$M$9:$M$1008,0))&amp;"",""),"")</f>
        <v/>
      </c>
      <c r="AU119" s="28">
        <f t="shared" ca="1" si="20"/>
        <v>0</v>
      </c>
      <c r="AV119" s="28" t="str">
        <f t="shared" si="21"/>
        <v>SEND</v>
      </c>
    </row>
    <row r="120" spans="1:48" x14ac:dyDescent="0.35">
      <c r="A120" s="28">
        <v>119</v>
      </c>
      <c r="B120" s="28" t="str">
        <f>IF(INPUT!A120="","",TRIM(INPUT!A120))</f>
        <v>Partner 005</v>
      </c>
      <c r="C120" s="28" t="str">
        <f>IF(B120="","",INPUT!C120)</f>
        <v>interviewer2@partner005.example.com</v>
      </c>
      <c r="D120" s="28" t="str">
        <f>IF(B120="","",INPUT!D120)</f>
        <v>Reyansh F.</v>
      </c>
      <c r="E120" s="28" t="str">
        <f>IF(B120="","",INPUT!E120)</f>
        <v>reyansh.f156@example.com</v>
      </c>
      <c r="F120" s="43" t="str">
        <f>IF(B120="","",TRIM(INPUT!F120&amp;""))</f>
        <v>9000002035</v>
      </c>
      <c r="G120" s="28" t="str">
        <f>IF(B120="","",INPUT!H120)</f>
        <v>Round1</v>
      </c>
      <c r="H120" s="46">
        <f>IF(B120="","",INPUT!I120)</f>
        <v>46308.82708333333</v>
      </c>
      <c r="I120" s="28" t="str">
        <f>IF(B120="","",IF(INPUT!J120="","None",INPUT!J120))</f>
        <v>Clicked</v>
      </c>
      <c r="J120" s="28" t="str">
        <f t="shared" si="11"/>
        <v>reyansh.f156@example.com|partner 005|Round1|interviewer2@partner005.example.com</v>
      </c>
      <c r="K120" s="28" t="str">
        <f>IF(B120="","",IF(SUMPRODUCT(($J$2:$J$601=J120)*($H$2:$H$601&lt;H120))+SUMPRODUCT(($J$2:J120=J120)*($H$2:H120=H120))-1&gt;0,"DUPLICATE",IF(AND(ISNUMBER(SEARCH("@",E120)),ISNUMBER(SEARCH(".",E120)),LEN(F120)=10,ISNUMBER(VALUE(F120))),"OK","BAD CONTACT")))</f>
        <v>OK</v>
      </c>
      <c r="L120" s="28">
        <f t="shared" si="12"/>
        <v>1</v>
      </c>
      <c r="M120" s="28">
        <f>IF(L120=1,IF(COUNTIFS(LOG!$C$2:$C$2001,F120,LOG!$E$2:$E$2001,B120,LOG!$D$2:$D$2001,"*BOOKED")+COUNTIFS(LOG!$C$2:$C$2001,F120,LOG!$E$2:$E$2001,"",LOG!$D$2:$D$2001,"*BOOKED")&gt;0,1,0),0)</f>
        <v>1</v>
      </c>
      <c r="N120" s="28">
        <f>IF(L120=1,IF(COUNTIFS(LOG!$C$2:$C$2001,F120,LOG!$E$2:$E$2001,B120,LOG!$D$2:$D$2001,"NOT_INTERESTED")+COUNTIFS(LOG!$C$2:$C$2001,F120,LOG!$E$2:$E$2001,"",LOG!$D$2:$D$2001,"NOT_INTERESTED")&gt;0,1,0),0)</f>
        <v>0</v>
      </c>
      <c r="O120" s="28">
        <f>IF(L120=1,IF(COUNTIFS(LOG!$C$2:$C$2001,F120,LOG!$D$2:$D$2001,"STOP")+COUNTIFS(LOG!$C$2:$C$2001,F120,LOG!$D$2:$D$2001,"WRONG_NUMBER")&gt;0,1,IF(ISNUMBER(SEARCH("STOP",AT120)),1,0)),0)</f>
        <v>0</v>
      </c>
      <c r="P120" s="28">
        <f>IF(L120=1,IF(IFERROR(INDEX(PARTNERS!$D$2:$D$88,MATCH(B120,PARTNERS!$A$2:$A$88,0)),"")="NO SLOTS",1,IF(AND(IFERROR(INDEX(PARTNERS!$D$2:$D$88,MATCH(B120,PARTNERS!$A$2:$A$88,0)),"")&lt;&gt;"REOPENED",COUNTIFS(LOG!$E$2:$E$2001,B120,LOG!$D$2:$D$2001,"NO_SLOTS")&gt;0),1,0)),0)</f>
        <v>0</v>
      </c>
      <c r="Q120" s="28">
        <f>IF(L120=1,COUNTIFS(LOG!$C$2:$C$2001,F120,LOG!$H$2:$H$2001,1),0)</f>
        <v>2</v>
      </c>
      <c r="R120" s="46">
        <f>IF(Q120&gt;0,_xlfn.MAXIFS(LOG!$G$2:$G$2001,LOG!$C$2:$C$2001,F120,LOG!$H$2:$H$2001,1),0)</f>
        <v>46309.722246815138</v>
      </c>
      <c r="S120" s="28" t="str">
        <f>IF(Q120&gt;0,IFERROR(INDEX(LOG!$D$2:$D$2001,MATCH(F120&amp;"|"&amp;Q120,LOG!$I$2:$I$2001,0)),""),"")</f>
        <v>BOOKED</v>
      </c>
      <c r="T120" s="28">
        <f>IF(S120="",0,IFERROR(VLOOKUP(S120,LISTS!$A$2:$E$10,4,FALSE),0))</f>
        <v>0</v>
      </c>
      <c r="U120" s="46">
        <f t="shared" si="13"/>
        <v>46309.722246815138</v>
      </c>
      <c r="V120" s="46">
        <f>IF(L120=1,H120+SETTINGS!$B$5/24,"")</f>
        <v>46309.82708333333</v>
      </c>
      <c r="W120" s="28">
        <f ca="1">IF(L120=1,(V120-SETTINGS!$B$4)*24,"")</f>
        <v>-1.6666666720993817E-2</v>
      </c>
      <c r="X120" s="28">
        <f ca="1">IF(AND(L120=1,K120="OK",M120=0,N120=0,O120=0,P120=0,SETTINGS!$B$4&lt;V120,Q120&lt;SETTINGS!$B$6),1,0)</f>
        <v>0</v>
      </c>
      <c r="Y120" s="28">
        <f ca="1">IF(AND(X120=1,SETTINGS!$B$4&gt;=H120,SETTINGS!$B$4&gt;=U120,ROUND(MOD(SETTINGS!$B$4,1)*1440,0)&gt;=ROUND(SETTINGS!$B$7*1440,0),ROUND(MOD(SETTINGS!$B$4,1)*1440,0)&lt;ROUND(SETTINGS!$B$8*1440,0)),1,0)</f>
        <v>0</v>
      </c>
      <c r="Z120" s="28" t="str">
        <f ca="1">IF(B120="","",IF(ROUND(MOD(SETTINGS!$B$4,1)*1440,0)&lt;ROUND(SETTINGS!$B$11*1440,0),"Ram",IF(ROUND(MOD(SETTINGS!$B$4,1)*1440,0)&gt;=ROUND(SETTINGS!$B$10*1440,0),"Shyam",IF(MOD(IFERROR(VALUE(RIGHT(F120,2)),0),2)=0,"Ram","Shyam"))))</f>
        <v>Shyam</v>
      </c>
      <c r="AA120" s="28">
        <f t="shared" ca="1" si="14"/>
        <v>0</v>
      </c>
      <c r="AB120" s="28">
        <f ca="1">IF(X120=1,COUNTIFS($F$2:F120,F120,$X$2:X120,1),0)</f>
        <v>0</v>
      </c>
      <c r="AC120" s="28" t="str">
        <f>IF(L120=1,IF(IFERROR(INDEX(PARTNERS!$C$2:$C$88,MATCH(B120,PARTNERS!$A$2:$A$88,0)),"")="YES","YES","NO"),"")</f>
        <v>YES</v>
      </c>
      <c r="AD120" s="28" t="str">
        <f>IF(L120=1,IFERROR(INDEX(PARTNERS!$B$2:$B$88,MATCH(B120,PARTNERS!$A$2:$A$88,0)),""),"")</f>
        <v>https://calendly.com/partner005/interview</v>
      </c>
      <c r="AE120" s="28">
        <f ca="1">IF(X120=1,IFERROR(INDEX(SETTINGS!$B$34:$D$36,MATCH(I120,SETTINGS!$A$34:$A$36,0),MIN(Q120,2)+1),SETTINGS!$B$36),0)</f>
        <v>0</v>
      </c>
      <c r="AF120" s="28">
        <f t="shared" si="15"/>
        <v>1</v>
      </c>
      <c r="AG120" s="28">
        <f ca="1">IF(AND(Y120=1,AB120=1),ROUND(AA120*AE120*IF(AF120&gt;1,SETTINGS!$B$16,1)*IF(W120&lt;=SETTINGS!$B$14,SETTINGS!$B$15,1)*IF(AU120=1,SETTINGS!$B$21,1),6),0)</f>
        <v>0</v>
      </c>
      <c r="AH120" s="28" t="str">
        <f ca="1">IF(AG120&gt;0,COUNTIFS($Z$2:$Z$601,Z120,$AG$2:$AG$601,"&gt;"&amp;AG120)+COUNTIFS($Z$2:Z120,Z120,$AG$2:AG120,AG120),"")</f>
        <v/>
      </c>
      <c r="AI120" s="28" t="str">
        <f t="shared" ca="1" si="16"/>
        <v/>
      </c>
      <c r="AJ120" s="28" t="str">
        <f t="shared" ca="1" si="17"/>
        <v/>
      </c>
      <c r="AK120" s="28">
        <f>IF(L120=1,IF(COUNTIFS($F$2:F120,F120,$L$2:L120,1)=1,1,0),0)</f>
        <v>1</v>
      </c>
      <c r="AL120" s="28" t="str">
        <f>IF(B120="","",IF(K120="DUPLICATE","Duplicate (removed)",IF(AO120=1,"Scheduled within 24h",IF(M120=1,"Scheduled late",IF(K120="BAD CONTACT","Bad contact details",IF(O120=1,"Stopped / wrong number",IF(N120=1,"Not interested",IF(P120=1,"Partner has no slots",IF(SETTINGS!$B$4&gt;=V120,IF(Q120=0,"Missed deadline: never tried","Missed deadline: tried, not booked"),IF(Q120&gt;=SETTINGS!$B$6,"No reply after max tries","Open"))))))))))</f>
        <v>Scheduled within 24h</v>
      </c>
      <c r="AM120" s="46">
        <f>IF(M120=1,IF(_xlfn.MINIFS(LOG!$G$2:$G$2001,LOG!$C$2:$C$2001,F120,LOG!$E$2:$E$2001,B120,LOG!$D$2:$D$2001,"*BOOKED")=0,_xlfn.MINIFS(LOG!$G$2:$G$2001,LOG!$C$2:$C$2001,F120,LOG!$E$2:$E$2001,"",LOG!$D$2:$D$2001,"*BOOKED"),IF(_xlfn.MINIFS(LOG!$G$2:$G$2001,LOG!$C$2:$C$2001,F120,LOG!$E$2:$E$2001,"",LOG!$D$2:$D$2001,"*BOOKED")=0,_xlfn.MINIFS(LOG!$G$2:$G$2001,LOG!$C$2:$C$2001,F120,LOG!$E$2:$E$2001,B120,LOG!$D$2:$D$2001,"*BOOKED"),MIN(_xlfn.MINIFS(LOG!$G$2:$G$2001,LOG!$C$2:$C$2001,F120,LOG!$E$2:$E$2001,B120,LOG!$D$2:$D$2001,"*BOOKED"),_xlfn.MINIFS(LOG!$G$2:$G$2001,LOG!$C$2:$C$2001,F120,LOG!$E$2:$E$2001,"",LOG!$D$2:$D$2001,"*BOOKED")))),"")</f>
        <v>46309.722246815138</v>
      </c>
      <c r="AN120" s="28">
        <f t="shared" si="18"/>
        <v>21.483923563384451</v>
      </c>
      <c r="AO120" s="28">
        <f>IF(AND(M120=1,AN120&lt;&gt;""),IF(AN120&lt;=SETTINGS!$B$5,1,0),0)</f>
        <v>1</v>
      </c>
      <c r="AP120" s="28">
        <f>IF(M120=1,IF(COUNTIFS(LOG!$C$2:$C$2001,F120,LOG!$E$2:$E$2001,B120,LOG!$D$2:$D$2001,"BOOKED")+COUNTIFS(LOG!$C$2:$C$2001,F120,LOG!$E$2:$E$2001,"",LOG!$D$2:$D$2001,"BOOKED")&gt;0,1,0),0)</f>
        <v>1</v>
      </c>
      <c r="AQ120" s="28" t="str">
        <f t="shared" si="19"/>
        <v>Reyansh</v>
      </c>
      <c r="AR120" s="28">
        <f>IF(AND(AK120=1,K120="OK"),COUNTIFS($AK$2:AK120,1,$K$2:K120,"OK"),"")</f>
        <v>113</v>
      </c>
      <c r="AS120" s="28" t="str">
        <f>IF(L120=1,IFERROR(INDEX(MESSAGES!$J$9:$J$1008,MATCH(F120,MESSAGES!$M$9:$M$1008,0))&amp;"",""),"")</f>
        <v/>
      </c>
      <c r="AT120" s="28" t="str">
        <f>IF(L120=1,IFERROR(INDEX(MESSAGES!$K$9:$K$1008,MATCH(F120,MESSAGES!$M$9:$M$1008,0))&amp;"",""),"")</f>
        <v/>
      </c>
      <c r="AU120" s="28">
        <f t="shared" ca="1" si="20"/>
        <v>0</v>
      </c>
      <c r="AV120" s="28" t="str">
        <f t="shared" si="21"/>
        <v>HOLD</v>
      </c>
    </row>
    <row r="121" spans="1:48" x14ac:dyDescent="0.35">
      <c r="A121" s="28">
        <v>120</v>
      </c>
      <c r="B121" s="28" t="str">
        <f>IF(INPUT!A121="","",TRIM(INPUT!A121))</f>
        <v>Partner 007</v>
      </c>
      <c r="C121" s="28" t="str">
        <f>IF(B121="","",INPUT!C121)</f>
        <v>interviewer2@partner007.example.com</v>
      </c>
      <c r="D121" s="28" t="str">
        <f>IF(B121="","",INPUT!D121)</f>
        <v>Diya J.</v>
      </c>
      <c r="E121" s="28" t="str">
        <f>IF(B121="","",INPUT!E121)</f>
        <v>diya.j241@example.com</v>
      </c>
      <c r="F121" s="43" t="str">
        <f>IF(B121="","",TRIM(INPUT!F121&amp;""))</f>
        <v>9000003140</v>
      </c>
      <c r="G121" s="28" t="str">
        <f>IF(B121="","",INPUT!H121)</f>
        <v>Round1</v>
      </c>
      <c r="H121" s="46">
        <f>IF(B121="","",INPUT!I121)</f>
        <v>46308.82708333333</v>
      </c>
      <c r="I121" s="28" t="str">
        <f>IF(B121="","",IF(INPUT!J121="","None",INPUT!J121))</f>
        <v>Opened</v>
      </c>
      <c r="J121" s="28" t="str">
        <f t="shared" si="11"/>
        <v>diya.j241@example.com|partner 007|Round1|interviewer2@partner007.example.com</v>
      </c>
      <c r="K121" s="28" t="str">
        <f>IF(B121="","",IF(SUMPRODUCT(($J$2:$J$601=J121)*($H$2:$H$601&lt;H121))+SUMPRODUCT(($J$2:J121=J121)*($H$2:H121=H121))-1&gt;0,"DUPLICATE",IF(AND(ISNUMBER(SEARCH("@",E121)),ISNUMBER(SEARCH(".",E121)),LEN(F121)=10,ISNUMBER(VALUE(F121))),"OK","BAD CONTACT")))</f>
        <v>OK</v>
      </c>
      <c r="L121" s="28">
        <f t="shared" si="12"/>
        <v>1</v>
      </c>
      <c r="M121" s="28">
        <f>IF(L121=1,IF(COUNTIFS(LOG!$C$2:$C$2001,F121,LOG!$E$2:$E$2001,B121,LOG!$D$2:$D$2001,"*BOOKED")+COUNTIFS(LOG!$C$2:$C$2001,F121,LOG!$E$2:$E$2001,"",LOG!$D$2:$D$2001,"*BOOKED")&gt;0,1,0),0)</f>
        <v>1</v>
      </c>
      <c r="N121" s="28">
        <f>IF(L121=1,IF(COUNTIFS(LOG!$C$2:$C$2001,F121,LOG!$E$2:$E$2001,B121,LOG!$D$2:$D$2001,"NOT_INTERESTED")+COUNTIFS(LOG!$C$2:$C$2001,F121,LOG!$E$2:$E$2001,"",LOG!$D$2:$D$2001,"NOT_INTERESTED")&gt;0,1,0),0)</f>
        <v>0</v>
      </c>
      <c r="O121" s="28">
        <f>IF(L121=1,IF(COUNTIFS(LOG!$C$2:$C$2001,F121,LOG!$D$2:$D$2001,"STOP")+COUNTIFS(LOG!$C$2:$C$2001,F121,LOG!$D$2:$D$2001,"WRONG_NUMBER")&gt;0,1,IF(ISNUMBER(SEARCH("STOP",AT121)),1,0)),0)</f>
        <v>0</v>
      </c>
      <c r="P121" s="28">
        <f>IF(L121=1,IF(IFERROR(INDEX(PARTNERS!$D$2:$D$88,MATCH(B121,PARTNERS!$A$2:$A$88,0)),"")="NO SLOTS",1,IF(AND(IFERROR(INDEX(PARTNERS!$D$2:$D$88,MATCH(B121,PARTNERS!$A$2:$A$88,0)),"")&lt;&gt;"REOPENED",COUNTIFS(LOG!$E$2:$E$2001,B121,LOG!$D$2:$D$2001,"NO_SLOTS")&gt;0),1,0)),0)</f>
        <v>0</v>
      </c>
      <c r="Q121" s="28">
        <f>IF(L121=1,COUNTIFS(LOG!$C$2:$C$2001,F121,LOG!$H$2:$H$2001,1),0)</f>
        <v>0</v>
      </c>
      <c r="R121" s="46">
        <f>IF(Q121&gt;0,_xlfn.MAXIFS(LOG!$G$2:$G$2001,LOG!$C$2:$C$2001,F121,LOG!$H$2:$H$2001,1),0)</f>
        <v>0</v>
      </c>
      <c r="S121" s="28" t="str">
        <f>IF(Q121&gt;0,IFERROR(INDEX(LOG!$D$2:$D$2001,MATCH(F121&amp;"|"&amp;Q121,LOG!$I$2:$I$2001,0)),""),"")</f>
        <v/>
      </c>
      <c r="T121" s="28">
        <f>IF(S121="",0,IFERROR(VLOOKUP(S121,LISTS!$A$2:$E$10,4,FALSE),0))</f>
        <v>0</v>
      </c>
      <c r="U121" s="46">
        <f t="shared" si="13"/>
        <v>0</v>
      </c>
      <c r="V121" s="46">
        <f>IF(L121=1,H121+SETTINGS!$B$5/24,"")</f>
        <v>46309.82708333333</v>
      </c>
      <c r="W121" s="28">
        <f ca="1">IF(L121=1,(V121-SETTINGS!$B$4)*24,"")</f>
        <v>-1.6666666720993817E-2</v>
      </c>
      <c r="X121" s="28">
        <f ca="1">IF(AND(L121=1,K121="OK",M121=0,N121=0,O121=0,P121=0,SETTINGS!$B$4&lt;V121,Q121&lt;SETTINGS!$B$6),1,0)</f>
        <v>0</v>
      </c>
      <c r="Y121" s="28">
        <f ca="1">IF(AND(X121=1,SETTINGS!$B$4&gt;=H121,SETTINGS!$B$4&gt;=U121,ROUND(MOD(SETTINGS!$B$4,1)*1440,0)&gt;=ROUND(SETTINGS!$B$7*1440,0),ROUND(MOD(SETTINGS!$B$4,1)*1440,0)&lt;ROUND(SETTINGS!$B$8*1440,0)),1,0)</f>
        <v>0</v>
      </c>
      <c r="Z121" s="28" t="str">
        <f ca="1">IF(B121="","",IF(ROUND(MOD(SETTINGS!$B$4,1)*1440,0)&lt;ROUND(SETTINGS!$B$11*1440,0),"Ram",IF(ROUND(MOD(SETTINGS!$B$4,1)*1440,0)&gt;=ROUND(SETTINGS!$B$10*1440,0),"Shyam",IF(MOD(IFERROR(VALUE(RIGHT(F121,2)),0),2)=0,"Ram","Shyam"))))</f>
        <v>Shyam</v>
      </c>
      <c r="AA121" s="28">
        <f t="shared" ca="1" si="14"/>
        <v>0</v>
      </c>
      <c r="AB121" s="28">
        <f ca="1">IF(X121=1,COUNTIFS($F$2:F121,F121,$X$2:X121,1),0)</f>
        <v>0</v>
      </c>
      <c r="AC121" s="28" t="str">
        <f>IF(L121=1,IF(IFERROR(INDEX(PARTNERS!$C$2:$C$88,MATCH(B121,PARTNERS!$A$2:$A$88,0)),"")="YES","YES","NO"),"")</f>
        <v>NO</v>
      </c>
      <c r="AD121" s="28" t="str">
        <f>IF(L121=1,IFERROR(INDEX(PARTNERS!$B$2:$B$88,MATCH(B121,PARTNERS!$A$2:$A$88,0)),""),"")</f>
        <v>https://calendly.com/partner007/interview</v>
      </c>
      <c r="AE121" s="28">
        <f ca="1">IF(X121=1,IFERROR(INDEX(SETTINGS!$B$34:$D$36,MATCH(I121,SETTINGS!$A$34:$A$36,0),MIN(Q121,2)+1),SETTINGS!$B$36),0)</f>
        <v>0</v>
      </c>
      <c r="AF121" s="28">
        <f t="shared" si="15"/>
        <v>1</v>
      </c>
      <c r="AG121" s="28">
        <f ca="1">IF(AND(Y121=1,AB121=1),ROUND(AA121*AE121*IF(AF121&gt;1,SETTINGS!$B$16,1)*IF(W121&lt;=SETTINGS!$B$14,SETTINGS!$B$15,1)*IF(AU121=1,SETTINGS!$B$21,1),6),0)</f>
        <v>0</v>
      </c>
      <c r="AH121" s="28" t="str">
        <f ca="1">IF(AG121&gt;0,COUNTIFS($Z$2:$Z$601,Z121,$AG$2:$AG$601,"&gt;"&amp;AG121)+COUNTIFS($Z$2:Z121,Z121,$AG$2:AG121,AG121),"")</f>
        <v/>
      </c>
      <c r="AI121" s="28" t="str">
        <f t="shared" ca="1" si="16"/>
        <v/>
      </c>
      <c r="AJ121" s="28" t="str">
        <f t="shared" ca="1" si="17"/>
        <v/>
      </c>
      <c r="AK121" s="28">
        <f>IF(L121=1,IF(COUNTIFS($F$2:F121,F121,$L$2:L121,1)=1,1,0),0)</f>
        <v>1</v>
      </c>
      <c r="AL121" s="28" t="str">
        <f>IF(B121="","",IF(K121="DUPLICATE","Duplicate (removed)",IF(AO121=1,"Scheduled within 24h",IF(M121=1,"Scheduled late",IF(K121="BAD CONTACT","Bad contact details",IF(O121=1,"Stopped / wrong number",IF(N121=1,"Not interested",IF(P121=1,"Partner has no slots",IF(SETTINGS!$B$4&gt;=V121,IF(Q121=0,"Missed deadline: never tried","Missed deadline: tried, not booked"),IF(Q121&gt;=SETTINGS!$B$6,"No reply after max tries","Open"))))))))))</f>
        <v>Scheduled within 24h</v>
      </c>
      <c r="AM121" s="46">
        <f>IF(M121=1,IF(_xlfn.MINIFS(LOG!$G$2:$G$2001,LOG!$C$2:$C$2001,F121,LOG!$E$2:$E$2001,B121,LOG!$D$2:$D$2001,"*BOOKED")=0,_xlfn.MINIFS(LOG!$G$2:$G$2001,LOG!$C$2:$C$2001,F121,LOG!$E$2:$E$2001,"",LOG!$D$2:$D$2001,"*BOOKED"),IF(_xlfn.MINIFS(LOG!$G$2:$G$2001,LOG!$C$2:$C$2001,F121,LOG!$E$2:$E$2001,"",LOG!$D$2:$D$2001,"*BOOKED")=0,_xlfn.MINIFS(LOG!$G$2:$G$2001,LOG!$C$2:$C$2001,F121,LOG!$E$2:$E$2001,B121,LOG!$D$2:$D$2001,"*BOOKED"),MIN(_xlfn.MINIFS(LOG!$G$2:$G$2001,LOG!$C$2:$C$2001,F121,LOG!$E$2:$E$2001,B121,LOG!$D$2:$D$2001,"*BOOKED"),_xlfn.MINIFS(LOG!$G$2:$G$2001,LOG!$C$2:$C$2001,F121,LOG!$E$2:$E$2001,"",LOG!$D$2:$D$2001,"*BOOKED")))),"")</f>
        <v>46308.937489124495</v>
      </c>
      <c r="AN121" s="28">
        <f t="shared" si="18"/>
        <v>2.649738987965975</v>
      </c>
      <c r="AO121" s="28">
        <f>IF(AND(M121=1,AN121&lt;&gt;""),IF(AN121&lt;=SETTINGS!$B$5,1,0),0)</f>
        <v>1</v>
      </c>
      <c r="AP121" s="28">
        <f>IF(M121=1,IF(COUNTIFS(LOG!$C$2:$C$2001,F121,LOG!$E$2:$E$2001,B121,LOG!$D$2:$D$2001,"BOOKED")+COUNTIFS(LOG!$C$2:$C$2001,F121,LOG!$E$2:$E$2001,"",LOG!$D$2:$D$2001,"BOOKED")&gt;0,1,0),0)</f>
        <v>0</v>
      </c>
      <c r="AQ121" s="28" t="str">
        <f t="shared" si="19"/>
        <v>Diya</v>
      </c>
      <c r="AR121" s="28">
        <f>IF(AND(AK121=1,K121="OK"),COUNTIFS($AK$2:AK121,1,$K$2:K121,"OK"),"")</f>
        <v>114</v>
      </c>
      <c r="AS121" s="28" t="str">
        <f>IF(L121=1,IFERROR(INDEX(MESSAGES!$J$9:$J$1008,MATCH(F121,MESSAGES!$M$9:$M$1008,0))&amp;"",""),"")</f>
        <v/>
      </c>
      <c r="AT121" s="28" t="str">
        <f>IF(L121=1,IFERROR(INDEX(MESSAGES!$K$9:$K$1008,MATCH(F121,MESSAGES!$M$9:$M$1008,0))&amp;"",""),"")</f>
        <v/>
      </c>
      <c r="AU121" s="28">
        <f t="shared" ca="1" si="20"/>
        <v>0</v>
      </c>
      <c r="AV121" s="28" t="str">
        <f t="shared" si="21"/>
        <v>SEND</v>
      </c>
    </row>
    <row r="122" spans="1:48" x14ac:dyDescent="0.35">
      <c r="A122" s="28">
        <v>121</v>
      </c>
      <c r="B122" s="28" t="str">
        <f>IF(INPUT!A122="","",TRIM(INPUT!A122))</f>
        <v>Partner 000</v>
      </c>
      <c r="C122" s="28" t="str">
        <f>IF(B122="","",INPUT!C122)</f>
        <v>interviewer1@partner000.example.com</v>
      </c>
      <c r="D122" s="28" t="str">
        <f>IF(B122="","",INPUT!D122)</f>
        <v>Riya B.</v>
      </c>
      <c r="E122" s="28" t="str">
        <f>IF(B122="","",INPUT!E122)</f>
        <v>riya.b049@example.com</v>
      </c>
      <c r="F122" s="43" t="str">
        <f>IF(B122="","",TRIM(INPUT!F122&amp;""))</f>
        <v>9000000644</v>
      </c>
      <c r="G122" s="28" t="str">
        <f>IF(B122="","",INPUT!H122)</f>
        <v>Round1</v>
      </c>
      <c r="H122" s="46">
        <f>IF(B122="","",INPUT!I122)</f>
        <v>46308.82708333333</v>
      </c>
      <c r="I122" s="28" t="str">
        <f>IF(B122="","",IF(INPUT!J122="","None",INPUT!J122))</f>
        <v>Clicked</v>
      </c>
      <c r="J122" s="28" t="str">
        <f t="shared" si="11"/>
        <v>riya.b049@example.com|partner 000|Round1|interviewer1@partner000.example.com</v>
      </c>
      <c r="K122" s="28" t="str">
        <f>IF(B122="","",IF(SUMPRODUCT(($J$2:$J$601=J122)*($H$2:$H$601&lt;H122))+SUMPRODUCT(($J$2:J122=J122)*($H$2:H122=H122))-1&gt;0,"DUPLICATE",IF(AND(ISNUMBER(SEARCH("@",E122)),ISNUMBER(SEARCH(".",E122)),LEN(F122)=10,ISNUMBER(VALUE(F122))),"OK","BAD CONTACT")))</f>
        <v>OK</v>
      </c>
      <c r="L122" s="28">
        <f t="shared" si="12"/>
        <v>1</v>
      </c>
      <c r="M122" s="28">
        <f>IF(L122=1,IF(COUNTIFS(LOG!$C$2:$C$2001,F122,LOG!$E$2:$E$2001,B122,LOG!$D$2:$D$2001,"*BOOKED")+COUNTIFS(LOG!$C$2:$C$2001,F122,LOG!$E$2:$E$2001,"",LOG!$D$2:$D$2001,"*BOOKED")&gt;0,1,0),0)</f>
        <v>1</v>
      </c>
      <c r="N122" s="28">
        <f>IF(L122=1,IF(COUNTIFS(LOG!$C$2:$C$2001,F122,LOG!$E$2:$E$2001,B122,LOG!$D$2:$D$2001,"NOT_INTERESTED")+COUNTIFS(LOG!$C$2:$C$2001,F122,LOG!$E$2:$E$2001,"",LOG!$D$2:$D$2001,"NOT_INTERESTED")&gt;0,1,0),0)</f>
        <v>0</v>
      </c>
      <c r="O122" s="28">
        <f>IF(L122=1,IF(COUNTIFS(LOG!$C$2:$C$2001,F122,LOG!$D$2:$D$2001,"STOP")+COUNTIFS(LOG!$C$2:$C$2001,F122,LOG!$D$2:$D$2001,"WRONG_NUMBER")&gt;0,1,IF(ISNUMBER(SEARCH("STOP",AT122)),1,0)),0)</f>
        <v>0</v>
      </c>
      <c r="P122" s="28">
        <f>IF(L122=1,IF(IFERROR(INDEX(PARTNERS!$D$2:$D$88,MATCH(B122,PARTNERS!$A$2:$A$88,0)),"")="NO SLOTS",1,IF(AND(IFERROR(INDEX(PARTNERS!$D$2:$D$88,MATCH(B122,PARTNERS!$A$2:$A$88,0)),"")&lt;&gt;"REOPENED",COUNTIFS(LOG!$E$2:$E$2001,B122,LOG!$D$2:$D$2001,"NO_SLOTS")&gt;0),1,0)),0)</f>
        <v>0</v>
      </c>
      <c r="Q122" s="28">
        <f>IF(L122=1,COUNTIFS(LOG!$C$2:$C$2001,F122,LOG!$H$2:$H$2001,1),0)</f>
        <v>2</v>
      </c>
      <c r="R122" s="46">
        <f>IF(Q122&gt;0,_xlfn.MAXIFS(LOG!$G$2:$G$2001,LOG!$C$2:$C$2001,F122,LOG!$H$2:$H$2001,1),0)</f>
        <v>46309.701501819014</v>
      </c>
      <c r="S122" s="28" t="str">
        <f>IF(Q122&gt;0,IFERROR(INDEX(LOG!$D$2:$D$2001,MATCH(F122&amp;"|"&amp;Q122,LOG!$I$2:$I$2001,0)),""),"")</f>
        <v>SENT_LINK</v>
      </c>
      <c r="T122" s="28">
        <f>IF(S122="",0,IFERROR(VLOOKUP(S122,LISTS!$A$2:$E$10,4,FALSE),0))</f>
        <v>180</v>
      </c>
      <c r="U122" s="46">
        <f t="shared" si="13"/>
        <v>46309.826501819014</v>
      </c>
      <c r="V122" s="46">
        <f>IF(L122=1,H122+SETTINGS!$B$5/24,"")</f>
        <v>46309.82708333333</v>
      </c>
      <c r="W122" s="28">
        <f ca="1">IF(L122=1,(V122-SETTINGS!$B$4)*24,"")</f>
        <v>-1.6666666720993817E-2</v>
      </c>
      <c r="X122" s="28">
        <f ca="1">IF(AND(L122=1,K122="OK",M122=0,N122=0,O122=0,P122=0,SETTINGS!$B$4&lt;V122,Q122&lt;SETTINGS!$B$6),1,0)</f>
        <v>0</v>
      </c>
      <c r="Y122" s="28">
        <f ca="1">IF(AND(X122=1,SETTINGS!$B$4&gt;=H122,SETTINGS!$B$4&gt;=U122,ROUND(MOD(SETTINGS!$B$4,1)*1440,0)&gt;=ROUND(SETTINGS!$B$7*1440,0),ROUND(MOD(SETTINGS!$B$4,1)*1440,0)&lt;ROUND(SETTINGS!$B$8*1440,0)),1,0)</f>
        <v>0</v>
      </c>
      <c r="Z122" s="28" t="str">
        <f ca="1">IF(B122="","",IF(ROUND(MOD(SETTINGS!$B$4,1)*1440,0)&lt;ROUND(SETTINGS!$B$11*1440,0),"Ram",IF(ROUND(MOD(SETTINGS!$B$4,1)*1440,0)&gt;=ROUND(SETTINGS!$B$10*1440,0),"Shyam",IF(MOD(IFERROR(VALUE(RIGHT(F122,2)),0),2)=0,"Ram","Shyam"))))</f>
        <v>Shyam</v>
      </c>
      <c r="AA122" s="28">
        <f t="shared" ca="1" si="14"/>
        <v>0</v>
      </c>
      <c r="AB122" s="28">
        <f ca="1">IF(X122=1,COUNTIFS($F$2:F122,F122,$X$2:X122,1),0)</f>
        <v>0</v>
      </c>
      <c r="AC122" s="28" t="str">
        <f>IF(L122=1,IF(IFERROR(INDEX(PARTNERS!$C$2:$C$88,MATCH(B122,PARTNERS!$A$2:$A$88,0)),"")="YES","YES","NO"),"")</f>
        <v>NO</v>
      </c>
      <c r="AD122" s="28" t="str">
        <f>IF(L122=1,IFERROR(INDEX(PARTNERS!$B$2:$B$88,MATCH(B122,PARTNERS!$A$2:$A$88,0)),""),"")</f>
        <v>https://calendly.com/partner000/interview</v>
      </c>
      <c r="AE122" s="28">
        <f ca="1">IF(X122=1,IFERROR(INDEX(SETTINGS!$B$34:$D$36,MATCH(I122,SETTINGS!$A$34:$A$36,0),MIN(Q122,2)+1),SETTINGS!$B$36),0)</f>
        <v>0</v>
      </c>
      <c r="AF122" s="28">
        <f t="shared" si="15"/>
        <v>1</v>
      </c>
      <c r="AG122" s="28">
        <f ca="1">IF(AND(Y122=1,AB122=1),ROUND(AA122*AE122*IF(AF122&gt;1,SETTINGS!$B$16,1)*IF(W122&lt;=SETTINGS!$B$14,SETTINGS!$B$15,1)*IF(AU122=1,SETTINGS!$B$21,1),6),0)</f>
        <v>0</v>
      </c>
      <c r="AH122" s="28" t="str">
        <f ca="1">IF(AG122&gt;0,COUNTIFS($Z$2:$Z$601,Z122,$AG$2:$AG$601,"&gt;"&amp;AG122)+COUNTIFS($Z$2:Z122,Z122,$AG$2:AG122,AG122),"")</f>
        <v/>
      </c>
      <c r="AI122" s="28" t="str">
        <f t="shared" ca="1" si="16"/>
        <v/>
      </c>
      <c r="AJ122" s="28" t="str">
        <f t="shared" ca="1" si="17"/>
        <v/>
      </c>
      <c r="AK122" s="28">
        <f>IF(L122=1,IF(COUNTIFS($F$2:F122,F122,$L$2:L122,1)=1,1,0),0)</f>
        <v>1</v>
      </c>
      <c r="AL122" s="28" t="str">
        <f>IF(B122="","",IF(K122="DUPLICATE","Duplicate (removed)",IF(AO122=1,"Scheduled within 24h",IF(M122=1,"Scheduled late",IF(K122="BAD CONTACT","Bad contact details",IF(O122=1,"Stopped / wrong number",IF(N122=1,"Not interested",IF(P122=1,"Partner has no slots",IF(SETTINGS!$B$4&gt;=V122,IF(Q122=0,"Missed deadline: never tried","Missed deadline: tried, not booked"),IF(Q122&gt;=SETTINGS!$B$6,"No reply after max tries","Open"))))))))))</f>
        <v>Scheduled within 24h</v>
      </c>
      <c r="AM122" s="46">
        <f>IF(M122=1,IF(_xlfn.MINIFS(LOG!$G$2:$G$2001,LOG!$C$2:$C$2001,F122,LOG!$E$2:$E$2001,B122,LOG!$D$2:$D$2001,"*BOOKED")=0,_xlfn.MINIFS(LOG!$G$2:$G$2001,LOG!$C$2:$C$2001,F122,LOG!$E$2:$E$2001,"",LOG!$D$2:$D$2001,"*BOOKED"),IF(_xlfn.MINIFS(LOG!$G$2:$G$2001,LOG!$C$2:$C$2001,F122,LOG!$E$2:$E$2001,"",LOG!$D$2:$D$2001,"*BOOKED")=0,_xlfn.MINIFS(LOG!$G$2:$G$2001,LOG!$C$2:$C$2001,F122,LOG!$E$2:$E$2001,B122,LOG!$D$2:$D$2001,"*BOOKED"),MIN(_xlfn.MINIFS(LOG!$G$2:$G$2001,LOG!$C$2:$C$2001,F122,LOG!$E$2:$E$2001,B122,LOG!$D$2:$D$2001,"*BOOKED"),_xlfn.MINIFS(LOG!$G$2:$G$2001,LOG!$C$2:$C$2001,F122,LOG!$E$2:$E$2001,"",LOG!$D$2:$D$2001,"*BOOKED")))),"")</f>
        <v>46309.729016298457</v>
      </c>
      <c r="AN122" s="28">
        <f t="shared" si="18"/>
        <v>21.646391163056251</v>
      </c>
      <c r="AO122" s="28">
        <f>IF(AND(M122=1,AN122&lt;&gt;""),IF(AN122&lt;=SETTINGS!$B$5,1,0),0)</f>
        <v>1</v>
      </c>
      <c r="AP122" s="28">
        <f>IF(M122=1,IF(COUNTIFS(LOG!$C$2:$C$2001,F122,LOG!$E$2:$E$2001,B122,LOG!$D$2:$D$2001,"BOOKED")+COUNTIFS(LOG!$C$2:$C$2001,F122,LOG!$E$2:$E$2001,"",LOG!$D$2:$D$2001,"BOOKED")&gt;0,1,0),0)</f>
        <v>0</v>
      </c>
      <c r="AQ122" s="28" t="str">
        <f t="shared" si="19"/>
        <v>Riya</v>
      </c>
      <c r="AR122" s="28">
        <f>IF(AND(AK122=1,K122="OK"),COUNTIFS($AK$2:AK122,1,$K$2:K122,"OK"),"")</f>
        <v>115</v>
      </c>
      <c r="AS122" s="28" t="str">
        <f>IF(L122=1,IFERROR(INDEX(MESSAGES!$J$9:$J$1008,MATCH(F122,MESSAGES!$M$9:$M$1008,0))&amp;"",""),"")</f>
        <v/>
      </c>
      <c r="AT122" s="28" t="str">
        <f>IF(L122=1,IFERROR(INDEX(MESSAGES!$K$9:$K$1008,MATCH(F122,MESSAGES!$M$9:$M$1008,0))&amp;"",""),"")</f>
        <v/>
      </c>
      <c r="AU122" s="28">
        <f t="shared" ca="1" si="20"/>
        <v>0</v>
      </c>
      <c r="AV122" s="28" t="str">
        <f t="shared" si="21"/>
        <v>SEND</v>
      </c>
    </row>
    <row r="123" spans="1:48" x14ac:dyDescent="0.35">
      <c r="A123" s="28">
        <v>122</v>
      </c>
      <c r="B123" s="28" t="str">
        <f>IF(INPUT!A123="","",TRIM(INPUT!A123))</f>
        <v>Partner 001</v>
      </c>
      <c r="C123" s="28" t="str">
        <f>IF(B123="","",INPUT!C123)</f>
        <v>interviewer0@partner001.example.com</v>
      </c>
      <c r="D123" s="28" t="str">
        <f>IF(B123="","",INPUT!D123)</f>
        <v>Arjun N.</v>
      </c>
      <c r="E123" s="28" t="str">
        <f>IF(B123="","",INPUT!E123)</f>
        <v>arjun.n368@example.com</v>
      </c>
      <c r="F123" s="43" t="str">
        <f>IF(B123="","",TRIM(INPUT!F123&amp;""))</f>
        <v>9000004791</v>
      </c>
      <c r="G123" s="28" t="str">
        <f>IF(B123="","",INPUT!H123)</f>
        <v>Round1</v>
      </c>
      <c r="H123" s="46">
        <f>IF(B123="","",INPUT!I123)</f>
        <v>46308.82708333333</v>
      </c>
      <c r="I123" s="28" t="str">
        <f>IF(B123="","",IF(INPUT!J123="","None",INPUT!J123))</f>
        <v>Clicked</v>
      </c>
      <c r="J123" s="28" t="str">
        <f t="shared" si="11"/>
        <v>arjun.n368@example.com|partner 001|Round1|interviewer0@partner001.example.com</v>
      </c>
      <c r="K123" s="28" t="str">
        <f>IF(B123="","",IF(SUMPRODUCT(($J$2:$J$601=J123)*($H$2:$H$601&lt;H123))+SUMPRODUCT(($J$2:J123=J123)*($H$2:H123=H123))-1&gt;0,"DUPLICATE",IF(AND(ISNUMBER(SEARCH("@",E123)),ISNUMBER(SEARCH(".",E123)),LEN(F123)=10,ISNUMBER(VALUE(F123))),"OK","BAD CONTACT")))</f>
        <v>OK</v>
      </c>
      <c r="L123" s="28">
        <f t="shared" si="12"/>
        <v>1</v>
      </c>
      <c r="M123" s="28">
        <f>IF(L123=1,IF(COUNTIFS(LOG!$C$2:$C$2001,F123,LOG!$E$2:$E$2001,B123,LOG!$D$2:$D$2001,"*BOOKED")+COUNTIFS(LOG!$C$2:$C$2001,F123,LOG!$E$2:$E$2001,"",LOG!$D$2:$D$2001,"*BOOKED")&gt;0,1,0),0)</f>
        <v>1</v>
      </c>
      <c r="N123" s="28">
        <f>IF(L123=1,IF(COUNTIFS(LOG!$C$2:$C$2001,F123,LOG!$E$2:$E$2001,B123,LOG!$D$2:$D$2001,"NOT_INTERESTED")+COUNTIFS(LOG!$C$2:$C$2001,F123,LOG!$E$2:$E$2001,"",LOG!$D$2:$D$2001,"NOT_INTERESTED")&gt;0,1,0),0)</f>
        <v>0</v>
      </c>
      <c r="O123" s="28">
        <f>IF(L123=1,IF(COUNTIFS(LOG!$C$2:$C$2001,F123,LOG!$D$2:$D$2001,"STOP")+COUNTIFS(LOG!$C$2:$C$2001,F123,LOG!$D$2:$D$2001,"WRONG_NUMBER")&gt;0,1,IF(ISNUMBER(SEARCH("STOP",AT123)),1,0)),0)</f>
        <v>0</v>
      </c>
      <c r="P123" s="28">
        <f>IF(L123=1,IF(IFERROR(INDEX(PARTNERS!$D$2:$D$88,MATCH(B123,PARTNERS!$A$2:$A$88,0)),"")="NO SLOTS",1,IF(AND(IFERROR(INDEX(PARTNERS!$D$2:$D$88,MATCH(B123,PARTNERS!$A$2:$A$88,0)),"")&lt;&gt;"REOPENED",COUNTIFS(LOG!$E$2:$E$2001,B123,LOG!$D$2:$D$2001,"NO_SLOTS")&gt;0),1,0)),0)</f>
        <v>0</v>
      </c>
      <c r="Q123" s="28">
        <f>IF(L123=1,COUNTIFS(LOG!$C$2:$C$2001,F123,LOG!$H$2:$H$2001,1),0)</f>
        <v>1</v>
      </c>
      <c r="R123" s="46">
        <f>IF(Q123&gt;0,_xlfn.MAXIFS(LOG!$G$2:$G$2001,LOG!$C$2:$C$2001,F123,LOG!$H$2:$H$2001,1),0)</f>
        <v>46309.420780410117</v>
      </c>
      <c r="S123" s="28" t="str">
        <f>IF(Q123&gt;0,IFERROR(INDEX(LOG!$D$2:$D$2001,MATCH(F123&amp;"|"&amp;Q123,LOG!$I$2:$I$2001,0)),""),"")</f>
        <v>SENT_LINK</v>
      </c>
      <c r="T123" s="28">
        <f>IF(S123="",0,IFERROR(VLOOKUP(S123,LISTS!$A$2:$E$10,4,FALSE),0))</f>
        <v>180</v>
      </c>
      <c r="U123" s="46">
        <f t="shared" si="13"/>
        <v>46309.545780410117</v>
      </c>
      <c r="V123" s="46">
        <f>IF(L123=1,H123+SETTINGS!$B$5/24,"")</f>
        <v>46309.82708333333</v>
      </c>
      <c r="W123" s="28">
        <f ca="1">IF(L123=1,(V123-SETTINGS!$B$4)*24,"")</f>
        <v>-1.6666666720993817E-2</v>
      </c>
      <c r="X123" s="28">
        <f ca="1">IF(AND(L123=1,K123="OK",M123=0,N123=0,O123=0,P123=0,SETTINGS!$B$4&lt;V123,Q123&lt;SETTINGS!$B$6),1,0)</f>
        <v>0</v>
      </c>
      <c r="Y123" s="28">
        <f ca="1">IF(AND(X123=1,SETTINGS!$B$4&gt;=H123,SETTINGS!$B$4&gt;=U123,ROUND(MOD(SETTINGS!$B$4,1)*1440,0)&gt;=ROUND(SETTINGS!$B$7*1440,0),ROUND(MOD(SETTINGS!$B$4,1)*1440,0)&lt;ROUND(SETTINGS!$B$8*1440,0)),1,0)</f>
        <v>0</v>
      </c>
      <c r="Z123" s="28" t="str">
        <f ca="1">IF(B123="","",IF(ROUND(MOD(SETTINGS!$B$4,1)*1440,0)&lt;ROUND(SETTINGS!$B$11*1440,0),"Ram",IF(ROUND(MOD(SETTINGS!$B$4,1)*1440,0)&gt;=ROUND(SETTINGS!$B$10*1440,0),"Shyam",IF(MOD(IFERROR(VALUE(RIGHT(F123,2)),0),2)=0,"Ram","Shyam"))))</f>
        <v>Shyam</v>
      </c>
      <c r="AA123" s="28">
        <f t="shared" ca="1" si="14"/>
        <v>0</v>
      </c>
      <c r="AB123" s="28">
        <f ca="1">IF(X123=1,COUNTIFS($F$2:F123,F123,$X$2:X123,1),0)</f>
        <v>0</v>
      </c>
      <c r="AC123" s="28" t="str">
        <f>IF(L123=1,IF(IFERROR(INDEX(PARTNERS!$C$2:$C$88,MATCH(B123,PARTNERS!$A$2:$A$88,0)),"")="YES","YES","NO"),"")</f>
        <v>NO</v>
      </c>
      <c r="AD123" s="28" t="str">
        <f>IF(L123=1,IFERROR(INDEX(PARTNERS!$B$2:$B$88,MATCH(B123,PARTNERS!$A$2:$A$88,0)),""),"")</f>
        <v>https://calendly.com/partner001/interview</v>
      </c>
      <c r="AE123" s="28">
        <f ca="1">IF(X123=1,IFERROR(INDEX(SETTINGS!$B$34:$D$36,MATCH(I123,SETTINGS!$A$34:$A$36,0),MIN(Q123,2)+1),SETTINGS!$B$36),0)</f>
        <v>0</v>
      </c>
      <c r="AF123" s="28">
        <f t="shared" si="15"/>
        <v>1</v>
      </c>
      <c r="AG123" s="28">
        <f ca="1">IF(AND(Y123=1,AB123=1),ROUND(AA123*AE123*IF(AF123&gt;1,SETTINGS!$B$16,1)*IF(W123&lt;=SETTINGS!$B$14,SETTINGS!$B$15,1)*IF(AU123=1,SETTINGS!$B$21,1),6),0)</f>
        <v>0</v>
      </c>
      <c r="AH123" s="28" t="str">
        <f ca="1">IF(AG123&gt;0,COUNTIFS($Z$2:$Z$601,Z123,$AG$2:$AG$601,"&gt;"&amp;AG123)+COUNTIFS($Z$2:Z123,Z123,$AG$2:AG123,AG123),"")</f>
        <v/>
      </c>
      <c r="AI123" s="28" t="str">
        <f t="shared" ca="1" si="16"/>
        <v/>
      </c>
      <c r="AJ123" s="28" t="str">
        <f t="shared" ca="1" si="17"/>
        <v/>
      </c>
      <c r="AK123" s="28">
        <f>IF(L123=1,IF(COUNTIFS($F$2:F123,F123,$L$2:L123,1)=1,1,0),0)</f>
        <v>1</v>
      </c>
      <c r="AL123" s="28" t="str">
        <f>IF(B123="","",IF(K123="DUPLICATE","Duplicate (removed)",IF(AO123=1,"Scheduled within 24h",IF(M123=1,"Scheduled late",IF(K123="BAD CONTACT","Bad contact details",IF(O123=1,"Stopped / wrong number",IF(N123=1,"Not interested",IF(P123=1,"Partner has no slots",IF(SETTINGS!$B$4&gt;=V123,IF(Q123=0,"Missed deadline: never tried","Missed deadline: tried, not booked"),IF(Q123&gt;=SETTINGS!$B$6,"No reply after max tries","Open"))))))))))</f>
        <v>Scheduled within 24h</v>
      </c>
      <c r="AM123" s="46">
        <f>IF(M123=1,IF(_xlfn.MINIFS(LOG!$G$2:$G$2001,LOG!$C$2:$C$2001,F123,LOG!$E$2:$E$2001,B123,LOG!$D$2:$D$2001,"*BOOKED")=0,_xlfn.MINIFS(LOG!$G$2:$G$2001,LOG!$C$2:$C$2001,F123,LOG!$E$2:$E$2001,"",LOG!$D$2:$D$2001,"*BOOKED"),IF(_xlfn.MINIFS(LOG!$G$2:$G$2001,LOG!$C$2:$C$2001,F123,LOG!$E$2:$E$2001,"",LOG!$D$2:$D$2001,"*BOOKED")=0,_xlfn.MINIFS(LOG!$G$2:$G$2001,LOG!$C$2:$C$2001,F123,LOG!$E$2:$E$2001,B123,LOG!$D$2:$D$2001,"*BOOKED"),MIN(_xlfn.MINIFS(LOG!$G$2:$G$2001,LOG!$C$2:$C$2001,F123,LOG!$E$2:$E$2001,B123,LOG!$D$2:$D$2001,"*BOOKED"),_xlfn.MINIFS(LOG!$G$2:$G$2001,LOG!$C$2:$C$2001,F123,LOG!$E$2:$E$2001,"",LOG!$D$2:$D$2001,"*BOOKED")))),"")</f>
        <v>46309.335470968508</v>
      </c>
      <c r="AN123" s="28">
        <f t="shared" si="18"/>
        <v>12.201303244277369</v>
      </c>
      <c r="AO123" s="28">
        <f>IF(AND(M123=1,AN123&lt;&gt;""),IF(AN123&lt;=SETTINGS!$B$5,1,0),0)</f>
        <v>1</v>
      </c>
      <c r="AP123" s="28">
        <f>IF(M123=1,IF(COUNTIFS(LOG!$C$2:$C$2001,F123,LOG!$E$2:$E$2001,B123,LOG!$D$2:$D$2001,"BOOKED")+COUNTIFS(LOG!$C$2:$C$2001,F123,LOG!$E$2:$E$2001,"",LOG!$D$2:$D$2001,"BOOKED")&gt;0,1,0),0)</f>
        <v>0</v>
      </c>
      <c r="AQ123" s="28" t="str">
        <f t="shared" si="19"/>
        <v>Arjun</v>
      </c>
      <c r="AR123" s="28">
        <f>IF(AND(AK123=1,K123="OK"),COUNTIFS($AK$2:AK123,1,$K$2:K123,"OK"),"")</f>
        <v>116</v>
      </c>
      <c r="AS123" s="28" t="str">
        <f>IF(L123=1,IFERROR(INDEX(MESSAGES!$J$9:$J$1008,MATCH(F123,MESSAGES!$M$9:$M$1008,0))&amp;"",""),"")</f>
        <v/>
      </c>
      <c r="AT123" s="28" t="str">
        <f>IF(L123=1,IFERROR(INDEX(MESSAGES!$K$9:$K$1008,MATCH(F123,MESSAGES!$M$9:$M$1008,0))&amp;"",""),"")</f>
        <v/>
      </c>
      <c r="AU123" s="28">
        <f t="shared" ca="1" si="20"/>
        <v>0</v>
      </c>
      <c r="AV123" s="28" t="str">
        <f t="shared" si="21"/>
        <v>HOLD</v>
      </c>
    </row>
    <row r="124" spans="1:48" x14ac:dyDescent="0.35">
      <c r="A124" s="28">
        <v>123</v>
      </c>
      <c r="B124" s="28" t="str">
        <f>IF(INPUT!A124="","",TRIM(INPUT!A124))</f>
        <v>Partner 003</v>
      </c>
      <c r="C124" s="28" t="str">
        <f>IF(B124="","",INPUT!C124)</f>
        <v>interviewer0@partner003.example.com</v>
      </c>
      <c r="D124" s="28" t="str">
        <f>IF(B124="","",INPUT!D124)</f>
        <v>Nisha M.</v>
      </c>
      <c r="E124" s="28" t="str">
        <f>IF(B124="","",INPUT!E124)</f>
        <v>nisha.m357@example.com</v>
      </c>
      <c r="F124" s="43" t="str">
        <f>IF(B124="","",TRIM(INPUT!F124&amp;""))</f>
        <v>9000004648</v>
      </c>
      <c r="G124" s="28" t="str">
        <f>IF(B124="","",INPUT!H124)</f>
        <v>Round1</v>
      </c>
      <c r="H124" s="46">
        <f>IF(B124="","",INPUT!I124)</f>
        <v>46308.82708333333</v>
      </c>
      <c r="I124" s="28" t="str">
        <f>IF(B124="","",IF(INPUT!J124="","None",INPUT!J124))</f>
        <v>None</v>
      </c>
      <c r="J124" s="28" t="str">
        <f t="shared" si="11"/>
        <v>nisha.m357@example.com|partner 003|Round1|interviewer0@partner003.example.com</v>
      </c>
      <c r="K124" s="28" t="str">
        <f>IF(B124="","",IF(SUMPRODUCT(($J$2:$J$601=J124)*($H$2:$H$601&lt;H124))+SUMPRODUCT(($J$2:J124=J124)*($H$2:H124=H124))-1&gt;0,"DUPLICATE",IF(AND(ISNUMBER(SEARCH("@",E124)),ISNUMBER(SEARCH(".",E124)),LEN(F124)=10,ISNUMBER(VALUE(F124))),"OK","BAD CONTACT")))</f>
        <v>OK</v>
      </c>
      <c r="L124" s="28">
        <f t="shared" si="12"/>
        <v>1</v>
      </c>
      <c r="M124" s="28">
        <f>IF(L124=1,IF(COUNTIFS(LOG!$C$2:$C$2001,F124,LOG!$E$2:$E$2001,B124,LOG!$D$2:$D$2001,"*BOOKED")+COUNTIFS(LOG!$C$2:$C$2001,F124,LOG!$E$2:$E$2001,"",LOG!$D$2:$D$2001,"*BOOKED")&gt;0,1,0),0)</f>
        <v>0</v>
      </c>
      <c r="N124" s="28">
        <f>IF(L124=1,IF(COUNTIFS(LOG!$C$2:$C$2001,F124,LOG!$E$2:$E$2001,B124,LOG!$D$2:$D$2001,"NOT_INTERESTED")+COUNTIFS(LOG!$C$2:$C$2001,F124,LOG!$E$2:$E$2001,"",LOG!$D$2:$D$2001,"NOT_INTERESTED")&gt;0,1,0),0)</f>
        <v>0</v>
      </c>
      <c r="O124" s="28">
        <f>IF(L124=1,IF(COUNTIFS(LOG!$C$2:$C$2001,F124,LOG!$D$2:$D$2001,"STOP")+COUNTIFS(LOG!$C$2:$C$2001,F124,LOG!$D$2:$D$2001,"WRONG_NUMBER")&gt;0,1,IF(ISNUMBER(SEARCH("STOP",AT124)),1,0)),0)</f>
        <v>0</v>
      </c>
      <c r="P124" s="28">
        <f>IF(L124=1,IF(IFERROR(INDEX(PARTNERS!$D$2:$D$88,MATCH(B124,PARTNERS!$A$2:$A$88,0)),"")="NO SLOTS",1,IF(AND(IFERROR(INDEX(PARTNERS!$D$2:$D$88,MATCH(B124,PARTNERS!$A$2:$A$88,0)),"")&lt;&gt;"REOPENED",COUNTIFS(LOG!$E$2:$E$2001,B124,LOG!$D$2:$D$2001,"NO_SLOTS")&gt;0),1,0)),0)</f>
        <v>0</v>
      </c>
      <c r="Q124" s="28">
        <f>IF(L124=1,COUNTIFS(LOG!$C$2:$C$2001,F124,LOG!$H$2:$H$2001,1),0)</f>
        <v>0</v>
      </c>
      <c r="R124" s="46">
        <f>IF(Q124&gt;0,_xlfn.MAXIFS(LOG!$G$2:$G$2001,LOG!$C$2:$C$2001,F124,LOG!$H$2:$H$2001,1),0)</f>
        <v>0</v>
      </c>
      <c r="S124" s="28" t="str">
        <f>IF(Q124&gt;0,IFERROR(INDEX(LOG!$D$2:$D$2001,MATCH(F124&amp;"|"&amp;Q124,LOG!$I$2:$I$2001,0)),""),"")</f>
        <v/>
      </c>
      <c r="T124" s="28">
        <f>IF(S124="",0,IFERROR(VLOOKUP(S124,LISTS!$A$2:$E$10,4,FALSE),0))</f>
        <v>0</v>
      </c>
      <c r="U124" s="46">
        <f t="shared" si="13"/>
        <v>0</v>
      </c>
      <c r="V124" s="46">
        <f>IF(L124=1,H124+SETTINGS!$B$5/24,"")</f>
        <v>46309.82708333333</v>
      </c>
      <c r="W124" s="28">
        <f ca="1">IF(L124=1,(V124-SETTINGS!$B$4)*24,"")</f>
        <v>-1.6666666720993817E-2</v>
      </c>
      <c r="X124" s="28">
        <f ca="1">IF(AND(L124=1,K124="OK",M124=0,N124=0,O124=0,P124=0,SETTINGS!$B$4&lt;V124,Q124&lt;SETTINGS!$B$6),1,0)</f>
        <v>0</v>
      </c>
      <c r="Y124" s="28">
        <f ca="1">IF(AND(X124=1,SETTINGS!$B$4&gt;=H124,SETTINGS!$B$4&gt;=U124,ROUND(MOD(SETTINGS!$B$4,1)*1440,0)&gt;=ROUND(SETTINGS!$B$7*1440,0),ROUND(MOD(SETTINGS!$B$4,1)*1440,0)&lt;ROUND(SETTINGS!$B$8*1440,0)),1,0)</f>
        <v>0</v>
      </c>
      <c r="Z124" s="28" t="str">
        <f ca="1">IF(B124="","",IF(ROUND(MOD(SETTINGS!$B$4,1)*1440,0)&lt;ROUND(SETTINGS!$B$11*1440,0),"Ram",IF(ROUND(MOD(SETTINGS!$B$4,1)*1440,0)&gt;=ROUND(SETTINGS!$B$10*1440,0),"Shyam",IF(MOD(IFERROR(VALUE(RIGHT(F124,2)),0),2)=0,"Ram","Shyam"))))</f>
        <v>Shyam</v>
      </c>
      <c r="AA124" s="28">
        <f t="shared" ca="1" si="14"/>
        <v>0</v>
      </c>
      <c r="AB124" s="28">
        <f ca="1">IF(X124=1,COUNTIFS($F$2:F124,F124,$X$2:X124,1),0)</f>
        <v>0</v>
      </c>
      <c r="AC124" s="28" t="str">
        <f>IF(L124=1,IF(IFERROR(INDEX(PARTNERS!$C$2:$C$88,MATCH(B124,PARTNERS!$A$2:$A$88,0)),"")="YES","YES","NO"),"")</f>
        <v>NO</v>
      </c>
      <c r="AD124" s="28" t="str">
        <f>IF(L124=1,IFERROR(INDEX(PARTNERS!$B$2:$B$88,MATCH(B124,PARTNERS!$A$2:$A$88,0)),""),"")</f>
        <v>https://calendly.com/partner003/interview</v>
      </c>
      <c r="AE124" s="28">
        <f ca="1">IF(X124=1,IFERROR(INDEX(SETTINGS!$B$34:$D$36,MATCH(I124,SETTINGS!$A$34:$A$36,0),MIN(Q124,2)+1),SETTINGS!$B$36),0)</f>
        <v>0</v>
      </c>
      <c r="AF124" s="28">
        <f t="shared" si="15"/>
        <v>1</v>
      </c>
      <c r="AG124" s="28">
        <f ca="1">IF(AND(Y124=1,AB124=1),ROUND(AA124*AE124*IF(AF124&gt;1,SETTINGS!$B$16,1)*IF(W124&lt;=SETTINGS!$B$14,SETTINGS!$B$15,1)*IF(AU124=1,SETTINGS!$B$21,1),6),0)</f>
        <v>0</v>
      </c>
      <c r="AH124" s="28" t="str">
        <f ca="1">IF(AG124&gt;0,COUNTIFS($Z$2:$Z$601,Z124,$AG$2:$AG$601,"&gt;"&amp;AG124)+COUNTIFS($Z$2:Z124,Z124,$AG$2:AG124,AG124),"")</f>
        <v/>
      </c>
      <c r="AI124" s="28" t="str">
        <f t="shared" ca="1" si="16"/>
        <v/>
      </c>
      <c r="AJ124" s="28" t="str">
        <f t="shared" ca="1" si="17"/>
        <v/>
      </c>
      <c r="AK124" s="28">
        <f>IF(L124=1,IF(COUNTIFS($F$2:F124,F124,$L$2:L124,1)=1,1,0),0)</f>
        <v>1</v>
      </c>
      <c r="AL124" s="28" t="str">
        <f ca="1">IF(B124="","",IF(K124="DUPLICATE","Duplicate (removed)",IF(AO124=1,"Scheduled within 24h",IF(M124=1,"Scheduled late",IF(K124="BAD CONTACT","Bad contact details",IF(O124=1,"Stopped / wrong number",IF(N124=1,"Not interested",IF(P124=1,"Partner has no slots",IF(SETTINGS!$B$4&gt;=V124,IF(Q124=0,"Missed deadline: never tried","Missed deadline: tried, not booked"),IF(Q124&gt;=SETTINGS!$B$6,"No reply after max tries","Open"))))))))))</f>
        <v>Missed deadline: never tried</v>
      </c>
      <c r="AM124" s="46" t="str">
        <f>IF(M124=1,IF(_xlfn.MINIFS(LOG!$G$2:$G$2001,LOG!$C$2:$C$2001,F124,LOG!$E$2:$E$2001,B124,LOG!$D$2:$D$2001,"*BOOKED")=0,_xlfn.MINIFS(LOG!$G$2:$G$2001,LOG!$C$2:$C$2001,F124,LOG!$E$2:$E$2001,"",LOG!$D$2:$D$2001,"*BOOKED"),IF(_xlfn.MINIFS(LOG!$G$2:$G$2001,LOG!$C$2:$C$2001,F124,LOG!$E$2:$E$2001,"",LOG!$D$2:$D$2001,"*BOOKED")=0,_xlfn.MINIFS(LOG!$G$2:$G$2001,LOG!$C$2:$C$2001,F124,LOG!$E$2:$E$2001,B124,LOG!$D$2:$D$2001,"*BOOKED"),MIN(_xlfn.MINIFS(LOG!$G$2:$G$2001,LOG!$C$2:$C$2001,F124,LOG!$E$2:$E$2001,B124,LOG!$D$2:$D$2001,"*BOOKED"),_xlfn.MINIFS(LOG!$G$2:$G$2001,LOG!$C$2:$C$2001,F124,LOG!$E$2:$E$2001,"",LOG!$D$2:$D$2001,"*BOOKED")))),"")</f>
        <v/>
      </c>
      <c r="AN124" s="28" t="str">
        <f t="shared" si="18"/>
        <v/>
      </c>
      <c r="AO124" s="28">
        <f>IF(AND(M124=1,AN124&lt;&gt;""),IF(AN124&lt;=SETTINGS!$B$5,1,0),0)</f>
        <v>0</v>
      </c>
      <c r="AP124" s="28">
        <f>IF(M124=1,IF(COUNTIFS(LOG!$C$2:$C$2001,F124,LOG!$E$2:$E$2001,B124,LOG!$D$2:$D$2001,"BOOKED")+COUNTIFS(LOG!$C$2:$C$2001,F124,LOG!$E$2:$E$2001,"",LOG!$D$2:$D$2001,"BOOKED")&gt;0,1,0),0)</f>
        <v>0</v>
      </c>
      <c r="AQ124" s="28" t="str">
        <f t="shared" si="19"/>
        <v>Nisha</v>
      </c>
      <c r="AR124" s="28">
        <f>IF(AND(AK124=1,K124="OK"),COUNTIFS($AK$2:AK124,1,$K$2:K124,"OK"),"")</f>
        <v>117</v>
      </c>
      <c r="AS124" s="28" t="str">
        <f>IF(L124=1,IFERROR(INDEX(MESSAGES!$J$9:$J$1008,MATCH(F124,MESSAGES!$M$9:$M$1008,0))&amp;"",""),"")</f>
        <v/>
      </c>
      <c r="AT124" s="28" t="str">
        <f>IF(L124=1,IFERROR(INDEX(MESSAGES!$K$9:$K$1008,MATCH(F124,MESSAGES!$M$9:$M$1008,0))&amp;"",""),"")</f>
        <v/>
      </c>
      <c r="AU124" s="28">
        <f t="shared" ca="1" si="20"/>
        <v>0</v>
      </c>
      <c r="AV124" s="28" t="str">
        <f t="shared" si="21"/>
        <v>SEND</v>
      </c>
    </row>
    <row r="125" spans="1:48" x14ac:dyDescent="0.35">
      <c r="A125" s="28">
        <v>124</v>
      </c>
      <c r="B125" s="28" t="str">
        <f>IF(INPUT!A125="","",TRIM(INPUT!A125))</f>
        <v>Partner 004</v>
      </c>
      <c r="C125" s="28" t="str">
        <f>IF(B125="","",INPUT!C125)</f>
        <v>interviewer1@partner004.example.com</v>
      </c>
      <c r="D125" s="28" t="str">
        <f>IF(B125="","",INPUT!D125)</f>
        <v>Manav D.</v>
      </c>
      <c r="E125" s="28" t="str">
        <f>IF(B125="","",INPUT!E125)</f>
        <v>manav.d114@example.com</v>
      </c>
      <c r="F125" s="43" t="str">
        <f>IF(B125="","",TRIM(INPUT!F125&amp;""))</f>
        <v>9000001489</v>
      </c>
      <c r="G125" s="28" t="str">
        <f>IF(B125="","",INPUT!H125)</f>
        <v>Round1</v>
      </c>
      <c r="H125" s="46">
        <f>IF(B125="","",INPUT!I125)</f>
        <v>46308.82708333333</v>
      </c>
      <c r="I125" s="28" t="str">
        <f>IF(B125="","",IF(INPUT!J125="","None",INPUT!J125))</f>
        <v>Clicked</v>
      </c>
      <c r="J125" s="28" t="str">
        <f t="shared" si="11"/>
        <v>manav.d114@example.com|partner 004|Round1|interviewer1@partner004.example.com</v>
      </c>
      <c r="K125" s="28" t="str">
        <f>IF(B125="","",IF(SUMPRODUCT(($J$2:$J$601=J125)*($H$2:$H$601&lt;H125))+SUMPRODUCT(($J$2:J125=J125)*($H$2:H125=H125))-1&gt;0,"DUPLICATE",IF(AND(ISNUMBER(SEARCH("@",E125)),ISNUMBER(SEARCH(".",E125)),LEN(F125)=10,ISNUMBER(VALUE(F125))),"OK","BAD CONTACT")))</f>
        <v>OK</v>
      </c>
      <c r="L125" s="28">
        <f t="shared" si="12"/>
        <v>1</v>
      </c>
      <c r="M125" s="28">
        <f>IF(L125=1,IF(COUNTIFS(LOG!$C$2:$C$2001,F125,LOG!$E$2:$E$2001,B125,LOG!$D$2:$D$2001,"*BOOKED")+COUNTIFS(LOG!$C$2:$C$2001,F125,LOG!$E$2:$E$2001,"",LOG!$D$2:$D$2001,"*BOOKED")&gt;0,1,0),0)</f>
        <v>0</v>
      </c>
      <c r="N125" s="28">
        <f>IF(L125=1,IF(COUNTIFS(LOG!$C$2:$C$2001,F125,LOG!$E$2:$E$2001,B125,LOG!$D$2:$D$2001,"NOT_INTERESTED")+COUNTIFS(LOG!$C$2:$C$2001,F125,LOG!$E$2:$E$2001,"",LOG!$D$2:$D$2001,"NOT_INTERESTED")&gt;0,1,0),0)</f>
        <v>0</v>
      </c>
      <c r="O125" s="28">
        <f>IF(L125=1,IF(COUNTIFS(LOG!$C$2:$C$2001,F125,LOG!$D$2:$D$2001,"STOP")+COUNTIFS(LOG!$C$2:$C$2001,F125,LOG!$D$2:$D$2001,"WRONG_NUMBER")&gt;0,1,IF(ISNUMBER(SEARCH("STOP",AT125)),1,0)),0)</f>
        <v>0</v>
      </c>
      <c r="P125" s="28">
        <f>IF(L125=1,IF(IFERROR(INDEX(PARTNERS!$D$2:$D$88,MATCH(B125,PARTNERS!$A$2:$A$88,0)),"")="NO SLOTS",1,IF(AND(IFERROR(INDEX(PARTNERS!$D$2:$D$88,MATCH(B125,PARTNERS!$A$2:$A$88,0)),"")&lt;&gt;"REOPENED",COUNTIFS(LOG!$E$2:$E$2001,B125,LOG!$D$2:$D$2001,"NO_SLOTS")&gt;0),1,0)),0)</f>
        <v>0</v>
      </c>
      <c r="Q125" s="28">
        <f>IF(L125=1,COUNTIFS(LOG!$C$2:$C$2001,F125,LOG!$H$2:$H$2001,1),0)</f>
        <v>2</v>
      </c>
      <c r="R125" s="46">
        <f>IF(Q125&gt;0,_xlfn.MAXIFS(LOG!$G$2:$G$2001,LOG!$C$2:$C$2001,F125,LOG!$H$2:$H$2001,1),0)</f>
        <v>46309.724624709124</v>
      </c>
      <c r="S125" s="28" t="str">
        <f>IF(Q125&gt;0,IFERROR(INDEX(LOG!$D$2:$D$2001,MATCH(F125&amp;"|"&amp;Q125,LOG!$I$2:$I$2001,0)),""),"")</f>
        <v>CALL_BACK</v>
      </c>
      <c r="T125" s="28">
        <f>IF(S125="",0,IFERROR(VLOOKUP(S125,LISTS!$A$2:$E$10,4,FALSE),0))</f>
        <v>120</v>
      </c>
      <c r="U125" s="46">
        <f t="shared" si="13"/>
        <v>46309.80795804246</v>
      </c>
      <c r="V125" s="46">
        <f>IF(L125=1,H125+SETTINGS!$B$5/24,"")</f>
        <v>46309.82708333333</v>
      </c>
      <c r="W125" s="28">
        <f ca="1">IF(L125=1,(V125-SETTINGS!$B$4)*24,"")</f>
        <v>-1.6666666720993817E-2</v>
      </c>
      <c r="X125" s="28">
        <f ca="1">IF(AND(L125=1,K125="OK",M125=0,N125=0,O125=0,P125=0,SETTINGS!$B$4&lt;V125,Q125&lt;SETTINGS!$B$6),1,0)</f>
        <v>0</v>
      </c>
      <c r="Y125" s="28">
        <f ca="1">IF(AND(X125=1,SETTINGS!$B$4&gt;=H125,SETTINGS!$B$4&gt;=U125,ROUND(MOD(SETTINGS!$B$4,1)*1440,0)&gt;=ROUND(SETTINGS!$B$7*1440,0),ROUND(MOD(SETTINGS!$B$4,1)*1440,0)&lt;ROUND(SETTINGS!$B$8*1440,0)),1,0)</f>
        <v>0</v>
      </c>
      <c r="Z125" s="28" t="str">
        <f ca="1">IF(B125="","",IF(ROUND(MOD(SETTINGS!$B$4,1)*1440,0)&lt;ROUND(SETTINGS!$B$11*1440,0),"Ram",IF(ROUND(MOD(SETTINGS!$B$4,1)*1440,0)&gt;=ROUND(SETTINGS!$B$10*1440,0),"Shyam",IF(MOD(IFERROR(VALUE(RIGHT(F125,2)),0),2)=0,"Ram","Shyam"))))</f>
        <v>Shyam</v>
      </c>
      <c r="AA125" s="28">
        <f t="shared" ca="1" si="14"/>
        <v>0</v>
      </c>
      <c r="AB125" s="28">
        <f ca="1">IF(X125=1,COUNTIFS($F$2:F125,F125,$X$2:X125,1),0)</f>
        <v>0</v>
      </c>
      <c r="AC125" s="28" t="str">
        <f>IF(L125=1,IF(IFERROR(INDEX(PARTNERS!$C$2:$C$88,MATCH(B125,PARTNERS!$A$2:$A$88,0)),"")="YES","YES","NO"),"")</f>
        <v>YES</v>
      </c>
      <c r="AD125" s="28" t="str">
        <f>IF(L125=1,IFERROR(INDEX(PARTNERS!$B$2:$B$88,MATCH(B125,PARTNERS!$A$2:$A$88,0)),""),"")</f>
        <v>https://calendly.com/partner004/interview</v>
      </c>
      <c r="AE125" s="28">
        <f ca="1">IF(X125=1,IFERROR(INDEX(SETTINGS!$B$34:$D$36,MATCH(I125,SETTINGS!$A$34:$A$36,0),MIN(Q125,2)+1),SETTINGS!$B$36),0)</f>
        <v>0</v>
      </c>
      <c r="AF125" s="28">
        <f t="shared" si="15"/>
        <v>1</v>
      </c>
      <c r="AG125" s="28">
        <f ca="1">IF(AND(Y125=1,AB125=1),ROUND(AA125*AE125*IF(AF125&gt;1,SETTINGS!$B$16,1)*IF(W125&lt;=SETTINGS!$B$14,SETTINGS!$B$15,1)*IF(AU125=1,SETTINGS!$B$21,1),6),0)</f>
        <v>0</v>
      </c>
      <c r="AH125" s="28" t="str">
        <f ca="1">IF(AG125&gt;0,COUNTIFS($Z$2:$Z$601,Z125,$AG$2:$AG$601,"&gt;"&amp;AG125)+COUNTIFS($Z$2:Z125,Z125,$AG$2:AG125,AG125),"")</f>
        <v/>
      </c>
      <c r="AI125" s="28" t="str">
        <f t="shared" ca="1" si="16"/>
        <v/>
      </c>
      <c r="AJ125" s="28" t="str">
        <f t="shared" ca="1" si="17"/>
        <v/>
      </c>
      <c r="AK125" s="28">
        <f>IF(L125=1,IF(COUNTIFS($F$2:F125,F125,$L$2:L125,1)=1,1,0),0)</f>
        <v>1</v>
      </c>
      <c r="AL125" s="28" t="str">
        <f ca="1">IF(B125="","",IF(K125="DUPLICATE","Duplicate (removed)",IF(AO125=1,"Scheduled within 24h",IF(M125=1,"Scheduled late",IF(K125="BAD CONTACT","Bad contact details",IF(O125=1,"Stopped / wrong number",IF(N125=1,"Not interested",IF(P125=1,"Partner has no slots",IF(SETTINGS!$B$4&gt;=V125,IF(Q125=0,"Missed deadline: never tried","Missed deadline: tried, not booked"),IF(Q125&gt;=SETTINGS!$B$6,"No reply after max tries","Open"))))))))))</f>
        <v>Missed deadline: tried, not booked</v>
      </c>
      <c r="AM125" s="46" t="str">
        <f>IF(M125=1,IF(_xlfn.MINIFS(LOG!$G$2:$G$2001,LOG!$C$2:$C$2001,F125,LOG!$E$2:$E$2001,B125,LOG!$D$2:$D$2001,"*BOOKED")=0,_xlfn.MINIFS(LOG!$G$2:$G$2001,LOG!$C$2:$C$2001,F125,LOG!$E$2:$E$2001,"",LOG!$D$2:$D$2001,"*BOOKED"),IF(_xlfn.MINIFS(LOG!$G$2:$G$2001,LOG!$C$2:$C$2001,F125,LOG!$E$2:$E$2001,"",LOG!$D$2:$D$2001,"*BOOKED")=0,_xlfn.MINIFS(LOG!$G$2:$G$2001,LOG!$C$2:$C$2001,F125,LOG!$E$2:$E$2001,B125,LOG!$D$2:$D$2001,"*BOOKED"),MIN(_xlfn.MINIFS(LOG!$G$2:$G$2001,LOG!$C$2:$C$2001,F125,LOG!$E$2:$E$2001,B125,LOG!$D$2:$D$2001,"*BOOKED"),_xlfn.MINIFS(LOG!$G$2:$G$2001,LOG!$C$2:$C$2001,F125,LOG!$E$2:$E$2001,"",LOG!$D$2:$D$2001,"*BOOKED")))),"")</f>
        <v/>
      </c>
      <c r="AN125" s="28" t="str">
        <f t="shared" si="18"/>
        <v/>
      </c>
      <c r="AO125" s="28">
        <f>IF(AND(M125=1,AN125&lt;&gt;""),IF(AN125&lt;=SETTINGS!$B$5,1,0),0)</f>
        <v>0</v>
      </c>
      <c r="AP125" s="28">
        <f>IF(M125=1,IF(COUNTIFS(LOG!$C$2:$C$2001,F125,LOG!$E$2:$E$2001,B125,LOG!$D$2:$D$2001,"BOOKED")+COUNTIFS(LOG!$C$2:$C$2001,F125,LOG!$E$2:$E$2001,"",LOG!$D$2:$D$2001,"BOOKED")&gt;0,1,0),0)</f>
        <v>0</v>
      </c>
      <c r="AQ125" s="28" t="str">
        <f t="shared" si="19"/>
        <v>Manav</v>
      </c>
      <c r="AR125" s="28">
        <f>IF(AND(AK125=1,K125="OK"),COUNTIFS($AK$2:AK125,1,$K$2:K125,"OK"),"")</f>
        <v>118</v>
      </c>
      <c r="AS125" s="28" t="str">
        <f>IF(L125=1,IFERROR(INDEX(MESSAGES!$J$9:$J$1008,MATCH(F125,MESSAGES!$M$9:$M$1008,0))&amp;"",""),"")</f>
        <v/>
      </c>
      <c r="AT125" s="28" t="str">
        <f>IF(L125=1,IFERROR(INDEX(MESSAGES!$K$9:$K$1008,MATCH(F125,MESSAGES!$M$9:$M$1008,0))&amp;"",""),"")</f>
        <v/>
      </c>
      <c r="AU125" s="28">
        <f t="shared" ca="1" si="20"/>
        <v>0</v>
      </c>
      <c r="AV125" s="28" t="str">
        <f t="shared" si="21"/>
        <v>SEND</v>
      </c>
    </row>
    <row r="126" spans="1:48" x14ac:dyDescent="0.35">
      <c r="A126" s="28">
        <v>125</v>
      </c>
      <c r="B126" s="28" t="str">
        <f>IF(INPUT!A126="","",TRIM(INPUT!A126))</f>
        <v>Partner 010</v>
      </c>
      <c r="C126" s="28" t="str">
        <f>IF(B126="","",INPUT!C126)</f>
        <v>interviewer2@partner010.example.com</v>
      </c>
      <c r="D126" s="28" t="str">
        <f>IF(B126="","",INPUT!D126)</f>
        <v>Isha K.</v>
      </c>
      <c r="E126" s="28" t="str">
        <f>IF(B126="","",INPUT!E126)</f>
        <v>isha.k295@example.com</v>
      </c>
      <c r="F126" s="43" t="str">
        <f>IF(B126="","",TRIM(INPUT!F126&amp;""))</f>
        <v>9000003842</v>
      </c>
      <c r="G126" s="28" t="str">
        <f>IF(B126="","",INPUT!H126)</f>
        <v>Round1</v>
      </c>
      <c r="H126" s="46">
        <f>IF(B126="","",INPUT!I126)</f>
        <v>46308.82708333333</v>
      </c>
      <c r="I126" s="28" t="str">
        <f>IF(B126="","",IF(INPUT!J126="","None",INPUT!J126))</f>
        <v>Opened</v>
      </c>
      <c r="J126" s="28" t="str">
        <f t="shared" si="11"/>
        <v>isha.k295@example.com|partner 010|Round1|interviewer2@partner010.example.com</v>
      </c>
      <c r="K126" s="28" t="str">
        <f>IF(B126="","",IF(SUMPRODUCT(($J$2:$J$601=J126)*($H$2:$H$601&lt;H126))+SUMPRODUCT(($J$2:J126=J126)*($H$2:H126=H126))-1&gt;0,"DUPLICATE",IF(AND(ISNUMBER(SEARCH("@",E126)),ISNUMBER(SEARCH(".",E126)),LEN(F126)=10,ISNUMBER(VALUE(F126))),"OK","BAD CONTACT")))</f>
        <v>OK</v>
      </c>
      <c r="L126" s="28">
        <f t="shared" si="12"/>
        <v>1</v>
      </c>
      <c r="M126" s="28">
        <f>IF(L126=1,IF(COUNTIFS(LOG!$C$2:$C$2001,F126,LOG!$E$2:$E$2001,B126,LOG!$D$2:$D$2001,"*BOOKED")+COUNTIFS(LOG!$C$2:$C$2001,F126,LOG!$E$2:$E$2001,"",LOG!$D$2:$D$2001,"*BOOKED")&gt;0,1,0),0)</f>
        <v>0</v>
      </c>
      <c r="N126" s="28">
        <f>IF(L126=1,IF(COUNTIFS(LOG!$C$2:$C$2001,F126,LOG!$E$2:$E$2001,B126,LOG!$D$2:$D$2001,"NOT_INTERESTED")+COUNTIFS(LOG!$C$2:$C$2001,F126,LOG!$E$2:$E$2001,"",LOG!$D$2:$D$2001,"NOT_INTERESTED")&gt;0,1,0),0)</f>
        <v>0</v>
      </c>
      <c r="O126" s="28">
        <f>IF(L126=1,IF(COUNTIFS(LOG!$C$2:$C$2001,F126,LOG!$D$2:$D$2001,"STOP")+COUNTIFS(LOG!$C$2:$C$2001,F126,LOG!$D$2:$D$2001,"WRONG_NUMBER")&gt;0,1,IF(ISNUMBER(SEARCH("STOP",AT126)),1,0)),0)</f>
        <v>0</v>
      </c>
      <c r="P126" s="28">
        <f>IF(L126=1,IF(IFERROR(INDEX(PARTNERS!$D$2:$D$88,MATCH(B126,PARTNERS!$A$2:$A$88,0)),"")="NO SLOTS",1,IF(AND(IFERROR(INDEX(PARTNERS!$D$2:$D$88,MATCH(B126,PARTNERS!$A$2:$A$88,0)),"")&lt;&gt;"REOPENED",COUNTIFS(LOG!$E$2:$E$2001,B126,LOG!$D$2:$D$2001,"NO_SLOTS")&gt;0),1,0)),0)</f>
        <v>0</v>
      </c>
      <c r="Q126" s="28">
        <f>IF(L126=1,COUNTIFS(LOG!$C$2:$C$2001,F126,LOG!$H$2:$H$2001,1),0)</f>
        <v>0</v>
      </c>
      <c r="R126" s="46">
        <f>IF(Q126&gt;0,_xlfn.MAXIFS(LOG!$G$2:$G$2001,LOG!$C$2:$C$2001,F126,LOG!$H$2:$H$2001,1),0)</f>
        <v>0</v>
      </c>
      <c r="S126" s="28" t="str">
        <f>IF(Q126&gt;0,IFERROR(INDEX(LOG!$D$2:$D$2001,MATCH(F126&amp;"|"&amp;Q126,LOG!$I$2:$I$2001,0)),""),"")</f>
        <v/>
      </c>
      <c r="T126" s="28">
        <f>IF(S126="",0,IFERROR(VLOOKUP(S126,LISTS!$A$2:$E$10,4,FALSE),0))</f>
        <v>0</v>
      </c>
      <c r="U126" s="46">
        <f t="shared" si="13"/>
        <v>0</v>
      </c>
      <c r="V126" s="46">
        <f>IF(L126=1,H126+SETTINGS!$B$5/24,"")</f>
        <v>46309.82708333333</v>
      </c>
      <c r="W126" s="28">
        <f ca="1">IF(L126=1,(V126-SETTINGS!$B$4)*24,"")</f>
        <v>-1.6666666720993817E-2</v>
      </c>
      <c r="X126" s="28">
        <f ca="1">IF(AND(L126=1,K126="OK",M126=0,N126=0,O126=0,P126=0,SETTINGS!$B$4&lt;V126,Q126&lt;SETTINGS!$B$6),1,0)</f>
        <v>0</v>
      </c>
      <c r="Y126" s="28">
        <f ca="1">IF(AND(X126=1,SETTINGS!$B$4&gt;=H126,SETTINGS!$B$4&gt;=U126,ROUND(MOD(SETTINGS!$B$4,1)*1440,0)&gt;=ROUND(SETTINGS!$B$7*1440,0),ROUND(MOD(SETTINGS!$B$4,1)*1440,0)&lt;ROUND(SETTINGS!$B$8*1440,0)),1,0)</f>
        <v>0</v>
      </c>
      <c r="Z126" s="28" t="str">
        <f ca="1">IF(B126="","",IF(ROUND(MOD(SETTINGS!$B$4,1)*1440,0)&lt;ROUND(SETTINGS!$B$11*1440,0),"Ram",IF(ROUND(MOD(SETTINGS!$B$4,1)*1440,0)&gt;=ROUND(SETTINGS!$B$10*1440,0),"Shyam",IF(MOD(IFERROR(VALUE(RIGHT(F126,2)),0),2)=0,"Ram","Shyam"))))</f>
        <v>Shyam</v>
      </c>
      <c r="AA126" s="28">
        <f t="shared" ca="1" si="14"/>
        <v>0</v>
      </c>
      <c r="AB126" s="28">
        <f ca="1">IF(X126=1,COUNTIFS($F$2:F126,F126,$X$2:X126,1),0)</f>
        <v>0</v>
      </c>
      <c r="AC126" s="28" t="str">
        <f>IF(L126=1,IF(IFERROR(INDEX(PARTNERS!$C$2:$C$88,MATCH(B126,PARTNERS!$A$2:$A$88,0)),"")="YES","YES","NO"),"")</f>
        <v>YES</v>
      </c>
      <c r="AD126" s="28" t="str">
        <f>IF(L126=1,IFERROR(INDEX(PARTNERS!$B$2:$B$88,MATCH(B126,PARTNERS!$A$2:$A$88,0)),""),"")</f>
        <v>https://calendly.com/partner010/interview</v>
      </c>
      <c r="AE126" s="28">
        <f ca="1">IF(X126=1,IFERROR(INDEX(SETTINGS!$B$34:$D$36,MATCH(I126,SETTINGS!$A$34:$A$36,0),MIN(Q126,2)+1),SETTINGS!$B$36),0)</f>
        <v>0</v>
      </c>
      <c r="AF126" s="28">
        <f t="shared" si="15"/>
        <v>1</v>
      </c>
      <c r="AG126" s="28">
        <f ca="1">IF(AND(Y126=1,AB126=1),ROUND(AA126*AE126*IF(AF126&gt;1,SETTINGS!$B$16,1)*IF(W126&lt;=SETTINGS!$B$14,SETTINGS!$B$15,1)*IF(AU126=1,SETTINGS!$B$21,1),6),0)</f>
        <v>0</v>
      </c>
      <c r="AH126" s="28" t="str">
        <f ca="1">IF(AG126&gt;0,COUNTIFS($Z$2:$Z$601,Z126,$AG$2:$AG$601,"&gt;"&amp;AG126)+COUNTIFS($Z$2:Z126,Z126,$AG$2:AG126,AG126),"")</f>
        <v/>
      </c>
      <c r="AI126" s="28" t="str">
        <f t="shared" ca="1" si="16"/>
        <v/>
      </c>
      <c r="AJ126" s="28" t="str">
        <f t="shared" ca="1" si="17"/>
        <v/>
      </c>
      <c r="AK126" s="28">
        <f>IF(L126=1,IF(COUNTIFS($F$2:F126,F126,$L$2:L126,1)=1,1,0),0)</f>
        <v>1</v>
      </c>
      <c r="AL126" s="28" t="str">
        <f ca="1">IF(B126="","",IF(K126="DUPLICATE","Duplicate (removed)",IF(AO126=1,"Scheduled within 24h",IF(M126=1,"Scheduled late",IF(K126="BAD CONTACT","Bad contact details",IF(O126=1,"Stopped / wrong number",IF(N126=1,"Not interested",IF(P126=1,"Partner has no slots",IF(SETTINGS!$B$4&gt;=V126,IF(Q126=0,"Missed deadline: never tried","Missed deadline: tried, not booked"),IF(Q126&gt;=SETTINGS!$B$6,"No reply after max tries","Open"))))))))))</f>
        <v>Missed deadline: never tried</v>
      </c>
      <c r="AM126" s="46" t="str">
        <f>IF(M126=1,IF(_xlfn.MINIFS(LOG!$G$2:$G$2001,LOG!$C$2:$C$2001,F126,LOG!$E$2:$E$2001,B126,LOG!$D$2:$D$2001,"*BOOKED")=0,_xlfn.MINIFS(LOG!$G$2:$G$2001,LOG!$C$2:$C$2001,F126,LOG!$E$2:$E$2001,"",LOG!$D$2:$D$2001,"*BOOKED"),IF(_xlfn.MINIFS(LOG!$G$2:$G$2001,LOG!$C$2:$C$2001,F126,LOG!$E$2:$E$2001,"",LOG!$D$2:$D$2001,"*BOOKED")=0,_xlfn.MINIFS(LOG!$G$2:$G$2001,LOG!$C$2:$C$2001,F126,LOG!$E$2:$E$2001,B126,LOG!$D$2:$D$2001,"*BOOKED"),MIN(_xlfn.MINIFS(LOG!$G$2:$G$2001,LOG!$C$2:$C$2001,F126,LOG!$E$2:$E$2001,B126,LOG!$D$2:$D$2001,"*BOOKED"),_xlfn.MINIFS(LOG!$G$2:$G$2001,LOG!$C$2:$C$2001,F126,LOG!$E$2:$E$2001,"",LOG!$D$2:$D$2001,"*BOOKED")))),"")</f>
        <v/>
      </c>
      <c r="AN126" s="28" t="str">
        <f t="shared" si="18"/>
        <v/>
      </c>
      <c r="AO126" s="28">
        <f>IF(AND(M126=1,AN126&lt;&gt;""),IF(AN126&lt;=SETTINGS!$B$5,1,0),0)</f>
        <v>0</v>
      </c>
      <c r="AP126" s="28">
        <f>IF(M126=1,IF(COUNTIFS(LOG!$C$2:$C$2001,F126,LOG!$E$2:$E$2001,B126,LOG!$D$2:$D$2001,"BOOKED")+COUNTIFS(LOG!$C$2:$C$2001,F126,LOG!$E$2:$E$2001,"",LOG!$D$2:$D$2001,"BOOKED")&gt;0,1,0),0)</f>
        <v>0</v>
      </c>
      <c r="AQ126" s="28" t="str">
        <f t="shared" si="19"/>
        <v>Isha</v>
      </c>
      <c r="AR126" s="28">
        <f>IF(AND(AK126=1,K126="OK"),COUNTIFS($AK$2:AK126,1,$K$2:K126,"OK"),"")</f>
        <v>119</v>
      </c>
      <c r="AS126" s="28" t="str">
        <f>IF(L126=1,IFERROR(INDEX(MESSAGES!$J$9:$J$1008,MATCH(F126,MESSAGES!$M$9:$M$1008,0))&amp;"",""),"")</f>
        <v/>
      </c>
      <c r="AT126" s="28" t="str">
        <f>IF(L126=1,IFERROR(INDEX(MESSAGES!$K$9:$K$1008,MATCH(F126,MESSAGES!$M$9:$M$1008,0))&amp;"",""),"")</f>
        <v/>
      </c>
      <c r="AU126" s="28">
        <f t="shared" ca="1" si="20"/>
        <v>0</v>
      </c>
      <c r="AV126" s="28" t="str">
        <f t="shared" si="21"/>
        <v>SEND</v>
      </c>
    </row>
    <row r="127" spans="1:48" x14ac:dyDescent="0.35">
      <c r="A127" s="28">
        <v>126</v>
      </c>
      <c r="B127" s="28" t="str">
        <f>IF(INPUT!A127="","",TRIM(INPUT!A127))</f>
        <v>Partner 007</v>
      </c>
      <c r="C127" s="28" t="str">
        <f>IF(B127="","",INPUT!C127)</f>
        <v>interviewer1@partner007.example.com</v>
      </c>
      <c r="D127" s="28" t="str">
        <f>IF(B127="","",INPUT!D127)</f>
        <v>Manav C.</v>
      </c>
      <c r="E127" s="28" t="str">
        <f>IF(B127="","",INPUT!E127)</f>
        <v>manav.c084@example.com</v>
      </c>
      <c r="F127" s="43" t="str">
        <f>IF(B127="","",TRIM(INPUT!F127&amp;""))</f>
        <v>9000001099</v>
      </c>
      <c r="G127" s="28" t="str">
        <f>IF(B127="","",INPUT!H127)</f>
        <v>Round1</v>
      </c>
      <c r="H127" s="46">
        <f>IF(B127="","",INPUT!I127)</f>
        <v>46308.82708333333</v>
      </c>
      <c r="I127" s="28" t="str">
        <f>IF(B127="","",IF(INPUT!J127="","None",INPUT!J127))</f>
        <v>None</v>
      </c>
      <c r="J127" s="28" t="str">
        <f t="shared" si="11"/>
        <v>manav.c084@example.com|partner 007|Round1|interviewer1@partner007.example.com</v>
      </c>
      <c r="K127" s="28" t="str">
        <f>IF(B127="","",IF(SUMPRODUCT(($J$2:$J$601=J127)*($H$2:$H$601&lt;H127))+SUMPRODUCT(($J$2:J127=J127)*($H$2:H127=H127))-1&gt;0,"DUPLICATE",IF(AND(ISNUMBER(SEARCH("@",E127)),ISNUMBER(SEARCH(".",E127)),LEN(F127)=10,ISNUMBER(VALUE(F127))),"OK","BAD CONTACT")))</f>
        <v>OK</v>
      </c>
      <c r="L127" s="28">
        <f t="shared" si="12"/>
        <v>1</v>
      </c>
      <c r="M127" s="28">
        <f>IF(L127=1,IF(COUNTIFS(LOG!$C$2:$C$2001,F127,LOG!$E$2:$E$2001,B127,LOG!$D$2:$D$2001,"*BOOKED")+COUNTIFS(LOG!$C$2:$C$2001,F127,LOG!$E$2:$E$2001,"",LOG!$D$2:$D$2001,"*BOOKED")&gt;0,1,0),0)</f>
        <v>0</v>
      </c>
      <c r="N127" s="28">
        <f>IF(L127=1,IF(COUNTIFS(LOG!$C$2:$C$2001,F127,LOG!$E$2:$E$2001,B127,LOG!$D$2:$D$2001,"NOT_INTERESTED")+COUNTIFS(LOG!$C$2:$C$2001,F127,LOG!$E$2:$E$2001,"",LOG!$D$2:$D$2001,"NOT_INTERESTED")&gt;0,1,0),0)</f>
        <v>0</v>
      </c>
      <c r="O127" s="28">
        <f>IF(L127=1,IF(COUNTIFS(LOG!$C$2:$C$2001,F127,LOG!$D$2:$D$2001,"STOP")+COUNTIFS(LOG!$C$2:$C$2001,F127,LOG!$D$2:$D$2001,"WRONG_NUMBER")&gt;0,1,IF(ISNUMBER(SEARCH("STOP",AT127)),1,0)),0)</f>
        <v>0</v>
      </c>
      <c r="P127" s="28">
        <f>IF(L127=1,IF(IFERROR(INDEX(PARTNERS!$D$2:$D$88,MATCH(B127,PARTNERS!$A$2:$A$88,0)),"")="NO SLOTS",1,IF(AND(IFERROR(INDEX(PARTNERS!$D$2:$D$88,MATCH(B127,PARTNERS!$A$2:$A$88,0)),"")&lt;&gt;"REOPENED",COUNTIFS(LOG!$E$2:$E$2001,B127,LOG!$D$2:$D$2001,"NO_SLOTS")&gt;0),1,0)),0)</f>
        <v>0</v>
      </c>
      <c r="Q127" s="28">
        <f>IF(L127=1,COUNTIFS(LOG!$C$2:$C$2001,F127,LOG!$H$2:$H$2001,1),0)</f>
        <v>0</v>
      </c>
      <c r="R127" s="46">
        <f>IF(Q127&gt;0,_xlfn.MAXIFS(LOG!$G$2:$G$2001,LOG!$C$2:$C$2001,F127,LOG!$H$2:$H$2001,1),0)</f>
        <v>0</v>
      </c>
      <c r="S127" s="28" t="str">
        <f>IF(Q127&gt;0,IFERROR(INDEX(LOG!$D$2:$D$2001,MATCH(F127&amp;"|"&amp;Q127,LOG!$I$2:$I$2001,0)),""),"")</f>
        <v/>
      </c>
      <c r="T127" s="28">
        <f>IF(S127="",0,IFERROR(VLOOKUP(S127,LISTS!$A$2:$E$10,4,FALSE),0))</f>
        <v>0</v>
      </c>
      <c r="U127" s="46">
        <f t="shared" si="13"/>
        <v>0</v>
      </c>
      <c r="V127" s="46">
        <f>IF(L127=1,H127+SETTINGS!$B$5/24,"")</f>
        <v>46309.82708333333</v>
      </c>
      <c r="W127" s="28">
        <f ca="1">IF(L127=1,(V127-SETTINGS!$B$4)*24,"")</f>
        <v>-1.6666666720993817E-2</v>
      </c>
      <c r="X127" s="28">
        <f ca="1">IF(AND(L127=1,K127="OK",M127=0,N127=0,O127=0,P127=0,SETTINGS!$B$4&lt;V127,Q127&lt;SETTINGS!$B$6),1,0)</f>
        <v>0</v>
      </c>
      <c r="Y127" s="28">
        <f ca="1">IF(AND(X127=1,SETTINGS!$B$4&gt;=H127,SETTINGS!$B$4&gt;=U127,ROUND(MOD(SETTINGS!$B$4,1)*1440,0)&gt;=ROUND(SETTINGS!$B$7*1440,0),ROUND(MOD(SETTINGS!$B$4,1)*1440,0)&lt;ROUND(SETTINGS!$B$8*1440,0)),1,0)</f>
        <v>0</v>
      </c>
      <c r="Z127" s="28" t="str">
        <f ca="1">IF(B127="","",IF(ROUND(MOD(SETTINGS!$B$4,1)*1440,0)&lt;ROUND(SETTINGS!$B$11*1440,0),"Ram",IF(ROUND(MOD(SETTINGS!$B$4,1)*1440,0)&gt;=ROUND(SETTINGS!$B$10*1440,0),"Shyam",IF(MOD(IFERROR(VALUE(RIGHT(F127,2)),0),2)=0,"Ram","Shyam"))))</f>
        <v>Shyam</v>
      </c>
      <c r="AA127" s="28">
        <f t="shared" ca="1" si="14"/>
        <v>0</v>
      </c>
      <c r="AB127" s="28">
        <f ca="1">IF(X127=1,COUNTIFS($F$2:F127,F127,$X$2:X127,1),0)</f>
        <v>0</v>
      </c>
      <c r="AC127" s="28" t="str">
        <f>IF(L127=1,IF(IFERROR(INDEX(PARTNERS!$C$2:$C$88,MATCH(B127,PARTNERS!$A$2:$A$88,0)),"")="YES","YES","NO"),"")</f>
        <v>NO</v>
      </c>
      <c r="AD127" s="28" t="str">
        <f>IF(L127=1,IFERROR(INDEX(PARTNERS!$B$2:$B$88,MATCH(B127,PARTNERS!$A$2:$A$88,0)),""),"")</f>
        <v>https://calendly.com/partner007/interview</v>
      </c>
      <c r="AE127" s="28">
        <f ca="1">IF(X127=1,IFERROR(INDEX(SETTINGS!$B$34:$D$36,MATCH(I127,SETTINGS!$A$34:$A$36,0),MIN(Q127,2)+1),SETTINGS!$B$36),0)</f>
        <v>0</v>
      </c>
      <c r="AF127" s="28">
        <f t="shared" si="15"/>
        <v>1</v>
      </c>
      <c r="AG127" s="28">
        <f ca="1">IF(AND(Y127=1,AB127=1),ROUND(AA127*AE127*IF(AF127&gt;1,SETTINGS!$B$16,1)*IF(W127&lt;=SETTINGS!$B$14,SETTINGS!$B$15,1)*IF(AU127=1,SETTINGS!$B$21,1),6),0)</f>
        <v>0</v>
      </c>
      <c r="AH127" s="28" t="str">
        <f ca="1">IF(AG127&gt;0,COUNTIFS($Z$2:$Z$601,Z127,$AG$2:$AG$601,"&gt;"&amp;AG127)+COUNTIFS($Z$2:Z127,Z127,$AG$2:AG127,AG127),"")</f>
        <v/>
      </c>
      <c r="AI127" s="28" t="str">
        <f t="shared" ca="1" si="16"/>
        <v/>
      </c>
      <c r="AJ127" s="28" t="str">
        <f t="shared" ca="1" si="17"/>
        <v/>
      </c>
      <c r="AK127" s="28">
        <f>IF(L127=1,IF(COUNTIFS($F$2:F127,F127,$L$2:L127,1)=1,1,0),0)</f>
        <v>1</v>
      </c>
      <c r="AL127" s="28" t="str">
        <f ca="1">IF(B127="","",IF(K127="DUPLICATE","Duplicate (removed)",IF(AO127=1,"Scheduled within 24h",IF(M127=1,"Scheduled late",IF(K127="BAD CONTACT","Bad contact details",IF(O127=1,"Stopped / wrong number",IF(N127=1,"Not interested",IF(P127=1,"Partner has no slots",IF(SETTINGS!$B$4&gt;=V127,IF(Q127=0,"Missed deadline: never tried","Missed deadline: tried, not booked"),IF(Q127&gt;=SETTINGS!$B$6,"No reply after max tries","Open"))))))))))</f>
        <v>Missed deadline: never tried</v>
      </c>
      <c r="AM127" s="46" t="str">
        <f>IF(M127=1,IF(_xlfn.MINIFS(LOG!$G$2:$G$2001,LOG!$C$2:$C$2001,F127,LOG!$E$2:$E$2001,B127,LOG!$D$2:$D$2001,"*BOOKED")=0,_xlfn.MINIFS(LOG!$G$2:$G$2001,LOG!$C$2:$C$2001,F127,LOG!$E$2:$E$2001,"",LOG!$D$2:$D$2001,"*BOOKED"),IF(_xlfn.MINIFS(LOG!$G$2:$G$2001,LOG!$C$2:$C$2001,F127,LOG!$E$2:$E$2001,"",LOG!$D$2:$D$2001,"*BOOKED")=0,_xlfn.MINIFS(LOG!$G$2:$G$2001,LOG!$C$2:$C$2001,F127,LOG!$E$2:$E$2001,B127,LOG!$D$2:$D$2001,"*BOOKED"),MIN(_xlfn.MINIFS(LOG!$G$2:$G$2001,LOG!$C$2:$C$2001,F127,LOG!$E$2:$E$2001,B127,LOG!$D$2:$D$2001,"*BOOKED"),_xlfn.MINIFS(LOG!$G$2:$G$2001,LOG!$C$2:$C$2001,F127,LOG!$E$2:$E$2001,"",LOG!$D$2:$D$2001,"*BOOKED")))),"")</f>
        <v/>
      </c>
      <c r="AN127" s="28" t="str">
        <f t="shared" si="18"/>
        <v/>
      </c>
      <c r="AO127" s="28">
        <f>IF(AND(M127=1,AN127&lt;&gt;""),IF(AN127&lt;=SETTINGS!$B$5,1,0),0)</f>
        <v>0</v>
      </c>
      <c r="AP127" s="28">
        <f>IF(M127=1,IF(COUNTIFS(LOG!$C$2:$C$2001,F127,LOG!$E$2:$E$2001,B127,LOG!$D$2:$D$2001,"BOOKED")+COUNTIFS(LOG!$C$2:$C$2001,F127,LOG!$E$2:$E$2001,"",LOG!$D$2:$D$2001,"BOOKED")&gt;0,1,0),0)</f>
        <v>0</v>
      </c>
      <c r="AQ127" s="28" t="str">
        <f t="shared" si="19"/>
        <v>Manav</v>
      </c>
      <c r="AR127" s="28">
        <f>IF(AND(AK127=1,K127="OK"),COUNTIFS($AK$2:AK127,1,$K$2:K127,"OK"),"")</f>
        <v>120</v>
      </c>
      <c r="AS127" s="28" t="str">
        <f>IF(L127=1,IFERROR(INDEX(MESSAGES!$J$9:$J$1008,MATCH(F127,MESSAGES!$M$9:$M$1008,0))&amp;"",""),"")</f>
        <v/>
      </c>
      <c r="AT127" s="28" t="str">
        <f>IF(L127=1,IFERROR(INDEX(MESSAGES!$K$9:$K$1008,MATCH(F127,MESSAGES!$M$9:$M$1008,0))&amp;"",""),"")</f>
        <v/>
      </c>
      <c r="AU127" s="28">
        <f t="shared" ca="1" si="20"/>
        <v>0</v>
      </c>
      <c r="AV127" s="28" t="str">
        <f t="shared" si="21"/>
        <v>HOLD</v>
      </c>
    </row>
    <row r="128" spans="1:48" x14ac:dyDescent="0.35">
      <c r="A128" s="28">
        <v>127</v>
      </c>
      <c r="B128" s="28" t="str">
        <f>IF(INPUT!A128="","",TRIM(INPUT!A128))</f>
        <v>Partner 085</v>
      </c>
      <c r="C128" s="28" t="str">
        <f>IF(B128="","",INPUT!C128)</f>
        <v>interviewer2@partner085.example.com</v>
      </c>
      <c r="D128" s="28" t="str">
        <f>IF(B128="","",INPUT!D128)</f>
        <v>Diya E.</v>
      </c>
      <c r="E128" s="28" t="str">
        <f>IF(B128="","",INPUT!E128)</f>
        <v>diya.e121@example.com</v>
      </c>
      <c r="F128" s="43" t="str">
        <f>IF(B128="","",TRIM(INPUT!F128&amp;""))</f>
        <v>9000001580</v>
      </c>
      <c r="G128" s="28" t="str">
        <f>IF(B128="","",INPUT!H128)</f>
        <v>Round1</v>
      </c>
      <c r="H128" s="46">
        <f>IF(B128="","",INPUT!I128)</f>
        <v>46308.82708333333</v>
      </c>
      <c r="I128" s="28" t="str">
        <f>IF(B128="","",IF(INPUT!J128="","None",INPUT!J128))</f>
        <v>Clicked</v>
      </c>
      <c r="J128" s="28" t="str">
        <f t="shared" si="11"/>
        <v>diya.e121@example.com|partner 085|Round1|interviewer2@partner085.example.com</v>
      </c>
      <c r="K128" s="28" t="str">
        <f>IF(B128="","",IF(SUMPRODUCT(($J$2:$J$601=J128)*($H$2:$H$601&lt;H128))+SUMPRODUCT(($J$2:J128=J128)*($H$2:H128=H128))-1&gt;0,"DUPLICATE",IF(AND(ISNUMBER(SEARCH("@",E128)),ISNUMBER(SEARCH(".",E128)),LEN(F128)=10,ISNUMBER(VALUE(F128))),"OK","BAD CONTACT")))</f>
        <v>OK</v>
      </c>
      <c r="L128" s="28">
        <f t="shared" si="12"/>
        <v>1</v>
      </c>
      <c r="M128" s="28">
        <f>IF(L128=1,IF(COUNTIFS(LOG!$C$2:$C$2001,F128,LOG!$E$2:$E$2001,B128,LOG!$D$2:$D$2001,"*BOOKED")+COUNTIFS(LOG!$C$2:$C$2001,F128,LOG!$E$2:$E$2001,"",LOG!$D$2:$D$2001,"*BOOKED")&gt;0,1,0),0)</f>
        <v>1</v>
      </c>
      <c r="N128" s="28">
        <f>IF(L128=1,IF(COUNTIFS(LOG!$C$2:$C$2001,F128,LOG!$E$2:$E$2001,B128,LOG!$D$2:$D$2001,"NOT_INTERESTED")+COUNTIFS(LOG!$C$2:$C$2001,F128,LOG!$E$2:$E$2001,"",LOG!$D$2:$D$2001,"NOT_INTERESTED")&gt;0,1,0),0)</f>
        <v>0</v>
      </c>
      <c r="O128" s="28">
        <f>IF(L128=1,IF(COUNTIFS(LOG!$C$2:$C$2001,F128,LOG!$D$2:$D$2001,"STOP")+COUNTIFS(LOG!$C$2:$C$2001,F128,LOG!$D$2:$D$2001,"WRONG_NUMBER")&gt;0,1,IF(ISNUMBER(SEARCH("STOP",AT128)),1,0)),0)</f>
        <v>0</v>
      </c>
      <c r="P128" s="28">
        <f>IF(L128=1,IF(IFERROR(INDEX(PARTNERS!$D$2:$D$88,MATCH(B128,PARTNERS!$A$2:$A$88,0)),"")="NO SLOTS",1,IF(AND(IFERROR(INDEX(PARTNERS!$D$2:$D$88,MATCH(B128,PARTNERS!$A$2:$A$88,0)),"")&lt;&gt;"REOPENED",COUNTIFS(LOG!$E$2:$E$2001,B128,LOG!$D$2:$D$2001,"NO_SLOTS")&gt;0),1,0)),0)</f>
        <v>0</v>
      </c>
      <c r="Q128" s="28">
        <f>IF(L128=1,COUNTIFS(LOG!$C$2:$C$2001,F128,LOG!$H$2:$H$2001,1),0)</f>
        <v>2</v>
      </c>
      <c r="R128" s="46">
        <f>IF(Q128&gt;0,_xlfn.MAXIFS(LOG!$G$2:$G$2001,LOG!$C$2:$C$2001,F128,LOG!$H$2:$H$2001,1),0)</f>
        <v>46309.546410623261</v>
      </c>
      <c r="S128" s="28" t="str">
        <f>IF(Q128&gt;0,IFERROR(INDEX(LOG!$D$2:$D$2001,MATCH(F128&amp;"|"&amp;Q128,LOG!$I$2:$I$2001,0)),""),"")</f>
        <v>BOOKED</v>
      </c>
      <c r="T128" s="28">
        <f>IF(S128="",0,IFERROR(VLOOKUP(S128,LISTS!$A$2:$E$10,4,FALSE),0))</f>
        <v>0</v>
      </c>
      <c r="U128" s="46">
        <f t="shared" si="13"/>
        <v>46309.546410623261</v>
      </c>
      <c r="V128" s="46">
        <f>IF(L128=1,H128+SETTINGS!$B$5/24,"")</f>
        <v>46309.82708333333</v>
      </c>
      <c r="W128" s="28">
        <f ca="1">IF(L128=1,(V128-SETTINGS!$B$4)*24,"")</f>
        <v>-1.6666666720993817E-2</v>
      </c>
      <c r="X128" s="28">
        <f ca="1">IF(AND(L128=1,K128="OK",M128=0,N128=0,O128=0,P128=0,SETTINGS!$B$4&lt;V128,Q128&lt;SETTINGS!$B$6),1,0)</f>
        <v>0</v>
      </c>
      <c r="Y128" s="28">
        <f ca="1">IF(AND(X128=1,SETTINGS!$B$4&gt;=H128,SETTINGS!$B$4&gt;=U128,ROUND(MOD(SETTINGS!$B$4,1)*1440,0)&gt;=ROUND(SETTINGS!$B$7*1440,0),ROUND(MOD(SETTINGS!$B$4,1)*1440,0)&lt;ROUND(SETTINGS!$B$8*1440,0)),1,0)</f>
        <v>0</v>
      </c>
      <c r="Z128" s="28" t="str">
        <f ca="1">IF(B128="","",IF(ROUND(MOD(SETTINGS!$B$4,1)*1440,0)&lt;ROUND(SETTINGS!$B$11*1440,0),"Ram",IF(ROUND(MOD(SETTINGS!$B$4,1)*1440,0)&gt;=ROUND(SETTINGS!$B$10*1440,0),"Shyam",IF(MOD(IFERROR(VALUE(RIGHT(F128,2)),0),2)=0,"Ram","Shyam"))))</f>
        <v>Shyam</v>
      </c>
      <c r="AA128" s="28">
        <f t="shared" ca="1" si="14"/>
        <v>0</v>
      </c>
      <c r="AB128" s="28">
        <f ca="1">IF(X128=1,COUNTIFS($F$2:F128,F128,$X$2:X128,1),0)</f>
        <v>0</v>
      </c>
      <c r="AC128" s="28" t="str">
        <f>IF(L128=1,IF(IFERROR(INDEX(PARTNERS!$C$2:$C$88,MATCH(B128,PARTNERS!$A$2:$A$88,0)),"")="YES","YES","NO"),"")</f>
        <v>YES</v>
      </c>
      <c r="AD128" s="28" t="str">
        <f>IF(L128=1,IFERROR(INDEX(PARTNERS!$B$2:$B$88,MATCH(B128,PARTNERS!$A$2:$A$88,0)),""),"")</f>
        <v>https://calendly.com/partner085/interview</v>
      </c>
      <c r="AE128" s="28">
        <f ca="1">IF(X128=1,IFERROR(INDEX(SETTINGS!$B$34:$D$36,MATCH(I128,SETTINGS!$A$34:$A$36,0),MIN(Q128,2)+1),SETTINGS!$B$36),0)</f>
        <v>0</v>
      </c>
      <c r="AF128" s="28">
        <f t="shared" si="15"/>
        <v>1</v>
      </c>
      <c r="AG128" s="28">
        <f ca="1">IF(AND(Y128=1,AB128=1),ROUND(AA128*AE128*IF(AF128&gt;1,SETTINGS!$B$16,1)*IF(W128&lt;=SETTINGS!$B$14,SETTINGS!$B$15,1)*IF(AU128=1,SETTINGS!$B$21,1),6),0)</f>
        <v>0</v>
      </c>
      <c r="AH128" s="28" t="str">
        <f ca="1">IF(AG128&gt;0,COUNTIFS($Z$2:$Z$601,Z128,$AG$2:$AG$601,"&gt;"&amp;AG128)+COUNTIFS($Z$2:Z128,Z128,$AG$2:AG128,AG128),"")</f>
        <v/>
      </c>
      <c r="AI128" s="28" t="str">
        <f t="shared" ca="1" si="16"/>
        <v/>
      </c>
      <c r="AJ128" s="28" t="str">
        <f t="shared" ca="1" si="17"/>
        <v/>
      </c>
      <c r="AK128" s="28">
        <f>IF(L128=1,IF(COUNTIFS($F$2:F128,F128,$L$2:L128,1)=1,1,0),0)</f>
        <v>0</v>
      </c>
      <c r="AL128" s="28" t="str">
        <f>IF(B128="","",IF(K128="DUPLICATE","Duplicate (removed)",IF(AO128=1,"Scheduled within 24h",IF(M128=1,"Scheduled late",IF(K128="BAD CONTACT","Bad contact details",IF(O128=1,"Stopped / wrong number",IF(N128=1,"Not interested",IF(P128=1,"Partner has no slots",IF(SETTINGS!$B$4&gt;=V128,IF(Q128=0,"Missed deadline: never tried","Missed deadline: tried, not booked"),IF(Q128&gt;=SETTINGS!$B$6,"No reply after max tries","Open"))))))))))</f>
        <v>Scheduled within 24h</v>
      </c>
      <c r="AM128" s="46">
        <f>IF(M128=1,IF(_xlfn.MINIFS(LOG!$G$2:$G$2001,LOG!$C$2:$C$2001,F128,LOG!$E$2:$E$2001,B128,LOG!$D$2:$D$2001,"*BOOKED")=0,_xlfn.MINIFS(LOG!$G$2:$G$2001,LOG!$C$2:$C$2001,F128,LOG!$E$2:$E$2001,"",LOG!$D$2:$D$2001,"*BOOKED"),IF(_xlfn.MINIFS(LOG!$G$2:$G$2001,LOG!$C$2:$C$2001,F128,LOG!$E$2:$E$2001,"",LOG!$D$2:$D$2001,"*BOOKED")=0,_xlfn.MINIFS(LOG!$G$2:$G$2001,LOG!$C$2:$C$2001,F128,LOG!$E$2:$E$2001,B128,LOG!$D$2:$D$2001,"*BOOKED"),MIN(_xlfn.MINIFS(LOG!$G$2:$G$2001,LOG!$C$2:$C$2001,F128,LOG!$E$2:$E$2001,B128,LOG!$D$2:$D$2001,"*BOOKED"),_xlfn.MINIFS(LOG!$G$2:$G$2001,LOG!$C$2:$C$2001,F128,LOG!$E$2:$E$2001,"",LOG!$D$2:$D$2001,"*BOOKED")))),"")</f>
        <v>46309.546410623261</v>
      </c>
      <c r="AN128" s="28">
        <f t="shared" si="18"/>
        <v>17.263854958349839</v>
      </c>
      <c r="AO128" s="28">
        <f>IF(AND(M128=1,AN128&lt;&gt;""),IF(AN128&lt;=SETTINGS!$B$5,1,0),0)</f>
        <v>1</v>
      </c>
      <c r="AP128" s="28">
        <f>IF(M128=1,IF(COUNTIFS(LOG!$C$2:$C$2001,F128,LOG!$E$2:$E$2001,B128,LOG!$D$2:$D$2001,"BOOKED")+COUNTIFS(LOG!$C$2:$C$2001,F128,LOG!$E$2:$E$2001,"",LOG!$D$2:$D$2001,"BOOKED")&gt;0,1,0),0)</f>
        <v>1</v>
      </c>
      <c r="AQ128" s="28" t="str">
        <f t="shared" si="19"/>
        <v>Diya</v>
      </c>
      <c r="AR128" s="28" t="str">
        <f>IF(AND(AK128=1,K128="OK"),COUNTIFS($AK$2:AK128,1,$K$2:K128,"OK"),"")</f>
        <v/>
      </c>
      <c r="AS128" s="28" t="str">
        <f>IF(L128=1,IFERROR(INDEX(MESSAGES!$J$9:$J$1008,MATCH(F128,MESSAGES!$M$9:$M$1008,0))&amp;"",""),"")</f>
        <v/>
      </c>
      <c r="AT128" s="28" t="str">
        <f>IF(L128=1,IFERROR(INDEX(MESSAGES!$K$9:$K$1008,MATCH(F128,MESSAGES!$M$9:$M$1008,0))&amp;"",""),"")</f>
        <v/>
      </c>
      <c r="AU128" s="28">
        <f t="shared" ca="1" si="20"/>
        <v>0</v>
      </c>
      <c r="AV128" s="28" t="str">
        <f t="shared" si="21"/>
        <v>SEND</v>
      </c>
    </row>
    <row r="129" spans="1:48" x14ac:dyDescent="0.35">
      <c r="A129" s="28">
        <v>128</v>
      </c>
      <c r="B129" s="28" t="str">
        <f>IF(INPUT!A129="","",TRIM(INPUT!A129))</f>
        <v>Partner 010</v>
      </c>
      <c r="C129" s="28" t="str">
        <f>IF(B129="","",INPUT!C129)</f>
        <v>interviewer2@partner010.example.com</v>
      </c>
      <c r="D129" s="28" t="str">
        <f>IF(B129="","",INPUT!D129)</f>
        <v>Navya K.</v>
      </c>
      <c r="E129" s="28" t="str">
        <f>IF(B129="","",INPUT!E129)</f>
        <v>navya.k283@example.com</v>
      </c>
      <c r="F129" s="43" t="str">
        <f>IF(B129="","",TRIM(INPUT!F129&amp;""))</f>
        <v>9000003686</v>
      </c>
      <c r="G129" s="28" t="str">
        <f>IF(B129="","",INPUT!H129)</f>
        <v>Round1</v>
      </c>
      <c r="H129" s="46">
        <f>IF(B129="","",INPUT!I129)</f>
        <v>46308.82708333333</v>
      </c>
      <c r="I129" s="28" t="str">
        <f>IF(B129="","",IF(INPUT!J129="","None",INPUT!J129))</f>
        <v>None</v>
      </c>
      <c r="J129" s="28" t="str">
        <f t="shared" si="11"/>
        <v>navya.k283@example.com|partner 010|Round1|interviewer2@partner010.example.com</v>
      </c>
      <c r="K129" s="28" t="str">
        <f>IF(B129="","",IF(SUMPRODUCT(($J$2:$J$601=J129)*($H$2:$H$601&lt;H129))+SUMPRODUCT(($J$2:J129=J129)*($H$2:H129=H129))-1&gt;0,"DUPLICATE",IF(AND(ISNUMBER(SEARCH("@",E129)),ISNUMBER(SEARCH(".",E129)),LEN(F129)=10,ISNUMBER(VALUE(F129))),"OK","BAD CONTACT")))</f>
        <v>OK</v>
      </c>
      <c r="L129" s="28">
        <f t="shared" si="12"/>
        <v>1</v>
      </c>
      <c r="M129" s="28">
        <f>IF(L129=1,IF(COUNTIFS(LOG!$C$2:$C$2001,F129,LOG!$E$2:$E$2001,B129,LOG!$D$2:$D$2001,"*BOOKED")+COUNTIFS(LOG!$C$2:$C$2001,F129,LOG!$E$2:$E$2001,"",LOG!$D$2:$D$2001,"*BOOKED")&gt;0,1,0),0)</f>
        <v>0</v>
      </c>
      <c r="N129" s="28">
        <f>IF(L129=1,IF(COUNTIFS(LOG!$C$2:$C$2001,F129,LOG!$E$2:$E$2001,B129,LOG!$D$2:$D$2001,"NOT_INTERESTED")+COUNTIFS(LOG!$C$2:$C$2001,F129,LOG!$E$2:$E$2001,"",LOG!$D$2:$D$2001,"NOT_INTERESTED")&gt;0,1,0),0)</f>
        <v>0</v>
      </c>
      <c r="O129" s="28">
        <f>IF(L129=1,IF(COUNTIFS(LOG!$C$2:$C$2001,F129,LOG!$D$2:$D$2001,"STOP")+COUNTIFS(LOG!$C$2:$C$2001,F129,LOG!$D$2:$D$2001,"WRONG_NUMBER")&gt;0,1,IF(ISNUMBER(SEARCH("STOP",AT129)),1,0)),0)</f>
        <v>0</v>
      </c>
      <c r="P129" s="28">
        <f>IF(L129=1,IF(IFERROR(INDEX(PARTNERS!$D$2:$D$88,MATCH(B129,PARTNERS!$A$2:$A$88,0)),"")="NO SLOTS",1,IF(AND(IFERROR(INDEX(PARTNERS!$D$2:$D$88,MATCH(B129,PARTNERS!$A$2:$A$88,0)),"")&lt;&gt;"REOPENED",COUNTIFS(LOG!$E$2:$E$2001,B129,LOG!$D$2:$D$2001,"NO_SLOTS")&gt;0),1,0)),0)</f>
        <v>0</v>
      </c>
      <c r="Q129" s="28">
        <f>IF(L129=1,COUNTIFS(LOG!$C$2:$C$2001,F129,LOG!$H$2:$H$2001,1),0)</f>
        <v>0</v>
      </c>
      <c r="R129" s="46">
        <f>IF(Q129&gt;0,_xlfn.MAXIFS(LOG!$G$2:$G$2001,LOG!$C$2:$C$2001,F129,LOG!$H$2:$H$2001,1),0)</f>
        <v>0</v>
      </c>
      <c r="S129" s="28" t="str">
        <f>IF(Q129&gt;0,IFERROR(INDEX(LOG!$D$2:$D$2001,MATCH(F129&amp;"|"&amp;Q129,LOG!$I$2:$I$2001,0)),""),"")</f>
        <v/>
      </c>
      <c r="T129" s="28">
        <f>IF(S129="",0,IFERROR(VLOOKUP(S129,LISTS!$A$2:$E$10,4,FALSE),0))</f>
        <v>0</v>
      </c>
      <c r="U129" s="46">
        <f t="shared" si="13"/>
        <v>0</v>
      </c>
      <c r="V129" s="46">
        <f>IF(L129=1,H129+SETTINGS!$B$5/24,"")</f>
        <v>46309.82708333333</v>
      </c>
      <c r="W129" s="28">
        <f ca="1">IF(L129=1,(V129-SETTINGS!$B$4)*24,"")</f>
        <v>-1.6666666720993817E-2</v>
      </c>
      <c r="X129" s="28">
        <f ca="1">IF(AND(L129=1,K129="OK",M129=0,N129=0,O129=0,P129=0,SETTINGS!$B$4&lt;V129,Q129&lt;SETTINGS!$B$6),1,0)</f>
        <v>0</v>
      </c>
      <c r="Y129" s="28">
        <f ca="1">IF(AND(X129=1,SETTINGS!$B$4&gt;=H129,SETTINGS!$B$4&gt;=U129,ROUND(MOD(SETTINGS!$B$4,1)*1440,0)&gt;=ROUND(SETTINGS!$B$7*1440,0),ROUND(MOD(SETTINGS!$B$4,1)*1440,0)&lt;ROUND(SETTINGS!$B$8*1440,0)),1,0)</f>
        <v>0</v>
      </c>
      <c r="Z129" s="28" t="str">
        <f ca="1">IF(B129="","",IF(ROUND(MOD(SETTINGS!$B$4,1)*1440,0)&lt;ROUND(SETTINGS!$B$11*1440,0),"Ram",IF(ROUND(MOD(SETTINGS!$B$4,1)*1440,0)&gt;=ROUND(SETTINGS!$B$10*1440,0),"Shyam",IF(MOD(IFERROR(VALUE(RIGHT(F129,2)),0),2)=0,"Ram","Shyam"))))</f>
        <v>Shyam</v>
      </c>
      <c r="AA129" s="28">
        <f t="shared" ca="1" si="14"/>
        <v>0</v>
      </c>
      <c r="AB129" s="28">
        <f ca="1">IF(X129=1,COUNTIFS($F$2:F129,F129,$X$2:X129,1),0)</f>
        <v>0</v>
      </c>
      <c r="AC129" s="28" t="str">
        <f>IF(L129=1,IF(IFERROR(INDEX(PARTNERS!$C$2:$C$88,MATCH(B129,PARTNERS!$A$2:$A$88,0)),"")="YES","YES","NO"),"")</f>
        <v>YES</v>
      </c>
      <c r="AD129" s="28" t="str">
        <f>IF(L129=1,IFERROR(INDEX(PARTNERS!$B$2:$B$88,MATCH(B129,PARTNERS!$A$2:$A$88,0)),""),"")</f>
        <v>https://calendly.com/partner010/interview</v>
      </c>
      <c r="AE129" s="28">
        <f ca="1">IF(X129=1,IFERROR(INDEX(SETTINGS!$B$34:$D$36,MATCH(I129,SETTINGS!$A$34:$A$36,0),MIN(Q129,2)+1),SETTINGS!$B$36),0)</f>
        <v>0</v>
      </c>
      <c r="AF129" s="28">
        <f t="shared" si="15"/>
        <v>1</v>
      </c>
      <c r="AG129" s="28">
        <f ca="1">IF(AND(Y129=1,AB129=1),ROUND(AA129*AE129*IF(AF129&gt;1,SETTINGS!$B$16,1)*IF(W129&lt;=SETTINGS!$B$14,SETTINGS!$B$15,1)*IF(AU129=1,SETTINGS!$B$21,1),6),0)</f>
        <v>0</v>
      </c>
      <c r="AH129" s="28" t="str">
        <f ca="1">IF(AG129&gt;0,COUNTIFS($Z$2:$Z$601,Z129,$AG$2:$AG$601,"&gt;"&amp;AG129)+COUNTIFS($Z$2:Z129,Z129,$AG$2:AG129,AG129),"")</f>
        <v/>
      </c>
      <c r="AI129" s="28" t="str">
        <f t="shared" ca="1" si="16"/>
        <v/>
      </c>
      <c r="AJ129" s="28" t="str">
        <f t="shared" ca="1" si="17"/>
        <v/>
      </c>
      <c r="AK129" s="28">
        <f>IF(L129=1,IF(COUNTIFS($F$2:F129,F129,$L$2:L129,1)=1,1,0),0)</f>
        <v>1</v>
      </c>
      <c r="AL129" s="28" t="str">
        <f ca="1">IF(B129="","",IF(K129="DUPLICATE","Duplicate (removed)",IF(AO129=1,"Scheduled within 24h",IF(M129=1,"Scheduled late",IF(K129="BAD CONTACT","Bad contact details",IF(O129=1,"Stopped / wrong number",IF(N129=1,"Not interested",IF(P129=1,"Partner has no slots",IF(SETTINGS!$B$4&gt;=V129,IF(Q129=0,"Missed deadline: never tried","Missed deadline: tried, not booked"),IF(Q129&gt;=SETTINGS!$B$6,"No reply after max tries","Open"))))))))))</f>
        <v>Missed deadline: never tried</v>
      </c>
      <c r="AM129" s="46" t="str">
        <f>IF(M129=1,IF(_xlfn.MINIFS(LOG!$G$2:$G$2001,LOG!$C$2:$C$2001,F129,LOG!$E$2:$E$2001,B129,LOG!$D$2:$D$2001,"*BOOKED")=0,_xlfn.MINIFS(LOG!$G$2:$G$2001,LOG!$C$2:$C$2001,F129,LOG!$E$2:$E$2001,"",LOG!$D$2:$D$2001,"*BOOKED"),IF(_xlfn.MINIFS(LOG!$G$2:$G$2001,LOG!$C$2:$C$2001,F129,LOG!$E$2:$E$2001,"",LOG!$D$2:$D$2001,"*BOOKED")=0,_xlfn.MINIFS(LOG!$G$2:$G$2001,LOG!$C$2:$C$2001,F129,LOG!$E$2:$E$2001,B129,LOG!$D$2:$D$2001,"*BOOKED"),MIN(_xlfn.MINIFS(LOG!$G$2:$G$2001,LOG!$C$2:$C$2001,F129,LOG!$E$2:$E$2001,B129,LOG!$D$2:$D$2001,"*BOOKED"),_xlfn.MINIFS(LOG!$G$2:$G$2001,LOG!$C$2:$C$2001,F129,LOG!$E$2:$E$2001,"",LOG!$D$2:$D$2001,"*BOOKED")))),"")</f>
        <v/>
      </c>
      <c r="AN129" s="28" t="str">
        <f t="shared" si="18"/>
        <v/>
      </c>
      <c r="AO129" s="28">
        <f>IF(AND(M129=1,AN129&lt;&gt;""),IF(AN129&lt;=SETTINGS!$B$5,1,0),0)</f>
        <v>0</v>
      </c>
      <c r="AP129" s="28">
        <f>IF(M129=1,IF(COUNTIFS(LOG!$C$2:$C$2001,F129,LOG!$E$2:$E$2001,B129,LOG!$D$2:$D$2001,"BOOKED")+COUNTIFS(LOG!$C$2:$C$2001,F129,LOG!$E$2:$E$2001,"",LOG!$D$2:$D$2001,"BOOKED")&gt;0,1,0),0)</f>
        <v>0</v>
      </c>
      <c r="AQ129" s="28" t="str">
        <f t="shared" si="19"/>
        <v>Navya</v>
      </c>
      <c r="AR129" s="28">
        <f>IF(AND(AK129=1,K129="OK"),COUNTIFS($AK$2:AK129,1,$K$2:K129,"OK"),"")</f>
        <v>121</v>
      </c>
      <c r="AS129" s="28" t="str">
        <f>IF(L129=1,IFERROR(INDEX(MESSAGES!$J$9:$J$1008,MATCH(F129,MESSAGES!$M$9:$M$1008,0))&amp;"",""),"")</f>
        <v/>
      </c>
      <c r="AT129" s="28" t="str">
        <f>IF(L129=1,IFERROR(INDEX(MESSAGES!$K$9:$K$1008,MATCH(F129,MESSAGES!$M$9:$M$1008,0))&amp;"",""),"")</f>
        <v/>
      </c>
      <c r="AU129" s="28">
        <f t="shared" ca="1" si="20"/>
        <v>0</v>
      </c>
      <c r="AV129" s="28" t="str">
        <f t="shared" si="21"/>
        <v>SEND</v>
      </c>
    </row>
    <row r="130" spans="1:48" x14ac:dyDescent="0.35">
      <c r="A130" s="28">
        <v>129</v>
      </c>
      <c r="B130" s="28" t="str">
        <f>IF(INPUT!A130="","",TRIM(INPUT!A130))</f>
        <v>Partner 078</v>
      </c>
      <c r="C130" s="28" t="str">
        <f>IF(B130="","",INPUT!C130)</f>
        <v>interviewer2@partner078.example.com</v>
      </c>
      <c r="D130" s="28" t="str">
        <f>IF(B130="","",INPUT!D130)</f>
        <v>Rahul F.</v>
      </c>
      <c r="E130" s="28" t="str">
        <f>IF(B130="","",INPUT!E130)</f>
        <v>rahul.f176@example.com</v>
      </c>
      <c r="F130" s="43" t="str">
        <f>IF(B130="","",TRIM(INPUT!F130&amp;""))</f>
        <v>9000002295</v>
      </c>
      <c r="G130" s="28" t="str">
        <f>IF(B130="","",INPUT!H130)</f>
        <v>Round1</v>
      </c>
      <c r="H130" s="46">
        <f>IF(B130="","",INPUT!I130)</f>
        <v>46308.82708333333</v>
      </c>
      <c r="I130" s="28" t="str">
        <f>IF(B130="","",IF(INPUT!J130="","None",INPUT!J130))</f>
        <v>Clicked</v>
      </c>
      <c r="J130" s="28" t="str">
        <f t="shared" ref="J130:J193" si="22">IF(B130="","",LOWER(E130)&amp;"|"&amp;LOWER(B130)&amp;"|"&amp;G130&amp;"|"&amp;LOWER(C130))</f>
        <v>rahul.f176@example.com|partner 078|Round1|interviewer2@partner078.example.com</v>
      </c>
      <c r="K130" s="28" t="str">
        <f>IF(B130="","",IF(SUMPRODUCT(($J$2:$J$601=J130)*($H$2:$H$601&lt;H130))+SUMPRODUCT(($J$2:J130=J130)*($H$2:H130=H130))-1&gt;0,"DUPLICATE",IF(AND(ISNUMBER(SEARCH("@",E130)),ISNUMBER(SEARCH(".",E130)),LEN(F130)=10,ISNUMBER(VALUE(F130))),"OK","BAD CONTACT")))</f>
        <v>OK</v>
      </c>
      <c r="L130" s="28">
        <f t="shared" ref="L130:L193" si="23">IF(B130="",0,IF(K130="DUPLICATE",0,1))</f>
        <v>1</v>
      </c>
      <c r="M130" s="28">
        <f>IF(L130=1,IF(COUNTIFS(LOG!$C$2:$C$2001,F130,LOG!$E$2:$E$2001,B130,LOG!$D$2:$D$2001,"*BOOKED")+COUNTIFS(LOG!$C$2:$C$2001,F130,LOG!$E$2:$E$2001,"",LOG!$D$2:$D$2001,"*BOOKED")&gt;0,1,0),0)</f>
        <v>1</v>
      </c>
      <c r="N130" s="28">
        <f>IF(L130=1,IF(COUNTIFS(LOG!$C$2:$C$2001,F130,LOG!$E$2:$E$2001,B130,LOG!$D$2:$D$2001,"NOT_INTERESTED")+COUNTIFS(LOG!$C$2:$C$2001,F130,LOG!$E$2:$E$2001,"",LOG!$D$2:$D$2001,"NOT_INTERESTED")&gt;0,1,0),0)</f>
        <v>0</v>
      </c>
      <c r="O130" s="28">
        <f>IF(L130=1,IF(COUNTIFS(LOG!$C$2:$C$2001,F130,LOG!$D$2:$D$2001,"STOP")+COUNTIFS(LOG!$C$2:$C$2001,F130,LOG!$D$2:$D$2001,"WRONG_NUMBER")&gt;0,1,IF(ISNUMBER(SEARCH("STOP",AT130)),1,0)),0)</f>
        <v>0</v>
      </c>
      <c r="P130" s="28">
        <f>IF(L130=1,IF(IFERROR(INDEX(PARTNERS!$D$2:$D$88,MATCH(B130,PARTNERS!$A$2:$A$88,0)),"")="NO SLOTS",1,IF(AND(IFERROR(INDEX(PARTNERS!$D$2:$D$88,MATCH(B130,PARTNERS!$A$2:$A$88,0)),"")&lt;&gt;"REOPENED",COUNTIFS(LOG!$E$2:$E$2001,B130,LOG!$D$2:$D$2001,"NO_SLOTS")&gt;0),1,0)),0)</f>
        <v>0</v>
      </c>
      <c r="Q130" s="28">
        <f>IF(L130=1,COUNTIFS(LOG!$C$2:$C$2001,F130,LOG!$H$2:$H$2001,1),0)</f>
        <v>2</v>
      </c>
      <c r="R130" s="46">
        <f>IF(Q130&gt;0,_xlfn.MAXIFS(LOG!$G$2:$G$2001,LOG!$C$2:$C$2001,F130,LOG!$H$2:$H$2001,1),0)</f>
        <v>46309.546778370532</v>
      </c>
      <c r="S130" s="28" t="str">
        <f>IF(Q130&gt;0,IFERROR(INDEX(LOG!$D$2:$D$2001,MATCH(F130&amp;"|"&amp;Q130,LOG!$I$2:$I$2001,0)),""),"")</f>
        <v>BOOKED</v>
      </c>
      <c r="T130" s="28">
        <f>IF(S130="",0,IFERROR(VLOOKUP(S130,LISTS!$A$2:$E$10,4,FALSE),0))</f>
        <v>0</v>
      </c>
      <c r="U130" s="46">
        <f t="shared" ref="U130:U193" si="24">IF(Q130=0,0,R130+T130/1440)</f>
        <v>46309.546778370532</v>
      </c>
      <c r="V130" s="46">
        <f>IF(L130=1,H130+SETTINGS!$B$5/24,"")</f>
        <v>46309.82708333333</v>
      </c>
      <c r="W130" s="28">
        <f ca="1">IF(L130=1,(V130-SETTINGS!$B$4)*24,"")</f>
        <v>-1.6666666720993817E-2</v>
      </c>
      <c r="X130" s="28">
        <f ca="1">IF(AND(L130=1,K130="OK",M130=0,N130=0,O130=0,P130=0,SETTINGS!$B$4&lt;V130,Q130&lt;SETTINGS!$B$6),1,0)</f>
        <v>0</v>
      </c>
      <c r="Y130" s="28">
        <f ca="1">IF(AND(X130=1,SETTINGS!$B$4&gt;=H130,SETTINGS!$B$4&gt;=U130,ROUND(MOD(SETTINGS!$B$4,1)*1440,0)&gt;=ROUND(SETTINGS!$B$7*1440,0),ROUND(MOD(SETTINGS!$B$4,1)*1440,0)&lt;ROUND(SETTINGS!$B$8*1440,0)),1,0)</f>
        <v>0</v>
      </c>
      <c r="Z130" s="28" t="str">
        <f ca="1">IF(B130="","",IF(ROUND(MOD(SETTINGS!$B$4,1)*1440,0)&lt;ROUND(SETTINGS!$B$11*1440,0),"Ram",IF(ROUND(MOD(SETTINGS!$B$4,1)*1440,0)&gt;=ROUND(SETTINGS!$B$10*1440,0),"Shyam",IF(MOD(IFERROR(VALUE(RIGHT(F130,2)),0),2)=0,"Ram","Shyam"))))</f>
        <v>Shyam</v>
      </c>
      <c r="AA130" s="28">
        <f t="shared" ref="AA130:AA193" ca="1" si="25">IF(X130=1,COUNTIFS($F$2:$F$601,F130,$X$2:$X$601,1),0)</f>
        <v>0</v>
      </c>
      <c r="AB130" s="28">
        <f ca="1">IF(X130=1,COUNTIFS($F$2:F130,F130,$X$2:X130,1),0)</f>
        <v>0</v>
      </c>
      <c r="AC130" s="28" t="str">
        <f>IF(L130=1,IF(IFERROR(INDEX(PARTNERS!$C$2:$C$88,MATCH(B130,PARTNERS!$A$2:$A$88,0)),"")="YES","YES","NO"),"")</f>
        <v>YES</v>
      </c>
      <c r="AD130" s="28" t="str">
        <f>IF(L130=1,IFERROR(INDEX(PARTNERS!$B$2:$B$88,MATCH(B130,PARTNERS!$A$2:$A$88,0)),""),"")</f>
        <v>https://calendly.com/partner078/interview</v>
      </c>
      <c r="AE130" s="28">
        <f ca="1">IF(X130=1,IFERROR(INDEX(SETTINGS!$B$34:$D$36,MATCH(I130,SETTINGS!$A$34:$A$36,0),MIN(Q130,2)+1),SETTINGS!$B$36),0)</f>
        <v>0</v>
      </c>
      <c r="AF130" s="28">
        <f t="shared" ref="AF130:AF193" si="26">IF(L130=1,IFERROR(VALUE(RIGHT(G130,1)),1),0)</f>
        <v>1</v>
      </c>
      <c r="AG130" s="28">
        <f ca="1">IF(AND(Y130=1,AB130=1),ROUND(AA130*AE130*IF(AF130&gt;1,SETTINGS!$B$16,1)*IF(W130&lt;=SETTINGS!$B$14,SETTINGS!$B$15,1)*IF(AU130=1,SETTINGS!$B$21,1),6),0)</f>
        <v>0</v>
      </c>
      <c r="AH130" s="28" t="str">
        <f ca="1">IF(AG130&gt;0,COUNTIFS($Z$2:$Z$601,Z130,$AG$2:$AG$601,"&gt;"&amp;AG130)+COUNTIFS($Z$2:Z130,Z130,$AG$2:AG130,AG130),"")</f>
        <v/>
      </c>
      <c r="AI130" s="28" t="str">
        <f t="shared" ref="AI130:AI193" ca="1" si="27">IF(AH130&lt;&gt;"",Z130&amp;"|"&amp;AH130,"")</f>
        <v/>
      </c>
      <c r="AJ130" s="28" t="str">
        <f t="shared" ref="AJ130:AJ193" ca="1" si="28">IF(X130=1,F130&amp;"|"&amp;AB130,"")</f>
        <v/>
      </c>
      <c r="AK130" s="28">
        <f>IF(L130=1,IF(COUNTIFS($F$2:F130,F130,$L$2:L130,1)=1,1,0),0)</f>
        <v>1</v>
      </c>
      <c r="AL130" s="28" t="str">
        <f>IF(B130="","",IF(K130="DUPLICATE","Duplicate (removed)",IF(AO130=1,"Scheduled within 24h",IF(M130=1,"Scheduled late",IF(K130="BAD CONTACT","Bad contact details",IF(O130=1,"Stopped / wrong number",IF(N130=1,"Not interested",IF(P130=1,"Partner has no slots",IF(SETTINGS!$B$4&gt;=V130,IF(Q130=0,"Missed deadline: never tried","Missed deadline: tried, not booked"),IF(Q130&gt;=SETTINGS!$B$6,"No reply after max tries","Open"))))))))))</f>
        <v>Scheduled within 24h</v>
      </c>
      <c r="AM130" s="46">
        <f>IF(M130=1,IF(_xlfn.MINIFS(LOG!$G$2:$G$2001,LOG!$C$2:$C$2001,F130,LOG!$E$2:$E$2001,B130,LOG!$D$2:$D$2001,"*BOOKED")=0,_xlfn.MINIFS(LOG!$G$2:$G$2001,LOG!$C$2:$C$2001,F130,LOG!$E$2:$E$2001,"",LOG!$D$2:$D$2001,"*BOOKED"),IF(_xlfn.MINIFS(LOG!$G$2:$G$2001,LOG!$C$2:$C$2001,F130,LOG!$E$2:$E$2001,"",LOG!$D$2:$D$2001,"*BOOKED")=0,_xlfn.MINIFS(LOG!$G$2:$G$2001,LOG!$C$2:$C$2001,F130,LOG!$E$2:$E$2001,B130,LOG!$D$2:$D$2001,"*BOOKED"),MIN(_xlfn.MINIFS(LOG!$G$2:$G$2001,LOG!$C$2:$C$2001,F130,LOG!$E$2:$E$2001,B130,LOG!$D$2:$D$2001,"*BOOKED"),_xlfn.MINIFS(LOG!$G$2:$G$2001,LOG!$C$2:$C$2001,F130,LOG!$E$2:$E$2001,"",LOG!$D$2:$D$2001,"*BOOKED")))),"")</f>
        <v>46309.546778370532</v>
      </c>
      <c r="AN130" s="28">
        <f t="shared" ref="AN130:AN193" si="29">IF(M130=1,(AM130-H130)*24,"")</f>
        <v>17.27268089284189</v>
      </c>
      <c r="AO130" s="28">
        <f>IF(AND(M130=1,AN130&lt;&gt;""),IF(AN130&lt;=SETTINGS!$B$5,1,0),0)</f>
        <v>1</v>
      </c>
      <c r="AP130" s="28">
        <f>IF(M130=1,IF(COUNTIFS(LOG!$C$2:$C$2001,F130,LOG!$E$2:$E$2001,B130,LOG!$D$2:$D$2001,"BOOKED")+COUNTIFS(LOG!$C$2:$C$2001,F130,LOG!$E$2:$E$2001,"",LOG!$D$2:$D$2001,"BOOKED")&gt;0,1,0),0)</f>
        <v>1</v>
      </c>
      <c r="AQ130" s="28" t="str">
        <f t="shared" ref="AQ130:AQ193" si="30">IF(B130="","",LEFT(D130,FIND(" ",D130&amp;" ")-1))</f>
        <v>Rahul</v>
      </c>
      <c r="AR130" s="28">
        <f>IF(AND(AK130=1,K130="OK"),COUNTIFS($AK$2:AK130,1,$K$2:K130,"OK"),"")</f>
        <v>122</v>
      </c>
      <c r="AS130" s="28" t="str">
        <f>IF(L130=1,IFERROR(INDEX(MESSAGES!$J$9:$J$1008,MATCH(F130,MESSAGES!$M$9:$M$1008,0))&amp;"",""),"")</f>
        <v/>
      </c>
      <c r="AT130" s="28" t="str">
        <f>IF(L130=1,IFERROR(INDEX(MESSAGES!$K$9:$K$1008,MATCH(F130,MESSAGES!$M$9:$M$1008,0))&amp;"",""),"")</f>
        <v/>
      </c>
      <c r="AU130" s="28">
        <f t="shared" ref="AU130:AU193" ca="1" si="31">IF(AND(X130=1,ISNUMBER(SEARCH("YES",AT130))),1,0)</f>
        <v>0</v>
      </c>
      <c r="AV130" s="28" t="str">
        <f t="shared" ref="AV130:AV193" si="32">IF(L130=1,IF(MOD(IFERROR(VALUE(MID(F130,9,1)),0),2)=0,"SEND","HOLD"),"")</f>
        <v>HOLD</v>
      </c>
    </row>
    <row r="131" spans="1:48" x14ac:dyDescent="0.35">
      <c r="A131" s="28">
        <v>130</v>
      </c>
      <c r="B131" s="28" t="str">
        <f>IF(INPUT!A131="","",TRIM(INPUT!A131))</f>
        <v>Partner 003</v>
      </c>
      <c r="C131" s="28" t="str">
        <f>IF(B131="","",INPUT!C131)</f>
        <v>interviewer2@partner003.example.com</v>
      </c>
      <c r="D131" s="28" t="str">
        <f>IF(B131="","",INPUT!D131)</f>
        <v>Karan J.</v>
      </c>
      <c r="E131" s="28" t="str">
        <f>IF(B131="","",INPUT!E131)</f>
        <v>karan.j260@example.com</v>
      </c>
      <c r="F131" s="43" t="str">
        <f>IF(B131="","",TRIM(INPUT!F131&amp;""))</f>
        <v>9000003387</v>
      </c>
      <c r="G131" s="28" t="str">
        <f>IF(B131="","",INPUT!H131)</f>
        <v>Round1</v>
      </c>
      <c r="H131" s="46">
        <f>IF(B131="","",INPUT!I131)</f>
        <v>46308.82708333333</v>
      </c>
      <c r="I131" s="28" t="str">
        <f>IF(B131="","",IF(INPUT!J131="","None",INPUT!J131))</f>
        <v>None</v>
      </c>
      <c r="J131" s="28" t="str">
        <f t="shared" si="22"/>
        <v>karan.j260@example.com|partner 003|Round1|interviewer2@partner003.example.com</v>
      </c>
      <c r="K131" s="28" t="str">
        <f>IF(B131="","",IF(SUMPRODUCT(($J$2:$J$601=J131)*($H$2:$H$601&lt;H131))+SUMPRODUCT(($J$2:J131=J131)*($H$2:H131=H131))-1&gt;0,"DUPLICATE",IF(AND(ISNUMBER(SEARCH("@",E131)),ISNUMBER(SEARCH(".",E131)),LEN(F131)=10,ISNUMBER(VALUE(F131))),"OK","BAD CONTACT")))</f>
        <v>OK</v>
      </c>
      <c r="L131" s="28">
        <f t="shared" si="23"/>
        <v>1</v>
      </c>
      <c r="M131" s="28">
        <f>IF(L131=1,IF(COUNTIFS(LOG!$C$2:$C$2001,F131,LOG!$E$2:$E$2001,B131,LOG!$D$2:$D$2001,"*BOOKED")+COUNTIFS(LOG!$C$2:$C$2001,F131,LOG!$E$2:$E$2001,"",LOG!$D$2:$D$2001,"*BOOKED")&gt;0,1,0),0)</f>
        <v>1</v>
      </c>
      <c r="N131" s="28">
        <f>IF(L131=1,IF(COUNTIFS(LOG!$C$2:$C$2001,F131,LOG!$E$2:$E$2001,B131,LOG!$D$2:$D$2001,"NOT_INTERESTED")+COUNTIFS(LOG!$C$2:$C$2001,F131,LOG!$E$2:$E$2001,"",LOG!$D$2:$D$2001,"NOT_INTERESTED")&gt;0,1,0),0)</f>
        <v>0</v>
      </c>
      <c r="O131" s="28">
        <f>IF(L131=1,IF(COUNTIFS(LOG!$C$2:$C$2001,F131,LOG!$D$2:$D$2001,"STOP")+COUNTIFS(LOG!$C$2:$C$2001,F131,LOG!$D$2:$D$2001,"WRONG_NUMBER")&gt;0,1,IF(ISNUMBER(SEARCH("STOP",AT131)),1,0)),0)</f>
        <v>0</v>
      </c>
      <c r="P131" s="28">
        <f>IF(L131=1,IF(IFERROR(INDEX(PARTNERS!$D$2:$D$88,MATCH(B131,PARTNERS!$A$2:$A$88,0)),"")="NO SLOTS",1,IF(AND(IFERROR(INDEX(PARTNERS!$D$2:$D$88,MATCH(B131,PARTNERS!$A$2:$A$88,0)),"")&lt;&gt;"REOPENED",COUNTIFS(LOG!$E$2:$E$2001,B131,LOG!$D$2:$D$2001,"NO_SLOTS")&gt;0),1,0)),0)</f>
        <v>0</v>
      </c>
      <c r="Q131" s="28">
        <f>IF(L131=1,COUNTIFS(LOG!$C$2:$C$2001,F131,LOG!$H$2:$H$2001,1),0)</f>
        <v>0</v>
      </c>
      <c r="R131" s="46">
        <f>IF(Q131&gt;0,_xlfn.MAXIFS(LOG!$G$2:$G$2001,LOG!$C$2:$C$2001,F131,LOG!$H$2:$H$2001,1),0)</f>
        <v>0</v>
      </c>
      <c r="S131" s="28" t="str">
        <f>IF(Q131&gt;0,IFERROR(INDEX(LOG!$D$2:$D$2001,MATCH(F131&amp;"|"&amp;Q131,LOG!$I$2:$I$2001,0)),""),"")</f>
        <v/>
      </c>
      <c r="T131" s="28">
        <f>IF(S131="",0,IFERROR(VLOOKUP(S131,LISTS!$A$2:$E$10,4,FALSE),0))</f>
        <v>0</v>
      </c>
      <c r="U131" s="46">
        <f t="shared" si="24"/>
        <v>0</v>
      </c>
      <c r="V131" s="46">
        <f>IF(L131=1,H131+SETTINGS!$B$5/24,"")</f>
        <v>46309.82708333333</v>
      </c>
      <c r="W131" s="28">
        <f ca="1">IF(L131=1,(V131-SETTINGS!$B$4)*24,"")</f>
        <v>-1.6666666720993817E-2</v>
      </c>
      <c r="X131" s="28">
        <f ca="1">IF(AND(L131=1,K131="OK",M131=0,N131=0,O131=0,P131=0,SETTINGS!$B$4&lt;V131,Q131&lt;SETTINGS!$B$6),1,0)</f>
        <v>0</v>
      </c>
      <c r="Y131" s="28">
        <f ca="1">IF(AND(X131=1,SETTINGS!$B$4&gt;=H131,SETTINGS!$B$4&gt;=U131,ROUND(MOD(SETTINGS!$B$4,1)*1440,0)&gt;=ROUND(SETTINGS!$B$7*1440,0),ROUND(MOD(SETTINGS!$B$4,1)*1440,0)&lt;ROUND(SETTINGS!$B$8*1440,0)),1,0)</f>
        <v>0</v>
      </c>
      <c r="Z131" s="28" t="str">
        <f ca="1">IF(B131="","",IF(ROUND(MOD(SETTINGS!$B$4,1)*1440,0)&lt;ROUND(SETTINGS!$B$11*1440,0),"Ram",IF(ROUND(MOD(SETTINGS!$B$4,1)*1440,0)&gt;=ROUND(SETTINGS!$B$10*1440,0),"Shyam",IF(MOD(IFERROR(VALUE(RIGHT(F131,2)),0),2)=0,"Ram","Shyam"))))</f>
        <v>Shyam</v>
      </c>
      <c r="AA131" s="28">
        <f t="shared" ca="1" si="25"/>
        <v>0</v>
      </c>
      <c r="AB131" s="28">
        <f ca="1">IF(X131=1,COUNTIFS($F$2:F131,F131,$X$2:X131,1),0)</f>
        <v>0</v>
      </c>
      <c r="AC131" s="28" t="str">
        <f>IF(L131=1,IF(IFERROR(INDEX(PARTNERS!$C$2:$C$88,MATCH(B131,PARTNERS!$A$2:$A$88,0)),"")="YES","YES","NO"),"")</f>
        <v>NO</v>
      </c>
      <c r="AD131" s="28" t="str">
        <f>IF(L131=1,IFERROR(INDEX(PARTNERS!$B$2:$B$88,MATCH(B131,PARTNERS!$A$2:$A$88,0)),""),"")</f>
        <v>https://calendly.com/partner003/interview</v>
      </c>
      <c r="AE131" s="28">
        <f ca="1">IF(X131=1,IFERROR(INDEX(SETTINGS!$B$34:$D$36,MATCH(I131,SETTINGS!$A$34:$A$36,0),MIN(Q131,2)+1),SETTINGS!$B$36),0)</f>
        <v>0</v>
      </c>
      <c r="AF131" s="28">
        <f t="shared" si="26"/>
        <v>1</v>
      </c>
      <c r="AG131" s="28">
        <f ca="1">IF(AND(Y131=1,AB131=1),ROUND(AA131*AE131*IF(AF131&gt;1,SETTINGS!$B$16,1)*IF(W131&lt;=SETTINGS!$B$14,SETTINGS!$B$15,1)*IF(AU131=1,SETTINGS!$B$21,1),6),0)</f>
        <v>0</v>
      </c>
      <c r="AH131" s="28" t="str">
        <f ca="1">IF(AG131&gt;0,COUNTIFS($Z$2:$Z$601,Z131,$AG$2:$AG$601,"&gt;"&amp;AG131)+COUNTIFS($Z$2:Z131,Z131,$AG$2:AG131,AG131),"")</f>
        <v/>
      </c>
      <c r="AI131" s="28" t="str">
        <f t="shared" ca="1" si="27"/>
        <v/>
      </c>
      <c r="AJ131" s="28" t="str">
        <f t="shared" ca="1" si="28"/>
        <v/>
      </c>
      <c r="AK131" s="28">
        <f>IF(L131=1,IF(COUNTIFS($F$2:F131,F131,$L$2:L131,1)=1,1,0),0)</f>
        <v>1</v>
      </c>
      <c r="AL131" s="28" t="str">
        <f>IF(B131="","",IF(K131="DUPLICATE","Duplicate (removed)",IF(AO131=1,"Scheduled within 24h",IF(M131=1,"Scheduled late",IF(K131="BAD CONTACT","Bad contact details",IF(O131=1,"Stopped / wrong number",IF(N131=1,"Not interested",IF(P131=1,"Partner has no slots",IF(SETTINGS!$B$4&gt;=V131,IF(Q131=0,"Missed deadline: never tried","Missed deadline: tried, not booked"),IF(Q131&gt;=SETTINGS!$B$6,"No reply after max tries","Open"))))))))))</f>
        <v>Scheduled within 24h</v>
      </c>
      <c r="AM131" s="46">
        <f>IF(M131=1,IF(_xlfn.MINIFS(LOG!$G$2:$G$2001,LOG!$C$2:$C$2001,F131,LOG!$E$2:$E$2001,B131,LOG!$D$2:$D$2001,"*BOOKED")=0,_xlfn.MINIFS(LOG!$G$2:$G$2001,LOG!$C$2:$C$2001,F131,LOG!$E$2:$E$2001,"",LOG!$D$2:$D$2001,"*BOOKED"),IF(_xlfn.MINIFS(LOG!$G$2:$G$2001,LOG!$C$2:$C$2001,F131,LOG!$E$2:$E$2001,"",LOG!$D$2:$D$2001,"*BOOKED")=0,_xlfn.MINIFS(LOG!$G$2:$G$2001,LOG!$C$2:$C$2001,F131,LOG!$E$2:$E$2001,B131,LOG!$D$2:$D$2001,"*BOOKED"),MIN(_xlfn.MINIFS(LOG!$G$2:$G$2001,LOG!$C$2:$C$2001,F131,LOG!$E$2:$E$2001,B131,LOG!$D$2:$D$2001,"*BOOKED"),_xlfn.MINIFS(LOG!$G$2:$G$2001,LOG!$C$2:$C$2001,F131,LOG!$E$2:$E$2001,"",LOG!$D$2:$D$2001,"*BOOKED")))),"")</f>
        <v>46309.36930789789</v>
      </c>
      <c r="AN131" s="28">
        <f t="shared" si="29"/>
        <v>13.013389549450949</v>
      </c>
      <c r="AO131" s="28">
        <f>IF(AND(M131=1,AN131&lt;&gt;""),IF(AN131&lt;=SETTINGS!$B$5,1,0),0)</f>
        <v>1</v>
      </c>
      <c r="AP131" s="28">
        <f>IF(M131=1,IF(COUNTIFS(LOG!$C$2:$C$2001,F131,LOG!$E$2:$E$2001,B131,LOG!$D$2:$D$2001,"BOOKED")+COUNTIFS(LOG!$C$2:$C$2001,F131,LOG!$E$2:$E$2001,"",LOG!$D$2:$D$2001,"BOOKED")&gt;0,1,0),0)</f>
        <v>0</v>
      </c>
      <c r="AQ131" s="28" t="str">
        <f t="shared" si="30"/>
        <v>Karan</v>
      </c>
      <c r="AR131" s="28">
        <f>IF(AND(AK131=1,K131="OK"),COUNTIFS($AK$2:AK131,1,$K$2:K131,"OK"),"")</f>
        <v>123</v>
      </c>
      <c r="AS131" s="28" t="str">
        <f>IF(L131=1,IFERROR(INDEX(MESSAGES!$J$9:$J$1008,MATCH(F131,MESSAGES!$M$9:$M$1008,0))&amp;"",""),"")</f>
        <v/>
      </c>
      <c r="AT131" s="28" t="str">
        <f>IF(L131=1,IFERROR(INDEX(MESSAGES!$K$9:$K$1008,MATCH(F131,MESSAGES!$M$9:$M$1008,0))&amp;"",""),"")</f>
        <v/>
      </c>
      <c r="AU131" s="28">
        <f t="shared" ca="1" si="31"/>
        <v>0</v>
      </c>
      <c r="AV131" s="28" t="str">
        <f t="shared" si="32"/>
        <v>SEND</v>
      </c>
    </row>
    <row r="132" spans="1:48" x14ac:dyDescent="0.35">
      <c r="A132" s="28">
        <v>131</v>
      </c>
      <c r="B132" s="28" t="str">
        <f>IF(INPUT!A132="","",TRIM(INPUT!A132))</f>
        <v>Partner 018</v>
      </c>
      <c r="C132" s="28" t="str">
        <f>IF(B132="","",INPUT!C132)</f>
        <v>interviewer2@partner018.example.com</v>
      </c>
      <c r="D132" s="28" t="str">
        <f>IF(B132="","",INPUT!D132)</f>
        <v>Kabir N.</v>
      </c>
      <c r="E132" s="28" t="str">
        <f>IF(B132="","",INPUT!E132)</f>
        <v>kabir.n362@example.com</v>
      </c>
      <c r="F132" s="43" t="str">
        <f>IF(B132="","",TRIM(INPUT!F132&amp;""))</f>
        <v>9000004713</v>
      </c>
      <c r="G132" s="28" t="str">
        <f>IF(B132="","",INPUT!H132)</f>
        <v>Round1</v>
      </c>
      <c r="H132" s="46">
        <f>IF(B132="","",INPUT!I132)</f>
        <v>46308.82708333333</v>
      </c>
      <c r="I132" s="28" t="str">
        <f>IF(B132="","",IF(INPUT!J132="","None",INPUT!J132))</f>
        <v>None</v>
      </c>
      <c r="J132" s="28" t="str">
        <f t="shared" si="22"/>
        <v>kabir.n362@example.com|partner 018|Round1|interviewer2@partner018.example.com</v>
      </c>
      <c r="K132" s="28" t="str">
        <f>IF(B132="","",IF(SUMPRODUCT(($J$2:$J$601=J132)*($H$2:$H$601&lt;H132))+SUMPRODUCT(($J$2:J132=J132)*($H$2:H132=H132))-1&gt;0,"DUPLICATE",IF(AND(ISNUMBER(SEARCH("@",E132)),ISNUMBER(SEARCH(".",E132)),LEN(F132)=10,ISNUMBER(VALUE(F132))),"OK","BAD CONTACT")))</f>
        <v>OK</v>
      </c>
      <c r="L132" s="28">
        <f t="shared" si="23"/>
        <v>1</v>
      </c>
      <c r="M132" s="28">
        <f>IF(L132=1,IF(COUNTIFS(LOG!$C$2:$C$2001,F132,LOG!$E$2:$E$2001,B132,LOG!$D$2:$D$2001,"*BOOKED")+COUNTIFS(LOG!$C$2:$C$2001,F132,LOG!$E$2:$E$2001,"",LOG!$D$2:$D$2001,"*BOOKED")&gt;0,1,0),0)</f>
        <v>0</v>
      </c>
      <c r="N132" s="28">
        <f>IF(L132=1,IF(COUNTIFS(LOG!$C$2:$C$2001,F132,LOG!$E$2:$E$2001,B132,LOG!$D$2:$D$2001,"NOT_INTERESTED")+COUNTIFS(LOG!$C$2:$C$2001,F132,LOG!$E$2:$E$2001,"",LOG!$D$2:$D$2001,"NOT_INTERESTED")&gt;0,1,0),0)</f>
        <v>0</v>
      </c>
      <c r="O132" s="28">
        <f>IF(L132=1,IF(COUNTIFS(LOG!$C$2:$C$2001,F132,LOG!$D$2:$D$2001,"STOP")+COUNTIFS(LOG!$C$2:$C$2001,F132,LOG!$D$2:$D$2001,"WRONG_NUMBER")&gt;0,1,IF(ISNUMBER(SEARCH("STOP",AT132)),1,0)),0)</f>
        <v>0</v>
      </c>
      <c r="P132" s="28">
        <f>IF(L132=1,IF(IFERROR(INDEX(PARTNERS!$D$2:$D$88,MATCH(B132,PARTNERS!$A$2:$A$88,0)),"")="NO SLOTS",1,IF(AND(IFERROR(INDEX(PARTNERS!$D$2:$D$88,MATCH(B132,PARTNERS!$A$2:$A$88,0)),"")&lt;&gt;"REOPENED",COUNTIFS(LOG!$E$2:$E$2001,B132,LOG!$D$2:$D$2001,"NO_SLOTS")&gt;0),1,0)),0)</f>
        <v>0</v>
      </c>
      <c r="Q132" s="28">
        <f>IF(L132=1,COUNTIFS(LOG!$C$2:$C$2001,F132,LOG!$H$2:$H$2001,1),0)</f>
        <v>0</v>
      </c>
      <c r="R132" s="46">
        <f>IF(Q132&gt;0,_xlfn.MAXIFS(LOG!$G$2:$G$2001,LOG!$C$2:$C$2001,F132,LOG!$H$2:$H$2001,1),0)</f>
        <v>0</v>
      </c>
      <c r="S132" s="28" t="str">
        <f>IF(Q132&gt;0,IFERROR(INDEX(LOG!$D$2:$D$2001,MATCH(F132&amp;"|"&amp;Q132,LOG!$I$2:$I$2001,0)),""),"")</f>
        <v/>
      </c>
      <c r="T132" s="28">
        <f>IF(S132="",0,IFERROR(VLOOKUP(S132,LISTS!$A$2:$E$10,4,FALSE),0))</f>
        <v>0</v>
      </c>
      <c r="U132" s="46">
        <f t="shared" si="24"/>
        <v>0</v>
      </c>
      <c r="V132" s="46">
        <f>IF(L132=1,H132+SETTINGS!$B$5/24,"")</f>
        <v>46309.82708333333</v>
      </c>
      <c r="W132" s="28">
        <f ca="1">IF(L132=1,(V132-SETTINGS!$B$4)*24,"")</f>
        <v>-1.6666666720993817E-2</v>
      </c>
      <c r="X132" s="28">
        <f ca="1">IF(AND(L132=1,K132="OK",M132=0,N132=0,O132=0,P132=0,SETTINGS!$B$4&lt;V132,Q132&lt;SETTINGS!$B$6),1,0)</f>
        <v>0</v>
      </c>
      <c r="Y132" s="28">
        <f ca="1">IF(AND(X132=1,SETTINGS!$B$4&gt;=H132,SETTINGS!$B$4&gt;=U132,ROUND(MOD(SETTINGS!$B$4,1)*1440,0)&gt;=ROUND(SETTINGS!$B$7*1440,0),ROUND(MOD(SETTINGS!$B$4,1)*1440,0)&lt;ROUND(SETTINGS!$B$8*1440,0)),1,0)</f>
        <v>0</v>
      </c>
      <c r="Z132" s="28" t="str">
        <f ca="1">IF(B132="","",IF(ROUND(MOD(SETTINGS!$B$4,1)*1440,0)&lt;ROUND(SETTINGS!$B$11*1440,0),"Ram",IF(ROUND(MOD(SETTINGS!$B$4,1)*1440,0)&gt;=ROUND(SETTINGS!$B$10*1440,0),"Shyam",IF(MOD(IFERROR(VALUE(RIGHT(F132,2)),0),2)=0,"Ram","Shyam"))))</f>
        <v>Shyam</v>
      </c>
      <c r="AA132" s="28">
        <f t="shared" ca="1" si="25"/>
        <v>0</v>
      </c>
      <c r="AB132" s="28">
        <f ca="1">IF(X132=1,COUNTIFS($F$2:F132,F132,$X$2:X132,1),0)</f>
        <v>0</v>
      </c>
      <c r="AC132" s="28" t="str">
        <f>IF(L132=1,IF(IFERROR(INDEX(PARTNERS!$C$2:$C$88,MATCH(B132,PARTNERS!$A$2:$A$88,0)),"")="YES","YES","NO"),"")</f>
        <v>YES</v>
      </c>
      <c r="AD132" s="28" t="str">
        <f>IF(L132=1,IFERROR(INDEX(PARTNERS!$B$2:$B$88,MATCH(B132,PARTNERS!$A$2:$A$88,0)),""),"")</f>
        <v>https://calendly.com/partner018/interview</v>
      </c>
      <c r="AE132" s="28">
        <f ca="1">IF(X132=1,IFERROR(INDEX(SETTINGS!$B$34:$D$36,MATCH(I132,SETTINGS!$A$34:$A$36,0),MIN(Q132,2)+1),SETTINGS!$B$36),0)</f>
        <v>0</v>
      </c>
      <c r="AF132" s="28">
        <f t="shared" si="26"/>
        <v>1</v>
      </c>
      <c r="AG132" s="28">
        <f ca="1">IF(AND(Y132=1,AB132=1),ROUND(AA132*AE132*IF(AF132&gt;1,SETTINGS!$B$16,1)*IF(W132&lt;=SETTINGS!$B$14,SETTINGS!$B$15,1)*IF(AU132=1,SETTINGS!$B$21,1),6),0)</f>
        <v>0</v>
      </c>
      <c r="AH132" s="28" t="str">
        <f ca="1">IF(AG132&gt;0,COUNTIFS($Z$2:$Z$601,Z132,$AG$2:$AG$601,"&gt;"&amp;AG132)+COUNTIFS($Z$2:Z132,Z132,$AG$2:AG132,AG132),"")</f>
        <v/>
      </c>
      <c r="AI132" s="28" t="str">
        <f t="shared" ca="1" si="27"/>
        <v/>
      </c>
      <c r="AJ132" s="28" t="str">
        <f t="shared" ca="1" si="28"/>
        <v/>
      </c>
      <c r="AK132" s="28">
        <f>IF(L132=1,IF(COUNTIFS($F$2:F132,F132,$L$2:L132,1)=1,1,0),0)</f>
        <v>1</v>
      </c>
      <c r="AL132" s="28" t="str">
        <f ca="1">IF(B132="","",IF(K132="DUPLICATE","Duplicate (removed)",IF(AO132=1,"Scheduled within 24h",IF(M132=1,"Scheduled late",IF(K132="BAD CONTACT","Bad contact details",IF(O132=1,"Stopped / wrong number",IF(N132=1,"Not interested",IF(P132=1,"Partner has no slots",IF(SETTINGS!$B$4&gt;=V132,IF(Q132=0,"Missed deadline: never tried","Missed deadline: tried, not booked"),IF(Q132&gt;=SETTINGS!$B$6,"No reply after max tries","Open"))))))))))</f>
        <v>Missed deadline: never tried</v>
      </c>
      <c r="AM132" s="46" t="str">
        <f>IF(M132=1,IF(_xlfn.MINIFS(LOG!$G$2:$G$2001,LOG!$C$2:$C$2001,F132,LOG!$E$2:$E$2001,B132,LOG!$D$2:$D$2001,"*BOOKED")=0,_xlfn.MINIFS(LOG!$G$2:$G$2001,LOG!$C$2:$C$2001,F132,LOG!$E$2:$E$2001,"",LOG!$D$2:$D$2001,"*BOOKED"),IF(_xlfn.MINIFS(LOG!$G$2:$G$2001,LOG!$C$2:$C$2001,F132,LOG!$E$2:$E$2001,"",LOG!$D$2:$D$2001,"*BOOKED")=0,_xlfn.MINIFS(LOG!$G$2:$G$2001,LOG!$C$2:$C$2001,F132,LOG!$E$2:$E$2001,B132,LOG!$D$2:$D$2001,"*BOOKED"),MIN(_xlfn.MINIFS(LOG!$G$2:$G$2001,LOG!$C$2:$C$2001,F132,LOG!$E$2:$E$2001,B132,LOG!$D$2:$D$2001,"*BOOKED"),_xlfn.MINIFS(LOG!$G$2:$G$2001,LOG!$C$2:$C$2001,F132,LOG!$E$2:$E$2001,"",LOG!$D$2:$D$2001,"*BOOKED")))),"")</f>
        <v/>
      </c>
      <c r="AN132" s="28" t="str">
        <f t="shared" si="29"/>
        <v/>
      </c>
      <c r="AO132" s="28">
        <f>IF(AND(M132=1,AN132&lt;&gt;""),IF(AN132&lt;=SETTINGS!$B$5,1,0),0)</f>
        <v>0</v>
      </c>
      <c r="AP132" s="28">
        <f>IF(M132=1,IF(COUNTIFS(LOG!$C$2:$C$2001,F132,LOG!$E$2:$E$2001,B132,LOG!$D$2:$D$2001,"BOOKED")+COUNTIFS(LOG!$C$2:$C$2001,F132,LOG!$E$2:$E$2001,"",LOG!$D$2:$D$2001,"BOOKED")&gt;0,1,0),0)</f>
        <v>0</v>
      </c>
      <c r="AQ132" s="28" t="str">
        <f t="shared" si="30"/>
        <v>Kabir</v>
      </c>
      <c r="AR132" s="28">
        <f>IF(AND(AK132=1,K132="OK"),COUNTIFS($AK$2:AK132,1,$K$2:K132,"OK"),"")</f>
        <v>124</v>
      </c>
      <c r="AS132" s="28" t="str">
        <f>IF(L132=1,IFERROR(INDEX(MESSAGES!$J$9:$J$1008,MATCH(F132,MESSAGES!$M$9:$M$1008,0))&amp;"",""),"")</f>
        <v/>
      </c>
      <c r="AT132" s="28" t="str">
        <f>IF(L132=1,IFERROR(INDEX(MESSAGES!$K$9:$K$1008,MATCH(F132,MESSAGES!$M$9:$M$1008,0))&amp;"",""),"")</f>
        <v/>
      </c>
      <c r="AU132" s="28">
        <f t="shared" ca="1" si="31"/>
        <v>0</v>
      </c>
      <c r="AV132" s="28" t="str">
        <f t="shared" si="32"/>
        <v>HOLD</v>
      </c>
    </row>
    <row r="133" spans="1:48" x14ac:dyDescent="0.35">
      <c r="A133" s="28">
        <v>132</v>
      </c>
      <c r="B133" s="28" t="str">
        <f>IF(INPUT!A133="","",TRIM(INPUT!A133))</f>
        <v>Partner 000</v>
      </c>
      <c r="C133" s="28" t="str">
        <f>IF(B133="","",INPUT!C133)</f>
        <v>interviewer0@partner000.example.com</v>
      </c>
      <c r="D133" s="28" t="str">
        <f>IF(B133="","",INPUT!D133)</f>
        <v>Neil G.</v>
      </c>
      <c r="E133" s="28" t="str">
        <f>IF(B133="","",INPUT!E133)</f>
        <v>neil.g198@example.com</v>
      </c>
      <c r="F133" s="43" t="str">
        <f>IF(B133="","",TRIM(INPUT!F133&amp;""))</f>
        <v>9000002581</v>
      </c>
      <c r="G133" s="28" t="str">
        <f>IF(B133="","",INPUT!H133)</f>
        <v>Round1</v>
      </c>
      <c r="H133" s="46">
        <f>IF(B133="","",INPUT!I133)</f>
        <v>46308.82708333333</v>
      </c>
      <c r="I133" s="28" t="str">
        <f>IF(B133="","",IF(INPUT!J133="","None",INPUT!J133))</f>
        <v>Clicked</v>
      </c>
      <c r="J133" s="28" t="str">
        <f t="shared" si="22"/>
        <v>neil.g198@example.com|partner 000|Round1|interviewer0@partner000.example.com</v>
      </c>
      <c r="K133" s="28" t="str">
        <f>IF(B133="","",IF(SUMPRODUCT(($J$2:$J$601=J133)*($H$2:$H$601&lt;H133))+SUMPRODUCT(($J$2:J133=J133)*($H$2:H133=H133))-1&gt;0,"DUPLICATE",IF(AND(ISNUMBER(SEARCH("@",E133)),ISNUMBER(SEARCH(".",E133)),LEN(F133)=10,ISNUMBER(VALUE(F133))),"OK","BAD CONTACT")))</f>
        <v>OK</v>
      </c>
      <c r="L133" s="28">
        <f t="shared" si="23"/>
        <v>1</v>
      </c>
      <c r="M133" s="28">
        <f>IF(L133=1,IF(COUNTIFS(LOG!$C$2:$C$2001,F133,LOG!$E$2:$E$2001,B133,LOG!$D$2:$D$2001,"*BOOKED")+COUNTIFS(LOG!$C$2:$C$2001,F133,LOG!$E$2:$E$2001,"",LOG!$D$2:$D$2001,"*BOOKED")&gt;0,1,0),0)</f>
        <v>1</v>
      </c>
      <c r="N133" s="28">
        <f>IF(L133=1,IF(COUNTIFS(LOG!$C$2:$C$2001,F133,LOG!$E$2:$E$2001,B133,LOG!$D$2:$D$2001,"NOT_INTERESTED")+COUNTIFS(LOG!$C$2:$C$2001,F133,LOG!$E$2:$E$2001,"",LOG!$D$2:$D$2001,"NOT_INTERESTED")&gt;0,1,0),0)</f>
        <v>0</v>
      </c>
      <c r="O133" s="28">
        <f>IF(L133=1,IF(COUNTIFS(LOG!$C$2:$C$2001,F133,LOG!$D$2:$D$2001,"STOP")+COUNTIFS(LOG!$C$2:$C$2001,F133,LOG!$D$2:$D$2001,"WRONG_NUMBER")&gt;0,1,IF(ISNUMBER(SEARCH("STOP",AT133)),1,0)),0)</f>
        <v>0</v>
      </c>
      <c r="P133" s="28">
        <f>IF(L133=1,IF(IFERROR(INDEX(PARTNERS!$D$2:$D$88,MATCH(B133,PARTNERS!$A$2:$A$88,0)),"")="NO SLOTS",1,IF(AND(IFERROR(INDEX(PARTNERS!$D$2:$D$88,MATCH(B133,PARTNERS!$A$2:$A$88,0)),"")&lt;&gt;"REOPENED",COUNTIFS(LOG!$E$2:$E$2001,B133,LOG!$D$2:$D$2001,"NO_SLOTS")&gt;0),1,0)),0)</f>
        <v>0</v>
      </c>
      <c r="Q133" s="28">
        <f>IF(L133=1,COUNTIFS(LOG!$C$2:$C$2001,F133,LOG!$H$2:$H$2001,1),0)</f>
        <v>0</v>
      </c>
      <c r="R133" s="46">
        <f>IF(Q133&gt;0,_xlfn.MAXIFS(LOG!$G$2:$G$2001,LOG!$C$2:$C$2001,F133,LOG!$H$2:$H$2001,1),0)</f>
        <v>0</v>
      </c>
      <c r="S133" s="28" t="str">
        <f>IF(Q133&gt;0,IFERROR(INDEX(LOG!$D$2:$D$2001,MATCH(F133&amp;"|"&amp;Q133,LOG!$I$2:$I$2001,0)),""),"")</f>
        <v/>
      </c>
      <c r="T133" s="28">
        <f>IF(S133="",0,IFERROR(VLOOKUP(S133,LISTS!$A$2:$E$10,4,FALSE),0))</f>
        <v>0</v>
      </c>
      <c r="U133" s="46">
        <f t="shared" si="24"/>
        <v>0</v>
      </c>
      <c r="V133" s="46">
        <f>IF(L133=1,H133+SETTINGS!$B$5/24,"")</f>
        <v>46309.82708333333</v>
      </c>
      <c r="W133" s="28">
        <f ca="1">IF(L133=1,(V133-SETTINGS!$B$4)*24,"")</f>
        <v>-1.6666666720993817E-2</v>
      </c>
      <c r="X133" s="28">
        <f ca="1">IF(AND(L133=1,K133="OK",M133=0,N133=0,O133=0,P133=0,SETTINGS!$B$4&lt;V133,Q133&lt;SETTINGS!$B$6),1,0)</f>
        <v>0</v>
      </c>
      <c r="Y133" s="28">
        <f ca="1">IF(AND(X133=1,SETTINGS!$B$4&gt;=H133,SETTINGS!$B$4&gt;=U133,ROUND(MOD(SETTINGS!$B$4,1)*1440,0)&gt;=ROUND(SETTINGS!$B$7*1440,0),ROUND(MOD(SETTINGS!$B$4,1)*1440,0)&lt;ROUND(SETTINGS!$B$8*1440,0)),1,0)</f>
        <v>0</v>
      </c>
      <c r="Z133" s="28" t="str">
        <f ca="1">IF(B133="","",IF(ROUND(MOD(SETTINGS!$B$4,1)*1440,0)&lt;ROUND(SETTINGS!$B$11*1440,0),"Ram",IF(ROUND(MOD(SETTINGS!$B$4,1)*1440,0)&gt;=ROUND(SETTINGS!$B$10*1440,0),"Shyam",IF(MOD(IFERROR(VALUE(RIGHT(F133,2)),0),2)=0,"Ram","Shyam"))))</f>
        <v>Shyam</v>
      </c>
      <c r="AA133" s="28">
        <f t="shared" ca="1" si="25"/>
        <v>0</v>
      </c>
      <c r="AB133" s="28">
        <f ca="1">IF(X133=1,COUNTIFS($F$2:F133,F133,$X$2:X133,1),0)</f>
        <v>0</v>
      </c>
      <c r="AC133" s="28" t="str">
        <f>IF(L133=1,IF(IFERROR(INDEX(PARTNERS!$C$2:$C$88,MATCH(B133,PARTNERS!$A$2:$A$88,0)),"")="YES","YES","NO"),"")</f>
        <v>NO</v>
      </c>
      <c r="AD133" s="28" t="str">
        <f>IF(L133=1,IFERROR(INDEX(PARTNERS!$B$2:$B$88,MATCH(B133,PARTNERS!$A$2:$A$88,0)),""),"")</f>
        <v>https://calendly.com/partner000/interview</v>
      </c>
      <c r="AE133" s="28">
        <f ca="1">IF(X133=1,IFERROR(INDEX(SETTINGS!$B$34:$D$36,MATCH(I133,SETTINGS!$A$34:$A$36,0),MIN(Q133,2)+1),SETTINGS!$B$36),0)</f>
        <v>0</v>
      </c>
      <c r="AF133" s="28">
        <f t="shared" si="26"/>
        <v>1</v>
      </c>
      <c r="AG133" s="28">
        <f ca="1">IF(AND(Y133=1,AB133=1),ROUND(AA133*AE133*IF(AF133&gt;1,SETTINGS!$B$16,1)*IF(W133&lt;=SETTINGS!$B$14,SETTINGS!$B$15,1)*IF(AU133=1,SETTINGS!$B$21,1),6),0)</f>
        <v>0</v>
      </c>
      <c r="AH133" s="28" t="str">
        <f ca="1">IF(AG133&gt;0,COUNTIFS($Z$2:$Z$601,Z133,$AG$2:$AG$601,"&gt;"&amp;AG133)+COUNTIFS($Z$2:Z133,Z133,$AG$2:AG133,AG133),"")</f>
        <v/>
      </c>
      <c r="AI133" s="28" t="str">
        <f t="shared" ca="1" si="27"/>
        <v/>
      </c>
      <c r="AJ133" s="28" t="str">
        <f t="shared" ca="1" si="28"/>
        <v/>
      </c>
      <c r="AK133" s="28">
        <f>IF(L133=1,IF(COUNTIFS($F$2:F133,F133,$L$2:L133,1)=1,1,0),0)</f>
        <v>1</v>
      </c>
      <c r="AL133" s="28" t="str">
        <f>IF(B133="","",IF(K133="DUPLICATE","Duplicate (removed)",IF(AO133=1,"Scheduled within 24h",IF(M133=1,"Scheduled late",IF(K133="BAD CONTACT","Bad contact details",IF(O133=1,"Stopped / wrong number",IF(N133=1,"Not interested",IF(P133=1,"Partner has no slots",IF(SETTINGS!$B$4&gt;=V133,IF(Q133=0,"Missed deadline: never tried","Missed deadline: tried, not booked"),IF(Q133&gt;=SETTINGS!$B$6,"No reply after max tries","Open"))))))))))</f>
        <v>Scheduled within 24h</v>
      </c>
      <c r="AM133" s="46">
        <f>IF(M133=1,IF(_xlfn.MINIFS(LOG!$G$2:$G$2001,LOG!$C$2:$C$2001,F133,LOG!$E$2:$E$2001,B133,LOG!$D$2:$D$2001,"*BOOKED")=0,_xlfn.MINIFS(LOG!$G$2:$G$2001,LOG!$C$2:$C$2001,F133,LOG!$E$2:$E$2001,"",LOG!$D$2:$D$2001,"*BOOKED"),IF(_xlfn.MINIFS(LOG!$G$2:$G$2001,LOG!$C$2:$C$2001,F133,LOG!$E$2:$E$2001,"",LOG!$D$2:$D$2001,"*BOOKED")=0,_xlfn.MINIFS(LOG!$G$2:$G$2001,LOG!$C$2:$C$2001,F133,LOG!$E$2:$E$2001,B133,LOG!$D$2:$D$2001,"*BOOKED"),MIN(_xlfn.MINIFS(LOG!$G$2:$G$2001,LOG!$C$2:$C$2001,F133,LOG!$E$2:$E$2001,B133,LOG!$D$2:$D$2001,"*BOOKED"),_xlfn.MINIFS(LOG!$G$2:$G$2001,LOG!$C$2:$C$2001,F133,LOG!$E$2:$E$2001,"",LOG!$D$2:$D$2001,"*BOOKED")))),"")</f>
        <v>46309.435277758159</v>
      </c>
      <c r="AN133" s="28">
        <f t="shared" si="29"/>
        <v>14.596666195895523</v>
      </c>
      <c r="AO133" s="28">
        <f>IF(AND(M133=1,AN133&lt;&gt;""),IF(AN133&lt;=SETTINGS!$B$5,1,0),0)</f>
        <v>1</v>
      </c>
      <c r="AP133" s="28">
        <f>IF(M133=1,IF(COUNTIFS(LOG!$C$2:$C$2001,F133,LOG!$E$2:$E$2001,B133,LOG!$D$2:$D$2001,"BOOKED")+COUNTIFS(LOG!$C$2:$C$2001,F133,LOG!$E$2:$E$2001,"",LOG!$D$2:$D$2001,"BOOKED")&gt;0,1,0),0)</f>
        <v>0</v>
      </c>
      <c r="AQ133" s="28" t="str">
        <f t="shared" si="30"/>
        <v>Neil</v>
      </c>
      <c r="AR133" s="28">
        <f>IF(AND(AK133=1,K133="OK"),COUNTIFS($AK$2:AK133,1,$K$2:K133,"OK"),"")</f>
        <v>125</v>
      </c>
      <c r="AS133" s="28" t="str">
        <f>IF(L133=1,IFERROR(INDEX(MESSAGES!$J$9:$J$1008,MATCH(F133,MESSAGES!$M$9:$M$1008,0))&amp;"",""),"")</f>
        <v/>
      </c>
      <c r="AT133" s="28" t="str">
        <f>IF(L133=1,IFERROR(INDEX(MESSAGES!$K$9:$K$1008,MATCH(F133,MESSAGES!$M$9:$M$1008,0))&amp;"",""),"")</f>
        <v/>
      </c>
      <c r="AU133" s="28">
        <f t="shared" ca="1" si="31"/>
        <v>0</v>
      </c>
      <c r="AV133" s="28" t="str">
        <f t="shared" si="32"/>
        <v>SEND</v>
      </c>
    </row>
    <row r="134" spans="1:48" x14ac:dyDescent="0.35">
      <c r="A134" s="28">
        <v>133</v>
      </c>
      <c r="B134" s="28" t="str">
        <f>IF(INPUT!A134="","",TRIM(INPUT!A134))</f>
        <v>Partner 017</v>
      </c>
      <c r="C134" s="28" t="str">
        <f>IF(B134="","",INPUT!C134)</f>
        <v>interviewer1@partner017.example.com</v>
      </c>
      <c r="D134" s="28" t="str">
        <f>IF(B134="","",INPUT!D134)</f>
        <v>Rahul J.</v>
      </c>
      <c r="E134" s="28" t="str">
        <f>IF(B134="","",INPUT!E134)</f>
        <v>rahul.j266@example.com</v>
      </c>
      <c r="F134" s="43" t="str">
        <f>IF(B134="","",TRIM(INPUT!F134&amp;""))</f>
        <v>9000003465</v>
      </c>
      <c r="G134" s="28" t="str">
        <f>IF(B134="","",INPUT!H134)</f>
        <v>Round1</v>
      </c>
      <c r="H134" s="46">
        <f>IF(B134="","",INPUT!I134)</f>
        <v>46308.82708333333</v>
      </c>
      <c r="I134" s="28" t="str">
        <f>IF(B134="","",IF(INPUT!J134="","None",INPUT!J134))</f>
        <v>Opened</v>
      </c>
      <c r="J134" s="28" t="str">
        <f t="shared" si="22"/>
        <v>rahul.j266@example.com|partner 017|Round1|interviewer1@partner017.example.com</v>
      </c>
      <c r="K134" s="28" t="str">
        <f>IF(B134="","",IF(SUMPRODUCT(($J$2:$J$601=J134)*($H$2:$H$601&lt;H134))+SUMPRODUCT(($J$2:J134=J134)*($H$2:H134=H134))-1&gt;0,"DUPLICATE",IF(AND(ISNUMBER(SEARCH("@",E134)),ISNUMBER(SEARCH(".",E134)),LEN(F134)=10,ISNUMBER(VALUE(F134))),"OK","BAD CONTACT")))</f>
        <v>OK</v>
      </c>
      <c r="L134" s="28">
        <f t="shared" si="23"/>
        <v>1</v>
      </c>
      <c r="M134" s="28">
        <f>IF(L134=1,IF(COUNTIFS(LOG!$C$2:$C$2001,F134,LOG!$E$2:$E$2001,B134,LOG!$D$2:$D$2001,"*BOOKED")+COUNTIFS(LOG!$C$2:$C$2001,F134,LOG!$E$2:$E$2001,"",LOG!$D$2:$D$2001,"*BOOKED")&gt;0,1,0),0)</f>
        <v>0</v>
      </c>
      <c r="N134" s="28">
        <f>IF(L134=1,IF(COUNTIFS(LOG!$C$2:$C$2001,F134,LOG!$E$2:$E$2001,B134,LOG!$D$2:$D$2001,"NOT_INTERESTED")+COUNTIFS(LOG!$C$2:$C$2001,F134,LOG!$E$2:$E$2001,"",LOG!$D$2:$D$2001,"NOT_INTERESTED")&gt;0,1,0),0)</f>
        <v>0</v>
      </c>
      <c r="O134" s="28">
        <f>IF(L134=1,IF(COUNTIFS(LOG!$C$2:$C$2001,F134,LOG!$D$2:$D$2001,"STOP")+COUNTIFS(LOG!$C$2:$C$2001,F134,LOG!$D$2:$D$2001,"WRONG_NUMBER")&gt;0,1,IF(ISNUMBER(SEARCH("STOP",AT134)),1,0)),0)</f>
        <v>0</v>
      </c>
      <c r="P134" s="28">
        <f>IF(L134=1,IF(IFERROR(INDEX(PARTNERS!$D$2:$D$88,MATCH(B134,PARTNERS!$A$2:$A$88,0)),"")="NO SLOTS",1,IF(AND(IFERROR(INDEX(PARTNERS!$D$2:$D$88,MATCH(B134,PARTNERS!$A$2:$A$88,0)),"")&lt;&gt;"REOPENED",COUNTIFS(LOG!$E$2:$E$2001,B134,LOG!$D$2:$D$2001,"NO_SLOTS")&gt;0),1,0)),0)</f>
        <v>0</v>
      </c>
      <c r="Q134" s="28">
        <f>IF(L134=1,COUNTIFS(LOG!$C$2:$C$2001,F134,LOG!$H$2:$H$2001,1),0)</f>
        <v>0</v>
      </c>
      <c r="R134" s="46">
        <f>IF(Q134&gt;0,_xlfn.MAXIFS(LOG!$G$2:$G$2001,LOG!$C$2:$C$2001,F134,LOG!$H$2:$H$2001,1),0)</f>
        <v>0</v>
      </c>
      <c r="S134" s="28" t="str">
        <f>IF(Q134&gt;0,IFERROR(INDEX(LOG!$D$2:$D$2001,MATCH(F134&amp;"|"&amp;Q134,LOG!$I$2:$I$2001,0)),""),"")</f>
        <v/>
      </c>
      <c r="T134" s="28">
        <f>IF(S134="",0,IFERROR(VLOOKUP(S134,LISTS!$A$2:$E$10,4,FALSE),0))</f>
        <v>0</v>
      </c>
      <c r="U134" s="46">
        <f t="shared" si="24"/>
        <v>0</v>
      </c>
      <c r="V134" s="46">
        <f>IF(L134=1,H134+SETTINGS!$B$5/24,"")</f>
        <v>46309.82708333333</v>
      </c>
      <c r="W134" s="28">
        <f ca="1">IF(L134=1,(V134-SETTINGS!$B$4)*24,"")</f>
        <v>-1.6666666720993817E-2</v>
      </c>
      <c r="X134" s="28">
        <f ca="1">IF(AND(L134=1,K134="OK",M134=0,N134=0,O134=0,P134=0,SETTINGS!$B$4&lt;V134,Q134&lt;SETTINGS!$B$6),1,0)</f>
        <v>0</v>
      </c>
      <c r="Y134" s="28">
        <f ca="1">IF(AND(X134=1,SETTINGS!$B$4&gt;=H134,SETTINGS!$B$4&gt;=U134,ROUND(MOD(SETTINGS!$B$4,1)*1440,0)&gt;=ROUND(SETTINGS!$B$7*1440,0),ROUND(MOD(SETTINGS!$B$4,1)*1440,0)&lt;ROUND(SETTINGS!$B$8*1440,0)),1,0)</f>
        <v>0</v>
      </c>
      <c r="Z134" s="28" t="str">
        <f ca="1">IF(B134="","",IF(ROUND(MOD(SETTINGS!$B$4,1)*1440,0)&lt;ROUND(SETTINGS!$B$11*1440,0),"Ram",IF(ROUND(MOD(SETTINGS!$B$4,1)*1440,0)&gt;=ROUND(SETTINGS!$B$10*1440,0),"Shyam",IF(MOD(IFERROR(VALUE(RIGHT(F134,2)),0),2)=0,"Ram","Shyam"))))</f>
        <v>Shyam</v>
      </c>
      <c r="AA134" s="28">
        <f t="shared" ca="1" si="25"/>
        <v>0</v>
      </c>
      <c r="AB134" s="28">
        <f ca="1">IF(X134=1,COUNTIFS($F$2:F134,F134,$X$2:X134,1),0)</f>
        <v>0</v>
      </c>
      <c r="AC134" s="28" t="str">
        <f>IF(L134=1,IF(IFERROR(INDEX(PARTNERS!$C$2:$C$88,MATCH(B134,PARTNERS!$A$2:$A$88,0)),"")="YES","YES","NO"),"")</f>
        <v>YES</v>
      </c>
      <c r="AD134" s="28" t="str">
        <f>IF(L134=1,IFERROR(INDEX(PARTNERS!$B$2:$B$88,MATCH(B134,PARTNERS!$A$2:$A$88,0)),""),"")</f>
        <v>https://calendly.com/partner017/interview</v>
      </c>
      <c r="AE134" s="28">
        <f ca="1">IF(X134=1,IFERROR(INDEX(SETTINGS!$B$34:$D$36,MATCH(I134,SETTINGS!$A$34:$A$36,0),MIN(Q134,2)+1),SETTINGS!$B$36),0)</f>
        <v>0</v>
      </c>
      <c r="AF134" s="28">
        <f t="shared" si="26"/>
        <v>1</v>
      </c>
      <c r="AG134" s="28">
        <f ca="1">IF(AND(Y134=1,AB134=1),ROUND(AA134*AE134*IF(AF134&gt;1,SETTINGS!$B$16,1)*IF(W134&lt;=SETTINGS!$B$14,SETTINGS!$B$15,1)*IF(AU134=1,SETTINGS!$B$21,1),6),0)</f>
        <v>0</v>
      </c>
      <c r="AH134" s="28" t="str">
        <f ca="1">IF(AG134&gt;0,COUNTIFS($Z$2:$Z$601,Z134,$AG$2:$AG$601,"&gt;"&amp;AG134)+COUNTIFS($Z$2:Z134,Z134,$AG$2:AG134,AG134),"")</f>
        <v/>
      </c>
      <c r="AI134" s="28" t="str">
        <f t="shared" ca="1" si="27"/>
        <v/>
      </c>
      <c r="AJ134" s="28" t="str">
        <f t="shared" ca="1" si="28"/>
        <v/>
      </c>
      <c r="AK134" s="28">
        <f>IF(L134=1,IF(COUNTIFS($F$2:F134,F134,$L$2:L134,1)=1,1,0),0)</f>
        <v>1</v>
      </c>
      <c r="AL134" s="28" t="str">
        <f ca="1">IF(B134="","",IF(K134="DUPLICATE","Duplicate (removed)",IF(AO134=1,"Scheduled within 24h",IF(M134=1,"Scheduled late",IF(K134="BAD CONTACT","Bad contact details",IF(O134=1,"Stopped / wrong number",IF(N134=1,"Not interested",IF(P134=1,"Partner has no slots",IF(SETTINGS!$B$4&gt;=V134,IF(Q134=0,"Missed deadline: never tried","Missed deadline: tried, not booked"),IF(Q134&gt;=SETTINGS!$B$6,"No reply after max tries","Open"))))))))))</f>
        <v>Missed deadline: never tried</v>
      </c>
      <c r="AM134" s="46" t="str">
        <f>IF(M134=1,IF(_xlfn.MINIFS(LOG!$G$2:$G$2001,LOG!$C$2:$C$2001,F134,LOG!$E$2:$E$2001,B134,LOG!$D$2:$D$2001,"*BOOKED")=0,_xlfn.MINIFS(LOG!$G$2:$G$2001,LOG!$C$2:$C$2001,F134,LOG!$E$2:$E$2001,"",LOG!$D$2:$D$2001,"*BOOKED"),IF(_xlfn.MINIFS(LOG!$G$2:$G$2001,LOG!$C$2:$C$2001,F134,LOG!$E$2:$E$2001,"",LOG!$D$2:$D$2001,"*BOOKED")=0,_xlfn.MINIFS(LOG!$G$2:$G$2001,LOG!$C$2:$C$2001,F134,LOG!$E$2:$E$2001,B134,LOG!$D$2:$D$2001,"*BOOKED"),MIN(_xlfn.MINIFS(LOG!$G$2:$G$2001,LOG!$C$2:$C$2001,F134,LOG!$E$2:$E$2001,B134,LOG!$D$2:$D$2001,"*BOOKED"),_xlfn.MINIFS(LOG!$G$2:$G$2001,LOG!$C$2:$C$2001,F134,LOG!$E$2:$E$2001,"",LOG!$D$2:$D$2001,"*BOOKED")))),"")</f>
        <v/>
      </c>
      <c r="AN134" s="28" t="str">
        <f t="shared" si="29"/>
        <v/>
      </c>
      <c r="AO134" s="28">
        <f>IF(AND(M134=1,AN134&lt;&gt;""),IF(AN134&lt;=SETTINGS!$B$5,1,0),0)</f>
        <v>0</v>
      </c>
      <c r="AP134" s="28">
        <f>IF(M134=1,IF(COUNTIFS(LOG!$C$2:$C$2001,F134,LOG!$E$2:$E$2001,B134,LOG!$D$2:$D$2001,"BOOKED")+COUNTIFS(LOG!$C$2:$C$2001,F134,LOG!$E$2:$E$2001,"",LOG!$D$2:$D$2001,"BOOKED")&gt;0,1,0),0)</f>
        <v>0</v>
      </c>
      <c r="AQ134" s="28" t="str">
        <f t="shared" si="30"/>
        <v>Rahul</v>
      </c>
      <c r="AR134" s="28">
        <f>IF(AND(AK134=1,K134="OK"),COUNTIFS($AK$2:AK134,1,$K$2:K134,"OK"),"")</f>
        <v>126</v>
      </c>
      <c r="AS134" s="28" t="str">
        <f>IF(L134=1,IFERROR(INDEX(MESSAGES!$J$9:$J$1008,MATCH(F134,MESSAGES!$M$9:$M$1008,0))&amp;"",""),"")</f>
        <v/>
      </c>
      <c r="AT134" s="28" t="str">
        <f>IF(L134=1,IFERROR(INDEX(MESSAGES!$K$9:$K$1008,MATCH(F134,MESSAGES!$M$9:$M$1008,0))&amp;"",""),"")</f>
        <v/>
      </c>
      <c r="AU134" s="28">
        <f t="shared" ca="1" si="31"/>
        <v>0</v>
      </c>
      <c r="AV134" s="28" t="str">
        <f t="shared" si="32"/>
        <v>SEND</v>
      </c>
    </row>
    <row r="135" spans="1:48" x14ac:dyDescent="0.35">
      <c r="A135" s="28">
        <v>134</v>
      </c>
      <c r="B135" s="28" t="str">
        <f>IF(INPUT!A135="","",TRIM(INPUT!A135))</f>
        <v>Partner 001</v>
      </c>
      <c r="C135" s="28" t="str">
        <f>IF(B135="","",INPUT!C135)</f>
        <v>interviewer1@partner001.example.com</v>
      </c>
      <c r="D135" s="28" t="str">
        <f>IF(B135="","",INPUT!D135)</f>
        <v>Tara K.</v>
      </c>
      <c r="E135" s="28" t="str">
        <f>IF(B135="","",INPUT!E135)</f>
        <v>tara.k285example.com</v>
      </c>
      <c r="F135" s="43" t="str">
        <f>IF(B135="","",TRIM(INPUT!F135&amp;""))</f>
        <v>9000003712</v>
      </c>
      <c r="G135" s="28" t="str">
        <f>IF(B135="","",INPUT!H135)</f>
        <v>Round1</v>
      </c>
      <c r="H135" s="46">
        <f>IF(B135="","",INPUT!I135)</f>
        <v>46308.82708333333</v>
      </c>
      <c r="I135" s="28" t="str">
        <f>IF(B135="","",IF(INPUT!J135="","None",INPUT!J135))</f>
        <v>Clicked</v>
      </c>
      <c r="J135" s="28" t="str">
        <f t="shared" si="22"/>
        <v>tara.k285example.com|partner 001|Round1|interviewer1@partner001.example.com</v>
      </c>
      <c r="K135" s="28" t="str">
        <f>IF(B135="","",IF(SUMPRODUCT(($J$2:$J$601=J135)*($H$2:$H$601&lt;H135))+SUMPRODUCT(($J$2:J135=J135)*($H$2:H135=H135))-1&gt;0,"DUPLICATE",IF(AND(ISNUMBER(SEARCH("@",E135)),ISNUMBER(SEARCH(".",E135)),LEN(F135)=10,ISNUMBER(VALUE(F135))),"OK","BAD CONTACT")))</f>
        <v>BAD CONTACT</v>
      </c>
      <c r="L135" s="28">
        <f t="shared" si="23"/>
        <v>1</v>
      </c>
      <c r="M135" s="28">
        <f>IF(L135=1,IF(COUNTIFS(LOG!$C$2:$C$2001,F135,LOG!$E$2:$E$2001,B135,LOG!$D$2:$D$2001,"*BOOKED")+COUNTIFS(LOG!$C$2:$C$2001,F135,LOG!$E$2:$E$2001,"",LOG!$D$2:$D$2001,"*BOOKED")&gt;0,1,0),0)</f>
        <v>0</v>
      </c>
      <c r="N135" s="28">
        <f>IF(L135=1,IF(COUNTIFS(LOG!$C$2:$C$2001,F135,LOG!$E$2:$E$2001,B135,LOG!$D$2:$D$2001,"NOT_INTERESTED")+COUNTIFS(LOG!$C$2:$C$2001,F135,LOG!$E$2:$E$2001,"",LOG!$D$2:$D$2001,"NOT_INTERESTED")&gt;0,1,0),0)</f>
        <v>0</v>
      </c>
      <c r="O135" s="28">
        <f>IF(L135=1,IF(COUNTIFS(LOG!$C$2:$C$2001,F135,LOG!$D$2:$D$2001,"STOP")+COUNTIFS(LOG!$C$2:$C$2001,F135,LOG!$D$2:$D$2001,"WRONG_NUMBER")&gt;0,1,IF(ISNUMBER(SEARCH("STOP",AT135)),1,0)),0)</f>
        <v>0</v>
      </c>
      <c r="P135" s="28">
        <f>IF(L135=1,IF(IFERROR(INDEX(PARTNERS!$D$2:$D$88,MATCH(B135,PARTNERS!$A$2:$A$88,0)),"")="NO SLOTS",1,IF(AND(IFERROR(INDEX(PARTNERS!$D$2:$D$88,MATCH(B135,PARTNERS!$A$2:$A$88,0)),"")&lt;&gt;"REOPENED",COUNTIFS(LOG!$E$2:$E$2001,B135,LOG!$D$2:$D$2001,"NO_SLOTS")&gt;0),1,0)),0)</f>
        <v>0</v>
      </c>
      <c r="Q135" s="28">
        <f>IF(L135=1,COUNTIFS(LOG!$C$2:$C$2001,F135,LOG!$H$2:$H$2001,1),0)</f>
        <v>0</v>
      </c>
      <c r="R135" s="46">
        <f>IF(Q135&gt;0,_xlfn.MAXIFS(LOG!$G$2:$G$2001,LOG!$C$2:$C$2001,F135,LOG!$H$2:$H$2001,1),0)</f>
        <v>0</v>
      </c>
      <c r="S135" s="28" t="str">
        <f>IF(Q135&gt;0,IFERROR(INDEX(LOG!$D$2:$D$2001,MATCH(F135&amp;"|"&amp;Q135,LOG!$I$2:$I$2001,0)),""),"")</f>
        <v/>
      </c>
      <c r="T135" s="28">
        <f>IF(S135="",0,IFERROR(VLOOKUP(S135,LISTS!$A$2:$E$10,4,FALSE),0))</f>
        <v>0</v>
      </c>
      <c r="U135" s="46">
        <f t="shared" si="24"/>
        <v>0</v>
      </c>
      <c r="V135" s="46">
        <f>IF(L135=1,H135+SETTINGS!$B$5/24,"")</f>
        <v>46309.82708333333</v>
      </c>
      <c r="W135" s="28">
        <f ca="1">IF(L135=1,(V135-SETTINGS!$B$4)*24,"")</f>
        <v>-1.6666666720993817E-2</v>
      </c>
      <c r="X135" s="28">
        <f ca="1">IF(AND(L135=1,K135="OK",M135=0,N135=0,O135=0,P135=0,SETTINGS!$B$4&lt;V135,Q135&lt;SETTINGS!$B$6),1,0)</f>
        <v>0</v>
      </c>
      <c r="Y135" s="28">
        <f ca="1">IF(AND(X135=1,SETTINGS!$B$4&gt;=H135,SETTINGS!$B$4&gt;=U135,ROUND(MOD(SETTINGS!$B$4,1)*1440,0)&gt;=ROUND(SETTINGS!$B$7*1440,0),ROUND(MOD(SETTINGS!$B$4,1)*1440,0)&lt;ROUND(SETTINGS!$B$8*1440,0)),1,0)</f>
        <v>0</v>
      </c>
      <c r="Z135" s="28" t="str">
        <f ca="1">IF(B135="","",IF(ROUND(MOD(SETTINGS!$B$4,1)*1440,0)&lt;ROUND(SETTINGS!$B$11*1440,0),"Ram",IF(ROUND(MOD(SETTINGS!$B$4,1)*1440,0)&gt;=ROUND(SETTINGS!$B$10*1440,0),"Shyam",IF(MOD(IFERROR(VALUE(RIGHT(F135,2)),0),2)=0,"Ram","Shyam"))))</f>
        <v>Shyam</v>
      </c>
      <c r="AA135" s="28">
        <f t="shared" ca="1" si="25"/>
        <v>0</v>
      </c>
      <c r="AB135" s="28">
        <f ca="1">IF(X135=1,COUNTIFS($F$2:F135,F135,$X$2:X135,1),0)</f>
        <v>0</v>
      </c>
      <c r="AC135" s="28" t="str">
        <f>IF(L135=1,IF(IFERROR(INDEX(PARTNERS!$C$2:$C$88,MATCH(B135,PARTNERS!$A$2:$A$88,0)),"")="YES","YES","NO"),"")</f>
        <v>NO</v>
      </c>
      <c r="AD135" s="28" t="str">
        <f>IF(L135=1,IFERROR(INDEX(PARTNERS!$B$2:$B$88,MATCH(B135,PARTNERS!$A$2:$A$88,0)),""),"")</f>
        <v>https://calendly.com/partner001/interview</v>
      </c>
      <c r="AE135" s="28">
        <f ca="1">IF(X135=1,IFERROR(INDEX(SETTINGS!$B$34:$D$36,MATCH(I135,SETTINGS!$A$34:$A$36,0),MIN(Q135,2)+1),SETTINGS!$B$36),0)</f>
        <v>0</v>
      </c>
      <c r="AF135" s="28">
        <f t="shared" si="26"/>
        <v>1</v>
      </c>
      <c r="AG135" s="28">
        <f ca="1">IF(AND(Y135=1,AB135=1),ROUND(AA135*AE135*IF(AF135&gt;1,SETTINGS!$B$16,1)*IF(W135&lt;=SETTINGS!$B$14,SETTINGS!$B$15,1)*IF(AU135=1,SETTINGS!$B$21,1),6),0)</f>
        <v>0</v>
      </c>
      <c r="AH135" s="28" t="str">
        <f ca="1">IF(AG135&gt;0,COUNTIFS($Z$2:$Z$601,Z135,$AG$2:$AG$601,"&gt;"&amp;AG135)+COUNTIFS($Z$2:Z135,Z135,$AG$2:AG135,AG135),"")</f>
        <v/>
      </c>
      <c r="AI135" s="28" t="str">
        <f t="shared" ca="1" si="27"/>
        <v/>
      </c>
      <c r="AJ135" s="28" t="str">
        <f t="shared" ca="1" si="28"/>
        <v/>
      </c>
      <c r="AK135" s="28">
        <f>IF(L135=1,IF(COUNTIFS($F$2:F135,F135,$L$2:L135,1)=1,1,0),0)</f>
        <v>1</v>
      </c>
      <c r="AL135" s="28" t="str">
        <f>IF(B135="","",IF(K135="DUPLICATE","Duplicate (removed)",IF(AO135=1,"Scheduled within 24h",IF(M135=1,"Scheduled late",IF(K135="BAD CONTACT","Bad contact details",IF(O135=1,"Stopped / wrong number",IF(N135=1,"Not interested",IF(P135=1,"Partner has no slots",IF(SETTINGS!$B$4&gt;=V135,IF(Q135=0,"Missed deadline: never tried","Missed deadline: tried, not booked"),IF(Q135&gt;=SETTINGS!$B$6,"No reply after max tries","Open"))))))))))</f>
        <v>Bad contact details</v>
      </c>
      <c r="AM135" s="46" t="str">
        <f>IF(M135=1,IF(_xlfn.MINIFS(LOG!$G$2:$G$2001,LOG!$C$2:$C$2001,F135,LOG!$E$2:$E$2001,B135,LOG!$D$2:$D$2001,"*BOOKED")=0,_xlfn.MINIFS(LOG!$G$2:$G$2001,LOG!$C$2:$C$2001,F135,LOG!$E$2:$E$2001,"",LOG!$D$2:$D$2001,"*BOOKED"),IF(_xlfn.MINIFS(LOG!$G$2:$G$2001,LOG!$C$2:$C$2001,F135,LOG!$E$2:$E$2001,"",LOG!$D$2:$D$2001,"*BOOKED")=0,_xlfn.MINIFS(LOG!$G$2:$G$2001,LOG!$C$2:$C$2001,F135,LOG!$E$2:$E$2001,B135,LOG!$D$2:$D$2001,"*BOOKED"),MIN(_xlfn.MINIFS(LOG!$G$2:$G$2001,LOG!$C$2:$C$2001,F135,LOG!$E$2:$E$2001,B135,LOG!$D$2:$D$2001,"*BOOKED"),_xlfn.MINIFS(LOG!$G$2:$G$2001,LOG!$C$2:$C$2001,F135,LOG!$E$2:$E$2001,"",LOG!$D$2:$D$2001,"*BOOKED")))),"")</f>
        <v/>
      </c>
      <c r="AN135" s="28" t="str">
        <f t="shared" si="29"/>
        <v/>
      </c>
      <c r="AO135" s="28">
        <f>IF(AND(M135=1,AN135&lt;&gt;""),IF(AN135&lt;=SETTINGS!$B$5,1,0),0)</f>
        <v>0</v>
      </c>
      <c r="AP135" s="28">
        <f>IF(M135=1,IF(COUNTIFS(LOG!$C$2:$C$2001,F135,LOG!$E$2:$E$2001,B135,LOG!$D$2:$D$2001,"BOOKED")+COUNTIFS(LOG!$C$2:$C$2001,F135,LOG!$E$2:$E$2001,"",LOG!$D$2:$D$2001,"BOOKED")&gt;0,1,0),0)</f>
        <v>0</v>
      </c>
      <c r="AQ135" s="28" t="str">
        <f t="shared" si="30"/>
        <v>Tara</v>
      </c>
      <c r="AR135" s="28" t="str">
        <f>IF(AND(AK135=1,K135="OK"),COUNTIFS($AK$2:AK135,1,$K$2:K135,"OK"),"")</f>
        <v/>
      </c>
      <c r="AS135" s="28" t="str">
        <f>IF(L135=1,IFERROR(INDEX(MESSAGES!$J$9:$J$1008,MATCH(F135,MESSAGES!$M$9:$M$1008,0))&amp;"",""),"")</f>
        <v/>
      </c>
      <c r="AT135" s="28" t="str">
        <f>IF(L135=1,IFERROR(INDEX(MESSAGES!$K$9:$K$1008,MATCH(F135,MESSAGES!$M$9:$M$1008,0))&amp;"",""),"")</f>
        <v/>
      </c>
      <c r="AU135" s="28">
        <f t="shared" ca="1" si="31"/>
        <v>0</v>
      </c>
      <c r="AV135" s="28" t="str">
        <f t="shared" si="32"/>
        <v>HOLD</v>
      </c>
    </row>
    <row r="136" spans="1:48" x14ac:dyDescent="0.35">
      <c r="A136" s="28">
        <v>135</v>
      </c>
      <c r="B136" s="28" t="str">
        <f>IF(INPUT!A136="","",TRIM(INPUT!A136))</f>
        <v>Partner 006</v>
      </c>
      <c r="C136" s="28" t="str">
        <f>IF(B136="","",INPUT!C136)</f>
        <v>interviewer1@partner006.example.com</v>
      </c>
      <c r="D136" s="28" t="str">
        <f>IF(B136="","",INPUT!D136)</f>
        <v>Riya C.</v>
      </c>
      <c r="E136" s="28" t="str">
        <f>IF(B136="","",INPUT!E136)</f>
        <v>riya.c079@example.com</v>
      </c>
      <c r="F136" s="43" t="str">
        <f>IF(B136="","",TRIM(INPUT!F136&amp;""))</f>
        <v>9000001034</v>
      </c>
      <c r="G136" s="28" t="str">
        <f>IF(B136="","",INPUT!H136)</f>
        <v>Round1</v>
      </c>
      <c r="H136" s="46">
        <f>IF(B136="","",INPUT!I136)</f>
        <v>46308.82708333333</v>
      </c>
      <c r="I136" s="28" t="str">
        <f>IF(B136="","",IF(INPUT!J136="","None",INPUT!J136))</f>
        <v>None</v>
      </c>
      <c r="J136" s="28" t="str">
        <f t="shared" si="22"/>
        <v>riya.c079@example.com|partner 006|Round1|interviewer1@partner006.example.com</v>
      </c>
      <c r="K136" s="28" t="str">
        <f>IF(B136="","",IF(SUMPRODUCT(($J$2:$J$601=J136)*($H$2:$H$601&lt;H136))+SUMPRODUCT(($J$2:J136=J136)*($H$2:H136=H136))-1&gt;0,"DUPLICATE",IF(AND(ISNUMBER(SEARCH("@",E136)),ISNUMBER(SEARCH(".",E136)),LEN(F136)=10,ISNUMBER(VALUE(F136))),"OK","BAD CONTACT")))</f>
        <v>OK</v>
      </c>
      <c r="L136" s="28">
        <f t="shared" si="23"/>
        <v>1</v>
      </c>
      <c r="M136" s="28">
        <f>IF(L136=1,IF(COUNTIFS(LOG!$C$2:$C$2001,F136,LOG!$E$2:$E$2001,B136,LOG!$D$2:$D$2001,"*BOOKED")+COUNTIFS(LOG!$C$2:$C$2001,F136,LOG!$E$2:$E$2001,"",LOG!$D$2:$D$2001,"*BOOKED")&gt;0,1,0),0)</f>
        <v>0</v>
      </c>
      <c r="N136" s="28">
        <f>IF(L136=1,IF(COUNTIFS(LOG!$C$2:$C$2001,F136,LOG!$E$2:$E$2001,B136,LOG!$D$2:$D$2001,"NOT_INTERESTED")+COUNTIFS(LOG!$C$2:$C$2001,F136,LOG!$E$2:$E$2001,"",LOG!$D$2:$D$2001,"NOT_INTERESTED")&gt;0,1,0),0)</f>
        <v>0</v>
      </c>
      <c r="O136" s="28">
        <f>IF(L136=1,IF(COUNTIFS(LOG!$C$2:$C$2001,F136,LOG!$D$2:$D$2001,"STOP")+COUNTIFS(LOG!$C$2:$C$2001,F136,LOG!$D$2:$D$2001,"WRONG_NUMBER")&gt;0,1,IF(ISNUMBER(SEARCH("STOP",AT136)),1,0)),0)</f>
        <v>0</v>
      </c>
      <c r="P136" s="28">
        <f>IF(L136=1,IF(IFERROR(INDEX(PARTNERS!$D$2:$D$88,MATCH(B136,PARTNERS!$A$2:$A$88,0)),"")="NO SLOTS",1,IF(AND(IFERROR(INDEX(PARTNERS!$D$2:$D$88,MATCH(B136,PARTNERS!$A$2:$A$88,0)),"")&lt;&gt;"REOPENED",COUNTIFS(LOG!$E$2:$E$2001,B136,LOG!$D$2:$D$2001,"NO_SLOTS")&gt;0),1,0)),0)</f>
        <v>0</v>
      </c>
      <c r="Q136" s="28">
        <f>IF(L136=1,COUNTIFS(LOG!$C$2:$C$2001,F136,LOG!$H$2:$H$2001,1),0)</f>
        <v>0</v>
      </c>
      <c r="R136" s="46">
        <f>IF(Q136&gt;0,_xlfn.MAXIFS(LOG!$G$2:$G$2001,LOG!$C$2:$C$2001,F136,LOG!$H$2:$H$2001,1),0)</f>
        <v>0</v>
      </c>
      <c r="S136" s="28" t="str">
        <f>IF(Q136&gt;0,IFERROR(INDEX(LOG!$D$2:$D$2001,MATCH(F136&amp;"|"&amp;Q136,LOG!$I$2:$I$2001,0)),""),"")</f>
        <v/>
      </c>
      <c r="T136" s="28">
        <f>IF(S136="",0,IFERROR(VLOOKUP(S136,LISTS!$A$2:$E$10,4,FALSE),0))</f>
        <v>0</v>
      </c>
      <c r="U136" s="46">
        <f t="shared" si="24"/>
        <v>0</v>
      </c>
      <c r="V136" s="46">
        <f>IF(L136=1,H136+SETTINGS!$B$5/24,"")</f>
        <v>46309.82708333333</v>
      </c>
      <c r="W136" s="28">
        <f ca="1">IF(L136=1,(V136-SETTINGS!$B$4)*24,"")</f>
        <v>-1.6666666720993817E-2</v>
      </c>
      <c r="X136" s="28">
        <f ca="1">IF(AND(L136=1,K136="OK",M136=0,N136=0,O136=0,P136=0,SETTINGS!$B$4&lt;V136,Q136&lt;SETTINGS!$B$6),1,0)</f>
        <v>0</v>
      </c>
      <c r="Y136" s="28">
        <f ca="1">IF(AND(X136=1,SETTINGS!$B$4&gt;=H136,SETTINGS!$B$4&gt;=U136,ROUND(MOD(SETTINGS!$B$4,1)*1440,0)&gt;=ROUND(SETTINGS!$B$7*1440,0),ROUND(MOD(SETTINGS!$B$4,1)*1440,0)&lt;ROUND(SETTINGS!$B$8*1440,0)),1,0)</f>
        <v>0</v>
      </c>
      <c r="Z136" s="28" t="str">
        <f ca="1">IF(B136="","",IF(ROUND(MOD(SETTINGS!$B$4,1)*1440,0)&lt;ROUND(SETTINGS!$B$11*1440,0),"Ram",IF(ROUND(MOD(SETTINGS!$B$4,1)*1440,0)&gt;=ROUND(SETTINGS!$B$10*1440,0),"Shyam",IF(MOD(IFERROR(VALUE(RIGHT(F136,2)),0),2)=0,"Ram","Shyam"))))</f>
        <v>Shyam</v>
      </c>
      <c r="AA136" s="28">
        <f t="shared" ca="1" si="25"/>
        <v>0</v>
      </c>
      <c r="AB136" s="28">
        <f ca="1">IF(X136=1,COUNTIFS($F$2:F136,F136,$X$2:X136,1),0)</f>
        <v>0</v>
      </c>
      <c r="AC136" s="28" t="str">
        <f>IF(L136=1,IF(IFERROR(INDEX(PARTNERS!$C$2:$C$88,MATCH(B136,PARTNERS!$A$2:$A$88,0)),"")="YES","YES","NO"),"")</f>
        <v>YES</v>
      </c>
      <c r="AD136" s="28" t="str">
        <f>IF(L136=1,IFERROR(INDEX(PARTNERS!$B$2:$B$88,MATCH(B136,PARTNERS!$A$2:$A$88,0)),""),"")</f>
        <v>https://calendly.com/partner006/interview</v>
      </c>
      <c r="AE136" s="28">
        <f ca="1">IF(X136=1,IFERROR(INDEX(SETTINGS!$B$34:$D$36,MATCH(I136,SETTINGS!$A$34:$A$36,0),MIN(Q136,2)+1),SETTINGS!$B$36),0)</f>
        <v>0</v>
      </c>
      <c r="AF136" s="28">
        <f t="shared" si="26"/>
        <v>1</v>
      </c>
      <c r="AG136" s="28">
        <f ca="1">IF(AND(Y136=1,AB136=1),ROUND(AA136*AE136*IF(AF136&gt;1,SETTINGS!$B$16,1)*IF(W136&lt;=SETTINGS!$B$14,SETTINGS!$B$15,1)*IF(AU136=1,SETTINGS!$B$21,1),6),0)</f>
        <v>0</v>
      </c>
      <c r="AH136" s="28" t="str">
        <f ca="1">IF(AG136&gt;0,COUNTIFS($Z$2:$Z$601,Z136,$AG$2:$AG$601,"&gt;"&amp;AG136)+COUNTIFS($Z$2:Z136,Z136,$AG$2:AG136,AG136),"")</f>
        <v/>
      </c>
      <c r="AI136" s="28" t="str">
        <f t="shared" ca="1" si="27"/>
        <v/>
      </c>
      <c r="AJ136" s="28" t="str">
        <f t="shared" ca="1" si="28"/>
        <v/>
      </c>
      <c r="AK136" s="28">
        <f>IF(L136=1,IF(COUNTIFS($F$2:F136,F136,$L$2:L136,1)=1,1,0),0)</f>
        <v>1</v>
      </c>
      <c r="AL136" s="28" t="str">
        <f ca="1">IF(B136="","",IF(K136="DUPLICATE","Duplicate (removed)",IF(AO136=1,"Scheduled within 24h",IF(M136=1,"Scheduled late",IF(K136="BAD CONTACT","Bad contact details",IF(O136=1,"Stopped / wrong number",IF(N136=1,"Not interested",IF(P136=1,"Partner has no slots",IF(SETTINGS!$B$4&gt;=V136,IF(Q136=0,"Missed deadline: never tried","Missed deadline: tried, not booked"),IF(Q136&gt;=SETTINGS!$B$6,"No reply after max tries","Open"))))))))))</f>
        <v>Missed deadline: never tried</v>
      </c>
      <c r="AM136" s="46" t="str">
        <f>IF(M136=1,IF(_xlfn.MINIFS(LOG!$G$2:$G$2001,LOG!$C$2:$C$2001,F136,LOG!$E$2:$E$2001,B136,LOG!$D$2:$D$2001,"*BOOKED")=0,_xlfn.MINIFS(LOG!$G$2:$G$2001,LOG!$C$2:$C$2001,F136,LOG!$E$2:$E$2001,"",LOG!$D$2:$D$2001,"*BOOKED"),IF(_xlfn.MINIFS(LOG!$G$2:$G$2001,LOG!$C$2:$C$2001,F136,LOG!$E$2:$E$2001,"",LOG!$D$2:$D$2001,"*BOOKED")=0,_xlfn.MINIFS(LOG!$G$2:$G$2001,LOG!$C$2:$C$2001,F136,LOG!$E$2:$E$2001,B136,LOG!$D$2:$D$2001,"*BOOKED"),MIN(_xlfn.MINIFS(LOG!$G$2:$G$2001,LOG!$C$2:$C$2001,F136,LOG!$E$2:$E$2001,B136,LOG!$D$2:$D$2001,"*BOOKED"),_xlfn.MINIFS(LOG!$G$2:$G$2001,LOG!$C$2:$C$2001,F136,LOG!$E$2:$E$2001,"",LOG!$D$2:$D$2001,"*BOOKED")))),"")</f>
        <v/>
      </c>
      <c r="AN136" s="28" t="str">
        <f t="shared" si="29"/>
        <v/>
      </c>
      <c r="AO136" s="28">
        <f>IF(AND(M136=1,AN136&lt;&gt;""),IF(AN136&lt;=SETTINGS!$B$5,1,0),0)</f>
        <v>0</v>
      </c>
      <c r="AP136" s="28">
        <f>IF(M136=1,IF(COUNTIFS(LOG!$C$2:$C$2001,F136,LOG!$E$2:$E$2001,B136,LOG!$D$2:$D$2001,"BOOKED")+COUNTIFS(LOG!$C$2:$C$2001,F136,LOG!$E$2:$E$2001,"",LOG!$D$2:$D$2001,"BOOKED")&gt;0,1,0),0)</f>
        <v>0</v>
      </c>
      <c r="AQ136" s="28" t="str">
        <f t="shared" si="30"/>
        <v>Riya</v>
      </c>
      <c r="AR136" s="28">
        <f>IF(AND(AK136=1,K136="OK"),COUNTIFS($AK$2:AK136,1,$K$2:K136,"OK"),"")</f>
        <v>127</v>
      </c>
      <c r="AS136" s="28" t="str">
        <f>IF(L136=1,IFERROR(INDEX(MESSAGES!$J$9:$J$1008,MATCH(F136,MESSAGES!$M$9:$M$1008,0))&amp;"",""),"")</f>
        <v/>
      </c>
      <c r="AT136" s="28" t="str">
        <f>IF(L136=1,IFERROR(INDEX(MESSAGES!$K$9:$K$1008,MATCH(F136,MESSAGES!$M$9:$M$1008,0))&amp;"",""),"")</f>
        <v/>
      </c>
      <c r="AU136" s="28">
        <f t="shared" ca="1" si="31"/>
        <v>0</v>
      </c>
      <c r="AV136" s="28" t="str">
        <f t="shared" si="32"/>
        <v>HOLD</v>
      </c>
    </row>
    <row r="137" spans="1:48" x14ac:dyDescent="0.35">
      <c r="A137" s="28">
        <v>136</v>
      </c>
      <c r="B137" s="28" t="str">
        <f>IF(INPUT!A137="","",TRIM(INPUT!A137))</f>
        <v>Partner 009</v>
      </c>
      <c r="C137" s="28" t="str">
        <f>IF(B137="","",INPUT!C137)</f>
        <v>interviewer0@partner009.example.com</v>
      </c>
      <c r="D137" s="28" t="str">
        <f>IF(B137="","",INPUT!D137)</f>
        <v>Aarav G.</v>
      </c>
      <c r="E137" s="28" t="str">
        <f>IF(B137="","",INPUT!E137)</f>
        <v>aarav.g180@example.com</v>
      </c>
      <c r="F137" s="43" t="str">
        <f>IF(B137="","",TRIM(INPUT!F137&amp;""))</f>
        <v>9000002347</v>
      </c>
      <c r="G137" s="28" t="str">
        <f>IF(B137="","",INPUT!H137)</f>
        <v>Round1</v>
      </c>
      <c r="H137" s="46">
        <f>IF(B137="","",INPUT!I137)</f>
        <v>46308.82708333333</v>
      </c>
      <c r="I137" s="28" t="str">
        <f>IF(B137="","",IF(INPUT!J137="","None",INPUT!J137))</f>
        <v>Clicked</v>
      </c>
      <c r="J137" s="28" t="str">
        <f t="shared" si="22"/>
        <v>aarav.g180@example.com|partner 009|Round1|interviewer0@partner009.example.com</v>
      </c>
      <c r="K137" s="28" t="str">
        <f>IF(B137="","",IF(SUMPRODUCT(($J$2:$J$601=J137)*($H$2:$H$601&lt;H137))+SUMPRODUCT(($J$2:J137=J137)*($H$2:H137=H137))-1&gt;0,"DUPLICATE",IF(AND(ISNUMBER(SEARCH("@",E137)),ISNUMBER(SEARCH(".",E137)),LEN(F137)=10,ISNUMBER(VALUE(F137))),"OK","BAD CONTACT")))</f>
        <v>OK</v>
      </c>
      <c r="L137" s="28">
        <f t="shared" si="23"/>
        <v>1</v>
      </c>
      <c r="M137" s="28">
        <f>IF(L137=1,IF(COUNTIFS(LOG!$C$2:$C$2001,F137,LOG!$E$2:$E$2001,B137,LOG!$D$2:$D$2001,"*BOOKED")+COUNTIFS(LOG!$C$2:$C$2001,F137,LOG!$E$2:$E$2001,"",LOG!$D$2:$D$2001,"*BOOKED")&gt;0,1,0),0)</f>
        <v>1</v>
      </c>
      <c r="N137" s="28">
        <f>IF(L137=1,IF(COUNTIFS(LOG!$C$2:$C$2001,F137,LOG!$E$2:$E$2001,B137,LOG!$D$2:$D$2001,"NOT_INTERESTED")+COUNTIFS(LOG!$C$2:$C$2001,F137,LOG!$E$2:$E$2001,"",LOG!$D$2:$D$2001,"NOT_INTERESTED")&gt;0,1,0),0)</f>
        <v>0</v>
      </c>
      <c r="O137" s="28">
        <f>IF(L137=1,IF(COUNTIFS(LOG!$C$2:$C$2001,F137,LOG!$D$2:$D$2001,"STOP")+COUNTIFS(LOG!$C$2:$C$2001,F137,LOG!$D$2:$D$2001,"WRONG_NUMBER")&gt;0,1,IF(ISNUMBER(SEARCH("STOP",AT137)),1,0)),0)</f>
        <v>0</v>
      </c>
      <c r="P137" s="28">
        <f>IF(L137=1,IF(IFERROR(INDEX(PARTNERS!$D$2:$D$88,MATCH(B137,PARTNERS!$A$2:$A$88,0)),"")="NO SLOTS",1,IF(AND(IFERROR(INDEX(PARTNERS!$D$2:$D$88,MATCH(B137,PARTNERS!$A$2:$A$88,0)),"")&lt;&gt;"REOPENED",COUNTIFS(LOG!$E$2:$E$2001,B137,LOG!$D$2:$D$2001,"NO_SLOTS")&gt;0),1,0)),0)</f>
        <v>0</v>
      </c>
      <c r="Q137" s="28">
        <f>IF(L137=1,COUNTIFS(LOG!$C$2:$C$2001,F137,LOG!$H$2:$H$2001,1),0)</f>
        <v>1</v>
      </c>
      <c r="R137" s="46">
        <f>IF(Q137&gt;0,_xlfn.MAXIFS(LOG!$G$2:$G$2001,LOG!$C$2:$C$2001,F137,LOG!$H$2:$H$2001,1),0)</f>
        <v>46309.590454398771</v>
      </c>
      <c r="S137" s="28" t="str">
        <f>IF(Q137&gt;0,IFERROR(INDEX(LOG!$D$2:$D$2001,MATCH(F137&amp;"|"&amp;Q137,LOG!$I$2:$I$2001,0)),""),"")</f>
        <v>BOOKED</v>
      </c>
      <c r="T137" s="28">
        <f>IF(S137="",0,IFERROR(VLOOKUP(S137,LISTS!$A$2:$E$10,4,FALSE),0))</f>
        <v>0</v>
      </c>
      <c r="U137" s="46">
        <f t="shared" si="24"/>
        <v>46309.590454398771</v>
      </c>
      <c r="V137" s="46">
        <f>IF(L137=1,H137+SETTINGS!$B$5/24,"")</f>
        <v>46309.82708333333</v>
      </c>
      <c r="W137" s="28">
        <f ca="1">IF(L137=1,(V137-SETTINGS!$B$4)*24,"")</f>
        <v>-1.6666666720993817E-2</v>
      </c>
      <c r="X137" s="28">
        <f ca="1">IF(AND(L137=1,K137="OK",M137=0,N137=0,O137=0,P137=0,SETTINGS!$B$4&lt;V137,Q137&lt;SETTINGS!$B$6),1,0)</f>
        <v>0</v>
      </c>
      <c r="Y137" s="28">
        <f ca="1">IF(AND(X137=1,SETTINGS!$B$4&gt;=H137,SETTINGS!$B$4&gt;=U137,ROUND(MOD(SETTINGS!$B$4,1)*1440,0)&gt;=ROUND(SETTINGS!$B$7*1440,0),ROUND(MOD(SETTINGS!$B$4,1)*1440,0)&lt;ROUND(SETTINGS!$B$8*1440,0)),1,0)</f>
        <v>0</v>
      </c>
      <c r="Z137" s="28" t="str">
        <f ca="1">IF(B137="","",IF(ROUND(MOD(SETTINGS!$B$4,1)*1440,0)&lt;ROUND(SETTINGS!$B$11*1440,0),"Ram",IF(ROUND(MOD(SETTINGS!$B$4,1)*1440,0)&gt;=ROUND(SETTINGS!$B$10*1440,0),"Shyam",IF(MOD(IFERROR(VALUE(RIGHT(F137,2)),0),2)=0,"Ram","Shyam"))))</f>
        <v>Shyam</v>
      </c>
      <c r="AA137" s="28">
        <f t="shared" ca="1" si="25"/>
        <v>0</v>
      </c>
      <c r="AB137" s="28">
        <f ca="1">IF(X137=1,COUNTIFS($F$2:F137,F137,$X$2:X137,1),0)</f>
        <v>0</v>
      </c>
      <c r="AC137" s="28" t="str">
        <f>IF(L137=1,IF(IFERROR(INDEX(PARTNERS!$C$2:$C$88,MATCH(B137,PARTNERS!$A$2:$A$88,0)),"")="YES","YES","NO"),"")</f>
        <v>YES</v>
      </c>
      <c r="AD137" s="28" t="str">
        <f>IF(L137=1,IFERROR(INDEX(PARTNERS!$B$2:$B$88,MATCH(B137,PARTNERS!$A$2:$A$88,0)),""),"")</f>
        <v>https://calendly.com/partner009/interview</v>
      </c>
      <c r="AE137" s="28">
        <f ca="1">IF(X137=1,IFERROR(INDEX(SETTINGS!$B$34:$D$36,MATCH(I137,SETTINGS!$A$34:$A$36,0),MIN(Q137,2)+1),SETTINGS!$B$36),0)</f>
        <v>0</v>
      </c>
      <c r="AF137" s="28">
        <f t="shared" si="26"/>
        <v>1</v>
      </c>
      <c r="AG137" s="28">
        <f ca="1">IF(AND(Y137=1,AB137=1),ROUND(AA137*AE137*IF(AF137&gt;1,SETTINGS!$B$16,1)*IF(W137&lt;=SETTINGS!$B$14,SETTINGS!$B$15,1)*IF(AU137=1,SETTINGS!$B$21,1),6),0)</f>
        <v>0</v>
      </c>
      <c r="AH137" s="28" t="str">
        <f ca="1">IF(AG137&gt;0,COUNTIFS($Z$2:$Z$601,Z137,$AG$2:$AG$601,"&gt;"&amp;AG137)+COUNTIFS($Z$2:Z137,Z137,$AG$2:AG137,AG137),"")</f>
        <v/>
      </c>
      <c r="AI137" s="28" t="str">
        <f t="shared" ca="1" si="27"/>
        <v/>
      </c>
      <c r="AJ137" s="28" t="str">
        <f t="shared" ca="1" si="28"/>
        <v/>
      </c>
      <c r="AK137" s="28">
        <f>IF(L137=1,IF(COUNTIFS($F$2:F137,F137,$L$2:L137,1)=1,1,0),0)</f>
        <v>1</v>
      </c>
      <c r="AL137" s="28" t="str">
        <f>IF(B137="","",IF(K137="DUPLICATE","Duplicate (removed)",IF(AO137=1,"Scheduled within 24h",IF(M137=1,"Scheduled late",IF(K137="BAD CONTACT","Bad contact details",IF(O137=1,"Stopped / wrong number",IF(N137=1,"Not interested",IF(P137=1,"Partner has no slots",IF(SETTINGS!$B$4&gt;=V137,IF(Q137=0,"Missed deadline: never tried","Missed deadline: tried, not booked"),IF(Q137&gt;=SETTINGS!$B$6,"No reply after max tries","Open"))))))))))</f>
        <v>Scheduled within 24h</v>
      </c>
      <c r="AM137" s="46">
        <f>IF(M137=1,IF(_xlfn.MINIFS(LOG!$G$2:$G$2001,LOG!$C$2:$C$2001,F137,LOG!$E$2:$E$2001,B137,LOG!$D$2:$D$2001,"*BOOKED")=0,_xlfn.MINIFS(LOG!$G$2:$G$2001,LOG!$C$2:$C$2001,F137,LOG!$E$2:$E$2001,"",LOG!$D$2:$D$2001,"*BOOKED"),IF(_xlfn.MINIFS(LOG!$G$2:$G$2001,LOG!$C$2:$C$2001,F137,LOG!$E$2:$E$2001,"",LOG!$D$2:$D$2001,"*BOOKED")=0,_xlfn.MINIFS(LOG!$G$2:$G$2001,LOG!$C$2:$C$2001,F137,LOG!$E$2:$E$2001,B137,LOG!$D$2:$D$2001,"*BOOKED"),MIN(_xlfn.MINIFS(LOG!$G$2:$G$2001,LOG!$C$2:$C$2001,F137,LOG!$E$2:$E$2001,B137,LOG!$D$2:$D$2001,"*BOOKED"),_xlfn.MINIFS(LOG!$G$2:$G$2001,LOG!$C$2:$C$2001,F137,LOG!$E$2:$E$2001,"",LOG!$D$2:$D$2001,"*BOOKED")))),"")</f>
        <v>46309.590454398771</v>
      </c>
      <c r="AN137" s="28">
        <f t="shared" si="29"/>
        <v>18.32090557058109</v>
      </c>
      <c r="AO137" s="28">
        <f>IF(AND(M137=1,AN137&lt;&gt;""),IF(AN137&lt;=SETTINGS!$B$5,1,0),0)</f>
        <v>1</v>
      </c>
      <c r="AP137" s="28">
        <f>IF(M137=1,IF(COUNTIFS(LOG!$C$2:$C$2001,F137,LOG!$E$2:$E$2001,B137,LOG!$D$2:$D$2001,"BOOKED")+COUNTIFS(LOG!$C$2:$C$2001,F137,LOG!$E$2:$E$2001,"",LOG!$D$2:$D$2001,"BOOKED")&gt;0,1,0),0)</f>
        <v>1</v>
      </c>
      <c r="AQ137" s="28" t="str">
        <f t="shared" si="30"/>
        <v>Aarav</v>
      </c>
      <c r="AR137" s="28">
        <f>IF(AND(AK137=1,K137="OK"),COUNTIFS($AK$2:AK137,1,$K$2:K137,"OK"),"")</f>
        <v>128</v>
      </c>
      <c r="AS137" s="28" t="str">
        <f>IF(L137=1,IFERROR(INDEX(MESSAGES!$J$9:$J$1008,MATCH(F137,MESSAGES!$M$9:$M$1008,0))&amp;"",""),"")</f>
        <v/>
      </c>
      <c r="AT137" s="28" t="str">
        <f>IF(L137=1,IFERROR(INDEX(MESSAGES!$K$9:$K$1008,MATCH(F137,MESSAGES!$M$9:$M$1008,0))&amp;"",""),"")</f>
        <v/>
      </c>
      <c r="AU137" s="28">
        <f t="shared" ca="1" si="31"/>
        <v>0</v>
      </c>
      <c r="AV137" s="28" t="str">
        <f t="shared" si="32"/>
        <v>SEND</v>
      </c>
    </row>
    <row r="138" spans="1:48" x14ac:dyDescent="0.35">
      <c r="A138" s="28">
        <v>137</v>
      </c>
      <c r="B138" s="28" t="str">
        <f>IF(INPUT!A138="","",TRIM(INPUT!A138))</f>
        <v>Partner 052</v>
      </c>
      <c r="C138" s="28" t="str">
        <f>IF(B138="","",INPUT!C138)</f>
        <v>interviewer0@partner052.example.com</v>
      </c>
      <c r="D138" s="28" t="str">
        <f>IF(B138="","",INPUT!D138)</f>
        <v>Karan L.</v>
      </c>
      <c r="E138" s="28" t="str">
        <f>IF(B138="","",INPUT!E138)</f>
        <v>karan.l320@example.com</v>
      </c>
      <c r="F138" s="43" t="str">
        <f>IF(B138="","",TRIM(INPUT!F138&amp;""))</f>
        <v>9000004167</v>
      </c>
      <c r="G138" s="28" t="str">
        <f>IF(B138="","",INPUT!H138)</f>
        <v>Round1</v>
      </c>
      <c r="H138" s="46">
        <f>IF(B138="","",INPUT!I138)</f>
        <v>46308.830555555563</v>
      </c>
      <c r="I138" s="28" t="str">
        <f>IF(B138="","",IF(INPUT!J138="","None",INPUT!J138))</f>
        <v>Clicked</v>
      </c>
      <c r="J138" s="28" t="str">
        <f t="shared" si="22"/>
        <v>karan.l320@example.com|partner 052|Round1|interviewer0@partner052.example.com</v>
      </c>
      <c r="K138" s="28" t="str">
        <f>IF(B138="","",IF(SUMPRODUCT(($J$2:$J$601=J138)*($H$2:$H$601&lt;H138))+SUMPRODUCT(($J$2:J138=J138)*($H$2:H138=H138))-1&gt;0,"DUPLICATE",IF(AND(ISNUMBER(SEARCH("@",E138)),ISNUMBER(SEARCH(".",E138)),LEN(F138)=10,ISNUMBER(VALUE(F138))),"OK","BAD CONTACT")))</f>
        <v>DUPLICATE</v>
      </c>
      <c r="L138" s="28">
        <f t="shared" si="23"/>
        <v>0</v>
      </c>
      <c r="M138" s="28">
        <f>IF(L138=1,IF(COUNTIFS(LOG!$C$2:$C$2001,F138,LOG!$E$2:$E$2001,B138,LOG!$D$2:$D$2001,"*BOOKED")+COUNTIFS(LOG!$C$2:$C$2001,F138,LOG!$E$2:$E$2001,"",LOG!$D$2:$D$2001,"*BOOKED")&gt;0,1,0),0)</f>
        <v>0</v>
      </c>
      <c r="N138" s="28">
        <f>IF(L138=1,IF(COUNTIFS(LOG!$C$2:$C$2001,F138,LOG!$E$2:$E$2001,B138,LOG!$D$2:$D$2001,"NOT_INTERESTED")+COUNTIFS(LOG!$C$2:$C$2001,F138,LOG!$E$2:$E$2001,"",LOG!$D$2:$D$2001,"NOT_INTERESTED")&gt;0,1,0),0)</f>
        <v>0</v>
      </c>
      <c r="O138" s="28">
        <f>IF(L138=1,IF(COUNTIFS(LOG!$C$2:$C$2001,F138,LOG!$D$2:$D$2001,"STOP")+COUNTIFS(LOG!$C$2:$C$2001,F138,LOG!$D$2:$D$2001,"WRONG_NUMBER")&gt;0,1,IF(ISNUMBER(SEARCH("STOP",AT138)),1,0)),0)</f>
        <v>0</v>
      </c>
      <c r="P138" s="28">
        <f>IF(L138=1,IF(IFERROR(INDEX(PARTNERS!$D$2:$D$88,MATCH(B138,PARTNERS!$A$2:$A$88,0)),"")="NO SLOTS",1,IF(AND(IFERROR(INDEX(PARTNERS!$D$2:$D$88,MATCH(B138,PARTNERS!$A$2:$A$88,0)),"")&lt;&gt;"REOPENED",COUNTIFS(LOG!$E$2:$E$2001,B138,LOG!$D$2:$D$2001,"NO_SLOTS")&gt;0),1,0)),0)</f>
        <v>0</v>
      </c>
      <c r="Q138" s="28">
        <f>IF(L138=1,COUNTIFS(LOG!$C$2:$C$2001,F138,LOG!$H$2:$H$2001,1),0)</f>
        <v>0</v>
      </c>
      <c r="R138" s="46">
        <f>IF(Q138&gt;0,_xlfn.MAXIFS(LOG!$G$2:$G$2001,LOG!$C$2:$C$2001,F138,LOG!$H$2:$H$2001,1),0)</f>
        <v>0</v>
      </c>
      <c r="S138" s="28" t="str">
        <f>IF(Q138&gt;0,IFERROR(INDEX(LOG!$D$2:$D$2001,MATCH(F138&amp;"|"&amp;Q138,LOG!$I$2:$I$2001,0)),""),"")</f>
        <v/>
      </c>
      <c r="T138" s="28">
        <f>IF(S138="",0,IFERROR(VLOOKUP(S138,LISTS!$A$2:$E$10,4,FALSE),0))</f>
        <v>0</v>
      </c>
      <c r="U138" s="46">
        <f t="shared" si="24"/>
        <v>0</v>
      </c>
      <c r="V138" s="46" t="str">
        <f>IF(L138=1,H138+SETTINGS!$B$5/24,"")</f>
        <v/>
      </c>
      <c r="W138" s="28" t="str">
        <f>IF(L138=1,(V138-SETTINGS!$B$4)*24,"")</f>
        <v/>
      </c>
      <c r="X138" s="28">
        <f ca="1">IF(AND(L138=1,K138="OK",M138=0,N138=0,O138=0,P138=0,SETTINGS!$B$4&lt;V138,Q138&lt;SETTINGS!$B$6),1,0)</f>
        <v>0</v>
      </c>
      <c r="Y138" s="28">
        <f ca="1">IF(AND(X138=1,SETTINGS!$B$4&gt;=H138,SETTINGS!$B$4&gt;=U138,ROUND(MOD(SETTINGS!$B$4,1)*1440,0)&gt;=ROUND(SETTINGS!$B$7*1440,0),ROUND(MOD(SETTINGS!$B$4,1)*1440,0)&lt;ROUND(SETTINGS!$B$8*1440,0)),1,0)</f>
        <v>0</v>
      </c>
      <c r="Z138" s="28" t="str">
        <f ca="1">IF(B138="","",IF(ROUND(MOD(SETTINGS!$B$4,1)*1440,0)&lt;ROUND(SETTINGS!$B$11*1440,0),"Ram",IF(ROUND(MOD(SETTINGS!$B$4,1)*1440,0)&gt;=ROUND(SETTINGS!$B$10*1440,0),"Shyam",IF(MOD(IFERROR(VALUE(RIGHT(F138,2)),0),2)=0,"Ram","Shyam"))))</f>
        <v>Shyam</v>
      </c>
      <c r="AA138" s="28">
        <f t="shared" ca="1" si="25"/>
        <v>0</v>
      </c>
      <c r="AB138" s="28">
        <f ca="1">IF(X138=1,COUNTIFS($F$2:F138,F138,$X$2:X138,1),0)</f>
        <v>0</v>
      </c>
      <c r="AC138" s="28" t="str">
        <f>IF(L138=1,IF(IFERROR(INDEX(PARTNERS!$C$2:$C$88,MATCH(B138,PARTNERS!$A$2:$A$88,0)),"")="YES","YES","NO"),"")</f>
        <v/>
      </c>
      <c r="AD138" s="28" t="str">
        <f>IF(L138=1,IFERROR(INDEX(PARTNERS!$B$2:$B$88,MATCH(B138,PARTNERS!$A$2:$A$88,0)),""),"")</f>
        <v/>
      </c>
      <c r="AE138" s="28">
        <f ca="1">IF(X138=1,IFERROR(INDEX(SETTINGS!$B$34:$D$36,MATCH(I138,SETTINGS!$A$34:$A$36,0),MIN(Q138,2)+1),SETTINGS!$B$36),0)</f>
        <v>0</v>
      </c>
      <c r="AF138" s="28">
        <f t="shared" si="26"/>
        <v>0</v>
      </c>
      <c r="AG138" s="28">
        <f ca="1">IF(AND(Y138=1,AB138=1),ROUND(AA138*AE138*IF(AF138&gt;1,SETTINGS!$B$16,1)*IF(W138&lt;=SETTINGS!$B$14,SETTINGS!$B$15,1)*IF(AU138=1,SETTINGS!$B$21,1),6),0)</f>
        <v>0</v>
      </c>
      <c r="AH138" s="28" t="str">
        <f ca="1">IF(AG138&gt;0,COUNTIFS($Z$2:$Z$601,Z138,$AG$2:$AG$601,"&gt;"&amp;AG138)+COUNTIFS($Z$2:Z138,Z138,$AG$2:AG138,AG138),"")</f>
        <v/>
      </c>
      <c r="AI138" s="28" t="str">
        <f t="shared" ca="1" si="27"/>
        <v/>
      </c>
      <c r="AJ138" s="28" t="str">
        <f t="shared" ca="1" si="28"/>
        <v/>
      </c>
      <c r="AK138" s="28">
        <f>IF(L138=1,IF(COUNTIFS($F$2:F138,F138,$L$2:L138,1)=1,1,0),0)</f>
        <v>0</v>
      </c>
      <c r="AL138" s="28" t="str">
        <f>IF(B138="","",IF(K138="DUPLICATE","Duplicate (removed)",IF(AO138=1,"Scheduled within 24h",IF(M138=1,"Scheduled late",IF(K138="BAD CONTACT","Bad contact details",IF(O138=1,"Stopped / wrong number",IF(N138=1,"Not interested",IF(P138=1,"Partner has no slots",IF(SETTINGS!$B$4&gt;=V138,IF(Q138=0,"Missed deadline: never tried","Missed deadline: tried, not booked"),IF(Q138&gt;=SETTINGS!$B$6,"No reply after max tries","Open"))))))))))</f>
        <v>Duplicate (removed)</v>
      </c>
      <c r="AM138" s="46" t="str">
        <f>IF(M138=1,IF(_xlfn.MINIFS(LOG!$G$2:$G$2001,LOG!$C$2:$C$2001,F138,LOG!$E$2:$E$2001,B138,LOG!$D$2:$D$2001,"*BOOKED")=0,_xlfn.MINIFS(LOG!$G$2:$G$2001,LOG!$C$2:$C$2001,F138,LOG!$E$2:$E$2001,"",LOG!$D$2:$D$2001,"*BOOKED"),IF(_xlfn.MINIFS(LOG!$G$2:$G$2001,LOG!$C$2:$C$2001,F138,LOG!$E$2:$E$2001,"",LOG!$D$2:$D$2001,"*BOOKED")=0,_xlfn.MINIFS(LOG!$G$2:$G$2001,LOG!$C$2:$C$2001,F138,LOG!$E$2:$E$2001,B138,LOG!$D$2:$D$2001,"*BOOKED"),MIN(_xlfn.MINIFS(LOG!$G$2:$G$2001,LOG!$C$2:$C$2001,F138,LOG!$E$2:$E$2001,B138,LOG!$D$2:$D$2001,"*BOOKED"),_xlfn.MINIFS(LOG!$G$2:$G$2001,LOG!$C$2:$C$2001,F138,LOG!$E$2:$E$2001,"",LOG!$D$2:$D$2001,"*BOOKED")))),"")</f>
        <v/>
      </c>
      <c r="AN138" s="28" t="str">
        <f t="shared" si="29"/>
        <v/>
      </c>
      <c r="AO138" s="28">
        <f>IF(AND(M138=1,AN138&lt;&gt;""),IF(AN138&lt;=SETTINGS!$B$5,1,0),0)</f>
        <v>0</v>
      </c>
      <c r="AP138" s="28">
        <f>IF(M138=1,IF(COUNTIFS(LOG!$C$2:$C$2001,F138,LOG!$E$2:$E$2001,B138,LOG!$D$2:$D$2001,"BOOKED")+COUNTIFS(LOG!$C$2:$C$2001,F138,LOG!$E$2:$E$2001,"",LOG!$D$2:$D$2001,"BOOKED")&gt;0,1,0),0)</f>
        <v>0</v>
      </c>
      <c r="AQ138" s="28" t="str">
        <f t="shared" si="30"/>
        <v>Karan</v>
      </c>
      <c r="AR138" s="28" t="str">
        <f>IF(AND(AK138=1,K138="OK"),COUNTIFS($AK$2:AK138,1,$K$2:K138,"OK"),"")</f>
        <v/>
      </c>
      <c r="AS138" s="28" t="str">
        <f>IF(L138=1,IFERROR(INDEX(MESSAGES!$J$9:$J$1008,MATCH(F138,MESSAGES!$M$9:$M$1008,0))&amp;"",""),"")</f>
        <v/>
      </c>
      <c r="AT138" s="28" t="str">
        <f>IF(L138=1,IFERROR(INDEX(MESSAGES!$K$9:$K$1008,MATCH(F138,MESSAGES!$M$9:$M$1008,0))&amp;"",""),"")</f>
        <v/>
      </c>
      <c r="AU138" s="28">
        <f t="shared" ca="1" si="31"/>
        <v>0</v>
      </c>
      <c r="AV138" s="28" t="str">
        <f t="shared" si="32"/>
        <v/>
      </c>
    </row>
    <row r="139" spans="1:48" x14ac:dyDescent="0.35">
      <c r="A139" s="28">
        <v>138</v>
      </c>
      <c r="B139" s="28" t="str">
        <f>IF(INPUT!A139="","",TRIM(INPUT!A139))</f>
        <v>Partner 071</v>
      </c>
      <c r="C139" s="28" t="str">
        <f>IF(B139="","",INPUT!C139)</f>
        <v>interviewer2@partner071.example.com</v>
      </c>
      <c r="D139" s="28" t="str">
        <f>IF(B139="","",INPUT!D139)</f>
        <v>Nisha H.</v>
      </c>
      <c r="E139" s="28" t="str">
        <f>IF(B139="","",INPUT!E139)</f>
        <v>nisha.h237@example.com</v>
      </c>
      <c r="F139" s="43" t="str">
        <f>IF(B139="","",TRIM(INPUT!F139&amp;""))</f>
        <v>9000003088</v>
      </c>
      <c r="G139" s="28" t="str">
        <f>IF(B139="","",INPUT!H139)</f>
        <v>Round1</v>
      </c>
      <c r="H139" s="46">
        <f>IF(B139="","",INPUT!I139)</f>
        <v>46308.82708333333</v>
      </c>
      <c r="I139" s="28" t="str">
        <f>IF(B139="","",IF(INPUT!J139="","None",INPUT!J139))</f>
        <v>None</v>
      </c>
      <c r="J139" s="28" t="str">
        <f t="shared" si="22"/>
        <v>nisha.h237@example.com|partner 071|Round1|interviewer2@partner071.example.com</v>
      </c>
      <c r="K139" s="28" t="str">
        <f>IF(B139="","",IF(SUMPRODUCT(($J$2:$J$601=J139)*($H$2:$H$601&lt;H139))+SUMPRODUCT(($J$2:J139=J139)*($H$2:H139=H139))-1&gt;0,"DUPLICATE",IF(AND(ISNUMBER(SEARCH("@",E139)),ISNUMBER(SEARCH(".",E139)),LEN(F139)=10,ISNUMBER(VALUE(F139))),"OK","BAD CONTACT")))</f>
        <v>OK</v>
      </c>
      <c r="L139" s="28">
        <f t="shared" si="23"/>
        <v>1</v>
      </c>
      <c r="M139" s="28">
        <f>IF(L139=1,IF(COUNTIFS(LOG!$C$2:$C$2001,F139,LOG!$E$2:$E$2001,B139,LOG!$D$2:$D$2001,"*BOOKED")+COUNTIFS(LOG!$C$2:$C$2001,F139,LOG!$E$2:$E$2001,"",LOG!$D$2:$D$2001,"*BOOKED")&gt;0,1,0),0)</f>
        <v>0</v>
      </c>
      <c r="N139" s="28">
        <f>IF(L139=1,IF(COUNTIFS(LOG!$C$2:$C$2001,F139,LOG!$E$2:$E$2001,B139,LOG!$D$2:$D$2001,"NOT_INTERESTED")+COUNTIFS(LOG!$C$2:$C$2001,F139,LOG!$E$2:$E$2001,"",LOG!$D$2:$D$2001,"NOT_INTERESTED")&gt;0,1,0),0)</f>
        <v>0</v>
      </c>
      <c r="O139" s="28">
        <f>IF(L139=1,IF(COUNTIFS(LOG!$C$2:$C$2001,F139,LOG!$D$2:$D$2001,"STOP")+COUNTIFS(LOG!$C$2:$C$2001,F139,LOG!$D$2:$D$2001,"WRONG_NUMBER")&gt;0,1,IF(ISNUMBER(SEARCH("STOP",AT139)),1,0)),0)</f>
        <v>0</v>
      </c>
      <c r="P139" s="28">
        <f>IF(L139=1,IF(IFERROR(INDEX(PARTNERS!$D$2:$D$88,MATCH(B139,PARTNERS!$A$2:$A$88,0)),"")="NO SLOTS",1,IF(AND(IFERROR(INDEX(PARTNERS!$D$2:$D$88,MATCH(B139,PARTNERS!$A$2:$A$88,0)),"")&lt;&gt;"REOPENED",COUNTIFS(LOG!$E$2:$E$2001,B139,LOG!$D$2:$D$2001,"NO_SLOTS")&gt;0),1,0)),0)</f>
        <v>0</v>
      </c>
      <c r="Q139" s="28">
        <f>IF(L139=1,COUNTIFS(LOG!$C$2:$C$2001,F139,LOG!$H$2:$H$2001,1),0)</f>
        <v>0</v>
      </c>
      <c r="R139" s="46">
        <f>IF(Q139&gt;0,_xlfn.MAXIFS(LOG!$G$2:$G$2001,LOG!$C$2:$C$2001,F139,LOG!$H$2:$H$2001,1),0)</f>
        <v>0</v>
      </c>
      <c r="S139" s="28" t="str">
        <f>IF(Q139&gt;0,IFERROR(INDEX(LOG!$D$2:$D$2001,MATCH(F139&amp;"|"&amp;Q139,LOG!$I$2:$I$2001,0)),""),"")</f>
        <v/>
      </c>
      <c r="T139" s="28">
        <f>IF(S139="",0,IFERROR(VLOOKUP(S139,LISTS!$A$2:$E$10,4,FALSE),0))</f>
        <v>0</v>
      </c>
      <c r="U139" s="46">
        <f t="shared" si="24"/>
        <v>0</v>
      </c>
      <c r="V139" s="46">
        <f>IF(L139=1,H139+SETTINGS!$B$5/24,"")</f>
        <v>46309.82708333333</v>
      </c>
      <c r="W139" s="28">
        <f ca="1">IF(L139=1,(V139-SETTINGS!$B$4)*24,"")</f>
        <v>-1.6666666720993817E-2</v>
      </c>
      <c r="X139" s="28">
        <f ca="1">IF(AND(L139=1,K139="OK",M139=0,N139=0,O139=0,P139=0,SETTINGS!$B$4&lt;V139,Q139&lt;SETTINGS!$B$6),1,0)</f>
        <v>0</v>
      </c>
      <c r="Y139" s="28">
        <f ca="1">IF(AND(X139=1,SETTINGS!$B$4&gt;=H139,SETTINGS!$B$4&gt;=U139,ROUND(MOD(SETTINGS!$B$4,1)*1440,0)&gt;=ROUND(SETTINGS!$B$7*1440,0),ROUND(MOD(SETTINGS!$B$4,1)*1440,0)&lt;ROUND(SETTINGS!$B$8*1440,0)),1,0)</f>
        <v>0</v>
      </c>
      <c r="Z139" s="28" t="str">
        <f ca="1">IF(B139="","",IF(ROUND(MOD(SETTINGS!$B$4,1)*1440,0)&lt;ROUND(SETTINGS!$B$11*1440,0),"Ram",IF(ROUND(MOD(SETTINGS!$B$4,1)*1440,0)&gt;=ROUND(SETTINGS!$B$10*1440,0),"Shyam",IF(MOD(IFERROR(VALUE(RIGHT(F139,2)),0),2)=0,"Ram","Shyam"))))</f>
        <v>Shyam</v>
      </c>
      <c r="AA139" s="28">
        <f t="shared" ca="1" si="25"/>
        <v>0</v>
      </c>
      <c r="AB139" s="28">
        <f ca="1">IF(X139=1,COUNTIFS($F$2:F139,F139,$X$2:X139,1),0)</f>
        <v>0</v>
      </c>
      <c r="AC139" s="28" t="str">
        <f>IF(L139=1,IF(IFERROR(INDEX(PARTNERS!$C$2:$C$88,MATCH(B139,PARTNERS!$A$2:$A$88,0)),"")="YES","YES","NO"),"")</f>
        <v>YES</v>
      </c>
      <c r="AD139" s="28" t="str">
        <f>IF(L139=1,IFERROR(INDEX(PARTNERS!$B$2:$B$88,MATCH(B139,PARTNERS!$A$2:$A$88,0)),""),"")</f>
        <v>https://calendly.com/partner071/interview</v>
      </c>
      <c r="AE139" s="28">
        <f ca="1">IF(X139=1,IFERROR(INDEX(SETTINGS!$B$34:$D$36,MATCH(I139,SETTINGS!$A$34:$A$36,0),MIN(Q139,2)+1),SETTINGS!$B$36),0)</f>
        <v>0</v>
      </c>
      <c r="AF139" s="28">
        <f t="shared" si="26"/>
        <v>1</v>
      </c>
      <c r="AG139" s="28">
        <f ca="1">IF(AND(Y139=1,AB139=1),ROUND(AA139*AE139*IF(AF139&gt;1,SETTINGS!$B$16,1)*IF(W139&lt;=SETTINGS!$B$14,SETTINGS!$B$15,1)*IF(AU139=1,SETTINGS!$B$21,1),6),0)</f>
        <v>0</v>
      </c>
      <c r="AH139" s="28" t="str">
        <f ca="1">IF(AG139&gt;0,COUNTIFS($Z$2:$Z$601,Z139,$AG$2:$AG$601,"&gt;"&amp;AG139)+COUNTIFS($Z$2:Z139,Z139,$AG$2:AG139,AG139),"")</f>
        <v/>
      </c>
      <c r="AI139" s="28" t="str">
        <f t="shared" ca="1" si="27"/>
        <v/>
      </c>
      <c r="AJ139" s="28" t="str">
        <f t="shared" ca="1" si="28"/>
        <v/>
      </c>
      <c r="AK139" s="28">
        <f>IF(L139=1,IF(COUNTIFS($F$2:F139,F139,$L$2:L139,1)=1,1,0),0)</f>
        <v>1</v>
      </c>
      <c r="AL139" s="28" t="str">
        <f ca="1">IF(B139="","",IF(K139="DUPLICATE","Duplicate (removed)",IF(AO139=1,"Scheduled within 24h",IF(M139=1,"Scheduled late",IF(K139="BAD CONTACT","Bad contact details",IF(O139=1,"Stopped / wrong number",IF(N139=1,"Not interested",IF(P139=1,"Partner has no slots",IF(SETTINGS!$B$4&gt;=V139,IF(Q139=0,"Missed deadline: never tried","Missed deadline: tried, not booked"),IF(Q139&gt;=SETTINGS!$B$6,"No reply after max tries","Open"))))))))))</f>
        <v>Missed deadline: never tried</v>
      </c>
      <c r="AM139" s="46" t="str">
        <f>IF(M139=1,IF(_xlfn.MINIFS(LOG!$G$2:$G$2001,LOG!$C$2:$C$2001,F139,LOG!$E$2:$E$2001,B139,LOG!$D$2:$D$2001,"*BOOKED")=0,_xlfn.MINIFS(LOG!$G$2:$G$2001,LOG!$C$2:$C$2001,F139,LOG!$E$2:$E$2001,"",LOG!$D$2:$D$2001,"*BOOKED"),IF(_xlfn.MINIFS(LOG!$G$2:$G$2001,LOG!$C$2:$C$2001,F139,LOG!$E$2:$E$2001,"",LOG!$D$2:$D$2001,"*BOOKED")=0,_xlfn.MINIFS(LOG!$G$2:$G$2001,LOG!$C$2:$C$2001,F139,LOG!$E$2:$E$2001,B139,LOG!$D$2:$D$2001,"*BOOKED"),MIN(_xlfn.MINIFS(LOG!$G$2:$G$2001,LOG!$C$2:$C$2001,F139,LOG!$E$2:$E$2001,B139,LOG!$D$2:$D$2001,"*BOOKED"),_xlfn.MINIFS(LOG!$G$2:$G$2001,LOG!$C$2:$C$2001,F139,LOG!$E$2:$E$2001,"",LOG!$D$2:$D$2001,"*BOOKED")))),"")</f>
        <v/>
      </c>
      <c r="AN139" s="28" t="str">
        <f t="shared" si="29"/>
        <v/>
      </c>
      <c r="AO139" s="28">
        <f>IF(AND(M139=1,AN139&lt;&gt;""),IF(AN139&lt;=SETTINGS!$B$5,1,0),0)</f>
        <v>0</v>
      </c>
      <c r="AP139" s="28">
        <f>IF(M139=1,IF(COUNTIFS(LOG!$C$2:$C$2001,F139,LOG!$E$2:$E$2001,B139,LOG!$D$2:$D$2001,"BOOKED")+COUNTIFS(LOG!$C$2:$C$2001,F139,LOG!$E$2:$E$2001,"",LOG!$D$2:$D$2001,"BOOKED")&gt;0,1,0),0)</f>
        <v>0</v>
      </c>
      <c r="AQ139" s="28" t="str">
        <f t="shared" si="30"/>
        <v>Nisha</v>
      </c>
      <c r="AR139" s="28">
        <f>IF(AND(AK139=1,K139="OK"),COUNTIFS($AK$2:AK139,1,$K$2:K139,"OK"),"")</f>
        <v>129</v>
      </c>
      <c r="AS139" s="28" t="str">
        <f>IF(L139=1,IFERROR(INDEX(MESSAGES!$J$9:$J$1008,MATCH(F139,MESSAGES!$M$9:$M$1008,0))&amp;"",""),"")</f>
        <v/>
      </c>
      <c r="AT139" s="28" t="str">
        <f>IF(L139=1,IFERROR(INDEX(MESSAGES!$K$9:$K$1008,MATCH(F139,MESSAGES!$M$9:$M$1008,0))&amp;"",""),"")</f>
        <v/>
      </c>
      <c r="AU139" s="28">
        <f t="shared" ca="1" si="31"/>
        <v>0</v>
      </c>
      <c r="AV139" s="28" t="str">
        <f t="shared" si="32"/>
        <v>SEND</v>
      </c>
    </row>
    <row r="140" spans="1:48" x14ac:dyDescent="0.35">
      <c r="A140" s="28">
        <v>139</v>
      </c>
      <c r="B140" s="28" t="str">
        <f>IF(INPUT!A140="","",TRIM(INPUT!A140))</f>
        <v>Partner 001</v>
      </c>
      <c r="C140" s="28" t="str">
        <f>IF(B140="","",INPUT!C140)</f>
        <v>interviewer2@partner001.example.com</v>
      </c>
      <c r="D140" s="28" t="str">
        <f>IF(B140="","",INPUT!D140)</f>
        <v>Aditya L.</v>
      </c>
      <c r="E140" s="28" t="str">
        <f>IF(B140="","",INPUT!E140)</f>
        <v>aditya.l322@example.com</v>
      </c>
      <c r="F140" s="43" t="str">
        <f>IF(B140="","",TRIM(INPUT!F140&amp;""))</f>
        <v>9000004193</v>
      </c>
      <c r="G140" s="28" t="str">
        <f>IF(B140="","",INPUT!H140)</f>
        <v>Round1</v>
      </c>
      <c r="H140" s="46">
        <f>IF(B140="","",INPUT!I140)</f>
        <v>46308.82708333333</v>
      </c>
      <c r="I140" s="28" t="str">
        <f>IF(B140="","",IF(INPUT!J140="","None",INPUT!J140))</f>
        <v>Clicked</v>
      </c>
      <c r="J140" s="28" t="str">
        <f t="shared" si="22"/>
        <v>aditya.l322@example.com|partner 001|Round1|interviewer2@partner001.example.com</v>
      </c>
      <c r="K140" s="28" t="str">
        <f>IF(B140="","",IF(SUMPRODUCT(($J$2:$J$601=J140)*($H$2:$H$601&lt;H140))+SUMPRODUCT(($J$2:J140=J140)*($H$2:H140=H140))-1&gt;0,"DUPLICATE",IF(AND(ISNUMBER(SEARCH("@",E140)),ISNUMBER(SEARCH(".",E140)),LEN(F140)=10,ISNUMBER(VALUE(F140))),"OK","BAD CONTACT")))</f>
        <v>OK</v>
      </c>
      <c r="L140" s="28">
        <f t="shared" si="23"/>
        <v>1</v>
      </c>
      <c r="M140" s="28">
        <f>IF(L140=1,IF(COUNTIFS(LOG!$C$2:$C$2001,F140,LOG!$E$2:$E$2001,B140,LOG!$D$2:$D$2001,"*BOOKED")+COUNTIFS(LOG!$C$2:$C$2001,F140,LOG!$E$2:$E$2001,"",LOG!$D$2:$D$2001,"*BOOKED")&gt;0,1,0),0)</f>
        <v>1</v>
      </c>
      <c r="N140" s="28">
        <f>IF(L140=1,IF(COUNTIFS(LOG!$C$2:$C$2001,F140,LOG!$E$2:$E$2001,B140,LOG!$D$2:$D$2001,"NOT_INTERESTED")+COUNTIFS(LOG!$C$2:$C$2001,F140,LOG!$E$2:$E$2001,"",LOG!$D$2:$D$2001,"NOT_INTERESTED")&gt;0,1,0),0)</f>
        <v>0</v>
      </c>
      <c r="O140" s="28">
        <f>IF(L140=1,IF(COUNTIFS(LOG!$C$2:$C$2001,F140,LOG!$D$2:$D$2001,"STOP")+COUNTIFS(LOG!$C$2:$C$2001,F140,LOG!$D$2:$D$2001,"WRONG_NUMBER")&gt;0,1,IF(ISNUMBER(SEARCH("STOP",AT140)),1,0)),0)</f>
        <v>0</v>
      </c>
      <c r="P140" s="28">
        <f>IF(L140=1,IF(IFERROR(INDEX(PARTNERS!$D$2:$D$88,MATCH(B140,PARTNERS!$A$2:$A$88,0)),"")="NO SLOTS",1,IF(AND(IFERROR(INDEX(PARTNERS!$D$2:$D$88,MATCH(B140,PARTNERS!$A$2:$A$88,0)),"")&lt;&gt;"REOPENED",COUNTIFS(LOG!$E$2:$E$2001,B140,LOG!$D$2:$D$2001,"NO_SLOTS")&gt;0),1,0)),0)</f>
        <v>0</v>
      </c>
      <c r="Q140" s="28">
        <f>IF(L140=1,COUNTIFS(LOG!$C$2:$C$2001,F140,LOG!$H$2:$H$2001,1),0)</f>
        <v>1</v>
      </c>
      <c r="R140" s="46">
        <f>IF(Q140&gt;0,_xlfn.MAXIFS(LOG!$G$2:$G$2001,LOG!$C$2:$C$2001,F140,LOG!$H$2:$H$2001,1),0)</f>
        <v>46309.593030679891</v>
      </c>
      <c r="S140" s="28" t="str">
        <f>IF(Q140&gt;0,IFERROR(INDEX(LOG!$D$2:$D$2001,MATCH(F140&amp;"|"&amp;Q140,LOG!$I$2:$I$2001,0)),""),"")</f>
        <v>SENT_LINK</v>
      </c>
      <c r="T140" s="28">
        <f>IF(S140="",0,IFERROR(VLOOKUP(S140,LISTS!$A$2:$E$10,4,FALSE),0))</f>
        <v>180</v>
      </c>
      <c r="U140" s="46">
        <f t="shared" si="24"/>
        <v>46309.718030679891</v>
      </c>
      <c r="V140" s="46">
        <f>IF(L140=1,H140+SETTINGS!$B$5/24,"")</f>
        <v>46309.82708333333</v>
      </c>
      <c r="W140" s="28">
        <f ca="1">IF(L140=1,(V140-SETTINGS!$B$4)*24,"")</f>
        <v>-1.6666666720993817E-2</v>
      </c>
      <c r="X140" s="28">
        <f ca="1">IF(AND(L140=1,K140="OK",M140=0,N140=0,O140=0,P140=0,SETTINGS!$B$4&lt;V140,Q140&lt;SETTINGS!$B$6),1,0)</f>
        <v>0</v>
      </c>
      <c r="Y140" s="28">
        <f ca="1">IF(AND(X140=1,SETTINGS!$B$4&gt;=H140,SETTINGS!$B$4&gt;=U140,ROUND(MOD(SETTINGS!$B$4,1)*1440,0)&gt;=ROUND(SETTINGS!$B$7*1440,0),ROUND(MOD(SETTINGS!$B$4,1)*1440,0)&lt;ROUND(SETTINGS!$B$8*1440,0)),1,0)</f>
        <v>0</v>
      </c>
      <c r="Z140" s="28" t="str">
        <f ca="1">IF(B140="","",IF(ROUND(MOD(SETTINGS!$B$4,1)*1440,0)&lt;ROUND(SETTINGS!$B$11*1440,0),"Ram",IF(ROUND(MOD(SETTINGS!$B$4,1)*1440,0)&gt;=ROUND(SETTINGS!$B$10*1440,0),"Shyam",IF(MOD(IFERROR(VALUE(RIGHT(F140,2)),0),2)=0,"Ram","Shyam"))))</f>
        <v>Shyam</v>
      </c>
      <c r="AA140" s="28">
        <f t="shared" ca="1" si="25"/>
        <v>0</v>
      </c>
      <c r="AB140" s="28">
        <f ca="1">IF(X140=1,COUNTIFS($F$2:F140,F140,$X$2:X140,1),0)</f>
        <v>0</v>
      </c>
      <c r="AC140" s="28" t="str">
        <f>IF(L140=1,IF(IFERROR(INDEX(PARTNERS!$C$2:$C$88,MATCH(B140,PARTNERS!$A$2:$A$88,0)),"")="YES","YES","NO"),"")</f>
        <v>NO</v>
      </c>
      <c r="AD140" s="28" t="str">
        <f>IF(L140=1,IFERROR(INDEX(PARTNERS!$B$2:$B$88,MATCH(B140,PARTNERS!$A$2:$A$88,0)),""),"")</f>
        <v>https://calendly.com/partner001/interview</v>
      </c>
      <c r="AE140" s="28">
        <f ca="1">IF(X140=1,IFERROR(INDEX(SETTINGS!$B$34:$D$36,MATCH(I140,SETTINGS!$A$34:$A$36,0),MIN(Q140,2)+1),SETTINGS!$B$36),0)</f>
        <v>0</v>
      </c>
      <c r="AF140" s="28">
        <f t="shared" si="26"/>
        <v>1</v>
      </c>
      <c r="AG140" s="28">
        <f ca="1">IF(AND(Y140=1,AB140=1),ROUND(AA140*AE140*IF(AF140&gt;1,SETTINGS!$B$16,1)*IF(W140&lt;=SETTINGS!$B$14,SETTINGS!$B$15,1)*IF(AU140=1,SETTINGS!$B$21,1),6),0)</f>
        <v>0</v>
      </c>
      <c r="AH140" s="28" t="str">
        <f ca="1">IF(AG140&gt;0,COUNTIFS($Z$2:$Z$601,Z140,$AG$2:$AG$601,"&gt;"&amp;AG140)+COUNTIFS($Z$2:Z140,Z140,$AG$2:AG140,AG140),"")</f>
        <v/>
      </c>
      <c r="AI140" s="28" t="str">
        <f t="shared" ca="1" si="27"/>
        <v/>
      </c>
      <c r="AJ140" s="28" t="str">
        <f t="shared" ca="1" si="28"/>
        <v/>
      </c>
      <c r="AK140" s="28">
        <f>IF(L140=1,IF(COUNTIFS($F$2:F140,F140,$L$2:L140,1)=1,1,0),0)</f>
        <v>1</v>
      </c>
      <c r="AL140" s="28" t="str">
        <f>IF(B140="","",IF(K140="DUPLICATE","Duplicate (removed)",IF(AO140=1,"Scheduled within 24h",IF(M140=1,"Scheduled late",IF(K140="BAD CONTACT","Bad contact details",IF(O140=1,"Stopped / wrong number",IF(N140=1,"Not interested",IF(P140=1,"Partner has no slots",IF(SETTINGS!$B$4&gt;=V140,IF(Q140=0,"Missed deadline: never tried","Missed deadline: tried, not booked"),IF(Q140&gt;=SETTINGS!$B$6,"No reply after max tries","Open"))))))))))</f>
        <v>Scheduled within 24h</v>
      </c>
      <c r="AM140" s="46">
        <f>IF(M140=1,IF(_xlfn.MINIFS(LOG!$G$2:$G$2001,LOG!$C$2:$C$2001,F140,LOG!$E$2:$E$2001,B140,LOG!$D$2:$D$2001,"*BOOKED")=0,_xlfn.MINIFS(LOG!$G$2:$G$2001,LOG!$C$2:$C$2001,F140,LOG!$E$2:$E$2001,"",LOG!$D$2:$D$2001,"*BOOKED"),IF(_xlfn.MINIFS(LOG!$G$2:$G$2001,LOG!$C$2:$C$2001,F140,LOG!$E$2:$E$2001,"",LOG!$D$2:$D$2001,"*BOOKED")=0,_xlfn.MINIFS(LOG!$G$2:$G$2001,LOG!$C$2:$C$2001,F140,LOG!$E$2:$E$2001,B140,LOG!$D$2:$D$2001,"*BOOKED"),MIN(_xlfn.MINIFS(LOG!$G$2:$G$2001,LOG!$C$2:$C$2001,F140,LOG!$E$2:$E$2001,B140,LOG!$D$2:$D$2001,"*BOOKED"),_xlfn.MINIFS(LOG!$G$2:$G$2001,LOG!$C$2:$C$2001,F140,LOG!$E$2:$E$2001,"",LOG!$D$2:$D$2001,"*BOOKED")))),"")</f>
        <v>46309.640601556704</v>
      </c>
      <c r="AN140" s="28">
        <f t="shared" si="29"/>
        <v>19.524437360989396</v>
      </c>
      <c r="AO140" s="28">
        <f>IF(AND(M140=1,AN140&lt;&gt;""),IF(AN140&lt;=SETTINGS!$B$5,1,0),0)</f>
        <v>1</v>
      </c>
      <c r="AP140" s="28">
        <f>IF(M140=1,IF(COUNTIFS(LOG!$C$2:$C$2001,F140,LOG!$E$2:$E$2001,B140,LOG!$D$2:$D$2001,"BOOKED")+COUNTIFS(LOG!$C$2:$C$2001,F140,LOG!$E$2:$E$2001,"",LOG!$D$2:$D$2001,"BOOKED")&gt;0,1,0),0)</f>
        <v>0</v>
      </c>
      <c r="AQ140" s="28" t="str">
        <f t="shared" si="30"/>
        <v>Aditya</v>
      </c>
      <c r="AR140" s="28">
        <f>IF(AND(AK140=1,K140="OK"),COUNTIFS($AK$2:AK140,1,$K$2:K140,"OK"),"")</f>
        <v>130</v>
      </c>
      <c r="AS140" s="28" t="str">
        <f>IF(L140=1,IFERROR(INDEX(MESSAGES!$J$9:$J$1008,MATCH(F140,MESSAGES!$M$9:$M$1008,0))&amp;"",""),"")</f>
        <v/>
      </c>
      <c r="AT140" s="28" t="str">
        <f>IF(L140=1,IFERROR(INDEX(MESSAGES!$K$9:$K$1008,MATCH(F140,MESSAGES!$M$9:$M$1008,0))&amp;"",""),"")</f>
        <v/>
      </c>
      <c r="AU140" s="28">
        <f t="shared" ca="1" si="31"/>
        <v>0</v>
      </c>
      <c r="AV140" s="28" t="str">
        <f t="shared" si="32"/>
        <v>HOLD</v>
      </c>
    </row>
    <row r="141" spans="1:48" x14ac:dyDescent="0.35">
      <c r="A141" s="28">
        <v>140</v>
      </c>
      <c r="B141" s="28" t="str">
        <f>IF(INPUT!A141="","",TRIM(INPUT!A141))</f>
        <v>Partner 000</v>
      </c>
      <c r="C141" s="28" t="str">
        <f>IF(B141="","",INPUT!C141)</f>
        <v>interviewer1@partner000.example.com</v>
      </c>
      <c r="D141" s="28" t="str">
        <f>IF(B141="","",INPUT!D141)</f>
        <v>Vihaan C.</v>
      </c>
      <c r="E141" s="28" t="str">
        <f>IF(B141="","",INPUT!E141)</f>
        <v>vihaan.c064@example.com</v>
      </c>
      <c r="F141" s="43" t="str">
        <f>IF(B141="","",TRIM(INPUT!F141&amp;""))</f>
        <v>9000000839</v>
      </c>
      <c r="G141" s="28" t="str">
        <f>IF(B141="","",INPUT!H141)</f>
        <v>Round1</v>
      </c>
      <c r="H141" s="46">
        <f>IF(B141="","",INPUT!I141)</f>
        <v>46308.82708333333</v>
      </c>
      <c r="I141" s="28" t="str">
        <f>IF(B141="","",IF(INPUT!J141="","None",INPUT!J141))</f>
        <v>None</v>
      </c>
      <c r="J141" s="28" t="str">
        <f t="shared" si="22"/>
        <v>vihaan.c064@example.com|partner 000|Round1|interviewer1@partner000.example.com</v>
      </c>
      <c r="K141" s="28" t="str">
        <f>IF(B141="","",IF(SUMPRODUCT(($J$2:$J$601=J141)*($H$2:$H$601&lt;H141))+SUMPRODUCT(($J$2:J141=J141)*($H$2:H141=H141))-1&gt;0,"DUPLICATE",IF(AND(ISNUMBER(SEARCH("@",E141)),ISNUMBER(SEARCH(".",E141)),LEN(F141)=10,ISNUMBER(VALUE(F141))),"OK","BAD CONTACT")))</f>
        <v>OK</v>
      </c>
      <c r="L141" s="28">
        <f t="shared" si="23"/>
        <v>1</v>
      </c>
      <c r="M141" s="28">
        <f>IF(L141=1,IF(COUNTIFS(LOG!$C$2:$C$2001,F141,LOG!$E$2:$E$2001,B141,LOG!$D$2:$D$2001,"*BOOKED")+COUNTIFS(LOG!$C$2:$C$2001,F141,LOG!$E$2:$E$2001,"",LOG!$D$2:$D$2001,"*BOOKED")&gt;0,1,0),0)</f>
        <v>1</v>
      </c>
      <c r="N141" s="28">
        <f>IF(L141=1,IF(COUNTIFS(LOG!$C$2:$C$2001,F141,LOG!$E$2:$E$2001,B141,LOG!$D$2:$D$2001,"NOT_INTERESTED")+COUNTIFS(LOG!$C$2:$C$2001,F141,LOG!$E$2:$E$2001,"",LOG!$D$2:$D$2001,"NOT_INTERESTED")&gt;0,1,0),0)</f>
        <v>0</v>
      </c>
      <c r="O141" s="28">
        <f>IF(L141=1,IF(COUNTIFS(LOG!$C$2:$C$2001,F141,LOG!$D$2:$D$2001,"STOP")+COUNTIFS(LOG!$C$2:$C$2001,F141,LOG!$D$2:$D$2001,"WRONG_NUMBER")&gt;0,1,IF(ISNUMBER(SEARCH("STOP",AT141)),1,0)),0)</f>
        <v>0</v>
      </c>
      <c r="P141" s="28">
        <f>IF(L141=1,IF(IFERROR(INDEX(PARTNERS!$D$2:$D$88,MATCH(B141,PARTNERS!$A$2:$A$88,0)),"")="NO SLOTS",1,IF(AND(IFERROR(INDEX(PARTNERS!$D$2:$D$88,MATCH(B141,PARTNERS!$A$2:$A$88,0)),"")&lt;&gt;"REOPENED",COUNTIFS(LOG!$E$2:$E$2001,B141,LOG!$D$2:$D$2001,"NO_SLOTS")&gt;0),1,0)),0)</f>
        <v>0</v>
      </c>
      <c r="Q141" s="28">
        <f>IF(L141=1,COUNTIFS(LOG!$C$2:$C$2001,F141,LOG!$H$2:$H$2001,1),0)</f>
        <v>0</v>
      </c>
      <c r="R141" s="46">
        <f>IF(Q141&gt;0,_xlfn.MAXIFS(LOG!$G$2:$G$2001,LOG!$C$2:$C$2001,F141,LOG!$H$2:$H$2001,1),0)</f>
        <v>0</v>
      </c>
      <c r="S141" s="28" t="str">
        <f>IF(Q141&gt;0,IFERROR(INDEX(LOG!$D$2:$D$2001,MATCH(F141&amp;"|"&amp;Q141,LOG!$I$2:$I$2001,0)),""),"")</f>
        <v/>
      </c>
      <c r="T141" s="28">
        <f>IF(S141="",0,IFERROR(VLOOKUP(S141,LISTS!$A$2:$E$10,4,FALSE),0))</f>
        <v>0</v>
      </c>
      <c r="U141" s="46">
        <f t="shared" si="24"/>
        <v>0</v>
      </c>
      <c r="V141" s="46">
        <f>IF(L141=1,H141+SETTINGS!$B$5/24,"")</f>
        <v>46309.82708333333</v>
      </c>
      <c r="W141" s="28">
        <f ca="1">IF(L141=1,(V141-SETTINGS!$B$4)*24,"")</f>
        <v>-1.6666666720993817E-2</v>
      </c>
      <c r="X141" s="28">
        <f ca="1">IF(AND(L141=1,K141="OK",M141=0,N141=0,O141=0,P141=0,SETTINGS!$B$4&lt;V141,Q141&lt;SETTINGS!$B$6),1,0)</f>
        <v>0</v>
      </c>
      <c r="Y141" s="28">
        <f ca="1">IF(AND(X141=1,SETTINGS!$B$4&gt;=H141,SETTINGS!$B$4&gt;=U141,ROUND(MOD(SETTINGS!$B$4,1)*1440,0)&gt;=ROUND(SETTINGS!$B$7*1440,0),ROUND(MOD(SETTINGS!$B$4,1)*1440,0)&lt;ROUND(SETTINGS!$B$8*1440,0)),1,0)</f>
        <v>0</v>
      </c>
      <c r="Z141" s="28" t="str">
        <f ca="1">IF(B141="","",IF(ROUND(MOD(SETTINGS!$B$4,1)*1440,0)&lt;ROUND(SETTINGS!$B$11*1440,0),"Ram",IF(ROUND(MOD(SETTINGS!$B$4,1)*1440,0)&gt;=ROUND(SETTINGS!$B$10*1440,0),"Shyam",IF(MOD(IFERROR(VALUE(RIGHT(F141,2)),0),2)=0,"Ram","Shyam"))))</f>
        <v>Shyam</v>
      </c>
      <c r="AA141" s="28">
        <f t="shared" ca="1" si="25"/>
        <v>0</v>
      </c>
      <c r="AB141" s="28">
        <f ca="1">IF(X141=1,COUNTIFS($F$2:F141,F141,$X$2:X141,1),0)</f>
        <v>0</v>
      </c>
      <c r="AC141" s="28" t="str">
        <f>IF(L141=1,IF(IFERROR(INDEX(PARTNERS!$C$2:$C$88,MATCH(B141,PARTNERS!$A$2:$A$88,0)),"")="YES","YES","NO"),"")</f>
        <v>NO</v>
      </c>
      <c r="AD141" s="28" t="str">
        <f>IF(L141=1,IFERROR(INDEX(PARTNERS!$B$2:$B$88,MATCH(B141,PARTNERS!$A$2:$A$88,0)),""),"")</f>
        <v>https://calendly.com/partner000/interview</v>
      </c>
      <c r="AE141" s="28">
        <f ca="1">IF(X141=1,IFERROR(INDEX(SETTINGS!$B$34:$D$36,MATCH(I141,SETTINGS!$A$34:$A$36,0),MIN(Q141,2)+1),SETTINGS!$B$36),0)</f>
        <v>0</v>
      </c>
      <c r="AF141" s="28">
        <f t="shared" si="26"/>
        <v>1</v>
      </c>
      <c r="AG141" s="28">
        <f ca="1">IF(AND(Y141=1,AB141=1),ROUND(AA141*AE141*IF(AF141&gt;1,SETTINGS!$B$16,1)*IF(W141&lt;=SETTINGS!$B$14,SETTINGS!$B$15,1)*IF(AU141=1,SETTINGS!$B$21,1),6),0)</f>
        <v>0</v>
      </c>
      <c r="AH141" s="28" t="str">
        <f ca="1">IF(AG141&gt;0,COUNTIFS($Z$2:$Z$601,Z141,$AG$2:$AG$601,"&gt;"&amp;AG141)+COUNTIFS($Z$2:Z141,Z141,$AG$2:AG141,AG141),"")</f>
        <v/>
      </c>
      <c r="AI141" s="28" t="str">
        <f t="shared" ca="1" si="27"/>
        <v/>
      </c>
      <c r="AJ141" s="28" t="str">
        <f t="shared" ca="1" si="28"/>
        <v/>
      </c>
      <c r="AK141" s="28">
        <f>IF(L141=1,IF(COUNTIFS($F$2:F141,F141,$L$2:L141,1)=1,1,0),0)</f>
        <v>0</v>
      </c>
      <c r="AL141" s="28" t="str">
        <f>IF(B141="","",IF(K141="DUPLICATE","Duplicate (removed)",IF(AO141=1,"Scheduled within 24h",IF(M141=1,"Scheduled late",IF(K141="BAD CONTACT","Bad contact details",IF(O141=1,"Stopped / wrong number",IF(N141=1,"Not interested",IF(P141=1,"Partner has no slots",IF(SETTINGS!$B$4&gt;=V141,IF(Q141=0,"Missed deadline: never tried","Missed deadline: tried, not booked"),IF(Q141&gt;=SETTINGS!$B$6,"No reply after max tries","Open"))))))))))</f>
        <v>Scheduled within 24h</v>
      </c>
      <c r="AM141" s="46">
        <f>IF(M141=1,IF(_xlfn.MINIFS(LOG!$G$2:$G$2001,LOG!$C$2:$C$2001,F141,LOG!$E$2:$E$2001,B141,LOG!$D$2:$D$2001,"*BOOKED")=0,_xlfn.MINIFS(LOG!$G$2:$G$2001,LOG!$C$2:$C$2001,F141,LOG!$E$2:$E$2001,"",LOG!$D$2:$D$2001,"*BOOKED"),IF(_xlfn.MINIFS(LOG!$G$2:$G$2001,LOG!$C$2:$C$2001,F141,LOG!$E$2:$E$2001,"",LOG!$D$2:$D$2001,"*BOOKED")=0,_xlfn.MINIFS(LOG!$G$2:$G$2001,LOG!$C$2:$C$2001,F141,LOG!$E$2:$E$2001,B141,LOG!$D$2:$D$2001,"*BOOKED"),MIN(_xlfn.MINIFS(LOG!$G$2:$G$2001,LOG!$C$2:$C$2001,F141,LOG!$E$2:$E$2001,B141,LOG!$D$2:$D$2001,"*BOOKED"),_xlfn.MINIFS(LOG!$G$2:$G$2001,LOG!$C$2:$C$2001,F141,LOG!$E$2:$E$2001,"",LOG!$D$2:$D$2001,"*BOOKED")))),"")</f>
        <v>46308.947149420128</v>
      </c>
      <c r="AN141" s="28">
        <f t="shared" si="29"/>
        <v>2.8815860831527971</v>
      </c>
      <c r="AO141" s="28">
        <f>IF(AND(M141=1,AN141&lt;&gt;""),IF(AN141&lt;=SETTINGS!$B$5,1,0),0)</f>
        <v>1</v>
      </c>
      <c r="AP141" s="28">
        <f>IF(M141=1,IF(COUNTIFS(LOG!$C$2:$C$2001,F141,LOG!$E$2:$E$2001,B141,LOG!$D$2:$D$2001,"BOOKED")+COUNTIFS(LOG!$C$2:$C$2001,F141,LOG!$E$2:$E$2001,"",LOG!$D$2:$D$2001,"BOOKED")&gt;0,1,0),0)</f>
        <v>0</v>
      </c>
      <c r="AQ141" s="28" t="str">
        <f t="shared" si="30"/>
        <v>Vihaan</v>
      </c>
      <c r="AR141" s="28" t="str">
        <f>IF(AND(AK141=1,K141="OK"),COUNTIFS($AK$2:AK141,1,$K$2:K141,"OK"),"")</f>
        <v/>
      </c>
      <c r="AS141" s="28" t="str">
        <f>IF(L141=1,IFERROR(INDEX(MESSAGES!$J$9:$J$1008,MATCH(F141,MESSAGES!$M$9:$M$1008,0))&amp;"",""),"")</f>
        <v/>
      </c>
      <c r="AT141" s="28" t="str">
        <f>IF(L141=1,IFERROR(INDEX(MESSAGES!$K$9:$K$1008,MATCH(F141,MESSAGES!$M$9:$M$1008,0))&amp;"",""),"")</f>
        <v/>
      </c>
      <c r="AU141" s="28">
        <f t="shared" ca="1" si="31"/>
        <v>0</v>
      </c>
      <c r="AV141" s="28" t="str">
        <f t="shared" si="32"/>
        <v>HOLD</v>
      </c>
    </row>
    <row r="142" spans="1:48" x14ac:dyDescent="0.35">
      <c r="A142" s="28">
        <v>141</v>
      </c>
      <c r="B142" s="28" t="str">
        <f>IF(INPUT!A142="","",TRIM(INPUT!A142))</f>
        <v>Partner 001</v>
      </c>
      <c r="C142" s="28" t="str">
        <f>IF(B142="","",INPUT!C142)</f>
        <v>interviewer2@partner001.example.com</v>
      </c>
      <c r="D142" s="28" t="str">
        <f>IF(B142="","",INPUT!D142)</f>
        <v>Varun M.</v>
      </c>
      <c r="E142" s="28" t="str">
        <f>IF(B142="","",INPUT!E142)</f>
        <v>varun.m358@example.com</v>
      </c>
      <c r="F142" s="43" t="str">
        <f>IF(B142="","",TRIM(INPUT!F142&amp;""))</f>
        <v>9000004661</v>
      </c>
      <c r="G142" s="28" t="str">
        <f>IF(B142="","",INPUT!H142)</f>
        <v>Round1</v>
      </c>
      <c r="H142" s="46">
        <f>IF(B142="","",INPUT!I142)</f>
        <v>46308.82708333333</v>
      </c>
      <c r="I142" s="28" t="str">
        <f>IF(B142="","",IF(INPUT!J142="","None",INPUT!J142))</f>
        <v>Clicked</v>
      </c>
      <c r="J142" s="28" t="str">
        <f t="shared" si="22"/>
        <v>varun.m358@example.com|partner 001|Round1|interviewer2@partner001.example.com</v>
      </c>
      <c r="K142" s="28" t="str">
        <f>IF(B142="","",IF(SUMPRODUCT(($J$2:$J$601=J142)*($H$2:$H$601&lt;H142))+SUMPRODUCT(($J$2:J142=J142)*($H$2:H142=H142))-1&gt;0,"DUPLICATE",IF(AND(ISNUMBER(SEARCH("@",E142)),ISNUMBER(SEARCH(".",E142)),LEN(F142)=10,ISNUMBER(VALUE(F142))),"OK","BAD CONTACT")))</f>
        <v>OK</v>
      </c>
      <c r="L142" s="28">
        <f t="shared" si="23"/>
        <v>1</v>
      </c>
      <c r="M142" s="28">
        <f>IF(L142=1,IF(COUNTIFS(LOG!$C$2:$C$2001,F142,LOG!$E$2:$E$2001,B142,LOG!$D$2:$D$2001,"*BOOKED")+COUNTIFS(LOG!$C$2:$C$2001,F142,LOG!$E$2:$E$2001,"",LOG!$D$2:$D$2001,"*BOOKED")&gt;0,1,0),0)</f>
        <v>0</v>
      </c>
      <c r="N142" s="28">
        <f>IF(L142=1,IF(COUNTIFS(LOG!$C$2:$C$2001,F142,LOG!$E$2:$E$2001,B142,LOG!$D$2:$D$2001,"NOT_INTERESTED")+COUNTIFS(LOG!$C$2:$C$2001,F142,LOG!$E$2:$E$2001,"",LOG!$D$2:$D$2001,"NOT_INTERESTED")&gt;0,1,0),0)</f>
        <v>0</v>
      </c>
      <c r="O142" s="28">
        <f>IF(L142=1,IF(COUNTIFS(LOG!$C$2:$C$2001,F142,LOG!$D$2:$D$2001,"STOP")+COUNTIFS(LOG!$C$2:$C$2001,F142,LOG!$D$2:$D$2001,"WRONG_NUMBER")&gt;0,1,IF(ISNUMBER(SEARCH("STOP",AT142)),1,0)),0)</f>
        <v>0</v>
      </c>
      <c r="P142" s="28">
        <f>IF(L142=1,IF(IFERROR(INDEX(PARTNERS!$D$2:$D$88,MATCH(B142,PARTNERS!$A$2:$A$88,0)),"")="NO SLOTS",1,IF(AND(IFERROR(INDEX(PARTNERS!$D$2:$D$88,MATCH(B142,PARTNERS!$A$2:$A$88,0)),"")&lt;&gt;"REOPENED",COUNTIFS(LOG!$E$2:$E$2001,B142,LOG!$D$2:$D$2001,"NO_SLOTS")&gt;0),1,0)),0)</f>
        <v>0</v>
      </c>
      <c r="Q142" s="28">
        <f>IF(L142=1,COUNTIFS(LOG!$C$2:$C$2001,F142,LOG!$H$2:$H$2001,1),0)</f>
        <v>2</v>
      </c>
      <c r="R142" s="46">
        <f>IF(Q142&gt;0,_xlfn.MAXIFS(LOG!$G$2:$G$2001,LOG!$C$2:$C$2001,F142,LOG!$H$2:$H$2001,1),0)</f>
        <v>46309.728123114131</v>
      </c>
      <c r="S142" s="28" t="str">
        <f>IF(Q142&gt;0,IFERROR(INDEX(LOG!$D$2:$D$2001,MATCH(F142&amp;"|"&amp;Q142,LOG!$I$2:$I$2001,0)),""),"")</f>
        <v>CALL_BACK</v>
      </c>
      <c r="T142" s="28">
        <f>IF(S142="",0,IFERROR(VLOOKUP(S142,LISTS!$A$2:$E$10,4,FALSE),0))</f>
        <v>120</v>
      </c>
      <c r="U142" s="46">
        <f t="shared" si="24"/>
        <v>46309.811456447467</v>
      </c>
      <c r="V142" s="46">
        <f>IF(L142=1,H142+SETTINGS!$B$5/24,"")</f>
        <v>46309.82708333333</v>
      </c>
      <c r="W142" s="28">
        <f ca="1">IF(L142=1,(V142-SETTINGS!$B$4)*24,"")</f>
        <v>-1.6666666720993817E-2</v>
      </c>
      <c r="X142" s="28">
        <f ca="1">IF(AND(L142=1,K142="OK",M142=0,N142=0,O142=0,P142=0,SETTINGS!$B$4&lt;V142,Q142&lt;SETTINGS!$B$6),1,0)</f>
        <v>0</v>
      </c>
      <c r="Y142" s="28">
        <f ca="1">IF(AND(X142=1,SETTINGS!$B$4&gt;=H142,SETTINGS!$B$4&gt;=U142,ROUND(MOD(SETTINGS!$B$4,1)*1440,0)&gt;=ROUND(SETTINGS!$B$7*1440,0),ROUND(MOD(SETTINGS!$B$4,1)*1440,0)&lt;ROUND(SETTINGS!$B$8*1440,0)),1,0)</f>
        <v>0</v>
      </c>
      <c r="Z142" s="28" t="str">
        <f ca="1">IF(B142="","",IF(ROUND(MOD(SETTINGS!$B$4,1)*1440,0)&lt;ROUND(SETTINGS!$B$11*1440,0),"Ram",IF(ROUND(MOD(SETTINGS!$B$4,1)*1440,0)&gt;=ROUND(SETTINGS!$B$10*1440,0),"Shyam",IF(MOD(IFERROR(VALUE(RIGHT(F142,2)),0),2)=0,"Ram","Shyam"))))</f>
        <v>Shyam</v>
      </c>
      <c r="AA142" s="28">
        <f t="shared" ca="1" si="25"/>
        <v>0</v>
      </c>
      <c r="AB142" s="28">
        <f ca="1">IF(X142=1,COUNTIFS($F$2:F142,F142,$X$2:X142,1),0)</f>
        <v>0</v>
      </c>
      <c r="AC142" s="28" t="str">
        <f>IF(L142=1,IF(IFERROR(INDEX(PARTNERS!$C$2:$C$88,MATCH(B142,PARTNERS!$A$2:$A$88,0)),"")="YES","YES","NO"),"")</f>
        <v>NO</v>
      </c>
      <c r="AD142" s="28" t="str">
        <f>IF(L142=1,IFERROR(INDEX(PARTNERS!$B$2:$B$88,MATCH(B142,PARTNERS!$A$2:$A$88,0)),""),"")</f>
        <v>https://calendly.com/partner001/interview</v>
      </c>
      <c r="AE142" s="28">
        <f ca="1">IF(X142=1,IFERROR(INDEX(SETTINGS!$B$34:$D$36,MATCH(I142,SETTINGS!$A$34:$A$36,0),MIN(Q142,2)+1),SETTINGS!$B$36),0)</f>
        <v>0</v>
      </c>
      <c r="AF142" s="28">
        <f t="shared" si="26"/>
        <v>1</v>
      </c>
      <c r="AG142" s="28">
        <f ca="1">IF(AND(Y142=1,AB142=1),ROUND(AA142*AE142*IF(AF142&gt;1,SETTINGS!$B$16,1)*IF(W142&lt;=SETTINGS!$B$14,SETTINGS!$B$15,1)*IF(AU142=1,SETTINGS!$B$21,1),6),0)</f>
        <v>0</v>
      </c>
      <c r="AH142" s="28" t="str">
        <f ca="1">IF(AG142&gt;0,COUNTIFS($Z$2:$Z$601,Z142,$AG$2:$AG$601,"&gt;"&amp;AG142)+COUNTIFS($Z$2:Z142,Z142,$AG$2:AG142,AG142),"")</f>
        <v/>
      </c>
      <c r="AI142" s="28" t="str">
        <f t="shared" ca="1" si="27"/>
        <v/>
      </c>
      <c r="AJ142" s="28" t="str">
        <f t="shared" ca="1" si="28"/>
        <v/>
      </c>
      <c r="AK142" s="28">
        <f>IF(L142=1,IF(COUNTIFS($F$2:F142,F142,$L$2:L142,1)=1,1,0),0)</f>
        <v>1</v>
      </c>
      <c r="AL142" s="28" t="str">
        <f ca="1">IF(B142="","",IF(K142="DUPLICATE","Duplicate (removed)",IF(AO142=1,"Scheduled within 24h",IF(M142=1,"Scheduled late",IF(K142="BAD CONTACT","Bad contact details",IF(O142=1,"Stopped / wrong number",IF(N142=1,"Not interested",IF(P142=1,"Partner has no slots",IF(SETTINGS!$B$4&gt;=V142,IF(Q142=0,"Missed deadline: never tried","Missed deadline: tried, not booked"),IF(Q142&gt;=SETTINGS!$B$6,"No reply after max tries","Open"))))))))))</f>
        <v>Missed deadline: tried, not booked</v>
      </c>
      <c r="AM142" s="46" t="str">
        <f>IF(M142=1,IF(_xlfn.MINIFS(LOG!$G$2:$G$2001,LOG!$C$2:$C$2001,F142,LOG!$E$2:$E$2001,B142,LOG!$D$2:$D$2001,"*BOOKED")=0,_xlfn.MINIFS(LOG!$G$2:$G$2001,LOG!$C$2:$C$2001,F142,LOG!$E$2:$E$2001,"",LOG!$D$2:$D$2001,"*BOOKED"),IF(_xlfn.MINIFS(LOG!$G$2:$G$2001,LOG!$C$2:$C$2001,F142,LOG!$E$2:$E$2001,"",LOG!$D$2:$D$2001,"*BOOKED")=0,_xlfn.MINIFS(LOG!$G$2:$G$2001,LOG!$C$2:$C$2001,F142,LOG!$E$2:$E$2001,B142,LOG!$D$2:$D$2001,"*BOOKED"),MIN(_xlfn.MINIFS(LOG!$G$2:$G$2001,LOG!$C$2:$C$2001,F142,LOG!$E$2:$E$2001,B142,LOG!$D$2:$D$2001,"*BOOKED"),_xlfn.MINIFS(LOG!$G$2:$G$2001,LOG!$C$2:$C$2001,F142,LOG!$E$2:$E$2001,"",LOG!$D$2:$D$2001,"*BOOKED")))),"")</f>
        <v/>
      </c>
      <c r="AN142" s="28" t="str">
        <f t="shared" si="29"/>
        <v/>
      </c>
      <c r="AO142" s="28">
        <f>IF(AND(M142=1,AN142&lt;&gt;""),IF(AN142&lt;=SETTINGS!$B$5,1,0),0)</f>
        <v>0</v>
      </c>
      <c r="AP142" s="28">
        <f>IF(M142=1,IF(COUNTIFS(LOG!$C$2:$C$2001,F142,LOG!$E$2:$E$2001,B142,LOG!$D$2:$D$2001,"BOOKED")+COUNTIFS(LOG!$C$2:$C$2001,F142,LOG!$E$2:$E$2001,"",LOG!$D$2:$D$2001,"BOOKED")&gt;0,1,0),0)</f>
        <v>0</v>
      </c>
      <c r="AQ142" s="28" t="str">
        <f t="shared" si="30"/>
        <v>Varun</v>
      </c>
      <c r="AR142" s="28">
        <f>IF(AND(AK142=1,K142="OK"),COUNTIFS($AK$2:AK142,1,$K$2:K142,"OK"),"")</f>
        <v>131</v>
      </c>
      <c r="AS142" s="28" t="str">
        <f>IF(L142=1,IFERROR(INDEX(MESSAGES!$J$9:$J$1008,MATCH(F142,MESSAGES!$M$9:$M$1008,0))&amp;"",""),"")</f>
        <v/>
      </c>
      <c r="AT142" s="28" t="str">
        <f>IF(L142=1,IFERROR(INDEX(MESSAGES!$K$9:$K$1008,MATCH(F142,MESSAGES!$M$9:$M$1008,0))&amp;"",""),"")</f>
        <v/>
      </c>
      <c r="AU142" s="28">
        <f t="shared" ca="1" si="31"/>
        <v>0</v>
      </c>
      <c r="AV142" s="28" t="str">
        <f t="shared" si="32"/>
        <v>SEND</v>
      </c>
    </row>
    <row r="143" spans="1:48" x14ac:dyDescent="0.35">
      <c r="A143" s="28">
        <v>142</v>
      </c>
      <c r="B143" s="28" t="str">
        <f>IF(INPUT!A143="","",TRIM(INPUT!A143))</f>
        <v>Partner 000</v>
      </c>
      <c r="C143" s="28" t="str">
        <f>IF(B143="","",INPUT!C143)</f>
        <v>interviewer2@partner000.example.com</v>
      </c>
      <c r="D143" s="28" t="str">
        <f>IF(B143="","",INPUT!D143)</f>
        <v>Zoya P.</v>
      </c>
      <c r="E143" s="28" t="str">
        <f>IF(B143="","",INPUT!E143)</f>
        <v>zoya.p407@example.com</v>
      </c>
      <c r="F143" s="43" t="str">
        <f>IF(B143="","",TRIM(INPUT!F143&amp;""))</f>
        <v>9000005298</v>
      </c>
      <c r="G143" s="28" t="str">
        <f>IF(B143="","",INPUT!H143)</f>
        <v>Round1</v>
      </c>
      <c r="H143" s="46">
        <f>IF(B143="","",INPUT!I143)</f>
        <v>46308.82708333333</v>
      </c>
      <c r="I143" s="28" t="str">
        <f>IF(B143="","",IF(INPUT!J143="","None",INPUT!J143))</f>
        <v>Clicked</v>
      </c>
      <c r="J143" s="28" t="str">
        <f t="shared" si="22"/>
        <v>zoya.p407@example.com|partner 000|Round1|interviewer2@partner000.example.com</v>
      </c>
      <c r="K143" s="28" t="str">
        <f>IF(B143="","",IF(SUMPRODUCT(($J$2:$J$601=J143)*($H$2:$H$601&lt;H143))+SUMPRODUCT(($J$2:J143=J143)*($H$2:H143=H143))-1&gt;0,"DUPLICATE",IF(AND(ISNUMBER(SEARCH("@",E143)),ISNUMBER(SEARCH(".",E143)),LEN(F143)=10,ISNUMBER(VALUE(F143))),"OK","BAD CONTACT")))</f>
        <v>OK</v>
      </c>
      <c r="L143" s="28">
        <f t="shared" si="23"/>
        <v>1</v>
      </c>
      <c r="M143" s="28">
        <f>IF(L143=1,IF(COUNTIFS(LOG!$C$2:$C$2001,F143,LOG!$E$2:$E$2001,B143,LOG!$D$2:$D$2001,"*BOOKED")+COUNTIFS(LOG!$C$2:$C$2001,F143,LOG!$E$2:$E$2001,"",LOG!$D$2:$D$2001,"*BOOKED")&gt;0,1,0),0)</f>
        <v>0</v>
      </c>
      <c r="N143" s="28">
        <f>IF(L143=1,IF(COUNTIFS(LOG!$C$2:$C$2001,F143,LOG!$E$2:$E$2001,B143,LOG!$D$2:$D$2001,"NOT_INTERESTED")+COUNTIFS(LOG!$C$2:$C$2001,F143,LOG!$E$2:$E$2001,"",LOG!$D$2:$D$2001,"NOT_INTERESTED")&gt;0,1,0),0)</f>
        <v>0</v>
      </c>
      <c r="O143" s="28">
        <f>IF(L143=1,IF(COUNTIFS(LOG!$C$2:$C$2001,F143,LOG!$D$2:$D$2001,"STOP")+COUNTIFS(LOG!$C$2:$C$2001,F143,LOG!$D$2:$D$2001,"WRONG_NUMBER")&gt;0,1,IF(ISNUMBER(SEARCH("STOP",AT143)),1,0)),0)</f>
        <v>0</v>
      </c>
      <c r="P143" s="28">
        <f>IF(L143=1,IF(IFERROR(INDEX(PARTNERS!$D$2:$D$88,MATCH(B143,PARTNERS!$A$2:$A$88,0)),"")="NO SLOTS",1,IF(AND(IFERROR(INDEX(PARTNERS!$D$2:$D$88,MATCH(B143,PARTNERS!$A$2:$A$88,0)),"")&lt;&gt;"REOPENED",COUNTIFS(LOG!$E$2:$E$2001,B143,LOG!$D$2:$D$2001,"NO_SLOTS")&gt;0),1,0)),0)</f>
        <v>0</v>
      </c>
      <c r="Q143" s="28">
        <f>IF(L143=1,COUNTIFS(LOG!$C$2:$C$2001,F143,LOG!$H$2:$H$2001,1),0)</f>
        <v>2</v>
      </c>
      <c r="R143" s="46">
        <f>IF(Q143&gt;0,_xlfn.MAXIFS(LOG!$G$2:$G$2001,LOG!$C$2:$C$2001,F143,LOG!$H$2:$H$2001,1),0)</f>
        <v>46309.704229253439</v>
      </c>
      <c r="S143" s="28" t="str">
        <f>IF(Q143&gt;0,IFERROR(INDEX(LOG!$D$2:$D$2001,MATCH(F143&amp;"|"&amp;Q143,LOG!$I$2:$I$2001,0)),""),"")</f>
        <v>CALL_BACK</v>
      </c>
      <c r="T143" s="28">
        <f>IF(S143="",0,IFERROR(VLOOKUP(S143,LISTS!$A$2:$E$10,4,FALSE),0))</f>
        <v>120</v>
      </c>
      <c r="U143" s="46">
        <f t="shared" si="24"/>
        <v>46309.787562586775</v>
      </c>
      <c r="V143" s="46">
        <f>IF(L143=1,H143+SETTINGS!$B$5/24,"")</f>
        <v>46309.82708333333</v>
      </c>
      <c r="W143" s="28">
        <f ca="1">IF(L143=1,(V143-SETTINGS!$B$4)*24,"")</f>
        <v>-1.6666666720993817E-2</v>
      </c>
      <c r="X143" s="28">
        <f ca="1">IF(AND(L143=1,K143="OK",M143=0,N143=0,O143=0,P143=0,SETTINGS!$B$4&lt;V143,Q143&lt;SETTINGS!$B$6),1,0)</f>
        <v>0</v>
      </c>
      <c r="Y143" s="28">
        <f ca="1">IF(AND(X143=1,SETTINGS!$B$4&gt;=H143,SETTINGS!$B$4&gt;=U143,ROUND(MOD(SETTINGS!$B$4,1)*1440,0)&gt;=ROUND(SETTINGS!$B$7*1440,0),ROUND(MOD(SETTINGS!$B$4,1)*1440,0)&lt;ROUND(SETTINGS!$B$8*1440,0)),1,0)</f>
        <v>0</v>
      </c>
      <c r="Z143" s="28" t="str">
        <f ca="1">IF(B143="","",IF(ROUND(MOD(SETTINGS!$B$4,1)*1440,0)&lt;ROUND(SETTINGS!$B$11*1440,0),"Ram",IF(ROUND(MOD(SETTINGS!$B$4,1)*1440,0)&gt;=ROUND(SETTINGS!$B$10*1440,0),"Shyam",IF(MOD(IFERROR(VALUE(RIGHT(F143,2)),0),2)=0,"Ram","Shyam"))))</f>
        <v>Shyam</v>
      </c>
      <c r="AA143" s="28">
        <f t="shared" ca="1" si="25"/>
        <v>0</v>
      </c>
      <c r="AB143" s="28">
        <f ca="1">IF(X143=1,COUNTIFS($F$2:F143,F143,$X$2:X143,1),0)</f>
        <v>0</v>
      </c>
      <c r="AC143" s="28" t="str">
        <f>IF(L143=1,IF(IFERROR(INDEX(PARTNERS!$C$2:$C$88,MATCH(B143,PARTNERS!$A$2:$A$88,0)),"")="YES","YES","NO"),"")</f>
        <v>NO</v>
      </c>
      <c r="AD143" s="28" t="str">
        <f>IF(L143=1,IFERROR(INDEX(PARTNERS!$B$2:$B$88,MATCH(B143,PARTNERS!$A$2:$A$88,0)),""),"")</f>
        <v>https://calendly.com/partner000/interview</v>
      </c>
      <c r="AE143" s="28">
        <f ca="1">IF(X143=1,IFERROR(INDEX(SETTINGS!$B$34:$D$36,MATCH(I143,SETTINGS!$A$34:$A$36,0),MIN(Q143,2)+1),SETTINGS!$B$36),0)</f>
        <v>0</v>
      </c>
      <c r="AF143" s="28">
        <f t="shared" si="26"/>
        <v>1</v>
      </c>
      <c r="AG143" s="28">
        <f ca="1">IF(AND(Y143=1,AB143=1),ROUND(AA143*AE143*IF(AF143&gt;1,SETTINGS!$B$16,1)*IF(W143&lt;=SETTINGS!$B$14,SETTINGS!$B$15,1)*IF(AU143=1,SETTINGS!$B$21,1),6),0)</f>
        <v>0</v>
      </c>
      <c r="AH143" s="28" t="str">
        <f ca="1">IF(AG143&gt;0,COUNTIFS($Z$2:$Z$601,Z143,$AG$2:$AG$601,"&gt;"&amp;AG143)+COUNTIFS($Z$2:Z143,Z143,$AG$2:AG143,AG143),"")</f>
        <v/>
      </c>
      <c r="AI143" s="28" t="str">
        <f t="shared" ca="1" si="27"/>
        <v/>
      </c>
      <c r="AJ143" s="28" t="str">
        <f t="shared" ca="1" si="28"/>
        <v/>
      </c>
      <c r="AK143" s="28">
        <f>IF(L143=1,IF(COUNTIFS($F$2:F143,F143,$L$2:L143,1)=1,1,0),0)</f>
        <v>1</v>
      </c>
      <c r="AL143" s="28" t="str">
        <f ca="1">IF(B143="","",IF(K143="DUPLICATE","Duplicate (removed)",IF(AO143=1,"Scheduled within 24h",IF(M143=1,"Scheduled late",IF(K143="BAD CONTACT","Bad contact details",IF(O143=1,"Stopped / wrong number",IF(N143=1,"Not interested",IF(P143=1,"Partner has no slots",IF(SETTINGS!$B$4&gt;=V143,IF(Q143=0,"Missed deadline: never tried","Missed deadline: tried, not booked"),IF(Q143&gt;=SETTINGS!$B$6,"No reply after max tries","Open"))))))))))</f>
        <v>Missed deadline: tried, not booked</v>
      </c>
      <c r="AM143" s="46" t="str">
        <f>IF(M143=1,IF(_xlfn.MINIFS(LOG!$G$2:$G$2001,LOG!$C$2:$C$2001,F143,LOG!$E$2:$E$2001,B143,LOG!$D$2:$D$2001,"*BOOKED")=0,_xlfn.MINIFS(LOG!$G$2:$G$2001,LOG!$C$2:$C$2001,F143,LOG!$E$2:$E$2001,"",LOG!$D$2:$D$2001,"*BOOKED"),IF(_xlfn.MINIFS(LOG!$G$2:$G$2001,LOG!$C$2:$C$2001,F143,LOG!$E$2:$E$2001,"",LOG!$D$2:$D$2001,"*BOOKED")=0,_xlfn.MINIFS(LOG!$G$2:$G$2001,LOG!$C$2:$C$2001,F143,LOG!$E$2:$E$2001,B143,LOG!$D$2:$D$2001,"*BOOKED"),MIN(_xlfn.MINIFS(LOG!$G$2:$G$2001,LOG!$C$2:$C$2001,F143,LOG!$E$2:$E$2001,B143,LOG!$D$2:$D$2001,"*BOOKED"),_xlfn.MINIFS(LOG!$G$2:$G$2001,LOG!$C$2:$C$2001,F143,LOG!$E$2:$E$2001,"",LOG!$D$2:$D$2001,"*BOOKED")))),"")</f>
        <v/>
      </c>
      <c r="AN143" s="28" t="str">
        <f t="shared" si="29"/>
        <v/>
      </c>
      <c r="AO143" s="28">
        <f>IF(AND(M143=1,AN143&lt;&gt;""),IF(AN143&lt;=SETTINGS!$B$5,1,0),0)</f>
        <v>0</v>
      </c>
      <c r="AP143" s="28">
        <f>IF(M143=1,IF(COUNTIFS(LOG!$C$2:$C$2001,F143,LOG!$E$2:$E$2001,B143,LOG!$D$2:$D$2001,"BOOKED")+COUNTIFS(LOG!$C$2:$C$2001,F143,LOG!$E$2:$E$2001,"",LOG!$D$2:$D$2001,"BOOKED")&gt;0,1,0),0)</f>
        <v>0</v>
      </c>
      <c r="AQ143" s="28" t="str">
        <f t="shared" si="30"/>
        <v>Zoya</v>
      </c>
      <c r="AR143" s="28">
        <f>IF(AND(AK143=1,K143="OK"),COUNTIFS($AK$2:AK143,1,$K$2:K143,"OK"),"")</f>
        <v>132</v>
      </c>
      <c r="AS143" s="28" t="str">
        <f>IF(L143=1,IFERROR(INDEX(MESSAGES!$J$9:$J$1008,MATCH(F143,MESSAGES!$M$9:$M$1008,0))&amp;"",""),"")</f>
        <v/>
      </c>
      <c r="AT143" s="28" t="str">
        <f>IF(L143=1,IFERROR(INDEX(MESSAGES!$K$9:$K$1008,MATCH(F143,MESSAGES!$M$9:$M$1008,0))&amp;"",""),"")</f>
        <v/>
      </c>
      <c r="AU143" s="28">
        <f t="shared" ca="1" si="31"/>
        <v>0</v>
      </c>
      <c r="AV143" s="28" t="str">
        <f t="shared" si="32"/>
        <v>HOLD</v>
      </c>
    </row>
    <row r="144" spans="1:48" x14ac:dyDescent="0.35">
      <c r="A144" s="28">
        <v>143</v>
      </c>
      <c r="B144" s="28" t="str">
        <f>IF(INPUT!A144="","",TRIM(INPUT!A144))</f>
        <v>Partner 001</v>
      </c>
      <c r="C144" s="28" t="str">
        <f>IF(B144="","",INPUT!C144)</f>
        <v>interviewer1@partner001.example.com</v>
      </c>
      <c r="D144" s="28" t="str">
        <f>IF(B144="","",INPUT!D144)</f>
        <v>Tara A.</v>
      </c>
      <c r="E144" s="28" t="str">
        <f>IF(B144="","",INPUT!E144)</f>
        <v>tara.a015@example.com</v>
      </c>
      <c r="F144" s="43" t="str">
        <f>IF(B144="","",TRIM(INPUT!F144&amp;""))</f>
        <v>9000000202</v>
      </c>
      <c r="G144" s="28" t="str">
        <f>IF(B144="","",INPUT!H144)</f>
        <v>Round1</v>
      </c>
      <c r="H144" s="46">
        <f>IF(B144="","",INPUT!I144)</f>
        <v>46308.82708333333</v>
      </c>
      <c r="I144" s="28" t="str">
        <f>IF(B144="","",IF(INPUT!J144="","None",INPUT!J144))</f>
        <v>None</v>
      </c>
      <c r="J144" s="28" t="str">
        <f t="shared" si="22"/>
        <v>tara.a015@example.com|partner 001|Round1|interviewer1@partner001.example.com</v>
      </c>
      <c r="K144" s="28" t="str">
        <f>IF(B144="","",IF(SUMPRODUCT(($J$2:$J$601=J144)*($H$2:$H$601&lt;H144))+SUMPRODUCT(($J$2:J144=J144)*($H$2:H144=H144))-1&gt;0,"DUPLICATE",IF(AND(ISNUMBER(SEARCH("@",E144)),ISNUMBER(SEARCH(".",E144)),LEN(F144)=10,ISNUMBER(VALUE(F144))),"OK","BAD CONTACT")))</f>
        <v>OK</v>
      </c>
      <c r="L144" s="28">
        <f t="shared" si="23"/>
        <v>1</v>
      </c>
      <c r="M144" s="28">
        <f>IF(L144=1,IF(COUNTIFS(LOG!$C$2:$C$2001,F144,LOG!$E$2:$E$2001,B144,LOG!$D$2:$D$2001,"*BOOKED")+COUNTIFS(LOG!$C$2:$C$2001,F144,LOG!$E$2:$E$2001,"",LOG!$D$2:$D$2001,"*BOOKED")&gt;0,1,0),0)</f>
        <v>1</v>
      </c>
      <c r="N144" s="28">
        <f>IF(L144=1,IF(COUNTIFS(LOG!$C$2:$C$2001,F144,LOG!$E$2:$E$2001,B144,LOG!$D$2:$D$2001,"NOT_INTERESTED")+COUNTIFS(LOG!$C$2:$C$2001,F144,LOG!$E$2:$E$2001,"",LOG!$D$2:$D$2001,"NOT_INTERESTED")&gt;0,1,0),0)</f>
        <v>0</v>
      </c>
      <c r="O144" s="28">
        <f>IF(L144=1,IF(COUNTIFS(LOG!$C$2:$C$2001,F144,LOG!$D$2:$D$2001,"STOP")+COUNTIFS(LOG!$C$2:$C$2001,F144,LOG!$D$2:$D$2001,"WRONG_NUMBER")&gt;0,1,IF(ISNUMBER(SEARCH("STOP",AT144)),1,0)),0)</f>
        <v>0</v>
      </c>
      <c r="P144" s="28">
        <f>IF(L144=1,IF(IFERROR(INDEX(PARTNERS!$D$2:$D$88,MATCH(B144,PARTNERS!$A$2:$A$88,0)),"")="NO SLOTS",1,IF(AND(IFERROR(INDEX(PARTNERS!$D$2:$D$88,MATCH(B144,PARTNERS!$A$2:$A$88,0)),"")&lt;&gt;"REOPENED",COUNTIFS(LOG!$E$2:$E$2001,B144,LOG!$D$2:$D$2001,"NO_SLOTS")&gt;0),1,0)),0)</f>
        <v>0</v>
      </c>
      <c r="Q144" s="28">
        <f>IF(L144=1,COUNTIFS(LOG!$C$2:$C$2001,F144,LOG!$H$2:$H$2001,1),0)</f>
        <v>0</v>
      </c>
      <c r="R144" s="46">
        <f>IF(Q144&gt;0,_xlfn.MAXIFS(LOG!$G$2:$G$2001,LOG!$C$2:$C$2001,F144,LOG!$H$2:$H$2001,1),0)</f>
        <v>0</v>
      </c>
      <c r="S144" s="28" t="str">
        <f>IF(Q144&gt;0,IFERROR(INDEX(LOG!$D$2:$D$2001,MATCH(F144&amp;"|"&amp;Q144,LOG!$I$2:$I$2001,0)),""),"")</f>
        <v/>
      </c>
      <c r="T144" s="28">
        <f>IF(S144="",0,IFERROR(VLOOKUP(S144,LISTS!$A$2:$E$10,4,FALSE),0))</f>
        <v>0</v>
      </c>
      <c r="U144" s="46">
        <f t="shared" si="24"/>
        <v>0</v>
      </c>
      <c r="V144" s="46">
        <f>IF(L144=1,H144+SETTINGS!$B$5/24,"")</f>
        <v>46309.82708333333</v>
      </c>
      <c r="W144" s="28">
        <f ca="1">IF(L144=1,(V144-SETTINGS!$B$4)*24,"")</f>
        <v>-1.6666666720993817E-2</v>
      </c>
      <c r="X144" s="28">
        <f ca="1">IF(AND(L144=1,K144="OK",M144=0,N144=0,O144=0,P144=0,SETTINGS!$B$4&lt;V144,Q144&lt;SETTINGS!$B$6),1,0)</f>
        <v>0</v>
      </c>
      <c r="Y144" s="28">
        <f ca="1">IF(AND(X144=1,SETTINGS!$B$4&gt;=H144,SETTINGS!$B$4&gt;=U144,ROUND(MOD(SETTINGS!$B$4,1)*1440,0)&gt;=ROUND(SETTINGS!$B$7*1440,0),ROUND(MOD(SETTINGS!$B$4,1)*1440,0)&lt;ROUND(SETTINGS!$B$8*1440,0)),1,0)</f>
        <v>0</v>
      </c>
      <c r="Z144" s="28" t="str">
        <f ca="1">IF(B144="","",IF(ROUND(MOD(SETTINGS!$B$4,1)*1440,0)&lt;ROUND(SETTINGS!$B$11*1440,0),"Ram",IF(ROUND(MOD(SETTINGS!$B$4,1)*1440,0)&gt;=ROUND(SETTINGS!$B$10*1440,0),"Shyam",IF(MOD(IFERROR(VALUE(RIGHT(F144,2)),0),2)=0,"Ram","Shyam"))))</f>
        <v>Shyam</v>
      </c>
      <c r="AA144" s="28">
        <f t="shared" ca="1" si="25"/>
        <v>0</v>
      </c>
      <c r="AB144" s="28">
        <f ca="1">IF(X144=1,COUNTIFS($F$2:F144,F144,$X$2:X144,1),0)</f>
        <v>0</v>
      </c>
      <c r="AC144" s="28" t="str">
        <f>IF(L144=1,IF(IFERROR(INDEX(PARTNERS!$C$2:$C$88,MATCH(B144,PARTNERS!$A$2:$A$88,0)),"")="YES","YES","NO"),"")</f>
        <v>NO</v>
      </c>
      <c r="AD144" s="28" t="str">
        <f>IF(L144=1,IFERROR(INDEX(PARTNERS!$B$2:$B$88,MATCH(B144,PARTNERS!$A$2:$A$88,0)),""),"")</f>
        <v>https://calendly.com/partner001/interview</v>
      </c>
      <c r="AE144" s="28">
        <f ca="1">IF(X144=1,IFERROR(INDEX(SETTINGS!$B$34:$D$36,MATCH(I144,SETTINGS!$A$34:$A$36,0),MIN(Q144,2)+1),SETTINGS!$B$36),0)</f>
        <v>0</v>
      </c>
      <c r="AF144" s="28">
        <f t="shared" si="26"/>
        <v>1</v>
      </c>
      <c r="AG144" s="28">
        <f ca="1">IF(AND(Y144=1,AB144=1),ROUND(AA144*AE144*IF(AF144&gt;1,SETTINGS!$B$16,1)*IF(W144&lt;=SETTINGS!$B$14,SETTINGS!$B$15,1)*IF(AU144=1,SETTINGS!$B$21,1),6),0)</f>
        <v>0</v>
      </c>
      <c r="AH144" s="28" t="str">
        <f ca="1">IF(AG144&gt;0,COUNTIFS($Z$2:$Z$601,Z144,$AG$2:$AG$601,"&gt;"&amp;AG144)+COUNTIFS($Z$2:Z144,Z144,$AG$2:AG144,AG144),"")</f>
        <v/>
      </c>
      <c r="AI144" s="28" t="str">
        <f t="shared" ca="1" si="27"/>
        <v/>
      </c>
      <c r="AJ144" s="28" t="str">
        <f t="shared" ca="1" si="28"/>
        <v/>
      </c>
      <c r="AK144" s="28">
        <f>IF(L144=1,IF(COUNTIFS($F$2:F144,F144,$L$2:L144,1)=1,1,0),0)</f>
        <v>1</v>
      </c>
      <c r="AL144" s="28" t="str">
        <f>IF(B144="","",IF(K144="DUPLICATE","Duplicate (removed)",IF(AO144=1,"Scheduled within 24h",IF(M144=1,"Scheduled late",IF(K144="BAD CONTACT","Bad contact details",IF(O144=1,"Stopped / wrong number",IF(N144=1,"Not interested",IF(P144=1,"Partner has no slots",IF(SETTINGS!$B$4&gt;=V144,IF(Q144=0,"Missed deadline: never tried","Missed deadline: tried, not booked"),IF(Q144&gt;=SETTINGS!$B$6,"No reply after max tries","Open"))))))))))</f>
        <v>Scheduled within 24h</v>
      </c>
      <c r="AM144" s="46">
        <f>IF(M144=1,IF(_xlfn.MINIFS(LOG!$G$2:$G$2001,LOG!$C$2:$C$2001,F144,LOG!$E$2:$E$2001,B144,LOG!$D$2:$D$2001,"*BOOKED")=0,_xlfn.MINIFS(LOG!$G$2:$G$2001,LOG!$C$2:$C$2001,F144,LOG!$E$2:$E$2001,"",LOG!$D$2:$D$2001,"*BOOKED"),IF(_xlfn.MINIFS(LOG!$G$2:$G$2001,LOG!$C$2:$C$2001,F144,LOG!$E$2:$E$2001,"",LOG!$D$2:$D$2001,"*BOOKED")=0,_xlfn.MINIFS(LOG!$G$2:$G$2001,LOG!$C$2:$C$2001,F144,LOG!$E$2:$E$2001,B144,LOG!$D$2:$D$2001,"*BOOKED"),MIN(_xlfn.MINIFS(LOG!$G$2:$G$2001,LOG!$C$2:$C$2001,F144,LOG!$E$2:$E$2001,B144,LOG!$D$2:$D$2001,"*BOOKED"),_xlfn.MINIFS(LOG!$G$2:$G$2001,LOG!$C$2:$C$2001,F144,LOG!$E$2:$E$2001,"",LOG!$D$2:$D$2001,"*BOOKED")))),"")</f>
        <v>46308.930514836022</v>
      </c>
      <c r="AN144" s="28">
        <f t="shared" si="29"/>
        <v>2.482356064603664</v>
      </c>
      <c r="AO144" s="28">
        <f>IF(AND(M144=1,AN144&lt;&gt;""),IF(AN144&lt;=SETTINGS!$B$5,1,0),0)</f>
        <v>1</v>
      </c>
      <c r="AP144" s="28">
        <f>IF(M144=1,IF(COUNTIFS(LOG!$C$2:$C$2001,F144,LOG!$E$2:$E$2001,B144,LOG!$D$2:$D$2001,"BOOKED")+COUNTIFS(LOG!$C$2:$C$2001,F144,LOG!$E$2:$E$2001,"",LOG!$D$2:$D$2001,"BOOKED")&gt;0,1,0),0)</f>
        <v>0</v>
      </c>
      <c r="AQ144" s="28" t="str">
        <f t="shared" si="30"/>
        <v>Tara</v>
      </c>
      <c r="AR144" s="28">
        <f>IF(AND(AK144=1,K144="OK"),COUNTIFS($AK$2:AK144,1,$K$2:K144,"OK"),"")</f>
        <v>133</v>
      </c>
      <c r="AS144" s="28" t="str">
        <f>IF(L144=1,IFERROR(INDEX(MESSAGES!$J$9:$J$1008,MATCH(F144,MESSAGES!$M$9:$M$1008,0))&amp;"",""),"")</f>
        <v/>
      </c>
      <c r="AT144" s="28" t="str">
        <f>IF(L144=1,IFERROR(INDEX(MESSAGES!$K$9:$K$1008,MATCH(F144,MESSAGES!$M$9:$M$1008,0))&amp;"",""),"")</f>
        <v/>
      </c>
      <c r="AU144" s="28">
        <f t="shared" ca="1" si="31"/>
        <v>0</v>
      </c>
      <c r="AV144" s="28" t="str">
        <f t="shared" si="32"/>
        <v>SEND</v>
      </c>
    </row>
    <row r="145" spans="1:48" x14ac:dyDescent="0.35">
      <c r="A145" s="28">
        <v>144</v>
      </c>
      <c r="B145" s="28" t="str">
        <f>IF(INPUT!A145="","",TRIM(INPUT!A145))</f>
        <v>Partner 000</v>
      </c>
      <c r="C145" s="28" t="str">
        <f>IF(B145="","",INPUT!C145)</f>
        <v>interviewer0@partner000.example.com</v>
      </c>
      <c r="D145" s="28" t="str">
        <f>IF(B145="","",INPUT!D145)</f>
        <v>Ananya G.</v>
      </c>
      <c r="E145" s="28" t="str">
        <f>IF(B145="","",INPUT!E145)</f>
        <v>ananya.g183@example.com</v>
      </c>
      <c r="F145" s="43" t="str">
        <f>IF(B145="","",TRIM(INPUT!F145&amp;""))</f>
        <v>9000002386</v>
      </c>
      <c r="G145" s="28" t="str">
        <f>IF(B145="","",INPUT!H145)</f>
        <v>Round1</v>
      </c>
      <c r="H145" s="46">
        <f>IF(B145="","",INPUT!I145)</f>
        <v>46308.82708333333</v>
      </c>
      <c r="I145" s="28" t="str">
        <f>IF(B145="","",IF(INPUT!J145="","None",INPUT!J145))</f>
        <v>None</v>
      </c>
      <c r="J145" s="28" t="str">
        <f t="shared" si="22"/>
        <v>ananya.g183@example.com|partner 000|Round1|interviewer0@partner000.example.com</v>
      </c>
      <c r="K145" s="28" t="str">
        <f>IF(B145="","",IF(SUMPRODUCT(($J$2:$J$601=J145)*($H$2:$H$601&lt;H145))+SUMPRODUCT(($J$2:J145=J145)*($H$2:H145=H145))-1&gt;0,"DUPLICATE",IF(AND(ISNUMBER(SEARCH("@",E145)),ISNUMBER(SEARCH(".",E145)),LEN(F145)=10,ISNUMBER(VALUE(F145))),"OK","BAD CONTACT")))</f>
        <v>OK</v>
      </c>
      <c r="L145" s="28">
        <f t="shared" si="23"/>
        <v>1</v>
      </c>
      <c r="M145" s="28">
        <f>IF(L145=1,IF(COUNTIFS(LOG!$C$2:$C$2001,F145,LOG!$E$2:$E$2001,B145,LOG!$D$2:$D$2001,"*BOOKED")+COUNTIFS(LOG!$C$2:$C$2001,F145,LOG!$E$2:$E$2001,"",LOG!$D$2:$D$2001,"*BOOKED")&gt;0,1,0),0)</f>
        <v>0</v>
      </c>
      <c r="N145" s="28">
        <f>IF(L145=1,IF(COUNTIFS(LOG!$C$2:$C$2001,F145,LOG!$E$2:$E$2001,B145,LOG!$D$2:$D$2001,"NOT_INTERESTED")+COUNTIFS(LOG!$C$2:$C$2001,F145,LOG!$E$2:$E$2001,"",LOG!$D$2:$D$2001,"NOT_INTERESTED")&gt;0,1,0),0)</f>
        <v>0</v>
      </c>
      <c r="O145" s="28">
        <f>IF(L145=1,IF(COUNTIFS(LOG!$C$2:$C$2001,F145,LOG!$D$2:$D$2001,"STOP")+COUNTIFS(LOG!$C$2:$C$2001,F145,LOG!$D$2:$D$2001,"WRONG_NUMBER")&gt;0,1,IF(ISNUMBER(SEARCH("STOP",AT145)),1,0)),0)</f>
        <v>0</v>
      </c>
      <c r="P145" s="28">
        <f>IF(L145=1,IF(IFERROR(INDEX(PARTNERS!$D$2:$D$88,MATCH(B145,PARTNERS!$A$2:$A$88,0)),"")="NO SLOTS",1,IF(AND(IFERROR(INDEX(PARTNERS!$D$2:$D$88,MATCH(B145,PARTNERS!$A$2:$A$88,0)),"")&lt;&gt;"REOPENED",COUNTIFS(LOG!$E$2:$E$2001,B145,LOG!$D$2:$D$2001,"NO_SLOTS")&gt;0),1,0)),0)</f>
        <v>0</v>
      </c>
      <c r="Q145" s="28">
        <f>IF(L145=1,COUNTIFS(LOG!$C$2:$C$2001,F145,LOG!$H$2:$H$2001,1),0)</f>
        <v>2</v>
      </c>
      <c r="R145" s="46">
        <f>IF(Q145&gt;0,_xlfn.MAXIFS(LOG!$G$2:$G$2001,LOG!$C$2:$C$2001,F145,LOG!$H$2:$H$2001,1),0)</f>
        <v>46309.633741108482</v>
      </c>
      <c r="S145" s="28" t="str">
        <f>IF(Q145&gt;0,IFERROR(INDEX(LOG!$D$2:$D$2001,MATCH(F145&amp;"|"&amp;Q145,LOG!$I$2:$I$2001,0)),""),"")</f>
        <v>NO_ANSWER</v>
      </c>
      <c r="T145" s="28">
        <f>IF(S145="",0,IFERROR(VLOOKUP(S145,LISTS!$A$2:$E$10,4,FALSE),0))</f>
        <v>120</v>
      </c>
      <c r="U145" s="46">
        <f t="shared" si="24"/>
        <v>46309.717074441818</v>
      </c>
      <c r="V145" s="46">
        <f>IF(L145=1,H145+SETTINGS!$B$5/24,"")</f>
        <v>46309.82708333333</v>
      </c>
      <c r="W145" s="28">
        <f ca="1">IF(L145=1,(V145-SETTINGS!$B$4)*24,"")</f>
        <v>-1.6666666720993817E-2</v>
      </c>
      <c r="X145" s="28">
        <f ca="1">IF(AND(L145=1,K145="OK",M145=0,N145=0,O145=0,P145=0,SETTINGS!$B$4&lt;V145,Q145&lt;SETTINGS!$B$6),1,0)</f>
        <v>0</v>
      </c>
      <c r="Y145" s="28">
        <f ca="1">IF(AND(X145=1,SETTINGS!$B$4&gt;=H145,SETTINGS!$B$4&gt;=U145,ROUND(MOD(SETTINGS!$B$4,1)*1440,0)&gt;=ROUND(SETTINGS!$B$7*1440,0),ROUND(MOD(SETTINGS!$B$4,1)*1440,0)&lt;ROUND(SETTINGS!$B$8*1440,0)),1,0)</f>
        <v>0</v>
      </c>
      <c r="Z145" s="28" t="str">
        <f ca="1">IF(B145="","",IF(ROUND(MOD(SETTINGS!$B$4,1)*1440,0)&lt;ROUND(SETTINGS!$B$11*1440,0),"Ram",IF(ROUND(MOD(SETTINGS!$B$4,1)*1440,0)&gt;=ROUND(SETTINGS!$B$10*1440,0),"Shyam",IF(MOD(IFERROR(VALUE(RIGHT(F145,2)),0),2)=0,"Ram","Shyam"))))</f>
        <v>Shyam</v>
      </c>
      <c r="AA145" s="28">
        <f t="shared" ca="1" si="25"/>
        <v>0</v>
      </c>
      <c r="AB145" s="28">
        <f ca="1">IF(X145=1,COUNTIFS($F$2:F145,F145,$X$2:X145,1),0)</f>
        <v>0</v>
      </c>
      <c r="AC145" s="28" t="str">
        <f>IF(L145=1,IF(IFERROR(INDEX(PARTNERS!$C$2:$C$88,MATCH(B145,PARTNERS!$A$2:$A$88,0)),"")="YES","YES","NO"),"")</f>
        <v>NO</v>
      </c>
      <c r="AD145" s="28" t="str">
        <f>IF(L145=1,IFERROR(INDEX(PARTNERS!$B$2:$B$88,MATCH(B145,PARTNERS!$A$2:$A$88,0)),""),"")</f>
        <v>https://calendly.com/partner000/interview</v>
      </c>
      <c r="AE145" s="28">
        <f ca="1">IF(X145=1,IFERROR(INDEX(SETTINGS!$B$34:$D$36,MATCH(I145,SETTINGS!$A$34:$A$36,0),MIN(Q145,2)+1),SETTINGS!$B$36),0)</f>
        <v>0</v>
      </c>
      <c r="AF145" s="28">
        <f t="shared" si="26"/>
        <v>1</v>
      </c>
      <c r="AG145" s="28">
        <f ca="1">IF(AND(Y145=1,AB145=1),ROUND(AA145*AE145*IF(AF145&gt;1,SETTINGS!$B$16,1)*IF(W145&lt;=SETTINGS!$B$14,SETTINGS!$B$15,1)*IF(AU145=1,SETTINGS!$B$21,1),6),0)</f>
        <v>0</v>
      </c>
      <c r="AH145" s="28" t="str">
        <f ca="1">IF(AG145&gt;0,COUNTIFS($Z$2:$Z$601,Z145,$AG$2:$AG$601,"&gt;"&amp;AG145)+COUNTIFS($Z$2:Z145,Z145,$AG$2:AG145,AG145),"")</f>
        <v/>
      </c>
      <c r="AI145" s="28" t="str">
        <f t="shared" ca="1" si="27"/>
        <v/>
      </c>
      <c r="AJ145" s="28" t="str">
        <f t="shared" ca="1" si="28"/>
        <v/>
      </c>
      <c r="AK145" s="28">
        <f>IF(L145=1,IF(COUNTIFS($F$2:F145,F145,$L$2:L145,1)=1,1,0),0)</f>
        <v>0</v>
      </c>
      <c r="AL145" s="28" t="str">
        <f ca="1">IF(B145="","",IF(K145="DUPLICATE","Duplicate (removed)",IF(AO145=1,"Scheduled within 24h",IF(M145=1,"Scheduled late",IF(K145="BAD CONTACT","Bad contact details",IF(O145=1,"Stopped / wrong number",IF(N145=1,"Not interested",IF(P145=1,"Partner has no slots",IF(SETTINGS!$B$4&gt;=V145,IF(Q145=0,"Missed deadline: never tried","Missed deadline: tried, not booked"),IF(Q145&gt;=SETTINGS!$B$6,"No reply after max tries","Open"))))))))))</f>
        <v>Missed deadline: tried, not booked</v>
      </c>
      <c r="AM145" s="46" t="str">
        <f>IF(M145=1,IF(_xlfn.MINIFS(LOG!$G$2:$G$2001,LOG!$C$2:$C$2001,F145,LOG!$E$2:$E$2001,B145,LOG!$D$2:$D$2001,"*BOOKED")=0,_xlfn.MINIFS(LOG!$G$2:$G$2001,LOG!$C$2:$C$2001,F145,LOG!$E$2:$E$2001,"",LOG!$D$2:$D$2001,"*BOOKED"),IF(_xlfn.MINIFS(LOG!$G$2:$G$2001,LOG!$C$2:$C$2001,F145,LOG!$E$2:$E$2001,"",LOG!$D$2:$D$2001,"*BOOKED")=0,_xlfn.MINIFS(LOG!$G$2:$G$2001,LOG!$C$2:$C$2001,F145,LOG!$E$2:$E$2001,B145,LOG!$D$2:$D$2001,"*BOOKED"),MIN(_xlfn.MINIFS(LOG!$G$2:$G$2001,LOG!$C$2:$C$2001,F145,LOG!$E$2:$E$2001,B145,LOG!$D$2:$D$2001,"*BOOKED"),_xlfn.MINIFS(LOG!$G$2:$G$2001,LOG!$C$2:$C$2001,F145,LOG!$E$2:$E$2001,"",LOG!$D$2:$D$2001,"*BOOKED")))),"")</f>
        <v/>
      </c>
      <c r="AN145" s="28" t="str">
        <f t="shared" si="29"/>
        <v/>
      </c>
      <c r="AO145" s="28">
        <f>IF(AND(M145=1,AN145&lt;&gt;""),IF(AN145&lt;=SETTINGS!$B$5,1,0),0)</f>
        <v>0</v>
      </c>
      <c r="AP145" s="28">
        <f>IF(M145=1,IF(COUNTIFS(LOG!$C$2:$C$2001,F145,LOG!$E$2:$E$2001,B145,LOG!$D$2:$D$2001,"BOOKED")+COUNTIFS(LOG!$C$2:$C$2001,F145,LOG!$E$2:$E$2001,"",LOG!$D$2:$D$2001,"BOOKED")&gt;0,1,0),0)</f>
        <v>0</v>
      </c>
      <c r="AQ145" s="28" t="str">
        <f t="shared" si="30"/>
        <v>Ananya</v>
      </c>
      <c r="AR145" s="28" t="str">
        <f>IF(AND(AK145=1,K145="OK"),COUNTIFS($AK$2:AK145,1,$K$2:K145,"OK"),"")</f>
        <v/>
      </c>
      <c r="AS145" s="28" t="str">
        <f>IF(L145=1,IFERROR(INDEX(MESSAGES!$J$9:$J$1008,MATCH(F145,MESSAGES!$M$9:$M$1008,0))&amp;"",""),"")</f>
        <v/>
      </c>
      <c r="AT145" s="28" t="str">
        <f>IF(L145=1,IFERROR(INDEX(MESSAGES!$K$9:$K$1008,MATCH(F145,MESSAGES!$M$9:$M$1008,0))&amp;"",""),"")</f>
        <v/>
      </c>
      <c r="AU145" s="28">
        <f t="shared" ca="1" si="31"/>
        <v>0</v>
      </c>
      <c r="AV145" s="28" t="str">
        <f t="shared" si="32"/>
        <v>SEND</v>
      </c>
    </row>
    <row r="146" spans="1:48" x14ac:dyDescent="0.35">
      <c r="A146" s="28">
        <v>145</v>
      </c>
      <c r="B146" s="28" t="str">
        <f>IF(INPUT!A146="","",TRIM(INPUT!A146))</f>
        <v>Partner 002</v>
      </c>
      <c r="C146" s="28" t="str">
        <f>IF(B146="","",INPUT!C146)</f>
        <v>interviewer1@partner002.example.com</v>
      </c>
      <c r="D146" s="28" t="str">
        <f>IF(B146="","",INPUT!D146)</f>
        <v>Kiara L.</v>
      </c>
      <c r="E146" s="28" t="str">
        <f>IF(B146="","",INPUT!E146)</f>
        <v>kiara.l311@example.com</v>
      </c>
      <c r="F146" s="43" t="str">
        <f>IF(B146="","",TRIM(INPUT!F146&amp;""))</f>
        <v>9000004050</v>
      </c>
      <c r="G146" s="28" t="str">
        <f>IF(B146="","",INPUT!H146)</f>
        <v>Round1</v>
      </c>
      <c r="H146" s="46">
        <f>IF(B146="","",INPUT!I146)</f>
        <v>46308.82708333333</v>
      </c>
      <c r="I146" s="28" t="str">
        <f>IF(B146="","",IF(INPUT!J146="","None",INPUT!J146))</f>
        <v>Opened</v>
      </c>
      <c r="J146" s="28" t="str">
        <f t="shared" si="22"/>
        <v>kiara.l311@example.com|partner 002|Round1|interviewer1@partner002.example.com</v>
      </c>
      <c r="K146" s="28" t="str">
        <f>IF(B146="","",IF(SUMPRODUCT(($J$2:$J$601=J146)*($H$2:$H$601&lt;H146))+SUMPRODUCT(($J$2:J146=J146)*($H$2:H146=H146))-1&gt;0,"DUPLICATE",IF(AND(ISNUMBER(SEARCH("@",E146)),ISNUMBER(SEARCH(".",E146)),LEN(F146)=10,ISNUMBER(VALUE(F146))),"OK","BAD CONTACT")))</f>
        <v>OK</v>
      </c>
      <c r="L146" s="28">
        <f t="shared" si="23"/>
        <v>1</v>
      </c>
      <c r="M146" s="28">
        <f>IF(L146=1,IF(COUNTIFS(LOG!$C$2:$C$2001,F146,LOG!$E$2:$E$2001,B146,LOG!$D$2:$D$2001,"*BOOKED")+COUNTIFS(LOG!$C$2:$C$2001,F146,LOG!$E$2:$E$2001,"",LOG!$D$2:$D$2001,"*BOOKED")&gt;0,1,0),0)</f>
        <v>0</v>
      </c>
      <c r="N146" s="28">
        <f>IF(L146=1,IF(COUNTIFS(LOG!$C$2:$C$2001,F146,LOG!$E$2:$E$2001,B146,LOG!$D$2:$D$2001,"NOT_INTERESTED")+COUNTIFS(LOG!$C$2:$C$2001,F146,LOG!$E$2:$E$2001,"",LOG!$D$2:$D$2001,"NOT_INTERESTED")&gt;0,1,0),0)</f>
        <v>0</v>
      </c>
      <c r="O146" s="28">
        <f>IF(L146=1,IF(COUNTIFS(LOG!$C$2:$C$2001,F146,LOG!$D$2:$D$2001,"STOP")+COUNTIFS(LOG!$C$2:$C$2001,F146,LOG!$D$2:$D$2001,"WRONG_NUMBER")&gt;0,1,IF(ISNUMBER(SEARCH("STOP",AT146)),1,0)),0)</f>
        <v>0</v>
      </c>
      <c r="P146" s="28">
        <f>IF(L146=1,IF(IFERROR(INDEX(PARTNERS!$D$2:$D$88,MATCH(B146,PARTNERS!$A$2:$A$88,0)),"")="NO SLOTS",1,IF(AND(IFERROR(INDEX(PARTNERS!$D$2:$D$88,MATCH(B146,PARTNERS!$A$2:$A$88,0)),"")&lt;&gt;"REOPENED",COUNTIFS(LOG!$E$2:$E$2001,B146,LOG!$D$2:$D$2001,"NO_SLOTS")&gt;0),1,0)),0)</f>
        <v>0</v>
      </c>
      <c r="Q146" s="28">
        <f>IF(L146=1,COUNTIFS(LOG!$C$2:$C$2001,F146,LOG!$H$2:$H$2001,1),0)</f>
        <v>0</v>
      </c>
      <c r="R146" s="46">
        <f>IF(Q146&gt;0,_xlfn.MAXIFS(LOG!$G$2:$G$2001,LOG!$C$2:$C$2001,F146,LOG!$H$2:$H$2001,1),0)</f>
        <v>0</v>
      </c>
      <c r="S146" s="28" t="str">
        <f>IF(Q146&gt;0,IFERROR(INDEX(LOG!$D$2:$D$2001,MATCH(F146&amp;"|"&amp;Q146,LOG!$I$2:$I$2001,0)),""),"")</f>
        <v/>
      </c>
      <c r="T146" s="28">
        <f>IF(S146="",0,IFERROR(VLOOKUP(S146,LISTS!$A$2:$E$10,4,FALSE),0))</f>
        <v>0</v>
      </c>
      <c r="U146" s="46">
        <f t="shared" si="24"/>
        <v>0</v>
      </c>
      <c r="V146" s="46">
        <f>IF(L146=1,H146+SETTINGS!$B$5/24,"")</f>
        <v>46309.82708333333</v>
      </c>
      <c r="W146" s="28">
        <f ca="1">IF(L146=1,(V146-SETTINGS!$B$4)*24,"")</f>
        <v>-1.6666666720993817E-2</v>
      </c>
      <c r="X146" s="28">
        <f ca="1">IF(AND(L146=1,K146="OK",M146=0,N146=0,O146=0,P146=0,SETTINGS!$B$4&lt;V146,Q146&lt;SETTINGS!$B$6),1,0)</f>
        <v>0</v>
      </c>
      <c r="Y146" s="28">
        <f ca="1">IF(AND(X146=1,SETTINGS!$B$4&gt;=H146,SETTINGS!$B$4&gt;=U146,ROUND(MOD(SETTINGS!$B$4,1)*1440,0)&gt;=ROUND(SETTINGS!$B$7*1440,0),ROUND(MOD(SETTINGS!$B$4,1)*1440,0)&lt;ROUND(SETTINGS!$B$8*1440,0)),1,0)</f>
        <v>0</v>
      </c>
      <c r="Z146" s="28" t="str">
        <f ca="1">IF(B146="","",IF(ROUND(MOD(SETTINGS!$B$4,1)*1440,0)&lt;ROUND(SETTINGS!$B$11*1440,0),"Ram",IF(ROUND(MOD(SETTINGS!$B$4,1)*1440,0)&gt;=ROUND(SETTINGS!$B$10*1440,0),"Shyam",IF(MOD(IFERROR(VALUE(RIGHT(F146,2)),0),2)=0,"Ram","Shyam"))))</f>
        <v>Shyam</v>
      </c>
      <c r="AA146" s="28">
        <f t="shared" ca="1" si="25"/>
        <v>0</v>
      </c>
      <c r="AB146" s="28">
        <f ca="1">IF(X146=1,COUNTIFS($F$2:F146,F146,$X$2:X146,1),0)</f>
        <v>0</v>
      </c>
      <c r="AC146" s="28" t="str">
        <f>IF(L146=1,IF(IFERROR(INDEX(PARTNERS!$C$2:$C$88,MATCH(B146,PARTNERS!$A$2:$A$88,0)),"")="YES","YES","NO"),"")</f>
        <v>YES</v>
      </c>
      <c r="AD146" s="28" t="str">
        <f>IF(L146=1,IFERROR(INDEX(PARTNERS!$B$2:$B$88,MATCH(B146,PARTNERS!$A$2:$A$88,0)),""),"")</f>
        <v>https://calendly.com/partner002/interview</v>
      </c>
      <c r="AE146" s="28">
        <f ca="1">IF(X146=1,IFERROR(INDEX(SETTINGS!$B$34:$D$36,MATCH(I146,SETTINGS!$A$34:$A$36,0),MIN(Q146,2)+1),SETTINGS!$B$36),0)</f>
        <v>0</v>
      </c>
      <c r="AF146" s="28">
        <f t="shared" si="26"/>
        <v>1</v>
      </c>
      <c r="AG146" s="28">
        <f ca="1">IF(AND(Y146=1,AB146=1),ROUND(AA146*AE146*IF(AF146&gt;1,SETTINGS!$B$16,1)*IF(W146&lt;=SETTINGS!$B$14,SETTINGS!$B$15,1)*IF(AU146=1,SETTINGS!$B$21,1),6),0)</f>
        <v>0</v>
      </c>
      <c r="AH146" s="28" t="str">
        <f ca="1">IF(AG146&gt;0,COUNTIFS($Z$2:$Z$601,Z146,$AG$2:$AG$601,"&gt;"&amp;AG146)+COUNTIFS($Z$2:Z146,Z146,$AG$2:AG146,AG146),"")</f>
        <v/>
      </c>
      <c r="AI146" s="28" t="str">
        <f t="shared" ca="1" si="27"/>
        <v/>
      </c>
      <c r="AJ146" s="28" t="str">
        <f t="shared" ca="1" si="28"/>
        <v/>
      </c>
      <c r="AK146" s="28">
        <f>IF(L146=1,IF(COUNTIFS($F$2:F146,F146,$L$2:L146,1)=1,1,0),0)</f>
        <v>1</v>
      </c>
      <c r="AL146" s="28" t="str">
        <f ca="1">IF(B146="","",IF(K146="DUPLICATE","Duplicate (removed)",IF(AO146=1,"Scheduled within 24h",IF(M146=1,"Scheduled late",IF(K146="BAD CONTACT","Bad contact details",IF(O146=1,"Stopped / wrong number",IF(N146=1,"Not interested",IF(P146=1,"Partner has no slots",IF(SETTINGS!$B$4&gt;=V146,IF(Q146=0,"Missed deadline: never tried","Missed deadline: tried, not booked"),IF(Q146&gt;=SETTINGS!$B$6,"No reply after max tries","Open"))))))))))</f>
        <v>Missed deadline: never tried</v>
      </c>
      <c r="AM146" s="46" t="str">
        <f>IF(M146=1,IF(_xlfn.MINIFS(LOG!$G$2:$G$2001,LOG!$C$2:$C$2001,F146,LOG!$E$2:$E$2001,B146,LOG!$D$2:$D$2001,"*BOOKED")=0,_xlfn.MINIFS(LOG!$G$2:$G$2001,LOG!$C$2:$C$2001,F146,LOG!$E$2:$E$2001,"",LOG!$D$2:$D$2001,"*BOOKED"),IF(_xlfn.MINIFS(LOG!$G$2:$G$2001,LOG!$C$2:$C$2001,F146,LOG!$E$2:$E$2001,"",LOG!$D$2:$D$2001,"*BOOKED")=0,_xlfn.MINIFS(LOG!$G$2:$G$2001,LOG!$C$2:$C$2001,F146,LOG!$E$2:$E$2001,B146,LOG!$D$2:$D$2001,"*BOOKED"),MIN(_xlfn.MINIFS(LOG!$G$2:$G$2001,LOG!$C$2:$C$2001,F146,LOG!$E$2:$E$2001,B146,LOG!$D$2:$D$2001,"*BOOKED"),_xlfn.MINIFS(LOG!$G$2:$G$2001,LOG!$C$2:$C$2001,F146,LOG!$E$2:$E$2001,"",LOG!$D$2:$D$2001,"*BOOKED")))),"")</f>
        <v/>
      </c>
      <c r="AN146" s="28" t="str">
        <f t="shared" si="29"/>
        <v/>
      </c>
      <c r="AO146" s="28">
        <f>IF(AND(M146=1,AN146&lt;&gt;""),IF(AN146&lt;=SETTINGS!$B$5,1,0),0)</f>
        <v>0</v>
      </c>
      <c r="AP146" s="28">
        <f>IF(M146=1,IF(COUNTIFS(LOG!$C$2:$C$2001,F146,LOG!$E$2:$E$2001,B146,LOG!$D$2:$D$2001,"BOOKED")+COUNTIFS(LOG!$C$2:$C$2001,F146,LOG!$E$2:$E$2001,"",LOG!$D$2:$D$2001,"BOOKED")&gt;0,1,0),0)</f>
        <v>0</v>
      </c>
      <c r="AQ146" s="28" t="str">
        <f t="shared" si="30"/>
        <v>Kiara</v>
      </c>
      <c r="AR146" s="28">
        <f>IF(AND(AK146=1,K146="OK"),COUNTIFS($AK$2:AK146,1,$K$2:K146,"OK"),"")</f>
        <v>134</v>
      </c>
      <c r="AS146" s="28" t="str">
        <f>IF(L146=1,IFERROR(INDEX(MESSAGES!$J$9:$J$1008,MATCH(F146,MESSAGES!$M$9:$M$1008,0))&amp;"",""),"")</f>
        <v/>
      </c>
      <c r="AT146" s="28" t="str">
        <f>IF(L146=1,IFERROR(INDEX(MESSAGES!$K$9:$K$1008,MATCH(F146,MESSAGES!$M$9:$M$1008,0))&amp;"",""),"")</f>
        <v/>
      </c>
      <c r="AU146" s="28">
        <f t="shared" ca="1" si="31"/>
        <v>0</v>
      </c>
      <c r="AV146" s="28" t="str">
        <f t="shared" si="32"/>
        <v>HOLD</v>
      </c>
    </row>
    <row r="147" spans="1:48" x14ac:dyDescent="0.35">
      <c r="A147" s="28">
        <v>146</v>
      </c>
      <c r="B147" s="28" t="str">
        <f>IF(INPUT!A147="","",TRIM(INPUT!A147))</f>
        <v>Partner 026</v>
      </c>
      <c r="C147" s="28" t="str">
        <f>IF(B147="","",INPUT!C147)</f>
        <v>interviewer2@partner026.example.com</v>
      </c>
      <c r="D147" s="28" t="str">
        <f>IF(B147="","",INPUT!D147)</f>
        <v>Aarav L.</v>
      </c>
      <c r="E147" s="28" t="str">
        <f>IF(B147="","",INPUT!E147)</f>
        <v>aarav.l300@example.com</v>
      </c>
      <c r="F147" s="43" t="str">
        <f>IF(B147="","",TRIM(INPUT!F147&amp;""))</f>
        <v>9000003907</v>
      </c>
      <c r="G147" s="28" t="str">
        <f>IF(B147="","",INPUT!H147)</f>
        <v>Round1</v>
      </c>
      <c r="H147" s="46">
        <f>IF(B147="","",INPUT!I147)</f>
        <v>46308.82708333333</v>
      </c>
      <c r="I147" s="28" t="str">
        <f>IF(B147="","",IF(INPUT!J147="","None",INPUT!J147))</f>
        <v>None</v>
      </c>
      <c r="J147" s="28" t="str">
        <f t="shared" si="22"/>
        <v>aarav.l300@example.com|partner 026|Round1|interviewer2@partner026.example.com</v>
      </c>
      <c r="K147" s="28" t="str">
        <f>IF(B147="","",IF(SUMPRODUCT(($J$2:$J$601=J147)*($H$2:$H$601&lt;H147))+SUMPRODUCT(($J$2:J147=J147)*($H$2:H147=H147))-1&gt;0,"DUPLICATE",IF(AND(ISNUMBER(SEARCH("@",E147)),ISNUMBER(SEARCH(".",E147)),LEN(F147)=10,ISNUMBER(VALUE(F147))),"OK","BAD CONTACT")))</f>
        <v>OK</v>
      </c>
      <c r="L147" s="28">
        <f t="shared" si="23"/>
        <v>1</v>
      </c>
      <c r="M147" s="28">
        <f>IF(L147=1,IF(COUNTIFS(LOG!$C$2:$C$2001,F147,LOG!$E$2:$E$2001,B147,LOG!$D$2:$D$2001,"*BOOKED")+COUNTIFS(LOG!$C$2:$C$2001,F147,LOG!$E$2:$E$2001,"",LOG!$D$2:$D$2001,"*BOOKED")&gt;0,1,0),0)</f>
        <v>0</v>
      </c>
      <c r="N147" s="28">
        <f>IF(L147=1,IF(COUNTIFS(LOG!$C$2:$C$2001,F147,LOG!$E$2:$E$2001,B147,LOG!$D$2:$D$2001,"NOT_INTERESTED")+COUNTIFS(LOG!$C$2:$C$2001,F147,LOG!$E$2:$E$2001,"",LOG!$D$2:$D$2001,"NOT_INTERESTED")&gt;0,1,0),0)</f>
        <v>0</v>
      </c>
      <c r="O147" s="28">
        <f>IF(L147=1,IF(COUNTIFS(LOG!$C$2:$C$2001,F147,LOG!$D$2:$D$2001,"STOP")+COUNTIFS(LOG!$C$2:$C$2001,F147,LOG!$D$2:$D$2001,"WRONG_NUMBER")&gt;0,1,IF(ISNUMBER(SEARCH("STOP",AT147)),1,0)),0)</f>
        <v>0</v>
      </c>
      <c r="P147" s="28">
        <f>IF(L147=1,IF(IFERROR(INDEX(PARTNERS!$D$2:$D$88,MATCH(B147,PARTNERS!$A$2:$A$88,0)),"")="NO SLOTS",1,IF(AND(IFERROR(INDEX(PARTNERS!$D$2:$D$88,MATCH(B147,PARTNERS!$A$2:$A$88,0)),"")&lt;&gt;"REOPENED",COUNTIFS(LOG!$E$2:$E$2001,B147,LOG!$D$2:$D$2001,"NO_SLOTS")&gt;0),1,0)),0)</f>
        <v>0</v>
      </c>
      <c r="Q147" s="28">
        <f>IF(L147=1,COUNTIFS(LOG!$C$2:$C$2001,F147,LOG!$H$2:$H$2001,1),0)</f>
        <v>0</v>
      </c>
      <c r="R147" s="46">
        <f>IF(Q147&gt;0,_xlfn.MAXIFS(LOG!$G$2:$G$2001,LOG!$C$2:$C$2001,F147,LOG!$H$2:$H$2001,1),0)</f>
        <v>0</v>
      </c>
      <c r="S147" s="28" t="str">
        <f>IF(Q147&gt;0,IFERROR(INDEX(LOG!$D$2:$D$2001,MATCH(F147&amp;"|"&amp;Q147,LOG!$I$2:$I$2001,0)),""),"")</f>
        <v/>
      </c>
      <c r="T147" s="28">
        <f>IF(S147="",0,IFERROR(VLOOKUP(S147,LISTS!$A$2:$E$10,4,FALSE),0))</f>
        <v>0</v>
      </c>
      <c r="U147" s="46">
        <f t="shared" si="24"/>
        <v>0</v>
      </c>
      <c r="V147" s="46">
        <f>IF(L147=1,H147+SETTINGS!$B$5/24,"")</f>
        <v>46309.82708333333</v>
      </c>
      <c r="W147" s="28">
        <f ca="1">IF(L147=1,(V147-SETTINGS!$B$4)*24,"")</f>
        <v>-1.6666666720993817E-2</v>
      </c>
      <c r="X147" s="28">
        <f ca="1">IF(AND(L147=1,K147="OK",M147=0,N147=0,O147=0,P147=0,SETTINGS!$B$4&lt;V147,Q147&lt;SETTINGS!$B$6),1,0)</f>
        <v>0</v>
      </c>
      <c r="Y147" s="28">
        <f ca="1">IF(AND(X147=1,SETTINGS!$B$4&gt;=H147,SETTINGS!$B$4&gt;=U147,ROUND(MOD(SETTINGS!$B$4,1)*1440,0)&gt;=ROUND(SETTINGS!$B$7*1440,0),ROUND(MOD(SETTINGS!$B$4,1)*1440,0)&lt;ROUND(SETTINGS!$B$8*1440,0)),1,0)</f>
        <v>0</v>
      </c>
      <c r="Z147" s="28" t="str">
        <f ca="1">IF(B147="","",IF(ROUND(MOD(SETTINGS!$B$4,1)*1440,0)&lt;ROUND(SETTINGS!$B$11*1440,0),"Ram",IF(ROUND(MOD(SETTINGS!$B$4,1)*1440,0)&gt;=ROUND(SETTINGS!$B$10*1440,0),"Shyam",IF(MOD(IFERROR(VALUE(RIGHT(F147,2)),0),2)=0,"Ram","Shyam"))))</f>
        <v>Shyam</v>
      </c>
      <c r="AA147" s="28">
        <f t="shared" ca="1" si="25"/>
        <v>0</v>
      </c>
      <c r="AB147" s="28">
        <f ca="1">IF(X147=1,COUNTIFS($F$2:F147,F147,$X$2:X147,1),0)</f>
        <v>0</v>
      </c>
      <c r="AC147" s="28" t="str">
        <f>IF(L147=1,IF(IFERROR(INDEX(PARTNERS!$C$2:$C$88,MATCH(B147,PARTNERS!$A$2:$A$88,0)),"")="YES","YES","NO"),"")</f>
        <v>YES</v>
      </c>
      <c r="AD147" s="28" t="str">
        <f>IF(L147=1,IFERROR(INDEX(PARTNERS!$B$2:$B$88,MATCH(B147,PARTNERS!$A$2:$A$88,0)),""),"")</f>
        <v>https://calendly.com/partner026/interview</v>
      </c>
      <c r="AE147" s="28">
        <f ca="1">IF(X147=1,IFERROR(INDEX(SETTINGS!$B$34:$D$36,MATCH(I147,SETTINGS!$A$34:$A$36,0),MIN(Q147,2)+1),SETTINGS!$B$36),0)</f>
        <v>0</v>
      </c>
      <c r="AF147" s="28">
        <f t="shared" si="26"/>
        <v>1</v>
      </c>
      <c r="AG147" s="28">
        <f ca="1">IF(AND(Y147=1,AB147=1),ROUND(AA147*AE147*IF(AF147&gt;1,SETTINGS!$B$16,1)*IF(W147&lt;=SETTINGS!$B$14,SETTINGS!$B$15,1)*IF(AU147=1,SETTINGS!$B$21,1),6),0)</f>
        <v>0</v>
      </c>
      <c r="AH147" s="28" t="str">
        <f ca="1">IF(AG147&gt;0,COUNTIFS($Z$2:$Z$601,Z147,$AG$2:$AG$601,"&gt;"&amp;AG147)+COUNTIFS($Z$2:Z147,Z147,$AG$2:AG147,AG147),"")</f>
        <v/>
      </c>
      <c r="AI147" s="28" t="str">
        <f t="shared" ca="1" si="27"/>
        <v/>
      </c>
      <c r="AJ147" s="28" t="str">
        <f t="shared" ca="1" si="28"/>
        <v/>
      </c>
      <c r="AK147" s="28">
        <f>IF(L147=1,IF(COUNTIFS($F$2:F147,F147,$L$2:L147,1)=1,1,0),0)</f>
        <v>1</v>
      </c>
      <c r="AL147" s="28" t="str">
        <f ca="1">IF(B147="","",IF(K147="DUPLICATE","Duplicate (removed)",IF(AO147=1,"Scheduled within 24h",IF(M147=1,"Scheduled late",IF(K147="BAD CONTACT","Bad contact details",IF(O147=1,"Stopped / wrong number",IF(N147=1,"Not interested",IF(P147=1,"Partner has no slots",IF(SETTINGS!$B$4&gt;=V147,IF(Q147=0,"Missed deadline: never tried","Missed deadline: tried, not booked"),IF(Q147&gt;=SETTINGS!$B$6,"No reply after max tries","Open"))))))))))</f>
        <v>Missed deadline: never tried</v>
      </c>
      <c r="AM147" s="46" t="str">
        <f>IF(M147=1,IF(_xlfn.MINIFS(LOG!$G$2:$G$2001,LOG!$C$2:$C$2001,F147,LOG!$E$2:$E$2001,B147,LOG!$D$2:$D$2001,"*BOOKED")=0,_xlfn.MINIFS(LOG!$G$2:$G$2001,LOG!$C$2:$C$2001,F147,LOG!$E$2:$E$2001,"",LOG!$D$2:$D$2001,"*BOOKED"),IF(_xlfn.MINIFS(LOG!$G$2:$G$2001,LOG!$C$2:$C$2001,F147,LOG!$E$2:$E$2001,"",LOG!$D$2:$D$2001,"*BOOKED")=0,_xlfn.MINIFS(LOG!$G$2:$G$2001,LOG!$C$2:$C$2001,F147,LOG!$E$2:$E$2001,B147,LOG!$D$2:$D$2001,"*BOOKED"),MIN(_xlfn.MINIFS(LOG!$G$2:$G$2001,LOG!$C$2:$C$2001,F147,LOG!$E$2:$E$2001,B147,LOG!$D$2:$D$2001,"*BOOKED"),_xlfn.MINIFS(LOG!$G$2:$G$2001,LOG!$C$2:$C$2001,F147,LOG!$E$2:$E$2001,"",LOG!$D$2:$D$2001,"*BOOKED")))),"")</f>
        <v/>
      </c>
      <c r="AN147" s="28" t="str">
        <f t="shared" si="29"/>
        <v/>
      </c>
      <c r="AO147" s="28">
        <f>IF(AND(M147=1,AN147&lt;&gt;""),IF(AN147&lt;=SETTINGS!$B$5,1,0),0)</f>
        <v>0</v>
      </c>
      <c r="AP147" s="28">
        <f>IF(M147=1,IF(COUNTIFS(LOG!$C$2:$C$2001,F147,LOG!$E$2:$E$2001,B147,LOG!$D$2:$D$2001,"BOOKED")+COUNTIFS(LOG!$C$2:$C$2001,F147,LOG!$E$2:$E$2001,"",LOG!$D$2:$D$2001,"BOOKED")&gt;0,1,0),0)</f>
        <v>0</v>
      </c>
      <c r="AQ147" s="28" t="str">
        <f t="shared" si="30"/>
        <v>Aarav</v>
      </c>
      <c r="AR147" s="28">
        <f>IF(AND(AK147=1,K147="OK"),COUNTIFS($AK$2:AK147,1,$K$2:K147,"OK"),"")</f>
        <v>135</v>
      </c>
      <c r="AS147" s="28" t="str">
        <f>IF(L147=1,IFERROR(INDEX(MESSAGES!$J$9:$J$1008,MATCH(F147,MESSAGES!$M$9:$M$1008,0))&amp;"",""),"")</f>
        <v/>
      </c>
      <c r="AT147" s="28" t="str">
        <f>IF(L147=1,IFERROR(INDEX(MESSAGES!$K$9:$K$1008,MATCH(F147,MESSAGES!$M$9:$M$1008,0))&amp;"",""),"")</f>
        <v/>
      </c>
      <c r="AU147" s="28">
        <f t="shared" ca="1" si="31"/>
        <v>0</v>
      </c>
      <c r="AV147" s="28" t="str">
        <f t="shared" si="32"/>
        <v>SEND</v>
      </c>
    </row>
    <row r="148" spans="1:48" x14ac:dyDescent="0.35">
      <c r="A148" s="28">
        <v>147</v>
      </c>
      <c r="B148" s="28" t="str">
        <f>IF(INPUT!A148="","",TRIM(INPUT!A148))</f>
        <v>Partner 001</v>
      </c>
      <c r="C148" s="28" t="str">
        <f>IF(B148="","",INPUT!C148)</f>
        <v>interviewer1@partner001.example.com</v>
      </c>
      <c r="D148" s="28" t="str">
        <f>IF(B148="","",INPUT!D148)</f>
        <v>Tara B.</v>
      </c>
      <c r="E148" s="28" t="str">
        <f>IF(B148="","",INPUT!E148)</f>
        <v>tara.b045@example.com</v>
      </c>
      <c r="F148" s="43" t="str">
        <f>IF(B148="","",TRIM(INPUT!F148&amp;""))</f>
        <v>9000000592</v>
      </c>
      <c r="G148" s="28" t="str">
        <f>IF(B148="","",INPUT!H148)</f>
        <v>Round1</v>
      </c>
      <c r="H148" s="46">
        <f>IF(B148="","",INPUT!I148)</f>
        <v>46308.82708333333</v>
      </c>
      <c r="I148" s="28" t="str">
        <f>IF(B148="","",IF(INPUT!J148="","None",INPUT!J148))</f>
        <v>Clicked</v>
      </c>
      <c r="J148" s="28" t="str">
        <f t="shared" si="22"/>
        <v>tara.b045@example.com|partner 001|Round1|interviewer1@partner001.example.com</v>
      </c>
      <c r="K148" s="28" t="str">
        <f>IF(B148="","",IF(SUMPRODUCT(($J$2:$J$601=J148)*($H$2:$H$601&lt;H148))+SUMPRODUCT(($J$2:J148=J148)*($H$2:H148=H148))-1&gt;0,"DUPLICATE",IF(AND(ISNUMBER(SEARCH("@",E148)),ISNUMBER(SEARCH(".",E148)),LEN(F148)=10,ISNUMBER(VALUE(F148))),"OK","BAD CONTACT")))</f>
        <v>OK</v>
      </c>
      <c r="L148" s="28">
        <f t="shared" si="23"/>
        <v>1</v>
      </c>
      <c r="M148" s="28">
        <f>IF(L148=1,IF(COUNTIFS(LOG!$C$2:$C$2001,F148,LOG!$E$2:$E$2001,B148,LOG!$D$2:$D$2001,"*BOOKED")+COUNTIFS(LOG!$C$2:$C$2001,F148,LOG!$E$2:$E$2001,"",LOG!$D$2:$D$2001,"*BOOKED")&gt;0,1,0),0)</f>
        <v>1</v>
      </c>
      <c r="N148" s="28">
        <f>IF(L148=1,IF(COUNTIFS(LOG!$C$2:$C$2001,F148,LOG!$E$2:$E$2001,B148,LOG!$D$2:$D$2001,"NOT_INTERESTED")+COUNTIFS(LOG!$C$2:$C$2001,F148,LOG!$E$2:$E$2001,"",LOG!$D$2:$D$2001,"NOT_INTERESTED")&gt;0,1,0),0)</f>
        <v>0</v>
      </c>
      <c r="O148" s="28">
        <f>IF(L148=1,IF(COUNTIFS(LOG!$C$2:$C$2001,F148,LOG!$D$2:$D$2001,"STOP")+COUNTIFS(LOG!$C$2:$C$2001,F148,LOG!$D$2:$D$2001,"WRONG_NUMBER")&gt;0,1,IF(ISNUMBER(SEARCH("STOP",AT148)),1,0)),0)</f>
        <v>0</v>
      </c>
      <c r="P148" s="28">
        <f>IF(L148=1,IF(IFERROR(INDEX(PARTNERS!$D$2:$D$88,MATCH(B148,PARTNERS!$A$2:$A$88,0)),"")="NO SLOTS",1,IF(AND(IFERROR(INDEX(PARTNERS!$D$2:$D$88,MATCH(B148,PARTNERS!$A$2:$A$88,0)),"")&lt;&gt;"REOPENED",COUNTIFS(LOG!$E$2:$E$2001,B148,LOG!$D$2:$D$2001,"NO_SLOTS")&gt;0),1,0)),0)</f>
        <v>0</v>
      </c>
      <c r="Q148" s="28">
        <f>IF(L148=1,COUNTIFS(LOG!$C$2:$C$2001,F148,LOG!$H$2:$H$2001,1),0)</f>
        <v>0</v>
      </c>
      <c r="R148" s="46">
        <f>IF(Q148&gt;0,_xlfn.MAXIFS(LOG!$G$2:$G$2001,LOG!$C$2:$C$2001,F148,LOG!$H$2:$H$2001,1),0)</f>
        <v>0</v>
      </c>
      <c r="S148" s="28" t="str">
        <f>IF(Q148&gt;0,IFERROR(INDEX(LOG!$D$2:$D$2001,MATCH(F148&amp;"|"&amp;Q148,LOG!$I$2:$I$2001,0)),""),"")</f>
        <v/>
      </c>
      <c r="T148" s="28">
        <f>IF(S148="",0,IFERROR(VLOOKUP(S148,LISTS!$A$2:$E$10,4,FALSE),0))</f>
        <v>0</v>
      </c>
      <c r="U148" s="46">
        <f t="shared" si="24"/>
        <v>0</v>
      </c>
      <c r="V148" s="46">
        <f>IF(L148=1,H148+SETTINGS!$B$5/24,"")</f>
        <v>46309.82708333333</v>
      </c>
      <c r="W148" s="28">
        <f ca="1">IF(L148=1,(V148-SETTINGS!$B$4)*24,"")</f>
        <v>-1.6666666720993817E-2</v>
      </c>
      <c r="X148" s="28">
        <f ca="1">IF(AND(L148=1,K148="OK",M148=0,N148=0,O148=0,P148=0,SETTINGS!$B$4&lt;V148,Q148&lt;SETTINGS!$B$6),1,0)</f>
        <v>0</v>
      </c>
      <c r="Y148" s="28">
        <f ca="1">IF(AND(X148=1,SETTINGS!$B$4&gt;=H148,SETTINGS!$B$4&gt;=U148,ROUND(MOD(SETTINGS!$B$4,1)*1440,0)&gt;=ROUND(SETTINGS!$B$7*1440,0),ROUND(MOD(SETTINGS!$B$4,1)*1440,0)&lt;ROUND(SETTINGS!$B$8*1440,0)),1,0)</f>
        <v>0</v>
      </c>
      <c r="Z148" s="28" t="str">
        <f ca="1">IF(B148="","",IF(ROUND(MOD(SETTINGS!$B$4,1)*1440,0)&lt;ROUND(SETTINGS!$B$11*1440,0),"Ram",IF(ROUND(MOD(SETTINGS!$B$4,1)*1440,0)&gt;=ROUND(SETTINGS!$B$10*1440,0),"Shyam",IF(MOD(IFERROR(VALUE(RIGHT(F148,2)),0),2)=0,"Ram","Shyam"))))</f>
        <v>Shyam</v>
      </c>
      <c r="AA148" s="28">
        <f t="shared" ca="1" si="25"/>
        <v>0</v>
      </c>
      <c r="AB148" s="28">
        <f ca="1">IF(X148=1,COUNTIFS($F$2:F148,F148,$X$2:X148,1),0)</f>
        <v>0</v>
      </c>
      <c r="AC148" s="28" t="str">
        <f>IF(L148=1,IF(IFERROR(INDEX(PARTNERS!$C$2:$C$88,MATCH(B148,PARTNERS!$A$2:$A$88,0)),"")="YES","YES","NO"),"")</f>
        <v>NO</v>
      </c>
      <c r="AD148" s="28" t="str">
        <f>IF(L148=1,IFERROR(INDEX(PARTNERS!$B$2:$B$88,MATCH(B148,PARTNERS!$A$2:$A$88,0)),""),"")</f>
        <v>https://calendly.com/partner001/interview</v>
      </c>
      <c r="AE148" s="28">
        <f ca="1">IF(X148=1,IFERROR(INDEX(SETTINGS!$B$34:$D$36,MATCH(I148,SETTINGS!$A$34:$A$36,0),MIN(Q148,2)+1),SETTINGS!$B$36),0)</f>
        <v>0</v>
      </c>
      <c r="AF148" s="28">
        <f t="shared" si="26"/>
        <v>1</v>
      </c>
      <c r="AG148" s="28">
        <f ca="1">IF(AND(Y148=1,AB148=1),ROUND(AA148*AE148*IF(AF148&gt;1,SETTINGS!$B$16,1)*IF(W148&lt;=SETTINGS!$B$14,SETTINGS!$B$15,1)*IF(AU148=1,SETTINGS!$B$21,1),6),0)</f>
        <v>0</v>
      </c>
      <c r="AH148" s="28" t="str">
        <f ca="1">IF(AG148&gt;0,COUNTIFS($Z$2:$Z$601,Z148,$AG$2:$AG$601,"&gt;"&amp;AG148)+COUNTIFS($Z$2:Z148,Z148,$AG$2:AG148,AG148),"")</f>
        <v/>
      </c>
      <c r="AI148" s="28" t="str">
        <f t="shared" ca="1" si="27"/>
        <v/>
      </c>
      <c r="AJ148" s="28" t="str">
        <f t="shared" ca="1" si="28"/>
        <v/>
      </c>
      <c r="AK148" s="28">
        <f>IF(L148=1,IF(COUNTIFS($F$2:F148,F148,$L$2:L148,1)=1,1,0),0)</f>
        <v>1</v>
      </c>
      <c r="AL148" s="28" t="str">
        <f>IF(B148="","",IF(K148="DUPLICATE","Duplicate (removed)",IF(AO148=1,"Scheduled within 24h",IF(M148=1,"Scheduled late",IF(K148="BAD CONTACT","Bad contact details",IF(O148=1,"Stopped / wrong number",IF(N148=1,"Not interested",IF(P148=1,"Partner has no slots",IF(SETTINGS!$B$4&gt;=V148,IF(Q148=0,"Missed deadline: never tried","Missed deadline: tried, not booked"),IF(Q148&gt;=SETTINGS!$B$6,"No reply after max tries","Open"))))))))))</f>
        <v>Scheduled within 24h</v>
      </c>
      <c r="AM148" s="46">
        <f>IF(M148=1,IF(_xlfn.MINIFS(LOG!$G$2:$G$2001,LOG!$C$2:$C$2001,F148,LOG!$E$2:$E$2001,B148,LOG!$D$2:$D$2001,"*BOOKED")=0,_xlfn.MINIFS(LOG!$G$2:$G$2001,LOG!$C$2:$C$2001,F148,LOG!$E$2:$E$2001,"",LOG!$D$2:$D$2001,"*BOOKED"),IF(_xlfn.MINIFS(LOG!$G$2:$G$2001,LOG!$C$2:$C$2001,F148,LOG!$E$2:$E$2001,"",LOG!$D$2:$D$2001,"*BOOKED")=0,_xlfn.MINIFS(LOG!$G$2:$G$2001,LOG!$C$2:$C$2001,F148,LOG!$E$2:$E$2001,B148,LOG!$D$2:$D$2001,"*BOOKED"),MIN(_xlfn.MINIFS(LOG!$G$2:$G$2001,LOG!$C$2:$C$2001,F148,LOG!$E$2:$E$2001,B148,LOG!$D$2:$D$2001,"*BOOKED"),_xlfn.MINIFS(LOG!$G$2:$G$2001,LOG!$C$2:$C$2001,F148,LOG!$E$2:$E$2001,"",LOG!$D$2:$D$2001,"*BOOKED")))),"")</f>
        <v>46309.376967033138</v>
      </c>
      <c r="AN148" s="28">
        <f t="shared" si="29"/>
        <v>13.197208795405459</v>
      </c>
      <c r="AO148" s="28">
        <f>IF(AND(M148=1,AN148&lt;&gt;""),IF(AN148&lt;=SETTINGS!$B$5,1,0),0)</f>
        <v>1</v>
      </c>
      <c r="AP148" s="28">
        <f>IF(M148=1,IF(COUNTIFS(LOG!$C$2:$C$2001,F148,LOG!$E$2:$E$2001,B148,LOG!$D$2:$D$2001,"BOOKED")+COUNTIFS(LOG!$C$2:$C$2001,F148,LOG!$E$2:$E$2001,"",LOG!$D$2:$D$2001,"BOOKED")&gt;0,1,0),0)</f>
        <v>0</v>
      </c>
      <c r="AQ148" s="28" t="str">
        <f t="shared" si="30"/>
        <v>Tara</v>
      </c>
      <c r="AR148" s="28">
        <f>IF(AND(AK148=1,K148="OK"),COUNTIFS($AK$2:AK148,1,$K$2:K148,"OK"),"")</f>
        <v>136</v>
      </c>
      <c r="AS148" s="28" t="str">
        <f>IF(L148=1,IFERROR(INDEX(MESSAGES!$J$9:$J$1008,MATCH(F148,MESSAGES!$M$9:$M$1008,0))&amp;"",""),"")</f>
        <v/>
      </c>
      <c r="AT148" s="28" t="str">
        <f>IF(L148=1,IFERROR(INDEX(MESSAGES!$K$9:$K$1008,MATCH(F148,MESSAGES!$M$9:$M$1008,0))&amp;"",""),"")</f>
        <v/>
      </c>
      <c r="AU148" s="28">
        <f t="shared" ca="1" si="31"/>
        <v>0</v>
      </c>
      <c r="AV148" s="28" t="str">
        <f t="shared" si="32"/>
        <v>HOLD</v>
      </c>
    </row>
    <row r="149" spans="1:48" x14ac:dyDescent="0.35">
      <c r="A149" s="28">
        <v>148</v>
      </c>
      <c r="B149" s="28" t="str">
        <f>IF(INPUT!A149="","",TRIM(INPUT!A149))</f>
        <v>Partner 000</v>
      </c>
      <c r="C149" s="28" t="str">
        <f>IF(B149="","",INPUT!C149)</f>
        <v>interviewer1@partner000.example.com</v>
      </c>
      <c r="D149" s="28" t="str">
        <f>IF(B149="","",INPUT!D149)</f>
        <v>Navya P.</v>
      </c>
      <c r="E149" s="28" t="str">
        <f>IF(B149="","",INPUT!E149)</f>
        <v>navya.p403@example.com</v>
      </c>
      <c r="F149" s="43" t="str">
        <f>IF(B149="","",TRIM(INPUT!F149&amp;""))</f>
        <v>9000005246</v>
      </c>
      <c r="G149" s="28" t="str">
        <f>IF(B149="","",INPUT!H149)</f>
        <v>Round1</v>
      </c>
      <c r="H149" s="46">
        <f>IF(B149="","",INPUT!I149)</f>
        <v>46308.82708333333</v>
      </c>
      <c r="I149" s="28" t="str">
        <f>IF(B149="","",IF(INPUT!J149="","None",INPUT!J149))</f>
        <v>None</v>
      </c>
      <c r="J149" s="28" t="str">
        <f t="shared" si="22"/>
        <v>navya.p403@example.com|partner 000|Round1|interviewer1@partner000.example.com</v>
      </c>
      <c r="K149" s="28" t="str">
        <f>IF(B149="","",IF(SUMPRODUCT(($J$2:$J$601=J149)*($H$2:$H$601&lt;H149))+SUMPRODUCT(($J$2:J149=J149)*($H$2:H149=H149))-1&gt;0,"DUPLICATE",IF(AND(ISNUMBER(SEARCH("@",E149)),ISNUMBER(SEARCH(".",E149)),LEN(F149)=10,ISNUMBER(VALUE(F149))),"OK","BAD CONTACT")))</f>
        <v>OK</v>
      </c>
      <c r="L149" s="28">
        <f t="shared" si="23"/>
        <v>1</v>
      </c>
      <c r="M149" s="28">
        <f>IF(L149=1,IF(COUNTIFS(LOG!$C$2:$C$2001,F149,LOG!$E$2:$E$2001,B149,LOG!$D$2:$D$2001,"*BOOKED")+COUNTIFS(LOG!$C$2:$C$2001,F149,LOG!$E$2:$E$2001,"",LOG!$D$2:$D$2001,"*BOOKED")&gt;0,1,0),0)</f>
        <v>0</v>
      </c>
      <c r="N149" s="28">
        <f>IF(L149=1,IF(COUNTIFS(LOG!$C$2:$C$2001,F149,LOG!$E$2:$E$2001,B149,LOG!$D$2:$D$2001,"NOT_INTERESTED")+COUNTIFS(LOG!$C$2:$C$2001,F149,LOG!$E$2:$E$2001,"",LOG!$D$2:$D$2001,"NOT_INTERESTED")&gt;0,1,0),0)</f>
        <v>0</v>
      </c>
      <c r="O149" s="28">
        <f>IF(L149=1,IF(COUNTIFS(LOG!$C$2:$C$2001,F149,LOG!$D$2:$D$2001,"STOP")+COUNTIFS(LOG!$C$2:$C$2001,F149,LOG!$D$2:$D$2001,"WRONG_NUMBER")&gt;0,1,IF(ISNUMBER(SEARCH("STOP",AT149)),1,0)),0)</f>
        <v>0</v>
      </c>
      <c r="P149" s="28">
        <f>IF(L149=1,IF(IFERROR(INDEX(PARTNERS!$D$2:$D$88,MATCH(B149,PARTNERS!$A$2:$A$88,0)),"")="NO SLOTS",1,IF(AND(IFERROR(INDEX(PARTNERS!$D$2:$D$88,MATCH(B149,PARTNERS!$A$2:$A$88,0)),"")&lt;&gt;"REOPENED",COUNTIFS(LOG!$E$2:$E$2001,B149,LOG!$D$2:$D$2001,"NO_SLOTS")&gt;0),1,0)),0)</f>
        <v>0</v>
      </c>
      <c r="Q149" s="28">
        <f>IF(L149=1,COUNTIFS(LOG!$C$2:$C$2001,F149,LOG!$H$2:$H$2001,1),0)</f>
        <v>0</v>
      </c>
      <c r="R149" s="46">
        <f>IF(Q149&gt;0,_xlfn.MAXIFS(LOG!$G$2:$G$2001,LOG!$C$2:$C$2001,F149,LOG!$H$2:$H$2001,1),0)</f>
        <v>0</v>
      </c>
      <c r="S149" s="28" t="str">
        <f>IF(Q149&gt;0,IFERROR(INDEX(LOG!$D$2:$D$2001,MATCH(F149&amp;"|"&amp;Q149,LOG!$I$2:$I$2001,0)),""),"")</f>
        <v/>
      </c>
      <c r="T149" s="28">
        <f>IF(S149="",0,IFERROR(VLOOKUP(S149,LISTS!$A$2:$E$10,4,FALSE),0))</f>
        <v>0</v>
      </c>
      <c r="U149" s="46">
        <f t="shared" si="24"/>
        <v>0</v>
      </c>
      <c r="V149" s="46">
        <f>IF(L149=1,H149+SETTINGS!$B$5/24,"")</f>
        <v>46309.82708333333</v>
      </c>
      <c r="W149" s="28">
        <f ca="1">IF(L149=1,(V149-SETTINGS!$B$4)*24,"")</f>
        <v>-1.6666666720993817E-2</v>
      </c>
      <c r="X149" s="28">
        <f ca="1">IF(AND(L149=1,K149="OK",M149=0,N149=0,O149=0,P149=0,SETTINGS!$B$4&lt;V149,Q149&lt;SETTINGS!$B$6),1,0)</f>
        <v>0</v>
      </c>
      <c r="Y149" s="28">
        <f ca="1">IF(AND(X149=1,SETTINGS!$B$4&gt;=H149,SETTINGS!$B$4&gt;=U149,ROUND(MOD(SETTINGS!$B$4,1)*1440,0)&gt;=ROUND(SETTINGS!$B$7*1440,0),ROUND(MOD(SETTINGS!$B$4,1)*1440,0)&lt;ROUND(SETTINGS!$B$8*1440,0)),1,0)</f>
        <v>0</v>
      </c>
      <c r="Z149" s="28" t="str">
        <f ca="1">IF(B149="","",IF(ROUND(MOD(SETTINGS!$B$4,1)*1440,0)&lt;ROUND(SETTINGS!$B$11*1440,0),"Ram",IF(ROUND(MOD(SETTINGS!$B$4,1)*1440,0)&gt;=ROUND(SETTINGS!$B$10*1440,0),"Shyam",IF(MOD(IFERROR(VALUE(RIGHT(F149,2)),0),2)=0,"Ram","Shyam"))))</f>
        <v>Shyam</v>
      </c>
      <c r="AA149" s="28">
        <f t="shared" ca="1" si="25"/>
        <v>0</v>
      </c>
      <c r="AB149" s="28">
        <f ca="1">IF(X149=1,COUNTIFS($F$2:F149,F149,$X$2:X149,1),0)</f>
        <v>0</v>
      </c>
      <c r="AC149" s="28" t="str">
        <f>IF(L149=1,IF(IFERROR(INDEX(PARTNERS!$C$2:$C$88,MATCH(B149,PARTNERS!$A$2:$A$88,0)),"")="YES","YES","NO"),"")</f>
        <v>NO</v>
      </c>
      <c r="AD149" s="28" t="str">
        <f>IF(L149=1,IFERROR(INDEX(PARTNERS!$B$2:$B$88,MATCH(B149,PARTNERS!$A$2:$A$88,0)),""),"")</f>
        <v>https://calendly.com/partner000/interview</v>
      </c>
      <c r="AE149" s="28">
        <f ca="1">IF(X149=1,IFERROR(INDEX(SETTINGS!$B$34:$D$36,MATCH(I149,SETTINGS!$A$34:$A$36,0),MIN(Q149,2)+1),SETTINGS!$B$36),0)</f>
        <v>0</v>
      </c>
      <c r="AF149" s="28">
        <f t="shared" si="26"/>
        <v>1</v>
      </c>
      <c r="AG149" s="28">
        <f ca="1">IF(AND(Y149=1,AB149=1),ROUND(AA149*AE149*IF(AF149&gt;1,SETTINGS!$B$16,1)*IF(W149&lt;=SETTINGS!$B$14,SETTINGS!$B$15,1)*IF(AU149=1,SETTINGS!$B$21,1),6),0)</f>
        <v>0</v>
      </c>
      <c r="AH149" s="28" t="str">
        <f ca="1">IF(AG149&gt;0,COUNTIFS($Z$2:$Z$601,Z149,$AG$2:$AG$601,"&gt;"&amp;AG149)+COUNTIFS($Z$2:Z149,Z149,$AG$2:AG149,AG149),"")</f>
        <v/>
      </c>
      <c r="AI149" s="28" t="str">
        <f t="shared" ca="1" si="27"/>
        <v/>
      </c>
      <c r="AJ149" s="28" t="str">
        <f t="shared" ca="1" si="28"/>
        <v/>
      </c>
      <c r="AK149" s="28">
        <f>IF(L149=1,IF(COUNTIFS($F$2:F149,F149,$L$2:L149,1)=1,1,0),0)</f>
        <v>1</v>
      </c>
      <c r="AL149" s="28" t="str">
        <f ca="1">IF(B149="","",IF(K149="DUPLICATE","Duplicate (removed)",IF(AO149=1,"Scheduled within 24h",IF(M149=1,"Scheduled late",IF(K149="BAD CONTACT","Bad contact details",IF(O149=1,"Stopped / wrong number",IF(N149=1,"Not interested",IF(P149=1,"Partner has no slots",IF(SETTINGS!$B$4&gt;=V149,IF(Q149=0,"Missed deadline: never tried","Missed deadline: tried, not booked"),IF(Q149&gt;=SETTINGS!$B$6,"No reply after max tries","Open"))))))))))</f>
        <v>Missed deadline: never tried</v>
      </c>
      <c r="AM149" s="46" t="str">
        <f>IF(M149=1,IF(_xlfn.MINIFS(LOG!$G$2:$G$2001,LOG!$C$2:$C$2001,F149,LOG!$E$2:$E$2001,B149,LOG!$D$2:$D$2001,"*BOOKED")=0,_xlfn.MINIFS(LOG!$G$2:$G$2001,LOG!$C$2:$C$2001,F149,LOG!$E$2:$E$2001,"",LOG!$D$2:$D$2001,"*BOOKED"),IF(_xlfn.MINIFS(LOG!$G$2:$G$2001,LOG!$C$2:$C$2001,F149,LOG!$E$2:$E$2001,"",LOG!$D$2:$D$2001,"*BOOKED")=0,_xlfn.MINIFS(LOG!$G$2:$G$2001,LOG!$C$2:$C$2001,F149,LOG!$E$2:$E$2001,B149,LOG!$D$2:$D$2001,"*BOOKED"),MIN(_xlfn.MINIFS(LOG!$G$2:$G$2001,LOG!$C$2:$C$2001,F149,LOG!$E$2:$E$2001,B149,LOG!$D$2:$D$2001,"*BOOKED"),_xlfn.MINIFS(LOG!$G$2:$G$2001,LOG!$C$2:$C$2001,F149,LOG!$E$2:$E$2001,"",LOG!$D$2:$D$2001,"*BOOKED")))),"")</f>
        <v/>
      </c>
      <c r="AN149" s="28" t="str">
        <f t="shared" si="29"/>
        <v/>
      </c>
      <c r="AO149" s="28">
        <f>IF(AND(M149=1,AN149&lt;&gt;""),IF(AN149&lt;=SETTINGS!$B$5,1,0),0)</f>
        <v>0</v>
      </c>
      <c r="AP149" s="28">
        <f>IF(M149=1,IF(COUNTIFS(LOG!$C$2:$C$2001,F149,LOG!$E$2:$E$2001,B149,LOG!$D$2:$D$2001,"BOOKED")+COUNTIFS(LOG!$C$2:$C$2001,F149,LOG!$E$2:$E$2001,"",LOG!$D$2:$D$2001,"BOOKED")&gt;0,1,0),0)</f>
        <v>0</v>
      </c>
      <c r="AQ149" s="28" t="str">
        <f t="shared" si="30"/>
        <v>Navya</v>
      </c>
      <c r="AR149" s="28">
        <f>IF(AND(AK149=1,K149="OK"),COUNTIFS($AK$2:AK149,1,$K$2:K149,"OK"),"")</f>
        <v>137</v>
      </c>
      <c r="AS149" s="28" t="str">
        <f>IF(L149=1,IFERROR(INDEX(MESSAGES!$J$9:$J$1008,MATCH(F149,MESSAGES!$M$9:$M$1008,0))&amp;"",""),"")</f>
        <v/>
      </c>
      <c r="AT149" s="28" t="str">
        <f>IF(L149=1,IFERROR(INDEX(MESSAGES!$K$9:$K$1008,MATCH(F149,MESSAGES!$M$9:$M$1008,0))&amp;"",""),"")</f>
        <v/>
      </c>
      <c r="AU149" s="28">
        <f t="shared" ca="1" si="31"/>
        <v>0</v>
      </c>
      <c r="AV149" s="28" t="str">
        <f t="shared" si="32"/>
        <v>SEND</v>
      </c>
    </row>
    <row r="150" spans="1:48" x14ac:dyDescent="0.35">
      <c r="A150" s="28">
        <v>149</v>
      </c>
      <c r="B150" s="28" t="str">
        <f>IF(INPUT!A150="","",TRIM(INPUT!A150))</f>
        <v>Partner 000</v>
      </c>
      <c r="C150" s="28" t="str">
        <f>IF(B150="","",INPUT!C150)</f>
        <v>interviewer1@partner000.example.com</v>
      </c>
      <c r="D150" s="28" t="str">
        <f>IF(B150="","",INPUT!D150)</f>
        <v>Diya R.</v>
      </c>
      <c r="E150" s="28" t="str">
        <f>IF(B150="","",INPUT!E150)</f>
        <v>diya.r421@example.com</v>
      </c>
      <c r="F150" s="43" t="str">
        <f>IF(B150="","",TRIM(INPUT!F150&amp;""))</f>
        <v>9000005480</v>
      </c>
      <c r="G150" s="28" t="str">
        <f>IF(B150="","",INPUT!H150)</f>
        <v>Round1</v>
      </c>
      <c r="H150" s="46">
        <f>IF(B150="","",INPUT!I150)</f>
        <v>46308.82708333333</v>
      </c>
      <c r="I150" s="28" t="str">
        <f>IF(B150="","",IF(INPUT!J150="","None",INPUT!J150))</f>
        <v>None</v>
      </c>
      <c r="J150" s="28" t="str">
        <f t="shared" si="22"/>
        <v>diya.r421@example.com|partner 000|Round1|interviewer1@partner000.example.com</v>
      </c>
      <c r="K150" s="28" t="str">
        <f>IF(B150="","",IF(SUMPRODUCT(($J$2:$J$601=J150)*($H$2:$H$601&lt;H150))+SUMPRODUCT(($J$2:J150=J150)*($H$2:H150=H150))-1&gt;0,"DUPLICATE",IF(AND(ISNUMBER(SEARCH("@",E150)),ISNUMBER(SEARCH(".",E150)),LEN(F150)=10,ISNUMBER(VALUE(F150))),"OK","BAD CONTACT")))</f>
        <v>OK</v>
      </c>
      <c r="L150" s="28">
        <f t="shared" si="23"/>
        <v>1</v>
      </c>
      <c r="M150" s="28">
        <f>IF(L150=1,IF(COUNTIFS(LOG!$C$2:$C$2001,F150,LOG!$E$2:$E$2001,B150,LOG!$D$2:$D$2001,"*BOOKED")+COUNTIFS(LOG!$C$2:$C$2001,F150,LOG!$E$2:$E$2001,"",LOG!$D$2:$D$2001,"*BOOKED")&gt;0,1,0),0)</f>
        <v>0</v>
      </c>
      <c r="N150" s="28">
        <f>IF(L150=1,IF(COUNTIFS(LOG!$C$2:$C$2001,F150,LOG!$E$2:$E$2001,B150,LOG!$D$2:$D$2001,"NOT_INTERESTED")+COUNTIFS(LOG!$C$2:$C$2001,F150,LOG!$E$2:$E$2001,"",LOG!$D$2:$D$2001,"NOT_INTERESTED")&gt;0,1,0),0)</f>
        <v>0</v>
      </c>
      <c r="O150" s="28">
        <f>IF(L150=1,IF(COUNTIFS(LOG!$C$2:$C$2001,F150,LOG!$D$2:$D$2001,"STOP")+COUNTIFS(LOG!$C$2:$C$2001,F150,LOG!$D$2:$D$2001,"WRONG_NUMBER")&gt;0,1,IF(ISNUMBER(SEARCH("STOP",AT150)),1,0)),0)</f>
        <v>0</v>
      </c>
      <c r="P150" s="28">
        <f>IF(L150=1,IF(IFERROR(INDEX(PARTNERS!$D$2:$D$88,MATCH(B150,PARTNERS!$A$2:$A$88,0)),"")="NO SLOTS",1,IF(AND(IFERROR(INDEX(PARTNERS!$D$2:$D$88,MATCH(B150,PARTNERS!$A$2:$A$88,0)),"")&lt;&gt;"REOPENED",COUNTIFS(LOG!$E$2:$E$2001,B150,LOG!$D$2:$D$2001,"NO_SLOTS")&gt;0),1,0)),0)</f>
        <v>0</v>
      </c>
      <c r="Q150" s="28">
        <f>IF(L150=1,COUNTIFS(LOG!$C$2:$C$2001,F150,LOG!$H$2:$H$2001,1),0)</f>
        <v>0</v>
      </c>
      <c r="R150" s="46">
        <f>IF(Q150&gt;0,_xlfn.MAXIFS(LOG!$G$2:$G$2001,LOG!$C$2:$C$2001,F150,LOG!$H$2:$H$2001,1),0)</f>
        <v>0</v>
      </c>
      <c r="S150" s="28" t="str">
        <f>IF(Q150&gt;0,IFERROR(INDEX(LOG!$D$2:$D$2001,MATCH(F150&amp;"|"&amp;Q150,LOG!$I$2:$I$2001,0)),""),"")</f>
        <v/>
      </c>
      <c r="T150" s="28">
        <f>IF(S150="",0,IFERROR(VLOOKUP(S150,LISTS!$A$2:$E$10,4,FALSE),0))</f>
        <v>0</v>
      </c>
      <c r="U150" s="46">
        <f t="shared" si="24"/>
        <v>0</v>
      </c>
      <c r="V150" s="46">
        <f>IF(L150=1,H150+SETTINGS!$B$5/24,"")</f>
        <v>46309.82708333333</v>
      </c>
      <c r="W150" s="28">
        <f ca="1">IF(L150=1,(V150-SETTINGS!$B$4)*24,"")</f>
        <v>-1.6666666720993817E-2</v>
      </c>
      <c r="X150" s="28">
        <f ca="1">IF(AND(L150=1,K150="OK",M150=0,N150=0,O150=0,P150=0,SETTINGS!$B$4&lt;V150,Q150&lt;SETTINGS!$B$6),1,0)</f>
        <v>0</v>
      </c>
      <c r="Y150" s="28">
        <f ca="1">IF(AND(X150=1,SETTINGS!$B$4&gt;=H150,SETTINGS!$B$4&gt;=U150,ROUND(MOD(SETTINGS!$B$4,1)*1440,0)&gt;=ROUND(SETTINGS!$B$7*1440,0),ROUND(MOD(SETTINGS!$B$4,1)*1440,0)&lt;ROUND(SETTINGS!$B$8*1440,0)),1,0)</f>
        <v>0</v>
      </c>
      <c r="Z150" s="28" t="str">
        <f ca="1">IF(B150="","",IF(ROUND(MOD(SETTINGS!$B$4,1)*1440,0)&lt;ROUND(SETTINGS!$B$11*1440,0),"Ram",IF(ROUND(MOD(SETTINGS!$B$4,1)*1440,0)&gt;=ROUND(SETTINGS!$B$10*1440,0),"Shyam",IF(MOD(IFERROR(VALUE(RIGHT(F150,2)),0),2)=0,"Ram","Shyam"))))</f>
        <v>Shyam</v>
      </c>
      <c r="AA150" s="28">
        <f t="shared" ca="1" si="25"/>
        <v>0</v>
      </c>
      <c r="AB150" s="28">
        <f ca="1">IF(X150=1,COUNTIFS($F$2:F150,F150,$X$2:X150,1),0)</f>
        <v>0</v>
      </c>
      <c r="AC150" s="28" t="str">
        <f>IF(L150=1,IF(IFERROR(INDEX(PARTNERS!$C$2:$C$88,MATCH(B150,PARTNERS!$A$2:$A$88,0)),"")="YES","YES","NO"),"")</f>
        <v>NO</v>
      </c>
      <c r="AD150" s="28" t="str">
        <f>IF(L150=1,IFERROR(INDEX(PARTNERS!$B$2:$B$88,MATCH(B150,PARTNERS!$A$2:$A$88,0)),""),"")</f>
        <v>https://calendly.com/partner000/interview</v>
      </c>
      <c r="AE150" s="28">
        <f ca="1">IF(X150=1,IFERROR(INDEX(SETTINGS!$B$34:$D$36,MATCH(I150,SETTINGS!$A$34:$A$36,0),MIN(Q150,2)+1),SETTINGS!$B$36),0)</f>
        <v>0</v>
      </c>
      <c r="AF150" s="28">
        <f t="shared" si="26"/>
        <v>1</v>
      </c>
      <c r="AG150" s="28">
        <f ca="1">IF(AND(Y150=1,AB150=1),ROUND(AA150*AE150*IF(AF150&gt;1,SETTINGS!$B$16,1)*IF(W150&lt;=SETTINGS!$B$14,SETTINGS!$B$15,1)*IF(AU150=1,SETTINGS!$B$21,1),6),0)</f>
        <v>0</v>
      </c>
      <c r="AH150" s="28" t="str">
        <f ca="1">IF(AG150&gt;0,COUNTIFS($Z$2:$Z$601,Z150,$AG$2:$AG$601,"&gt;"&amp;AG150)+COUNTIFS($Z$2:Z150,Z150,$AG$2:AG150,AG150),"")</f>
        <v/>
      </c>
      <c r="AI150" s="28" t="str">
        <f t="shared" ca="1" si="27"/>
        <v/>
      </c>
      <c r="AJ150" s="28" t="str">
        <f t="shared" ca="1" si="28"/>
        <v/>
      </c>
      <c r="AK150" s="28">
        <f>IF(L150=1,IF(COUNTIFS($F$2:F150,F150,$L$2:L150,1)=1,1,0),0)</f>
        <v>1</v>
      </c>
      <c r="AL150" s="28" t="str">
        <f ca="1">IF(B150="","",IF(K150="DUPLICATE","Duplicate (removed)",IF(AO150=1,"Scheduled within 24h",IF(M150=1,"Scheduled late",IF(K150="BAD CONTACT","Bad contact details",IF(O150=1,"Stopped / wrong number",IF(N150=1,"Not interested",IF(P150=1,"Partner has no slots",IF(SETTINGS!$B$4&gt;=V150,IF(Q150=0,"Missed deadline: never tried","Missed deadline: tried, not booked"),IF(Q150&gt;=SETTINGS!$B$6,"No reply after max tries","Open"))))))))))</f>
        <v>Missed deadline: never tried</v>
      </c>
      <c r="AM150" s="46" t="str">
        <f>IF(M150=1,IF(_xlfn.MINIFS(LOG!$G$2:$G$2001,LOG!$C$2:$C$2001,F150,LOG!$E$2:$E$2001,B150,LOG!$D$2:$D$2001,"*BOOKED")=0,_xlfn.MINIFS(LOG!$G$2:$G$2001,LOG!$C$2:$C$2001,F150,LOG!$E$2:$E$2001,"",LOG!$D$2:$D$2001,"*BOOKED"),IF(_xlfn.MINIFS(LOG!$G$2:$G$2001,LOG!$C$2:$C$2001,F150,LOG!$E$2:$E$2001,"",LOG!$D$2:$D$2001,"*BOOKED")=0,_xlfn.MINIFS(LOG!$G$2:$G$2001,LOG!$C$2:$C$2001,F150,LOG!$E$2:$E$2001,B150,LOG!$D$2:$D$2001,"*BOOKED"),MIN(_xlfn.MINIFS(LOG!$G$2:$G$2001,LOG!$C$2:$C$2001,F150,LOG!$E$2:$E$2001,B150,LOG!$D$2:$D$2001,"*BOOKED"),_xlfn.MINIFS(LOG!$G$2:$G$2001,LOG!$C$2:$C$2001,F150,LOG!$E$2:$E$2001,"",LOG!$D$2:$D$2001,"*BOOKED")))),"")</f>
        <v/>
      </c>
      <c r="AN150" s="28" t="str">
        <f t="shared" si="29"/>
        <v/>
      </c>
      <c r="AO150" s="28">
        <f>IF(AND(M150=1,AN150&lt;&gt;""),IF(AN150&lt;=SETTINGS!$B$5,1,0),0)</f>
        <v>0</v>
      </c>
      <c r="AP150" s="28">
        <f>IF(M150=1,IF(COUNTIFS(LOG!$C$2:$C$2001,F150,LOG!$E$2:$E$2001,B150,LOG!$D$2:$D$2001,"BOOKED")+COUNTIFS(LOG!$C$2:$C$2001,F150,LOG!$E$2:$E$2001,"",LOG!$D$2:$D$2001,"BOOKED")&gt;0,1,0),0)</f>
        <v>0</v>
      </c>
      <c r="AQ150" s="28" t="str">
        <f t="shared" si="30"/>
        <v>Diya</v>
      </c>
      <c r="AR150" s="28">
        <f>IF(AND(AK150=1,K150="OK"),COUNTIFS($AK$2:AK150,1,$K$2:K150,"OK"),"")</f>
        <v>138</v>
      </c>
      <c r="AS150" s="28" t="str">
        <f>IF(L150=1,IFERROR(INDEX(MESSAGES!$J$9:$J$1008,MATCH(F150,MESSAGES!$M$9:$M$1008,0))&amp;"",""),"")</f>
        <v/>
      </c>
      <c r="AT150" s="28" t="str">
        <f>IF(L150=1,IFERROR(INDEX(MESSAGES!$K$9:$K$1008,MATCH(F150,MESSAGES!$M$9:$M$1008,0))&amp;"",""),"")</f>
        <v/>
      </c>
      <c r="AU150" s="28">
        <f t="shared" ca="1" si="31"/>
        <v>0</v>
      </c>
      <c r="AV150" s="28" t="str">
        <f t="shared" si="32"/>
        <v>SEND</v>
      </c>
    </row>
    <row r="151" spans="1:48" x14ac:dyDescent="0.35">
      <c r="A151" s="28">
        <v>150</v>
      </c>
      <c r="B151" s="28" t="str">
        <f>IF(INPUT!A151="","",TRIM(INPUT!A151))</f>
        <v>Partner 000</v>
      </c>
      <c r="C151" s="28" t="str">
        <f>IF(B151="","",INPUT!C151)</f>
        <v>interviewer2@partner000.example.com</v>
      </c>
      <c r="D151" s="28" t="str">
        <f>IF(B151="","",INPUT!D151)</f>
        <v>Kiara P.</v>
      </c>
      <c r="E151" s="28" t="str">
        <f>IF(B151="","",INPUT!E151)</f>
        <v>kiara.p401@example.com</v>
      </c>
      <c r="F151" s="43" t="str">
        <f>IF(B151="","",TRIM(INPUT!F151&amp;""))</f>
        <v>9000005220</v>
      </c>
      <c r="G151" s="28" t="str">
        <f>IF(B151="","",INPUT!H151)</f>
        <v>Round1</v>
      </c>
      <c r="H151" s="46">
        <f>IF(B151="","",INPUT!I151)</f>
        <v>46308.82708333333</v>
      </c>
      <c r="I151" s="28" t="str">
        <f>IF(B151="","",IF(INPUT!J151="","None",INPUT!J151))</f>
        <v>Clicked</v>
      </c>
      <c r="J151" s="28" t="str">
        <f t="shared" si="22"/>
        <v>kiara.p401@example.com|partner 000|Round1|interviewer2@partner000.example.com</v>
      </c>
      <c r="K151" s="28" t="str">
        <f>IF(B151="","",IF(SUMPRODUCT(($J$2:$J$601=J151)*($H$2:$H$601&lt;H151))+SUMPRODUCT(($J$2:J151=J151)*($H$2:H151=H151))-1&gt;0,"DUPLICATE",IF(AND(ISNUMBER(SEARCH("@",E151)),ISNUMBER(SEARCH(".",E151)),LEN(F151)=10,ISNUMBER(VALUE(F151))),"OK","BAD CONTACT")))</f>
        <v>OK</v>
      </c>
      <c r="L151" s="28">
        <f t="shared" si="23"/>
        <v>1</v>
      </c>
      <c r="M151" s="28">
        <f>IF(L151=1,IF(COUNTIFS(LOG!$C$2:$C$2001,F151,LOG!$E$2:$E$2001,B151,LOG!$D$2:$D$2001,"*BOOKED")+COUNTIFS(LOG!$C$2:$C$2001,F151,LOG!$E$2:$E$2001,"",LOG!$D$2:$D$2001,"*BOOKED")&gt;0,1,0),0)</f>
        <v>1</v>
      </c>
      <c r="N151" s="28">
        <f>IF(L151=1,IF(COUNTIFS(LOG!$C$2:$C$2001,F151,LOG!$E$2:$E$2001,B151,LOG!$D$2:$D$2001,"NOT_INTERESTED")+COUNTIFS(LOG!$C$2:$C$2001,F151,LOG!$E$2:$E$2001,"",LOG!$D$2:$D$2001,"NOT_INTERESTED")&gt;0,1,0),0)</f>
        <v>0</v>
      </c>
      <c r="O151" s="28">
        <f>IF(L151=1,IF(COUNTIFS(LOG!$C$2:$C$2001,F151,LOG!$D$2:$D$2001,"STOP")+COUNTIFS(LOG!$C$2:$C$2001,F151,LOG!$D$2:$D$2001,"WRONG_NUMBER")&gt;0,1,IF(ISNUMBER(SEARCH("STOP",AT151)),1,0)),0)</f>
        <v>0</v>
      </c>
      <c r="P151" s="28">
        <f>IF(L151=1,IF(IFERROR(INDEX(PARTNERS!$D$2:$D$88,MATCH(B151,PARTNERS!$A$2:$A$88,0)),"")="NO SLOTS",1,IF(AND(IFERROR(INDEX(PARTNERS!$D$2:$D$88,MATCH(B151,PARTNERS!$A$2:$A$88,0)),"")&lt;&gt;"REOPENED",COUNTIFS(LOG!$E$2:$E$2001,B151,LOG!$D$2:$D$2001,"NO_SLOTS")&gt;0),1,0)),0)</f>
        <v>0</v>
      </c>
      <c r="Q151" s="28">
        <f>IF(L151=1,COUNTIFS(LOG!$C$2:$C$2001,F151,LOG!$H$2:$H$2001,1),0)</f>
        <v>0</v>
      </c>
      <c r="R151" s="46">
        <f>IF(Q151&gt;0,_xlfn.MAXIFS(LOG!$G$2:$G$2001,LOG!$C$2:$C$2001,F151,LOG!$H$2:$H$2001,1),0)</f>
        <v>0</v>
      </c>
      <c r="S151" s="28" t="str">
        <f>IF(Q151&gt;0,IFERROR(INDEX(LOG!$D$2:$D$2001,MATCH(F151&amp;"|"&amp;Q151,LOG!$I$2:$I$2001,0)),""),"")</f>
        <v/>
      </c>
      <c r="T151" s="28">
        <f>IF(S151="",0,IFERROR(VLOOKUP(S151,LISTS!$A$2:$E$10,4,FALSE),0))</f>
        <v>0</v>
      </c>
      <c r="U151" s="46">
        <f t="shared" si="24"/>
        <v>0</v>
      </c>
      <c r="V151" s="46">
        <f>IF(L151=1,H151+SETTINGS!$B$5/24,"")</f>
        <v>46309.82708333333</v>
      </c>
      <c r="W151" s="28">
        <f ca="1">IF(L151=1,(V151-SETTINGS!$B$4)*24,"")</f>
        <v>-1.6666666720993817E-2</v>
      </c>
      <c r="X151" s="28">
        <f ca="1">IF(AND(L151=1,K151="OK",M151=0,N151=0,O151=0,P151=0,SETTINGS!$B$4&lt;V151,Q151&lt;SETTINGS!$B$6),1,0)</f>
        <v>0</v>
      </c>
      <c r="Y151" s="28">
        <f ca="1">IF(AND(X151=1,SETTINGS!$B$4&gt;=H151,SETTINGS!$B$4&gt;=U151,ROUND(MOD(SETTINGS!$B$4,1)*1440,0)&gt;=ROUND(SETTINGS!$B$7*1440,0),ROUND(MOD(SETTINGS!$B$4,1)*1440,0)&lt;ROUND(SETTINGS!$B$8*1440,0)),1,0)</f>
        <v>0</v>
      </c>
      <c r="Z151" s="28" t="str">
        <f ca="1">IF(B151="","",IF(ROUND(MOD(SETTINGS!$B$4,1)*1440,0)&lt;ROUND(SETTINGS!$B$11*1440,0),"Ram",IF(ROUND(MOD(SETTINGS!$B$4,1)*1440,0)&gt;=ROUND(SETTINGS!$B$10*1440,0),"Shyam",IF(MOD(IFERROR(VALUE(RIGHT(F151,2)),0),2)=0,"Ram","Shyam"))))</f>
        <v>Shyam</v>
      </c>
      <c r="AA151" s="28">
        <f t="shared" ca="1" si="25"/>
        <v>0</v>
      </c>
      <c r="AB151" s="28">
        <f ca="1">IF(X151=1,COUNTIFS($F$2:F151,F151,$X$2:X151,1),0)</f>
        <v>0</v>
      </c>
      <c r="AC151" s="28" t="str">
        <f>IF(L151=1,IF(IFERROR(INDEX(PARTNERS!$C$2:$C$88,MATCH(B151,PARTNERS!$A$2:$A$88,0)),"")="YES","YES","NO"),"")</f>
        <v>NO</v>
      </c>
      <c r="AD151" s="28" t="str">
        <f>IF(L151=1,IFERROR(INDEX(PARTNERS!$B$2:$B$88,MATCH(B151,PARTNERS!$A$2:$A$88,0)),""),"")</f>
        <v>https://calendly.com/partner000/interview</v>
      </c>
      <c r="AE151" s="28">
        <f ca="1">IF(X151=1,IFERROR(INDEX(SETTINGS!$B$34:$D$36,MATCH(I151,SETTINGS!$A$34:$A$36,0),MIN(Q151,2)+1),SETTINGS!$B$36),0)</f>
        <v>0</v>
      </c>
      <c r="AF151" s="28">
        <f t="shared" si="26"/>
        <v>1</v>
      </c>
      <c r="AG151" s="28">
        <f ca="1">IF(AND(Y151=1,AB151=1),ROUND(AA151*AE151*IF(AF151&gt;1,SETTINGS!$B$16,1)*IF(W151&lt;=SETTINGS!$B$14,SETTINGS!$B$15,1)*IF(AU151=1,SETTINGS!$B$21,1),6),0)</f>
        <v>0</v>
      </c>
      <c r="AH151" s="28" t="str">
        <f ca="1">IF(AG151&gt;0,COUNTIFS($Z$2:$Z$601,Z151,$AG$2:$AG$601,"&gt;"&amp;AG151)+COUNTIFS($Z$2:Z151,Z151,$AG$2:AG151,AG151),"")</f>
        <v/>
      </c>
      <c r="AI151" s="28" t="str">
        <f t="shared" ca="1" si="27"/>
        <v/>
      </c>
      <c r="AJ151" s="28" t="str">
        <f t="shared" ca="1" si="28"/>
        <v/>
      </c>
      <c r="AK151" s="28">
        <f>IF(L151=1,IF(COUNTIFS($F$2:F151,F151,$L$2:L151,1)=1,1,0),0)</f>
        <v>1</v>
      </c>
      <c r="AL151" s="28" t="str">
        <f>IF(B151="","",IF(K151="DUPLICATE","Duplicate (removed)",IF(AO151=1,"Scheduled within 24h",IF(M151=1,"Scheduled late",IF(K151="BAD CONTACT","Bad contact details",IF(O151=1,"Stopped / wrong number",IF(N151=1,"Not interested",IF(P151=1,"Partner has no slots",IF(SETTINGS!$B$4&gt;=V151,IF(Q151=0,"Missed deadline: never tried","Missed deadline: tried, not booked"),IF(Q151&gt;=SETTINGS!$B$6,"No reply after max tries","Open"))))))))))</f>
        <v>Scheduled within 24h</v>
      </c>
      <c r="AM151" s="46">
        <f>IF(M151=1,IF(_xlfn.MINIFS(LOG!$G$2:$G$2001,LOG!$C$2:$C$2001,F151,LOG!$E$2:$E$2001,B151,LOG!$D$2:$D$2001,"*BOOKED")=0,_xlfn.MINIFS(LOG!$G$2:$G$2001,LOG!$C$2:$C$2001,F151,LOG!$E$2:$E$2001,"",LOG!$D$2:$D$2001,"*BOOKED"),IF(_xlfn.MINIFS(LOG!$G$2:$G$2001,LOG!$C$2:$C$2001,F151,LOG!$E$2:$E$2001,"",LOG!$D$2:$D$2001,"*BOOKED")=0,_xlfn.MINIFS(LOG!$G$2:$G$2001,LOG!$C$2:$C$2001,F151,LOG!$E$2:$E$2001,B151,LOG!$D$2:$D$2001,"*BOOKED"),MIN(_xlfn.MINIFS(LOG!$G$2:$G$2001,LOG!$C$2:$C$2001,F151,LOG!$E$2:$E$2001,B151,LOG!$D$2:$D$2001,"*BOOKED"),_xlfn.MINIFS(LOG!$G$2:$G$2001,LOG!$C$2:$C$2001,F151,LOG!$E$2:$E$2001,"",LOG!$D$2:$D$2001,"*BOOKED")))),"")</f>
        <v>46308.912052677071</v>
      </c>
      <c r="AN151" s="28">
        <f t="shared" si="29"/>
        <v>2.0392642497899942</v>
      </c>
      <c r="AO151" s="28">
        <f>IF(AND(M151=1,AN151&lt;&gt;""),IF(AN151&lt;=SETTINGS!$B$5,1,0),0)</f>
        <v>1</v>
      </c>
      <c r="AP151" s="28">
        <f>IF(M151=1,IF(COUNTIFS(LOG!$C$2:$C$2001,F151,LOG!$E$2:$E$2001,B151,LOG!$D$2:$D$2001,"BOOKED")+COUNTIFS(LOG!$C$2:$C$2001,F151,LOG!$E$2:$E$2001,"",LOG!$D$2:$D$2001,"BOOKED")&gt;0,1,0),0)</f>
        <v>0</v>
      </c>
      <c r="AQ151" s="28" t="str">
        <f t="shared" si="30"/>
        <v>Kiara</v>
      </c>
      <c r="AR151" s="28">
        <f>IF(AND(AK151=1,K151="OK"),COUNTIFS($AK$2:AK151,1,$K$2:K151,"OK"),"")</f>
        <v>139</v>
      </c>
      <c r="AS151" s="28" t="str">
        <f>IF(L151=1,IFERROR(INDEX(MESSAGES!$J$9:$J$1008,MATCH(F151,MESSAGES!$M$9:$M$1008,0))&amp;"",""),"")</f>
        <v/>
      </c>
      <c r="AT151" s="28" t="str">
        <f>IF(L151=1,IFERROR(INDEX(MESSAGES!$K$9:$K$1008,MATCH(F151,MESSAGES!$M$9:$M$1008,0))&amp;"",""),"")</f>
        <v/>
      </c>
      <c r="AU151" s="28">
        <f t="shared" ca="1" si="31"/>
        <v>0</v>
      </c>
      <c r="AV151" s="28" t="str">
        <f t="shared" si="32"/>
        <v>SEND</v>
      </c>
    </row>
    <row r="152" spans="1:48" x14ac:dyDescent="0.35">
      <c r="A152" s="28">
        <v>151</v>
      </c>
      <c r="B152" s="28" t="str">
        <f>IF(INPUT!A152="","",TRIM(INPUT!A152))</f>
        <v>Partner 000</v>
      </c>
      <c r="C152" s="28" t="str">
        <f>IF(B152="","",INPUT!C152)</f>
        <v>interviewer1@partner000.example.com</v>
      </c>
      <c r="D152" s="28" t="str">
        <f>IF(B152="","",INPUT!D152)</f>
        <v>Meera B.</v>
      </c>
      <c r="E152" s="28" t="str">
        <f>IF(B152="","",INPUT!E152)</f>
        <v>meera.b037@example.com</v>
      </c>
      <c r="F152" s="43" t="str">
        <f>IF(B152="","",TRIM(INPUT!F152&amp;""))</f>
        <v>9000000488</v>
      </c>
      <c r="G152" s="28" t="str">
        <f>IF(B152="","",INPUT!H152)</f>
        <v>Round1</v>
      </c>
      <c r="H152" s="46">
        <f>IF(B152="","",INPUT!I152)</f>
        <v>46308.82708333333</v>
      </c>
      <c r="I152" s="28" t="str">
        <f>IF(B152="","",IF(INPUT!J152="","None",INPUT!J152))</f>
        <v>None</v>
      </c>
      <c r="J152" s="28" t="str">
        <f t="shared" si="22"/>
        <v>meera.b037@example.com|partner 000|Round1|interviewer1@partner000.example.com</v>
      </c>
      <c r="K152" s="28" t="str">
        <f>IF(B152="","",IF(SUMPRODUCT(($J$2:$J$601=J152)*($H$2:$H$601&lt;H152))+SUMPRODUCT(($J$2:J152=J152)*($H$2:H152=H152))-1&gt;0,"DUPLICATE",IF(AND(ISNUMBER(SEARCH("@",E152)),ISNUMBER(SEARCH(".",E152)),LEN(F152)=10,ISNUMBER(VALUE(F152))),"OK","BAD CONTACT")))</f>
        <v>OK</v>
      </c>
      <c r="L152" s="28">
        <f t="shared" si="23"/>
        <v>1</v>
      </c>
      <c r="M152" s="28">
        <f>IF(L152=1,IF(COUNTIFS(LOG!$C$2:$C$2001,F152,LOG!$E$2:$E$2001,B152,LOG!$D$2:$D$2001,"*BOOKED")+COUNTIFS(LOG!$C$2:$C$2001,F152,LOG!$E$2:$E$2001,"",LOG!$D$2:$D$2001,"*BOOKED")&gt;0,1,0),0)</f>
        <v>0</v>
      </c>
      <c r="N152" s="28">
        <f>IF(L152=1,IF(COUNTIFS(LOG!$C$2:$C$2001,F152,LOG!$E$2:$E$2001,B152,LOG!$D$2:$D$2001,"NOT_INTERESTED")+COUNTIFS(LOG!$C$2:$C$2001,F152,LOG!$E$2:$E$2001,"",LOG!$D$2:$D$2001,"NOT_INTERESTED")&gt;0,1,0),0)</f>
        <v>0</v>
      </c>
      <c r="O152" s="28">
        <f>IF(L152=1,IF(COUNTIFS(LOG!$C$2:$C$2001,F152,LOG!$D$2:$D$2001,"STOP")+COUNTIFS(LOG!$C$2:$C$2001,F152,LOG!$D$2:$D$2001,"WRONG_NUMBER")&gt;0,1,IF(ISNUMBER(SEARCH("STOP",AT152)),1,0)),0)</f>
        <v>0</v>
      </c>
      <c r="P152" s="28">
        <f>IF(L152=1,IF(IFERROR(INDEX(PARTNERS!$D$2:$D$88,MATCH(B152,PARTNERS!$A$2:$A$88,0)),"")="NO SLOTS",1,IF(AND(IFERROR(INDEX(PARTNERS!$D$2:$D$88,MATCH(B152,PARTNERS!$A$2:$A$88,0)),"")&lt;&gt;"REOPENED",COUNTIFS(LOG!$E$2:$E$2001,B152,LOG!$D$2:$D$2001,"NO_SLOTS")&gt;0),1,0)),0)</f>
        <v>0</v>
      </c>
      <c r="Q152" s="28">
        <f>IF(L152=1,COUNTIFS(LOG!$C$2:$C$2001,F152,LOG!$H$2:$H$2001,1),0)</f>
        <v>0</v>
      </c>
      <c r="R152" s="46">
        <f>IF(Q152&gt;0,_xlfn.MAXIFS(LOG!$G$2:$G$2001,LOG!$C$2:$C$2001,F152,LOG!$H$2:$H$2001,1),0)</f>
        <v>0</v>
      </c>
      <c r="S152" s="28" t="str">
        <f>IF(Q152&gt;0,IFERROR(INDEX(LOG!$D$2:$D$2001,MATCH(F152&amp;"|"&amp;Q152,LOG!$I$2:$I$2001,0)),""),"")</f>
        <v/>
      </c>
      <c r="T152" s="28">
        <f>IF(S152="",0,IFERROR(VLOOKUP(S152,LISTS!$A$2:$E$10,4,FALSE),0))</f>
        <v>0</v>
      </c>
      <c r="U152" s="46">
        <f t="shared" si="24"/>
        <v>0</v>
      </c>
      <c r="V152" s="46">
        <f>IF(L152=1,H152+SETTINGS!$B$5/24,"")</f>
        <v>46309.82708333333</v>
      </c>
      <c r="W152" s="28">
        <f ca="1">IF(L152=1,(V152-SETTINGS!$B$4)*24,"")</f>
        <v>-1.6666666720993817E-2</v>
      </c>
      <c r="X152" s="28">
        <f ca="1">IF(AND(L152=1,K152="OK",M152=0,N152=0,O152=0,P152=0,SETTINGS!$B$4&lt;V152,Q152&lt;SETTINGS!$B$6),1,0)</f>
        <v>0</v>
      </c>
      <c r="Y152" s="28">
        <f ca="1">IF(AND(X152=1,SETTINGS!$B$4&gt;=H152,SETTINGS!$B$4&gt;=U152,ROUND(MOD(SETTINGS!$B$4,1)*1440,0)&gt;=ROUND(SETTINGS!$B$7*1440,0),ROUND(MOD(SETTINGS!$B$4,1)*1440,0)&lt;ROUND(SETTINGS!$B$8*1440,0)),1,0)</f>
        <v>0</v>
      </c>
      <c r="Z152" s="28" t="str">
        <f ca="1">IF(B152="","",IF(ROUND(MOD(SETTINGS!$B$4,1)*1440,0)&lt;ROUND(SETTINGS!$B$11*1440,0),"Ram",IF(ROUND(MOD(SETTINGS!$B$4,1)*1440,0)&gt;=ROUND(SETTINGS!$B$10*1440,0),"Shyam",IF(MOD(IFERROR(VALUE(RIGHT(F152,2)),0),2)=0,"Ram","Shyam"))))</f>
        <v>Shyam</v>
      </c>
      <c r="AA152" s="28">
        <f t="shared" ca="1" si="25"/>
        <v>0</v>
      </c>
      <c r="AB152" s="28">
        <f ca="1">IF(X152=1,COUNTIFS($F$2:F152,F152,$X$2:X152,1),0)</f>
        <v>0</v>
      </c>
      <c r="AC152" s="28" t="str">
        <f>IF(L152=1,IF(IFERROR(INDEX(PARTNERS!$C$2:$C$88,MATCH(B152,PARTNERS!$A$2:$A$88,0)),"")="YES","YES","NO"),"")</f>
        <v>NO</v>
      </c>
      <c r="AD152" s="28" t="str">
        <f>IF(L152=1,IFERROR(INDEX(PARTNERS!$B$2:$B$88,MATCH(B152,PARTNERS!$A$2:$A$88,0)),""),"")</f>
        <v>https://calendly.com/partner000/interview</v>
      </c>
      <c r="AE152" s="28">
        <f ca="1">IF(X152=1,IFERROR(INDEX(SETTINGS!$B$34:$D$36,MATCH(I152,SETTINGS!$A$34:$A$36,0),MIN(Q152,2)+1),SETTINGS!$B$36),0)</f>
        <v>0</v>
      </c>
      <c r="AF152" s="28">
        <f t="shared" si="26"/>
        <v>1</v>
      </c>
      <c r="AG152" s="28">
        <f ca="1">IF(AND(Y152=1,AB152=1),ROUND(AA152*AE152*IF(AF152&gt;1,SETTINGS!$B$16,1)*IF(W152&lt;=SETTINGS!$B$14,SETTINGS!$B$15,1)*IF(AU152=1,SETTINGS!$B$21,1),6),0)</f>
        <v>0</v>
      </c>
      <c r="AH152" s="28" t="str">
        <f ca="1">IF(AG152&gt;0,COUNTIFS($Z$2:$Z$601,Z152,$AG$2:$AG$601,"&gt;"&amp;AG152)+COUNTIFS($Z$2:Z152,Z152,$AG$2:AG152,AG152),"")</f>
        <v/>
      </c>
      <c r="AI152" s="28" t="str">
        <f t="shared" ca="1" si="27"/>
        <v/>
      </c>
      <c r="AJ152" s="28" t="str">
        <f t="shared" ca="1" si="28"/>
        <v/>
      </c>
      <c r="AK152" s="28">
        <f>IF(L152=1,IF(COUNTIFS($F$2:F152,F152,$L$2:L152,1)=1,1,0),0)</f>
        <v>1</v>
      </c>
      <c r="AL152" s="28" t="str">
        <f ca="1">IF(B152="","",IF(K152="DUPLICATE","Duplicate (removed)",IF(AO152=1,"Scheduled within 24h",IF(M152=1,"Scheduled late",IF(K152="BAD CONTACT","Bad contact details",IF(O152=1,"Stopped / wrong number",IF(N152=1,"Not interested",IF(P152=1,"Partner has no slots",IF(SETTINGS!$B$4&gt;=V152,IF(Q152=0,"Missed deadline: never tried","Missed deadline: tried, not booked"),IF(Q152&gt;=SETTINGS!$B$6,"No reply after max tries","Open"))))))))))</f>
        <v>Missed deadline: never tried</v>
      </c>
      <c r="AM152" s="46" t="str">
        <f>IF(M152=1,IF(_xlfn.MINIFS(LOG!$G$2:$G$2001,LOG!$C$2:$C$2001,F152,LOG!$E$2:$E$2001,B152,LOG!$D$2:$D$2001,"*BOOKED")=0,_xlfn.MINIFS(LOG!$G$2:$G$2001,LOG!$C$2:$C$2001,F152,LOG!$E$2:$E$2001,"",LOG!$D$2:$D$2001,"*BOOKED"),IF(_xlfn.MINIFS(LOG!$G$2:$G$2001,LOG!$C$2:$C$2001,F152,LOG!$E$2:$E$2001,"",LOG!$D$2:$D$2001,"*BOOKED")=0,_xlfn.MINIFS(LOG!$G$2:$G$2001,LOG!$C$2:$C$2001,F152,LOG!$E$2:$E$2001,B152,LOG!$D$2:$D$2001,"*BOOKED"),MIN(_xlfn.MINIFS(LOG!$G$2:$G$2001,LOG!$C$2:$C$2001,F152,LOG!$E$2:$E$2001,B152,LOG!$D$2:$D$2001,"*BOOKED"),_xlfn.MINIFS(LOG!$G$2:$G$2001,LOG!$C$2:$C$2001,F152,LOG!$E$2:$E$2001,"",LOG!$D$2:$D$2001,"*BOOKED")))),"")</f>
        <v/>
      </c>
      <c r="AN152" s="28" t="str">
        <f t="shared" si="29"/>
        <v/>
      </c>
      <c r="AO152" s="28">
        <f>IF(AND(M152=1,AN152&lt;&gt;""),IF(AN152&lt;=SETTINGS!$B$5,1,0),0)</f>
        <v>0</v>
      </c>
      <c r="AP152" s="28">
        <f>IF(M152=1,IF(COUNTIFS(LOG!$C$2:$C$2001,F152,LOG!$E$2:$E$2001,B152,LOG!$D$2:$D$2001,"BOOKED")+COUNTIFS(LOG!$C$2:$C$2001,F152,LOG!$E$2:$E$2001,"",LOG!$D$2:$D$2001,"BOOKED")&gt;0,1,0),0)</f>
        <v>0</v>
      </c>
      <c r="AQ152" s="28" t="str">
        <f t="shared" si="30"/>
        <v>Meera</v>
      </c>
      <c r="AR152" s="28">
        <f>IF(AND(AK152=1,K152="OK"),COUNTIFS($AK$2:AK152,1,$K$2:K152,"OK"),"")</f>
        <v>140</v>
      </c>
      <c r="AS152" s="28" t="str">
        <f>IF(L152=1,IFERROR(INDEX(MESSAGES!$J$9:$J$1008,MATCH(F152,MESSAGES!$M$9:$M$1008,0))&amp;"",""),"")</f>
        <v/>
      </c>
      <c r="AT152" s="28" t="str">
        <f>IF(L152=1,IFERROR(INDEX(MESSAGES!$K$9:$K$1008,MATCH(F152,MESSAGES!$M$9:$M$1008,0))&amp;"",""),"")</f>
        <v/>
      </c>
      <c r="AU152" s="28">
        <f t="shared" ca="1" si="31"/>
        <v>0</v>
      </c>
      <c r="AV152" s="28" t="str">
        <f t="shared" si="32"/>
        <v>SEND</v>
      </c>
    </row>
    <row r="153" spans="1:48" x14ac:dyDescent="0.35">
      <c r="A153" s="28">
        <v>152</v>
      </c>
      <c r="B153" s="28" t="str">
        <f>IF(INPUT!A153="","",TRIM(INPUT!A153))</f>
        <v>Partner 068</v>
      </c>
      <c r="C153" s="28" t="str">
        <f>IF(B153="","",INPUT!C153)</f>
        <v>interviewer2@partner068.example.com</v>
      </c>
      <c r="D153" s="28" t="str">
        <f>IF(B153="","",INPUT!D153)</f>
        <v>Dev P.</v>
      </c>
      <c r="E153" s="28" t="str">
        <f>IF(B153="","",INPUT!E153)</f>
        <v>dev.p402@example.com</v>
      </c>
      <c r="F153" s="43" t="str">
        <f>IF(B153="","",TRIM(INPUT!F153&amp;""))</f>
        <v>9000005233</v>
      </c>
      <c r="G153" s="28" t="str">
        <f>IF(B153="","",INPUT!H153)</f>
        <v>Round1</v>
      </c>
      <c r="H153" s="46">
        <f>IF(B153="","",INPUT!I153)</f>
        <v>46308.82708333333</v>
      </c>
      <c r="I153" s="28" t="str">
        <f>IF(B153="","",IF(INPUT!J153="","None",INPUT!J153))</f>
        <v>Opened</v>
      </c>
      <c r="J153" s="28" t="str">
        <f t="shared" si="22"/>
        <v>dev.p402@example.com|partner 068|Round1|interviewer2@partner068.example.com</v>
      </c>
      <c r="K153" s="28" t="str">
        <f>IF(B153="","",IF(SUMPRODUCT(($J$2:$J$601=J153)*($H$2:$H$601&lt;H153))+SUMPRODUCT(($J$2:J153=J153)*($H$2:H153=H153))-1&gt;0,"DUPLICATE",IF(AND(ISNUMBER(SEARCH("@",E153)),ISNUMBER(SEARCH(".",E153)),LEN(F153)=10,ISNUMBER(VALUE(F153))),"OK","BAD CONTACT")))</f>
        <v>OK</v>
      </c>
      <c r="L153" s="28">
        <f t="shared" si="23"/>
        <v>1</v>
      </c>
      <c r="M153" s="28">
        <f>IF(L153=1,IF(COUNTIFS(LOG!$C$2:$C$2001,F153,LOG!$E$2:$E$2001,B153,LOG!$D$2:$D$2001,"*BOOKED")+COUNTIFS(LOG!$C$2:$C$2001,F153,LOG!$E$2:$E$2001,"",LOG!$D$2:$D$2001,"*BOOKED")&gt;0,1,0),0)</f>
        <v>0</v>
      </c>
      <c r="N153" s="28">
        <f>IF(L153=1,IF(COUNTIFS(LOG!$C$2:$C$2001,F153,LOG!$E$2:$E$2001,B153,LOG!$D$2:$D$2001,"NOT_INTERESTED")+COUNTIFS(LOG!$C$2:$C$2001,F153,LOG!$E$2:$E$2001,"",LOG!$D$2:$D$2001,"NOT_INTERESTED")&gt;0,1,0),0)</f>
        <v>0</v>
      </c>
      <c r="O153" s="28">
        <f>IF(L153=1,IF(COUNTIFS(LOG!$C$2:$C$2001,F153,LOG!$D$2:$D$2001,"STOP")+COUNTIFS(LOG!$C$2:$C$2001,F153,LOG!$D$2:$D$2001,"WRONG_NUMBER")&gt;0,1,IF(ISNUMBER(SEARCH("STOP",AT153)),1,0)),0)</f>
        <v>0</v>
      </c>
      <c r="P153" s="28">
        <f>IF(L153=1,IF(IFERROR(INDEX(PARTNERS!$D$2:$D$88,MATCH(B153,PARTNERS!$A$2:$A$88,0)),"")="NO SLOTS",1,IF(AND(IFERROR(INDEX(PARTNERS!$D$2:$D$88,MATCH(B153,PARTNERS!$A$2:$A$88,0)),"")&lt;&gt;"REOPENED",COUNTIFS(LOG!$E$2:$E$2001,B153,LOG!$D$2:$D$2001,"NO_SLOTS")&gt;0),1,0)),0)</f>
        <v>0</v>
      </c>
      <c r="Q153" s="28">
        <f>IF(L153=1,COUNTIFS(LOG!$C$2:$C$2001,F153,LOG!$H$2:$H$2001,1),0)</f>
        <v>0</v>
      </c>
      <c r="R153" s="46">
        <f>IF(Q153&gt;0,_xlfn.MAXIFS(LOG!$G$2:$G$2001,LOG!$C$2:$C$2001,F153,LOG!$H$2:$H$2001,1),0)</f>
        <v>0</v>
      </c>
      <c r="S153" s="28" t="str">
        <f>IF(Q153&gt;0,IFERROR(INDEX(LOG!$D$2:$D$2001,MATCH(F153&amp;"|"&amp;Q153,LOG!$I$2:$I$2001,0)),""),"")</f>
        <v/>
      </c>
      <c r="T153" s="28">
        <f>IF(S153="",0,IFERROR(VLOOKUP(S153,LISTS!$A$2:$E$10,4,FALSE),0))</f>
        <v>0</v>
      </c>
      <c r="U153" s="46">
        <f t="shared" si="24"/>
        <v>0</v>
      </c>
      <c r="V153" s="46">
        <f>IF(L153=1,H153+SETTINGS!$B$5/24,"")</f>
        <v>46309.82708333333</v>
      </c>
      <c r="W153" s="28">
        <f ca="1">IF(L153=1,(V153-SETTINGS!$B$4)*24,"")</f>
        <v>-1.6666666720993817E-2</v>
      </c>
      <c r="X153" s="28">
        <f ca="1">IF(AND(L153=1,K153="OK",M153=0,N153=0,O153=0,P153=0,SETTINGS!$B$4&lt;V153,Q153&lt;SETTINGS!$B$6),1,0)</f>
        <v>0</v>
      </c>
      <c r="Y153" s="28">
        <f ca="1">IF(AND(X153=1,SETTINGS!$B$4&gt;=H153,SETTINGS!$B$4&gt;=U153,ROUND(MOD(SETTINGS!$B$4,1)*1440,0)&gt;=ROUND(SETTINGS!$B$7*1440,0),ROUND(MOD(SETTINGS!$B$4,1)*1440,0)&lt;ROUND(SETTINGS!$B$8*1440,0)),1,0)</f>
        <v>0</v>
      </c>
      <c r="Z153" s="28" t="str">
        <f ca="1">IF(B153="","",IF(ROUND(MOD(SETTINGS!$B$4,1)*1440,0)&lt;ROUND(SETTINGS!$B$11*1440,0),"Ram",IF(ROUND(MOD(SETTINGS!$B$4,1)*1440,0)&gt;=ROUND(SETTINGS!$B$10*1440,0),"Shyam",IF(MOD(IFERROR(VALUE(RIGHT(F153,2)),0),2)=0,"Ram","Shyam"))))</f>
        <v>Shyam</v>
      </c>
      <c r="AA153" s="28">
        <f t="shared" ca="1" si="25"/>
        <v>0</v>
      </c>
      <c r="AB153" s="28">
        <f ca="1">IF(X153=1,COUNTIFS($F$2:F153,F153,$X$2:X153,1),0)</f>
        <v>0</v>
      </c>
      <c r="AC153" s="28" t="str">
        <f>IF(L153=1,IF(IFERROR(INDEX(PARTNERS!$C$2:$C$88,MATCH(B153,PARTNERS!$A$2:$A$88,0)),"")="YES","YES","NO"),"")</f>
        <v>YES</v>
      </c>
      <c r="AD153" s="28" t="str">
        <f>IF(L153=1,IFERROR(INDEX(PARTNERS!$B$2:$B$88,MATCH(B153,PARTNERS!$A$2:$A$88,0)),""),"")</f>
        <v>https://calendly.com/partner068/interview</v>
      </c>
      <c r="AE153" s="28">
        <f ca="1">IF(X153=1,IFERROR(INDEX(SETTINGS!$B$34:$D$36,MATCH(I153,SETTINGS!$A$34:$A$36,0),MIN(Q153,2)+1),SETTINGS!$B$36),0)</f>
        <v>0</v>
      </c>
      <c r="AF153" s="28">
        <f t="shared" si="26"/>
        <v>1</v>
      </c>
      <c r="AG153" s="28">
        <f ca="1">IF(AND(Y153=1,AB153=1),ROUND(AA153*AE153*IF(AF153&gt;1,SETTINGS!$B$16,1)*IF(W153&lt;=SETTINGS!$B$14,SETTINGS!$B$15,1)*IF(AU153=1,SETTINGS!$B$21,1),6),0)</f>
        <v>0</v>
      </c>
      <c r="AH153" s="28" t="str">
        <f ca="1">IF(AG153&gt;0,COUNTIFS($Z$2:$Z$601,Z153,$AG$2:$AG$601,"&gt;"&amp;AG153)+COUNTIFS($Z$2:Z153,Z153,$AG$2:AG153,AG153),"")</f>
        <v/>
      </c>
      <c r="AI153" s="28" t="str">
        <f t="shared" ca="1" si="27"/>
        <v/>
      </c>
      <c r="AJ153" s="28" t="str">
        <f t="shared" ca="1" si="28"/>
        <v/>
      </c>
      <c r="AK153" s="28">
        <f>IF(L153=1,IF(COUNTIFS($F$2:F153,F153,$L$2:L153,1)=1,1,0),0)</f>
        <v>1</v>
      </c>
      <c r="AL153" s="28" t="str">
        <f ca="1">IF(B153="","",IF(K153="DUPLICATE","Duplicate (removed)",IF(AO153=1,"Scheduled within 24h",IF(M153=1,"Scheduled late",IF(K153="BAD CONTACT","Bad contact details",IF(O153=1,"Stopped / wrong number",IF(N153=1,"Not interested",IF(P153=1,"Partner has no slots",IF(SETTINGS!$B$4&gt;=V153,IF(Q153=0,"Missed deadline: never tried","Missed deadline: tried, not booked"),IF(Q153&gt;=SETTINGS!$B$6,"No reply after max tries","Open"))))))))))</f>
        <v>Missed deadline: never tried</v>
      </c>
      <c r="AM153" s="46" t="str">
        <f>IF(M153=1,IF(_xlfn.MINIFS(LOG!$G$2:$G$2001,LOG!$C$2:$C$2001,F153,LOG!$E$2:$E$2001,B153,LOG!$D$2:$D$2001,"*BOOKED")=0,_xlfn.MINIFS(LOG!$G$2:$G$2001,LOG!$C$2:$C$2001,F153,LOG!$E$2:$E$2001,"",LOG!$D$2:$D$2001,"*BOOKED"),IF(_xlfn.MINIFS(LOG!$G$2:$G$2001,LOG!$C$2:$C$2001,F153,LOG!$E$2:$E$2001,"",LOG!$D$2:$D$2001,"*BOOKED")=0,_xlfn.MINIFS(LOG!$G$2:$G$2001,LOG!$C$2:$C$2001,F153,LOG!$E$2:$E$2001,B153,LOG!$D$2:$D$2001,"*BOOKED"),MIN(_xlfn.MINIFS(LOG!$G$2:$G$2001,LOG!$C$2:$C$2001,F153,LOG!$E$2:$E$2001,B153,LOG!$D$2:$D$2001,"*BOOKED"),_xlfn.MINIFS(LOG!$G$2:$G$2001,LOG!$C$2:$C$2001,F153,LOG!$E$2:$E$2001,"",LOG!$D$2:$D$2001,"*BOOKED")))),"")</f>
        <v/>
      </c>
      <c r="AN153" s="28" t="str">
        <f t="shared" si="29"/>
        <v/>
      </c>
      <c r="AO153" s="28">
        <f>IF(AND(M153=1,AN153&lt;&gt;""),IF(AN153&lt;=SETTINGS!$B$5,1,0),0)</f>
        <v>0</v>
      </c>
      <c r="AP153" s="28">
        <f>IF(M153=1,IF(COUNTIFS(LOG!$C$2:$C$2001,F153,LOG!$E$2:$E$2001,B153,LOG!$D$2:$D$2001,"BOOKED")+COUNTIFS(LOG!$C$2:$C$2001,F153,LOG!$E$2:$E$2001,"",LOG!$D$2:$D$2001,"BOOKED")&gt;0,1,0),0)</f>
        <v>0</v>
      </c>
      <c r="AQ153" s="28" t="str">
        <f t="shared" si="30"/>
        <v>Dev</v>
      </c>
      <c r="AR153" s="28">
        <f>IF(AND(AK153=1,K153="OK"),COUNTIFS($AK$2:AK153,1,$K$2:K153,"OK"),"")</f>
        <v>141</v>
      </c>
      <c r="AS153" s="28" t="str">
        <f>IF(L153=1,IFERROR(INDEX(MESSAGES!$J$9:$J$1008,MATCH(F153,MESSAGES!$M$9:$M$1008,0))&amp;"",""),"")</f>
        <v/>
      </c>
      <c r="AT153" s="28" t="str">
        <f>IF(L153=1,IFERROR(INDEX(MESSAGES!$K$9:$K$1008,MATCH(F153,MESSAGES!$M$9:$M$1008,0))&amp;"",""),"")</f>
        <v/>
      </c>
      <c r="AU153" s="28">
        <f t="shared" ca="1" si="31"/>
        <v>0</v>
      </c>
      <c r="AV153" s="28" t="str">
        <f t="shared" si="32"/>
        <v>HOLD</v>
      </c>
    </row>
    <row r="154" spans="1:48" x14ac:dyDescent="0.35">
      <c r="A154" s="28">
        <v>153</v>
      </c>
      <c r="B154" s="28" t="str">
        <f>IF(INPUT!A154="","",TRIM(INPUT!A154))</f>
        <v>Partner 049</v>
      </c>
      <c r="C154" s="28" t="str">
        <f>IF(B154="","",INPUT!C154)</f>
        <v>interviewer1@partner049.example.com</v>
      </c>
      <c r="D154" s="28" t="str">
        <f>IF(B154="","",INPUT!D154)</f>
        <v>Reyansh C.</v>
      </c>
      <c r="E154" s="28" t="str">
        <f>IF(B154="","",INPUT!E154)</f>
        <v>reyansh.c066@example.com</v>
      </c>
      <c r="F154" s="43" t="str">
        <f>IF(B154="","",TRIM(INPUT!F154&amp;""))</f>
        <v>9000000865</v>
      </c>
      <c r="G154" s="28" t="str">
        <f>IF(B154="","",INPUT!H154)</f>
        <v>Round1</v>
      </c>
      <c r="H154" s="46">
        <f>IF(B154="","",INPUT!I154)</f>
        <v>46308.82708333333</v>
      </c>
      <c r="I154" s="28" t="str">
        <f>IF(B154="","",IF(INPUT!J154="","None",INPUT!J154))</f>
        <v>Opened</v>
      </c>
      <c r="J154" s="28" t="str">
        <f t="shared" si="22"/>
        <v>reyansh.c066@example.com|partner 049|Round1|interviewer1@partner049.example.com</v>
      </c>
      <c r="K154" s="28" t="str">
        <f>IF(B154="","",IF(SUMPRODUCT(($J$2:$J$601=J154)*($H$2:$H$601&lt;H154))+SUMPRODUCT(($J$2:J154=J154)*($H$2:H154=H154))-1&gt;0,"DUPLICATE",IF(AND(ISNUMBER(SEARCH("@",E154)),ISNUMBER(SEARCH(".",E154)),LEN(F154)=10,ISNUMBER(VALUE(F154))),"OK","BAD CONTACT")))</f>
        <v>OK</v>
      </c>
      <c r="L154" s="28">
        <f t="shared" si="23"/>
        <v>1</v>
      </c>
      <c r="M154" s="28">
        <f>IF(L154=1,IF(COUNTIFS(LOG!$C$2:$C$2001,F154,LOG!$E$2:$E$2001,B154,LOG!$D$2:$D$2001,"*BOOKED")+COUNTIFS(LOG!$C$2:$C$2001,F154,LOG!$E$2:$E$2001,"",LOG!$D$2:$D$2001,"*BOOKED")&gt;0,1,0),0)</f>
        <v>0</v>
      </c>
      <c r="N154" s="28">
        <f>IF(L154=1,IF(COUNTIFS(LOG!$C$2:$C$2001,F154,LOG!$E$2:$E$2001,B154,LOG!$D$2:$D$2001,"NOT_INTERESTED")+COUNTIFS(LOG!$C$2:$C$2001,F154,LOG!$E$2:$E$2001,"",LOG!$D$2:$D$2001,"NOT_INTERESTED")&gt;0,1,0),0)</f>
        <v>0</v>
      </c>
      <c r="O154" s="28">
        <f>IF(L154=1,IF(COUNTIFS(LOG!$C$2:$C$2001,F154,LOG!$D$2:$D$2001,"STOP")+COUNTIFS(LOG!$C$2:$C$2001,F154,LOG!$D$2:$D$2001,"WRONG_NUMBER")&gt;0,1,IF(ISNUMBER(SEARCH("STOP",AT154)),1,0)),0)</f>
        <v>0</v>
      </c>
      <c r="P154" s="28">
        <f>IF(L154=1,IF(IFERROR(INDEX(PARTNERS!$D$2:$D$88,MATCH(B154,PARTNERS!$A$2:$A$88,0)),"")="NO SLOTS",1,IF(AND(IFERROR(INDEX(PARTNERS!$D$2:$D$88,MATCH(B154,PARTNERS!$A$2:$A$88,0)),"")&lt;&gt;"REOPENED",COUNTIFS(LOG!$E$2:$E$2001,B154,LOG!$D$2:$D$2001,"NO_SLOTS")&gt;0),1,0)),0)</f>
        <v>0</v>
      </c>
      <c r="Q154" s="28">
        <f>IF(L154=1,COUNTIFS(LOG!$C$2:$C$2001,F154,LOG!$H$2:$H$2001,1),0)</f>
        <v>0</v>
      </c>
      <c r="R154" s="46">
        <f>IF(Q154&gt;0,_xlfn.MAXIFS(LOG!$G$2:$G$2001,LOG!$C$2:$C$2001,F154,LOG!$H$2:$H$2001,1),0)</f>
        <v>0</v>
      </c>
      <c r="S154" s="28" t="str">
        <f>IF(Q154&gt;0,IFERROR(INDEX(LOG!$D$2:$D$2001,MATCH(F154&amp;"|"&amp;Q154,LOG!$I$2:$I$2001,0)),""),"")</f>
        <v/>
      </c>
      <c r="T154" s="28">
        <f>IF(S154="",0,IFERROR(VLOOKUP(S154,LISTS!$A$2:$E$10,4,FALSE),0))</f>
        <v>0</v>
      </c>
      <c r="U154" s="46">
        <f t="shared" si="24"/>
        <v>0</v>
      </c>
      <c r="V154" s="46">
        <f>IF(L154=1,H154+SETTINGS!$B$5/24,"")</f>
        <v>46309.82708333333</v>
      </c>
      <c r="W154" s="28">
        <f ca="1">IF(L154=1,(V154-SETTINGS!$B$4)*24,"")</f>
        <v>-1.6666666720993817E-2</v>
      </c>
      <c r="X154" s="28">
        <f ca="1">IF(AND(L154=1,K154="OK",M154=0,N154=0,O154=0,P154=0,SETTINGS!$B$4&lt;V154,Q154&lt;SETTINGS!$B$6),1,0)</f>
        <v>0</v>
      </c>
      <c r="Y154" s="28">
        <f ca="1">IF(AND(X154=1,SETTINGS!$B$4&gt;=H154,SETTINGS!$B$4&gt;=U154,ROUND(MOD(SETTINGS!$B$4,1)*1440,0)&gt;=ROUND(SETTINGS!$B$7*1440,0),ROUND(MOD(SETTINGS!$B$4,1)*1440,0)&lt;ROUND(SETTINGS!$B$8*1440,0)),1,0)</f>
        <v>0</v>
      </c>
      <c r="Z154" s="28" t="str">
        <f ca="1">IF(B154="","",IF(ROUND(MOD(SETTINGS!$B$4,1)*1440,0)&lt;ROUND(SETTINGS!$B$11*1440,0),"Ram",IF(ROUND(MOD(SETTINGS!$B$4,1)*1440,0)&gt;=ROUND(SETTINGS!$B$10*1440,0),"Shyam",IF(MOD(IFERROR(VALUE(RIGHT(F154,2)),0),2)=0,"Ram","Shyam"))))</f>
        <v>Shyam</v>
      </c>
      <c r="AA154" s="28">
        <f t="shared" ca="1" si="25"/>
        <v>0</v>
      </c>
      <c r="AB154" s="28">
        <f ca="1">IF(X154=1,COUNTIFS($F$2:F154,F154,$X$2:X154,1),0)</f>
        <v>0</v>
      </c>
      <c r="AC154" s="28" t="str">
        <f>IF(L154=1,IF(IFERROR(INDEX(PARTNERS!$C$2:$C$88,MATCH(B154,PARTNERS!$A$2:$A$88,0)),"")="YES","YES","NO"),"")</f>
        <v>YES</v>
      </c>
      <c r="AD154" s="28" t="str">
        <f>IF(L154=1,IFERROR(INDEX(PARTNERS!$B$2:$B$88,MATCH(B154,PARTNERS!$A$2:$A$88,0)),""),"")</f>
        <v>https://calendly.com/partner049/interview</v>
      </c>
      <c r="AE154" s="28">
        <f ca="1">IF(X154=1,IFERROR(INDEX(SETTINGS!$B$34:$D$36,MATCH(I154,SETTINGS!$A$34:$A$36,0),MIN(Q154,2)+1),SETTINGS!$B$36),0)</f>
        <v>0</v>
      </c>
      <c r="AF154" s="28">
        <f t="shared" si="26"/>
        <v>1</v>
      </c>
      <c r="AG154" s="28">
        <f ca="1">IF(AND(Y154=1,AB154=1),ROUND(AA154*AE154*IF(AF154&gt;1,SETTINGS!$B$16,1)*IF(W154&lt;=SETTINGS!$B$14,SETTINGS!$B$15,1)*IF(AU154=1,SETTINGS!$B$21,1),6),0)</f>
        <v>0</v>
      </c>
      <c r="AH154" s="28" t="str">
        <f ca="1">IF(AG154&gt;0,COUNTIFS($Z$2:$Z$601,Z154,$AG$2:$AG$601,"&gt;"&amp;AG154)+COUNTIFS($Z$2:Z154,Z154,$AG$2:AG154,AG154),"")</f>
        <v/>
      </c>
      <c r="AI154" s="28" t="str">
        <f t="shared" ca="1" si="27"/>
        <v/>
      </c>
      <c r="AJ154" s="28" t="str">
        <f t="shared" ca="1" si="28"/>
        <v/>
      </c>
      <c r="AK154" s="28">
        <f>IF(L154=1,IF(COUNTIFS($F$2:F154,F154,$L$2:L154,1)=1,1,0),0)</f>
        <v>1</v>
      </c>
      <c r="AL154" s="28" t="str">
        <f ca="1">IF(B154="","",IF(K154="DUPLICATE","Duplicate (removed)",IF(AO154=1,"Scheduled within 24h",IF(M154=1,"Scheduled late",IF(K154="BAD CONTACT","Bad contact details",IF(O154=1,"Stopped / wrong number",IF(N154=1,"Not interested",IF(P154=1,"Partner has no slots",IF(SETTINGS!$B$4&gt;=V154,IF(Q154=0,"Missed deadline: never tried","Missed deadline: tried, not booked"),IF(Q154&gt;=SETTINGS!$B$6,"No reply after max tries","Open"))))))))))</f>
        <v>Missed deadline: never tried</v>
      </c>
      <c r="AM154" s="46" t="str">
        <f>IF(M154=1,IF(_xlfn.MINIFS(LOG!$G$2:$G$2001,LOG!$C$2:$C$2001,F154,LOG!$E$2:$E$2001,B154,LOG!$D$2:$D$2001,"*BOOKED")=0,_xlfn.MINIFS(LOG!$G$2:$G$2001,LOG!$C$2:$C$2001,F154,LOG!$E$2:$E$2001,"",LOG!$D$2:$D$2001,"*BOOKED"),IF(_xlfn.MINIFS(LOG!$G$2:$G$2001,LOG!$C$2:$C$2001,F154,LOG!$E$2:$E$2001,"",LOG!$D$2:$D$2001,"*BOOKED")=0,_xlfn.MINIFS(LOG!$G$2:$G$2001,LOG!$C$2:$C$2001,F154,LOG!$E$2:$E$2001,B154,LOG!$D$2:$D$2001,"*BOOKED"),MIN(_xlfn.MINIFS(LOG!$G$2:$G$2001,LOG!$C$2:$C$2001,F154,LOG!$E$2:$E$2001,B154,LOG!$D$2:$D$2001,"*BOOKED"),_xlfn.MINIFS(LOG!$G$2:$G$2001,LOG!$C$2:$C$2001,F154,LOG!$E$2:$E$2001,"",LOG!$D$2:$D$2001,"*BOOKED")))),"")</f>
        <v/>
      </c>
      <c r="AN154" s="28" t="str">
        <f t="shared" si="29"/>
        <v/>
      </c>
      <c r="AO154" s="28">
        <f>IF(AND(M154=1,AN154&lt;&gt;""),IF(AN154&lt;=SETTINGS!$B$5,1,0),0)</f>
        <v>0</v>
      </c>
      <c r="AP154" s="28">
        <f>IF(M154=1,IF(COUNTIFS(LOG!$C$2:$C$2001,F154,LOG!$E$2:$E$2001,B154,LOG!$D$2:$D$2001,"BOOKED")+COUNTIFS(LOG!$C$2:$C$2001,F154,LOG!$E$2:$E$2001,"",LOG!$D$2:$D$2001,"BOOKED")&gt;0,1,0),0)</f>
        <v>0</v>
      </c>
      <c r="AQ154" s="28" t="str">
        <f t="shared" si="30"/>
        <v>Reyansh</v>
      </c>
      <c r="AR154" s="28">
        <f>IF(AND(AK154=1,K154="OK"),COUNTIFS($AK$2:AK154,1,$K$2:K154,"OK"),"")</f>
        <v>142</v>
      </c>
      <c r="AS154" s="28" t="str">
        <f>IF(L154=1,IFERROR(INDEX(MESSAGES!$J$9:$J$1008,MATCH(F154,MESSAGES!$M$9:$M$1008,0))&amp;"",""),"")</f>
        <v/>
      </c>
      <c r="AT154" s="28" t="str">
        <f>IF(L154=1,IFERROR(INDEX(MESSAGES!$K$9:$K$1008,MATCH(F154,MESSAGES!$M$9:$M$1008,0))&amp;"",""),"")</f>
        <v/>
      </c>
      <c r="AU154" s="28">
        <f t="shared" ca="1" si="31"/>
        <v>0</v>
      </c>
      <c r="AV154" s="28" t="str">
        <f t="shared" si="32"/>
        <v>SEND</v>
      </c>
    </row>
    <row r="155" spans="1:48" x14ac:dyDescent="0.35">
      <c r="A155" s="28">
        <v>154</v>
      </c>
      <c r="B155" s="28" t="str">
        <f>IF(INPUT!A155="","",TRIM(INPUT!A155))</f>
        <v>Partner 005</v>
      </c>
      <c r="C155" s="28" t="str">
        <f>IF(B155="","",INPUT!C155)</f>
        <v>interviewer0@partner005.example.com</v>
      </c>
      <c r="D155" s="28" t="str">
        <f>IF(B155="","",INPUT!D155)</f>
        <v>Vihaan L.</v>
      </c>
      <c r="E155" s="28" t="str">
        <f>IF(B155="","",INPUT!E155)</f>
        <v>vihaan.l304@example.com</v>
      </c>
      <c r="F155" s="43" t="str">
        <f>IF(B155="","",TRIM(INPUT!F155&amp;""))</f>
        <v>9000003959</v>
      </c>
      <c r="G155" s="28" t="str">
        <f>IF(B155="","",INPUT!H155)</f>
        <v>Round1</v>
      </c>
      <c r="H155" s="46">
        <f>IF(B155="","",INPUT!I155)</f>
        <v>46308.82708333333</v>
      </c>
      <c r="I155" s="28" t="str">
        <f>IF(B155="","",IF(INPUT!J155="","None",INPUT!J155))</f>
        <v>Clicked</v>
      </c>
      <c r="J155" s="28" t="str">
        <f t="shared" si="22"/>
        <v>vihaan.l304@example.com|partner 005|Round1|interviewer0@partner005.example.com</v>
      </c>
      <c r="K155" s="28" t="str">
        <f>IF(B155="","",IF(SUMPRODUCT(($J$2:$J$601=J155)*($H$2:$H$601&lt;H155))+SUMPRODUCT(($J$2:J155=J155)*($H$2:H155=H155))-1&gt;0,"DUPLICATE",IF(AND(ISNUMBER(SEARCH("@",E155)),ISNUMBER(SEARCH(".",E155)),LEN(F155)=10,ISNUMBER(VALUE(F155))),"OK","BAD CONTACT")))</f>
        <v>OK</v>
      </c>
      <c r="L155" s="28">
        <f t="shared" si="23"/>
        <v>1</v>
      </c>
      <c r="M155" s="28">
        <f>IF(L155=1,IF(COUNTIFS(LOG!$C$2:$C$2001,F155,LOG!$E$2:$E$2001,B155,LOG!$D$2:$D$2001,"*BOOKED")+COUNTIFS(LOG!$C$2:$C$2001,F155,LOG!$E$2:$E$2001,"",LOG!$D$2:$D$2001,"*BOOKED")&gt;0,1,0),0)</f>
        <v>1</v>
      </c>
      <c r="N155" s="28">
        <f>IF(L155=1,IF(COUNTIFS(LOG!$C$2:$C$2001,F155,LOG!$E$2:$E$2001,B155,LOG!$D$2:$D$2001,"NOT_INTERESTED")+COUNTIFS(LOG!$C$2:$C$2001,F155,LOG!$E$2:$E$2001,"",LOG!$D$2:$D$2001,"NOT_INTERESTED")&gt;0,1,0),0)</f>
        <v>0</v>
      </c>
      <c r="O155" s="28">
        <f>IF(L155=1,IF(COUNTIFS(LOG!$C$2:$C$2001,F155,LOG!$D$2:$D$2001,"STOP")+COUNTIFS(LOG!$C$2:$C$2001,F155,LOG!$D$2:$D$2001,"WRONG_NUMBER")&gt;0,1,IF(ISNUMBER(SEARCH("STOP",AT155)),1,0)),0)</f>
        <v>0</v>
      </c>
      <c r="P155" s="28">
        <f>IF(L155=1,IF(IFERROR(INDEX(PARTNERS!$D$2:$D$88,MATCH(B155,PARTNERS!$A$2:$A$88,0)),"")="NO SLOTS",1,IF(AND(IFERROR(INDEX(PARTNERS!$D$2:$D$88,MATCH(B155,PARTNERS!$A$2:$A$88,0)),"")&lt;&gt;"REOPENED",COUNTIFS(LOG!$E$2:$E$2001,B155,LOG!$D$2:$D$2001,"NO_SLOTS")&gt;0),1,0)),0)</f>
        <v>0</v>
      </c>
      <c r="Q155" s="28">
        <f>IF(L155=1,COUNTIFS(LOG!$C$2:$C$2001,F155,LOG!$H$2:$H$2001,1),0)</f>
        <v>1</v>
      </c>
      <c r="R155" s="46">
        <f>IF(Q155&gt;0,_xlfn.MAXIFS(LOG!$G$2:$G$2001,LOG!$C$2:$C$2001,F155,LOG!$H$2:$H$2001,1),0)</f>
        <v>46309.598471470599</v>
      </c>
      <c r="S155" s="28" t="str">
        <f>IF(Q155&gt;0,IFERROR(INDEX(LOG!$D$2:$D$2001,MATCH(F155&amp;"|"&amp;Q155,LOG!$I$2:$I$2001,0)),""),"")</f>
        <v>BOOKED</v>
      </c>
      <c r="T155" s="28">
        <f>IF(S155="",0,IFERROR(VLOOKUP(S155,LISTS!$A$2:$E$10,4,FALSE),0))</f>
        <v>0</v>
      </c>
      <c r="U155" s="46">
        <f t="shared" si="24"/>
        <v>46309.598471470599</v>
      </c>
      <c r="V155" s="46">
        <f>IF(L155=1,H155+SETTINGS!$B$5/24,"")</f>
        <v>46309.82708333333</v>
      </c>
      <c r="W155" s="28">
        <f ca="1">IF(L155=1,(V155-SETTINGS!$B$4)*24,"")</f>
        <v>-1.6666666720993817E-2</v>
      </c>
      <c r="X155" s="28">
        <f ca="1">IF(AND(L155=1,K155="OK",M155=0,N155=0,O155=0,P155=0,SETTINGS!$B$4&lt;V155,Q155&lt;SETTINGS!$B$6),1,0)</f>
        <v>0</v>
      </c>
      <c r="Y155" s="28">
        <f ca="1">IF(AND(X155=1,SETTINGS!$B$4&gt;=H155,SETTINGS!$B$4&gt;=U155,ROUND(MOD(SETTINGS!$B$4,1)*1440,0)&gt;=ROUND(SETTINGS!$B$7*1440,0),ROUND(MOD(SETTINGS!$B$4,1)*1440,0)&lt;ROUND(SETTINGS!$B$8*1440,0)),1,0)</f>
        <v>0</v>
      </c>
      <c r="Z155" s="28" t="str">
        <f ca="1">IF(B155="","",IF(ROUND(MOD(SETTINGS!$B$4,1)*1440,0)&lt;ROUND(SETTINGS!$B$11*1440,0),"Ram",IF(ROUND(MOD(SETTINGS!$B$4,1)*1440,0)&gt;=ROUND(SETTINGS!$B$10*1440,0),"Shyam",IF(MOD(IFERROR(VALUE(RIGHT(F155,2)),0),2)=0,"Ram","Shyam"))))</f>
        <v>Shyam</v>
      </c>
      <c r="AA155" s="28">
        <f t="shared" ca="1" si="25"/>
        <v>0</v>
      </c>
      <c r="AB155" s="28">
        <f ca="1">IF(X155=1,COUNTIFS($F$2:F155,F155,$X$2:X155,1),0)</f>
        <v>0</v>
      </c>
      <c r="AC155" s="28" t="str">
        <f>IF(L155=1,IF(IFERROR(INDEX(PARTNERS!$C$2:$C$88,MATCH(B155,PARTNERS!$A$2:$A$88,0)),"")="YES","YES","NO"),"")</f>
        <v>YES</v>
      </c>
      <c r="AD155" s="28" t="str">
        <f>IF(L155=1,IFERROR(INDEX(PARTNERS!$B$2:$B$88,MATCH(B155,PARTNERS!$A$2:$A$88,0)),""),"")</f>
        <v>https://calendly.com/partner005/interview</v>
      </c>
      <c r="AE155" s="28">
        <f ca="1">IF(X155=1,IFERROR(INDEX(SETTINGS!$B$34:$D$36,MATCH(I155,SETTINGS!$A$34:$A$36,0),MIN(Q155,2)+1),SETTINGS!$B$36),0)</f>
        <v>0</v>
      </c>
      <c r="AF155" s="28">
        <f t="shared" si="26"/>
        <v>1</v>
      </c>
      <c r="AG155" s="28">
        <f ca="1">IF(AND(Y155=1,AB155=1),ROUND(AA155*AE155*IF(AF155&gt;1,SETTINGS!$B$16,1)*IF(W155&lt;=SETTINGS!$B$14,SETTINGS!$B$15,1)*IF(AU155=1,SETTINGS!$B$21,1),6),0)</f>
        <v>0</v>
      </c>
      <c r="AH155" s="28" t="str">
        <f ca="1">IF(AG155&gt;0,COUNTIFS($Z$2:$Z$601,Z155,$AG$2:$AG$601,"&gt;"&amp;AG155)+COUNTIFS($Z$2:Z155,Z155,$AG$2:AG155,AG155),"")</f>
        <v/>
      </c>
      <c r="AI155" s="28" t="str">
        <f t="shared" ca="1" si="27"/>
        <v/>
      </c>
      <c r="AJ155" s="28" t="str">
        <f t="shared" ca="1" si="28"/>
        <v/>
      </c>
      <c r="AK155" s="28">
        <f>IF(L155=1,IF(COUNTIFS($F$2:F155,F155,$L$2:L155,1)=1,1,0),0)</f>
        <v>1</v>
      </c>
      <c r="AL155" s="28" t="str">
        <f>IF(B155="","",IF(K155="DUPLICATE","Duplicate (removed)",IF(AO155=1,"Scheduled within 24h",IF(M155=1,"Scheduled late",IF(K155="BAD CONTACT","Bad contact details",IF(O155=1,"Stopped / wrong number",IF(N155=1,"Not interested",IF(P155=1,"Partner has no slots",IF(SETTINGS!$B$4&gt;=V155,IF(Q155=0,"Missed deadline: never tried","Missed deadline: tried, not booked"),IF(Q155&gt;=SETTINGS!$B$6,"No reply after max tries","Open"))))))))))</f>
        <v>Scheduled within 24h</v>
      </c>
      <c r="AM155" s="46">
        <f>IF(M155=1,IF(_xlfn.MINIFS(LOG!$G$2:$G$2001,LOG!$C$2:$C$2001,F155,LOG!$E$2:$E$2001,B155,LOG!$D$2:$D$2001,"*BOOKED")=0,_xlfn.MINIFS(LOG!$G$2:$G$2001,LOG!$C$2:$C$2001,F155,LOG!$E$2:$E$2001,"",LOG!$D$2:$D$2001,"*BOOKED"),IF(_xlfn.MINIFS(LOG!$G$2:$G$2001,LOG!$C$2:$C$2001,F155,LOG!$E$2:$E$2001,"",LOG!$D$2:$D$2001,"*BOOKED")=0,_xlfn.MINIFS(LOG!$G$2:$G$2001,LOG!$C$2:$C$2001,F155,LOG!$E$2:$E$2001,B155,LOG!$D$2:$D$2001,"*BOOKED"),MIN(_xlfn.MINIFS(LOG!$G$2:$G$2001,LOG!$C$2:$C$2001,F155,LOG!$E$2:$E$2001,B155,LOG!$D$2:$D$2001,"*BOOKED"),_xlfn.MINIFS(LOG!$G$2:$G$2001,LOG!$C$2:$C$2001,F155,LOG!$E$2:$E$2001,"",LOG!$D$2:$D$2001,"*BOOKED")))),"")</f>
        <v>46309.598471470599</v>
      </c>
      <c r="AN155" s="28">
        <f t="shared" si="29"/>
        <v>18.51331529446179</v>
      </c>
      <c r="AO155" s="28">
        <f>IF(AND(M155=1,AN155&lt;&gt;""),IF(AN155&lt;=SETTINGS!$B$5,1,0),0)</f>
        <v>1</v>
      </c>
      <c r="AP155" s="28">
        <f>IF(M155=1,IF(COUNTIFS(LOG!$C$2:$C$2001,F155,LOG!$E$2:$E$2001,B155,LOG!$D$2:$D$2001,"BOOKED")+COUNTIFS(LOG!$C$2:$C$2001,F155,LOG!$E$2:$E$2001,"",LOG!$D$2:$D$2001,"BOOKED")&gt;0,1,0),0)</f>
        <v>1</v>
      </c>
      <c r="AQ155" s="28" t="str">
        <f t="shared" si="30"/>
        <v>Vihaan</v>
      </c>
      <c r="AR155" s="28">
        <f>IF(AND(AK155=1,K155="OK"),COUNTIFS($AK$2:AK155,1,$K$2:K155,"OK"),"")</f>
        <v>143</v>
      </c>
      <c r="AS155" s="28" t="str">
        <f>IF(L155=1,IFERROR(INDEX(MESSAGES!$J$9:$J$1008,MATCH(F155,MESSAGES!$M$9:$M$1008,0))&amp;"",""),"")</f>
        <v/>
      </c>
      <c r="AT155" s="28" t="str">
        <f>IF(L155=1,IFERROR(INDEX(MESSAGES!$K$9:$K$1008,MATCH(F155,MESSAGES!$M$9:$M$1008,0))&amp;"",""),"")</f>
        <v/>
      </c>
      <c r="AU155" s="28">
        <f t="shared" ca="1" si="31"/>
        <v>0</v>
      </c>
      <c r="AV155" s="28" t="str">
        <f t="shared" si="32"/>
        <v>HOLD</v>
      </c>
    </row>
    <row r="156" spans="1:48" x14ac:dyDescent="0.35">
      <c r="A156" s="28">
        <v>155</v>
      </c>
      <c r="B156" s="28" t="str">
        <f>IF(INPUT!A156="","",TRIM(INPUT!A156))</f>
        <v>Partner 004</v>
      </c>
      <c r="C156" s="28" t="str">
        <f>IF(B156="","",INPUT!C156)</f>
        <v>interviewer2@partner004.example.com</v>
      </c>
      <c r="D156" s="28" t="str">
        <f>IF(B156="","",INPUT!D156)</f>
        <v>Varun H.</v>
      </c>
      <c r="E156" s="28" t="str">
        <f>IF(B156="","",INPUT!E156)</f>
        <v>varun.h238@example.com</v>
      </c>
      <c r="F156" s="43" t="str">
        <f>IF(B156="","",TRIM(INPUT!F156&amp;""))</f>
        <v>9000003101</v>
      </c>
      <c r="G156" s="28" t="str">
        <f>IF(B156="","",INPUT!H156)</f>
        <v>Round1</v>
      </c>
      <c r="H156" s="46">
        <f>IF(B156="","",INPUT!I156)</f>
        <v>46308.82708333333</v>
      </c>
      <c r="I156" s="28" t="str">
        <f>IF(B156="","",IF(INPUT!J156="","None",INPUT!J156))</f>
        <v>None</v>
      </c>
      <c r="J156" s="28" t="str">
        <f t="shared" si="22"/>
        <v>varun.h238@example.com|partner 004|Round1|interviewer2@partner004.example.com</v>
      </c>
      <c r="K156" s="28" t="str">
        <f>IF(B156="","",IF(SUMPRODUCT(($J$2:$J$601=J156)*($H$2:$H$601&lt;H156))+SUMPRODUCT(($J$2:J156=J156)*($H$2:H156=H156))-1&gt;0,"DUPLICATE",IF(AND(ISNUMBER(SEARCH("@",E156)),ISNUMBER(SEARCH(".",E156)),LEN(F156)=10,ISNUMBER(VALUE(F156))),"OK","BAD CONTACT")))</f>
        <v>OK</v>
      </c>
      <c r="L156" s="28">
        <f t="shared" si="23"/>
        <v>1</v>
      </c>
      <c r="M156" s="28">
        <f>IF(L156=1,IF(COUNTIFS(LOG!$C$2:$C$2001,F156,LOG!$E$2:$E$2001,B156,LOG!$D$2:$D$2001,"*BOOKED")+COUNTIFS(LOG!$C$2:$C$2001,F156,LOG!$E$2:$E$2001,"",LOG!$D$2:$D$2001,"*BOOKED")&gt;0,1,0),0)</f>
        <v>0</v>
      </c>
      <c r="N156" s="28">
        <f>IF(L156=1,IF(COUNTIFS(LOG!$C$2:$C$2001,F156,LOG!$E$2:$E$2001,B156,LOG!$D$2:$D$2001,"NOT_INTERESTED")+COUNTIFS(LOG!$C$2:$C$2001,F156,LOG!$E$2:$E$2001,"",LOG!$D$2:$D$2001,"NOT_INTERESTED")&gt;0,1,0),0)</f>
        <v>0</v>
      </c>
      <c r="O156" s="28">
        <f>IF(L156=1,IF(COUNTIFS(LOG!$C$2:$C$2001,F156,LOG!$D$2:$D$2001,"STOP")+COUNTIFS(LOG!$C$2:$C$2001,F156,LOG!$D$2:$D$2001,"WRONG_NUMBER")&gt;0,1,IF(ISNUMBER(SEARCH("STOP",AT156)),1,0)),0)</f>
        <v>0</v>
      </c>
      <c r="P156" s="28">
        <f>IF(L156=1,IF(IFERROR(INDEX(PARTNERS!$D$2:$D$88,MATCH(B156,PARTNERS!$A$2:$A$88,0)),"")="NO SLOTS",1,IF(AND(IFERROR(INDEX(PARTNERS!$D$2:$D$88,MATCH(B156,PARTNERS!$A$2:$A$88,0)),"")&lt;&gt;"REOPENED",COUNTIFS(LOG!$E$2:$E$2001,B156,LOG!$D$2:$D$2001,"NO_SLOTS")&gt;0),1,0)),0)</f>
        <v>0</v>
      </c>
      <c r="Q156" s="28">
        <f>IF(L156=1,COUNTIFS(LOG!$C$2:$C$2001,F156,LOG!$H$2:$H$2001,1),0)</f>
        <v>0</v>
      </c>
      <c r="R156" s="46">
        <f>IF(Q156&gt;0,_xlfn.MAXIFS(LOG!$G$2:$G$2001,LOG!$C$2:$C$2001,F156,LOG!$H$2:$H$2001,1),0)</f>
        <v>0</v>
      </c>
      <c r="S156" s="28" t="str">
        <f>IF(Q156&gt;0,IFERROR(INDEX(LOG!$D$2:$D$2001,MATCH(F156&amp;"|"&amp;Q156,LOG!$I$2:$I$2001,0)),""),"")</f>
        <v/>
      </c>
      <c r="T156" s="28">
        <f>IF(S156="",0,IFERROR(VLOOKUP(S156,LISTS!$A$2:$E$10,4,FALSE),0))</f>
        <v>0</v>
      </c>
      <c r="U156" s="46">
        <f t="shared" si="24"/>
        <v>0</v>
      </c>
      <c r="V156" s="46">
        <f>IF(L156=1,H156+SETTINGS!$B$5/24,"")</f>
        <v>46309.82708333333</v>
      </c>
      <c r="W156" s="28">
        <f ca="1">IF(L156=1,(V156-SETTINGS!$B$4)*24,"")</f>
        <v>-1.6666666720993817E-2</v>
      </c>
      <c r="X156" s="28">
        <f ca="1">IF(AND(L156=1,K156="OK",M156=0,N156=0,O156=0,P156=0,SETTINGS!$B$4&lt;V156,Q156&lt;SETTINGS!$B$6),1,0)</f>
        <v>0</v>
      </c>
      <c r="Y156" s="28">
        <f ca="1">IF(AND(X156=1,SETTINGS!$B$4&gt;=H156,SETTINGS!$B$4&gt;=U156,ROUND(MOD(SETTINGS!$B$4,1)*1440,0)&gt;=ROUND(SETTINGS!$B$7*1440,0),ROUND(MOD(SETTINGS!$B$4,1)*1440,0)&lt;ROUND(SETTINGS!$B$8*1440,0)),1,0)</f>
        <v>0</v>
      </c>
      <c r="Z156" s="28" t="str">
        <f ca="1">IF(B156="","",IF(ROUND(MOD(SETTINGS!$B$4,1)*1440,0)&lt;ROUND(SETTINGS!$B$11*1440,0),"Ram",IF(ROUND(MOD(SETTINGS!$B$4,1)*1440,0)&gt;=ROUND(SETTINGS!$B$10*1440,0),"Shyam",IF(MOD(IFERROR(VALUE(RIGHT(F156,2)),0),2)=0,"Ram","Shyam"))))</f>
        <v>Shyam</v>
      </c>
      <c r="AA156" s="28">
        <f t="shared" ca="1" si="25"/>
        <v>0</v>
      </c>
      <c r="AB156" s="28">
        <f ca="1">IF(X156=1,COUNTIFS($F$2:F156,F156,$X$2:X156,1),0)</f>
        <v>0</v>
      </c>
      <c r="AC156" s="28" t="str">
        <f>IF(L156=1,IF(IFERROR(INDEX(PARTNERS!$C$2:$C$88,MATCH(B156,PARTNERS!$A$2:$A$88,0)),"")="YES","YES","NO"),"")</f>
        <v>YES</v>
      </c>
      <c r="AD156" s="28" t="str">
        <f>IF(L156=1,IFERROR(INDEX(PARTNERS!$B$2:$B$88,MATCH(B156,PARTNERS!$A$2:$A$88,0)),""),"")</f>
        <v>https://calendly.com/partner004/interview</v>
      </c>
      <c r="AE156" s="28">
        <f ca="1">IF(X156=1,IFERROR(INDEX(SETTINGS!$B$34:$D$36,MATCH(I156,SETTINGS!$A$34:$A$36,0),MIN(Q156,2)+1),SETTINGS!$B$36),0)</f>
        <v>0</v>
      </c>
      <c r="AF156" s="28">
        <f t="shared" si="26"/>
        <v>1</v>
      </c>
      <c r="AG156" s="28">
        <f ca="1">IF(AND(Y156=1,AB156=1),ROUND(AA156*AE156*IF(AF156&gt;1,SETTINGS!$B$16,1)*IF(W156&lt;=SETTINGS!$B$14,SETTINGS!$B$15,1)*IF(AU156=1,SETTINGS!$B$21,1),6),0)</f>
        <v>0</v>
      </c>
      <c r="AH156" s="28" t="str">
        <f ca="1">IF(AG156&gt;0,COUNTIFS($Z$2:$Z$601,Z156,$AG$2:$AG$601,"&gt;"&amp;AG156)+COUNTIFS($Z$2:Z156,Z156,$AG$2:AG156,AG156),"")</f>
        <v/>
      </c>
      <c r="AI156" s="28" t="str">
        <f t="shared" ca="1" si="27"/>
        <v/>
      </c>
      <c r="AJ156" s="28" t="str">
        <f t="shared" ca="1" si="28"/>
        <v/>
      </c>
      <c r="AK156" s="28">
        <f>IF(L156=1,IF(COUNTIFS($F$2:F156,F156,$L$2:L156,1)=1,1,0),0)</f>
        <v>1</v>
      </c>
      <c r="AL156" s="28" t="str">
        <f ca="1">IF(B156="","",IF(K156="DUPLICATE","Duplicate (removed)",IF(AO156=1,"Scheduled within 24h",IF(M156=1,"Scheduled late",IF(K156="BAD CONTACT","Bad contact details",IF(O156=1,"Stopped / wrong number",IF(N156=1,"Not interested",IF(P156=1,"Partner has no slots",IF(SETTINGS!$B$4&gt;=V156,IF(Q156=0,"Missed deadline: never tried","Missed deadline: tried, not booked"),IF(Q156&gt;=SETTINGS!$B$6,"No reply after max tries","Open"))))))))))</f>
        <v>Missed deadline: never tried</v>
      </c>
      <c r="AM156" s="46" t="str">
        <f>IF(M156=1,IF(_xlfn.MINIFS(LOG!$G$2:$G$2001,LOG!$C$2:$C$2001,F156,LOG!$E$2:$E$2001,B156,LOG!$D$2:$D$2001,"*BOOKED")=0,_xlfn.MINIFS(LOG!$G$2:$G$2001,LOG!$C$2:$C$2001,F156,LOG!$E$2:$E$2001,"",LOG!$D$2:$D$2001,"*BOOKED"),IF(_xlfn.MINIFS(LOG!$G$2:$G$2001,LOG!$C$2:$C$2001,F156,LOG!$E$2:$E$2001,"",LOG!$D$2:$D$2001,"*BOOKED")=0,_xlfn.MINIFS(LOG!$G$2:$G$2001,LOG!$C$2:$C$2001,F156,LOG!$E$2:$E$2001,B156,LOG!$D$2:$D$2001,"*BOOKED"),MIN(_xlfn.MINIFS(LOG!$G$2:$G$2001,LOG!$C$2:$C$2001,F156,LOG!$E$2:$E$2001,B156,LOG!$D$2:$D$2001,"*BOOKED"),_xlfn.MINIFS(LOG!$G$2:$G$2001,LOG!$C$2:$C$2001,F156,LOG!$E$2:$E$2001,"",LOG!$D$2:$D$2001,"*BOOKED")))),"")</f>
        <v/>
      </c>
      <c r="AN156" s="28" t="str">
        <f t="shared" si="29"/>
        <v/>
      </c>
      <c r="AO156" s="28">
        <f>IF(AND(M156=1,AN156&lt;&gt;""),IF(AN156&lt;=SETTINGS!$B$5,1,0),0)</f>
        <v>0</v>
      </c>
      <c r="AP156" s="28">
        <f>IF(M156=1,IF(COUNTIFS(LOG!$C$2:$C$2001,F156,LOG!$E$2:$E$2001,B156,LOG!$D$2:$D$2001,"BOOKED")+COUNTIFS(LOG!$C$2:$C$2001,F156,LOG!$E$2:$E$2001,"",LOG!$D$2:$D$2001,"BOOKED")&gt;0,1,0),0)</f>
        <v>0</v>
      </c>
      <c r="AQ156" s="28" t="str">
        <f t="shared" si="30"/>
        <v>Varun</v>
      </c>
      <c r="AR156" s="28">
        <f>IF(AND(AK156=1,K156="OK"),COUNTIFS($AK$2:AK156,1,$K$2:K156,"OK"),"")</f>
        <v>144</v>
      </c>
      <c r="AS156" s="28" t="str">
        <f>IF(L156=1,IFERROR(INDEX(MESSAGES!$J$9:$J$1008,MATCH(F156,MESSAGES!$M$9:$M$1008,0))&amp;"",""),"")</f>
        <v/>
      </c>
      <c r="AT156" s="28" t="str">
        <f>IF(L156=1,IFERROR(INDEX(MESSAGES!$K$9:$K$1008,MATCH(F156,MESSAGES!$M$9:$M$1008,0))&amp;"",""),"")</f>
        <v/>
      </c>
      <c r="AU156" s="28">
        <f t="shared" ca="1" si="31"/>
        <v>0</v>
      </c>
      <c r="AV156" s="28" t="str">
        <f t="shared" si="32"/>
        <v>SEND</v>
      </c>
    </row>
    <row r="157" spans="1:48" x14ac:dyDescent="0.35">
      <c r="A157" s="28">
        <v>156</v>
      </c>
      <c r="B157" s="28" t="str">
        <f>IF(INPUT!A157="","",TRIM(INPUT!A157))</f>
        <v>Partner 001</v>
      </c>
      <c r="C157" s="28" t="str">
        <f>IF(B157="","",INPUT!C157)</f>
        <v>interviewer0@partner001.example.com</v>
      </c>
      <c r="D157" s="28" t="str">
        <f>IF(B157="","",INPUT!D157)</f>
        <v>Arjun F.</v>
      </c>
      <c r="E157" s="28" t="str">
        <f>IF(B157="","",INPUT!E157)</f>
        <v>arjun.f158@example.com</v>
      </c>
      <c r="F157" s="43" t="str">
        <f>IF(B157="","",TRIM(INPUT!F157&amp;""))</f>
        <v>9000002061</v>
      </c>
      <c r="G157" s="28" t="str">
        <f>IF(B157="","",INPUT!H157)</f>
        <v>Round1</v>
      </c>
      <c r="H157" s="46">
        <f>IF(B157="","",INPUT!I157)</f>
        <v>46308.827777777777</v>
      </c>
      <c r="I157" s="28" t="str">
        <f>IF(B157="","",IF(INPUT!J157="","None",INPUT!J157))</f>
        <v>None</v>
      </c>
      <c r="J157" s="28" t="str">
        <f t="shared" si="22"/>
        <v>arjun.f158@example.com|partner 001|Round1|interviewer0@partner001.example.com</v>
      </c>
      <c r="K157" s="28" t="str">
        <f>IF(B157="","",IF(SUMPRODUCT(($J$2:$J$601=J157)*($H$2:$H$601&lt;H157))+SUMPRODUCT(($J$2:J157=J157)*($H$2:H157=H157))-1&gt;0,"DUPLICATE",IF(AND(ISNUMBER(SEARCH("@",E157)),ISNUMBER(SEARCH(".",E157)),LEN(F157)=10,ISNUMBER(VALUE(F157))),"OK","BAD CONTACT")))</f>
        <v>DUPLICATE</v>
      </c>
      <c r="L157" s="28">
        <f t="shared" si="23"/>
        <v>0</v>
      </c>
      <c r="M157" s="28">
        <f>IF(L157=1,IF(COUNTIFS(LOG!$C$2:$C$2001,F157,LOG!$E$2:$E$2001,B157,LOG!$D$2:$D$2001,"*BOOKED")+COUNTIFS(LOG!$C$2:$C$2001,F157,LOG!$E$2:$E$2001,"",LOG!$D$2:$D$2001,"*BOOKED")&gt;0,1,0),0)</f>
        <v>0</v>
      </c>
      <c r="N157" s="28">
        <f>IF(L157=1,IF(COUNTIFS(LOG!$C$2:$C$2001,F157,LOG!$E$2:$E$2001,B157,LOG!$D$2:$D$2001,"NOT_INTERESTED")+COUNTIFS(LOG!$C$2:$C$2001,F157,LOG!$E$2:$E$2001,"",LOG!$D$2:$D$2001,"NOT_INTERESTED")&gt;0,1,0),0)</f>
        <v>0</v>
      </c>
      <c r="O157" s="28">
        <f>IF(L157=1,IF(COUNTIFS(LOG!$C$2:$C$2001,F157,LOG!$D$2:$D$2001,"STOP")+COUNTIFS(LOG!$C$2:$C$2001,F157,LOG!$D$2:$D$2001,"WRONG_NUMBER")&gt;0,1,IF(ISNUMBER(SEARCH("STOP",AT157)),1,0)),0)</f>
        <v>0</v>
      </c>
      <c r="P157" s="28">
        <f>IF(L157=1,IF(IFERROR(INDEX(PARTNERS!$D$2:$D$88,MATCH(B157,PARTNERS!$A$2:$A$88,0)),"")="NO SLOTS",1,IF(AND(IFERROR(INDEX(PARTNERS!$D$2:$D$88,MATCH(B157,PARTNERS!$A$2:$A$88,0)),"")&lt;&gt;"REOPENED",COUNTIFS(LOG!$E$2:$E$2001,B157,LOG!$D$2:$D$2001,"NO_SLOTS")&gt;0),1,0)),0)</f>
        <v>0</v>
      </c>
      <c r="Q157" s="28">
        <f>IF(L157=1,COUNTIFS(LOG!$C$2:$C$2001,F157,LOG!$H$2:$H$2001,1),0)</f>
        <v>0</v>
      </c>
      <c r="R157" s="46">
        <f>IF(Q157&gt;0,_xlfn.MAXIFS(LOG!$G$2:$G$2001,LOG!$C$2:$C$2001,F157,LOG!$H$2:$H$2001,1),0)</f>
        <v>0</v>
      </c>
      <c r="S157" s="28" t="str">
        <f>IF(Q157&gt;0,IFERROR(INDEX(LOG!$D$2:$D$2001,MATCH(F157&amp;"|"&amp;Q157,LOG!$I$2:$I$2001,0)),""),"")</f>
        <v/>
      </c>
      <c r="T157" s="28">
        <f>IF(S157="",0,IFERROR(VLOOKUP(S157,LISTS!$A$2:$E$10,4,FALSE),0))</f>
        <v>0</v>
      </c>
      <c r="U157" s="46">
        <f t="shared" si="24"/>
        <v>0</v>
      </c>
      <c r="V157" s="46" t="str">
        <f>IF(L157=1,H157+SETTINGS!$B$5/24,"")</f>
        <v/>
      </c>
      <c r="W157" s="28" t="str">
        <f>IF(L157=1,(V157-SETTINGS!$B$4)*24,"")</f>
        <v/>
      </c>
      <c r="X157" s="28">
        <f ca="1">IF(AND(L157=1,K157="OK",M157=0,N157=0,O157=0,P157=0,SETTINGS!$B$4&lt;V157,Q157&lt;SETTINGS!$B$6),1,0)</f>
        <v>0</v>
      </c>
      <c r="Y157" s="28">
        <f ca="1">IF(AND(X157=1,SETTINGS!$B$4&gt;=H157,SETTINGS!$B$4&gt;=U157,ROUND(MOD(SETTINGS!$B$4,1)*1440,0)&gt;=ROUND(SETTINGS!$B$7*1440,0),ROUND(MOD(SETTINGS!$B$4,1)*1440,0)&lt;ROUND(SETTINGS!$B$8*1440,0)),1,0)</f>
        <v>0</v>
      </c>
      <c r="Z157" s="28" t="str">
        <f ca="1">IF(B157="","",IF(ROUND(MOD(SETTINGS!$B$4,1)*1440,0)&lt;ROUND(SETTINGS!$B$11*1440,0),"Ram",IF(ROUND(MOD(SETTINGS!$B$4,1)*1440,0)&gt;=ROUND(SETTINGS!$B$10*1440,0),"Shyam",IF(MOD(IFERROR(VALUE(RIGHT(F157,2)),0),2)=0,"Ram","Shyam"))))</f>
        <v>Shyam</v>
      </c>
      <c r="AA157" s="28">
        <f t="shared" ca="1" si="25"/>
        <v>0</v>
      </c>
      <c r="AB157" s="28">
        <f ca="1">IF(X157=1,COUNTIFS($F$2:F157,F157,$X$2:X157,1),0)</f>
        <v>0</v>
      </c>
      <c r="AC157" s="28" t="str">
        <f>IF(L157=1,IF(IFERROR(INDEX(PARTNERS!$C$2:$C$88,MATCH(B157,PARTNERS!$A$2:$A$88,0)),"")="YES","YES","NO"),"")</f>
        <v/>
      </c>
      <c r="AD157" s="28" t="str">
        <f>IF(L157=1,IFERROR(INDEX(PARTNERS!$B$2:$B$88,MATCH(B157,PARTNERS!$A$2:$A$88,0)),""),"")</f>
        <v/>
      </c>
      <c r="AE157" s="28">
        <f ca="1">IF(X157=1,IFERROR(INDEX(SETTINGS!$B$34:$D$36,MATCH(I157,SETTINGS!$A$34:$A$36,0),MIN(Q157,2)+1),SETTINGS!$B$36),0)</f>
        <v>0</v>
      </c>
      <c r="AF157" s="28">
        <f t="shared" si="26"/>
        <v>0</v>
      </c>
      <c r="AG157" s="28">
        <f ca="1">IF(AND(Y157=1,AB157=1),ROUND(AA157*AE157*IF(AF157&gt;1,SETTINGS!$B$16,1)*IF(W157&lt;=SETTINGS!$B$14,SETTINGS!$B$15,1)*IF(AU157=1,SETTINGS!$B$21,1),6),0)</f>
        <v>0</v>
      </c>
      <c r="AH157" s="28" t="str">
        <f ca="1">IF(AG157&gt;0,COUNTIFS($Z$2:$Z$601,Z157,$AG$2:$AG$601,"&gt;"&amp;AG157)+COUNTIFS($Z$2:Z157,Z157,$AG$2:AG157,AG157),"")</f>
        <v/>
      </c>
      <c r="AI157" s="28" t="str">
        <f t="shared" ca="1" si="27"/>
        <v/>
      </c>
      <c r="AJ157" s="28" t="str">
        <f t="shared" ca="1" si="28"/>
        <v/>
      </c>
      <c r="AK157" s="28">
        <f>IF(L157=1,IF(COUNTIFS($F$2:F157,F157,$L$2:L157,1)=1,1,0),0)</f>
        <v>0</v>
      </c>
      <c r="AL157" s="28" t="str">
        <f>IF(B157="","",IF(K157="DUPLICATE","Duplicate (removed)",IF(AO157=1,"Scheduled within 24h",IF(M157=1,"Scheduled late",IF(K157="BAD CONTACT","Bad contact details",IF(O157=1,"Stopped / wrong number",IF(N157=1,"Not interested",IF(P157=1,"Partner has no slots",IF(SETTINGS!$B$4&gt;=V157,IF(Q157=0,"Missed deadline: never tried","Missed deadline: tried, not booked"),IF(Q157&gt;=SETTINGS!$B$6,"No reply after max tries","Open"))))))))))</f>
        <v>Duplicate (removed)</v>
      </c>
      <c r="AM157" s="46" t="str">
        <f>IF(M157=1,IF(_xlfn.MINIFS(LOG!$G$2:$G$2001,LOG!$C$2:$C$2001,F157,LOG!$E$2:$E$2001,B157,LOG!$D$2:$D$2001,"*BOOKED")=0,_xlfn.MINIFS(LOG!$G$2:$G$2001,LOG!$C$2:$C$2001,F157,LOG!$E$2:$E$2001,"",LOG!$D$2:$D$2001,"*BOOKED"),IF(_xlfn.MINIFS(LOG!$G$2:$G$2001,LOG!$C$2:$C$2001,F157,LOG!$E$2:$E$2001,"",LOG!$D$2:$D$2001,"*BOOKED")=0,_xlfn.MINIFS(LOG!$G$2:$G$2001,LOG!$C$2:$C$2001,F157,LOG!$E$2:$E$2001,B157,LOG!$D$2:$D$2001,"*BOOKED"),MIN(_xlfn.MINIFS(LOG!$G$2:$G$2001,LOG!$C$2:$C$2001,F157,LOG!$E$2:$E$2001,B157,LOG!$D$2:$D$2001,"*BOOKED"),_xlfn.MINIFS(LOG!$G$2:$G$2001,LOG!$C$2:$C$2001,F157,LOG!$E$2:$E$2001,"",LOG!$D$2:$D$2001,"*BOOKED")))),"")</f>
        <v/>
      </c>
      <c r="AN157" s="28" t="str">
        <f t="shared" si="29"/>
        <v/>
      </c>
      <c r="AO157" s="28">
        <f>IF(AND(M157=1,AN157&lt;&gt;""),IF(AN157&lt;=SETTINGS!$B$5,1,0),0)</f>
        <v>0</v>
      </c>
      <c r="AP157" s="28">
        <f>IF(M157=1,IF(COUNTIFS(LOG!$C$2:$C$2001,F157,LOG!$E$2:$E$2001,B157,LOG!$D$2:$D$2001,"BOOKED")+COUNTIFS(LOG!$C$2:$C$2001,F157,LOG!$E$2:$E$2001,"",LOG!$D$2:$D$2001,"BOOKED")&gt;0,1,0),0)</f>
        <v>0</v>
      </c>
      <c r="AQ157" s="28" t="str">
        <f t="shared" si="30"/>
        <v>Arjun</v>
      </c>
      <c r="AR157" s="28" t="str">
        <f>IF(AND(AK157=1,K157="OK"),COUNTIFS($AK$2:AK157,1,$K$2:K157,"OK"),"")</f>
        <v/>
      </c>
      <c r="AS157" s="28" t="str">
        <f>IF(L157=1,IFERROR(INDEX(MESSAGES!$J$9:$J$1008,MATCH(F157,MESSAGES!$M$9:$M$1008,0))&amp;"",""),"")</f>
        <v/>
      </c>
      <c r="AT157" s="28" t="str">
        <f>IF(L157=1,IFERROR(INDEX(MESSAGES!$K$9:$K$1008,MATCH(F157,MESSAGES!$M$9:$M$1008,0))&amp;"",""),"")</f>
        <v/>
      </c>
      <c r="AU157" s="28">
        <f t="shared" ca="1" si="31"/>
        <v>0</v>
      </c>
      <c r="AV157" s="28" t="str">
        <f t="shared" si="32"/>
        <v/>
      </c>
    </row>
    <row r="158" spans="1:48" x14ac:dyDescent="0.35">
      <c r="A158" s="28">
        <v>157</v>
      </c>
      <c r="B158" s="28" t="str">
        <f>IF(INPUT!A158="","",TRIM(INPUT!A158))</f>
        <v>Partner 059</v>
      </c>
      <c r="C158" s="28" t="str">
        <f>IF(B158="","",INPUT!C158)</f>
        <v>interviewer1@partner059.example.com</v>
      </c>
      <c r="D158" s="28" t="str">
        <f>IF(B158="","",INPUT!D158)</f>
        <v>Kabir G.</v>
      </c>
      <c r="E158" s="28" t="str">
        <f>IF(B158="","",INPUT!E158)</f>
        <v>kabir.g182@example.com</v>
      </c>
      <c r="F158" s="43" t="str">
        <f>IF(B158="","",TRIM(INPUT!F158&amp;""))</f>
        <v>9000002373</v>
      </c>
      <c r="G158" s="28" t="str">
        <f>IF(B158="","",INPUT!H158)</f>
        <v>Round1</v>
      </c>
      <c r="H158" s="46">
        <f>IF(B158="","",INPUT!I158)</f>
        <v>46308.82708333333</v>
      </c>
      <c r="I158" s="28" t="str">
        <f>IF(B158="","",IF(INPUT!J158="","None",INPUT!J158))</f>
        <v>None</v>
      </c>
      <c r="J158" s="28" t="str">
        <f t="shared" si="22"/>
        <v>kabir.g182@example.com|partner 059|Round1|interviewer1@partner059.example.com</v>
      </c>
      <c r="K158" s="28" t="str">
        <f>IF(B158="","",IF(SUMPRODUCT(($J$2:$J$601=J158)*($H$2:$H$601&lt;H158))+SUMPRODUCT(($J$2:J158=J158)*($H$2:H158=H158))-1&gt;0,"DUPLICATE",IF(AND(ISNUMBER(SEARCH("@",E158)),ISNUMBER(SEARCH(".",E158)),LEN(F158)=10,ISNUMBER(VALUE(F158))),"OK","BAD CONTACT")))</f>
        <v>OK</v>
      </c>
      <c r="L158" s="28">
        <f t="shared" si="23"/>
        <v>1</v>
      </c>
      <c r="M158" s="28">
        <f>IF(L158=1,IF(COUNTIFS(LOG!$C$2:$C$2001,F158,LOG!$E$2:$E$2001,B158,LOG!$D$2:$D$2001,"*BOOKED")+COUNTIFS(LOG!$C$2:$C$2001,F158,LOG!$E$2:$E$2001,"",LOG!$D$2:$D$2001,"*BOOKED")&gt;0,1,0),0)</f>
        <v>0</v>
      </c>
      <c r="N158" s="28">
        <f>IF(L158=1,IF(COUNTIFS(LOG!$C$2:$C$2001,F158,LOG!$E$2:$E$2001,B158,LOG!$D$2:$D$2001,"NOT_INTERESTED")+COUNTIFS(LOG!$C$2:$C$2001,F158,LOG!$E$2:$E$2001,"",LOG!$D$2:$D$2001,"NOT_INTERESTED")&gt;0,1,0),0)</f>
        <v>0</v>
      </c>
      <c r="O158" s="28">
        <f>IF(L158=1,IF(COUNTIFS(LOG!$C$2:$C$2001,F158,LOG!$D$2:$D$2001,"STOP")+COUNTIFS(LOG!$C$2:$C$2001,F158,LOG!$D$2:$D$2001,"WRONG_NUMBER")&gt;0,1,IF(ISNUMBER(SEARCH("STOP",AT158)),1,0)),0)</f>
        <v>0</v>
      </c>
      <c r="P158" s="28">
        <f>IF(L158=1,IF(IFERROR(INDEX(PARTNERS!$D$2:$D$88,MATCH(B158,PARTNERS!$A$2:$A$88,0)),"")="NO SLOTS",1,IF(AND(IFERROR(INDEX(PARTNERS!$D$2:$D$88,MATCH(B158,PARTNERS!$A$2:$A$88,0)),"")&lt;&gt;"REOPENED",COUNTIFS(LOG!$E$2:$E$2001,B158,LOG!$D$2:$D$2001,"NO_SLOTS")&gt;0),1,0)),0)</f>
        <v>0</v>
      </c>
      <c r="Q158" s="28">
        <f>IF(L158=1,COUNTIFS(LOG!$C$2:$C$2001,F158,LOG!$H$2:$H$2001,1),0)</f>
        <v>1</v>
      </c>
      <c r="R158" s="46">
        <f>IF(Q158&gt;0,_xlfn.MAXIFS(LOG!$G$2:$G$2001,LOG!$C$2:$C$2001,F158,LOG!$H$2:$H$2001,1),0)</f>
        <v>46309.822105910273</v>
      </c>
      <c r="S158" s="28" t="str">
        <f>IF(Q158&gt;0,IFERROR(INDEX(LOG!$D$2:$D$2001,MATCH(F158&amp;"|"&amp;Q158,LOG!$I$2:$I$2001,0)),""),"")</f>
        <v>NO_ANSWER</v>
      </c>
      <c r="T158" s="28">
        <f>IF(S158="",0,IFERROR(VLOOKUP(S158,LISTS!$A$2:$E$10,4,FALSE),0))</f>
        <v>120</v>
      </c>
      <c r="U158" s="46">
        <f t="shared" si="24"/>
        <v>46309.905439243608</v>
      </c>
      <c r="V158" s="46">
        <f>IF(L158=1,H158+SETTINGS!$B$5/24,"")</f>
        <v>46309.82708333333</v>
      </c>
      <c r="W158" s="28">
        <f ca="1">IF(L158=1,(V158-SETTINGS!$B$4)*24,"")</f>
        <v>-1.6666666720993817E-2</v>
      </c>
      <c r="X158" s="28">
        <f ca="1">IF(AND(L158=1,K158="OK",M158=0,N158=0,O158=0,P158=0,SETTINGS!$B$4&lt;V158,Q158&lt;SETTINGS!$B$6),1,0)</f>
        <v>0</v>
      </c>
      <c r="Y158" s="28">
        <f ca="1">IF(AND(X158=1,SETTINGS!$B$4&gt;=H158,SETTINGS!$B$4&gt;=U158,ROUND(MOD(SETTINGS!$B$4,1)*1440,0)&gt;=ROUND(SETTINGS!$B$7*1440,0),ROUND(MOD(SETTINGS!$B$4,1)*1440,0)&lt;ROUND(SETTINGS!$B$8*1440,0)),1,0)</f>
        <v>0</v>
      </c>
      <c r="Z158" s="28" t="str">
        <f ca="1">IF(B158="","",IF(ROUND(MOD(SETTINGS!$B$4,1)*1440,0)&lt;ROUND(SETTINGS!$B$11*1440,0),"Ram",IF(ROUND(MOD(SETTINGS!$B$4,1)*1440,0)&gt;=ROUND(SETTINGS!$B$10*1440,0),"Shyam",IF(MOD(IFERROR(VALUE(RIGHT(F158,2)),0),2)=0,"Ram","Shyam"))))</f>
        <v>Shyam</v>
      </c>
      <c r="AA158" s="28">
        <f t="shared" ca="1" si="25"/>
        <v>0</v>
      </c>
      <c r="AB158" s="28">
        <f ca="1">IF(X158=1,COUNTIFS($F$2:F158,F158,$X$2:X158,1),0)</f>
        <v>0</v>
      </c>
      <c r="AC158" s="28" t="str">
        <f>IF(L158=1,IF(IFERROR(INDEX(PARTNERS!$C$2:$C$88,MATCH(B158,PARTNERS!$A$2:$A$88,0)),"")="YES","YES","NO"),"")</f>
        <v>YES</v>
      </c>
      <c r="AD158" s="28" t="str">
        <f>IF(L158=1,IFERROR(INDEX(PARTNERS!$B$2:$B$88,MATCH(B158,PARTNERS!$A$2:$A$88,0)),""),"")</f>
        <v>https://calendly.com/partner059/interview</v>
      </c>
      <c r="AE158" s="28">
        <f ca="1">IF(X158=1,IFERROR(INDEX(SETTINGS!$B$34:$D$36,MATCH(I158,SETTINGS!$A$34:$A$36,0),MIN(Q158,2)+1),SETTINGS!$B$36),0)</f>
        <v>0</v>
      </c>
      <c r="AF158" s="28">
        <f t="shared" si="26"/>
        <v>1</v>
      </c>
      <c r="AG158" s="28">
        <f ca="1">IF(AND(Y158=1,AB158=1),ROUND(AA158*AE158*IF(AF158&gt;1,SETTINGS!$B$16,1)*IF(W158&lt;=SETTINGS!$B$14,SETTINGS!$B$15,1)*IF(AU158=1,SETTINGS!$B$21,1),6),0)</f>
        <v>0</v>
      </c>
      <c r="AH158" s="28" t="str">
        <f ca="1">IF(AG158&gt;0,COUNTIFS($Z$2:$Z$601,Z158,$AG$2:$AG$601,"&gt;"&amp;AG158)+COUNTIFS($Z$2:Z158,Z158,$AG$2:AG158,AG158),"")</f>
        <v/>
      </c>
      <c r="AI158" s="28" t="str">
        <f t="shared" ca="1" si="27"/>
        <v/>
      </c>
      <c r="AJ158" s="28" t="str">
        <f t="shared" ca="1" si="28"/>
        <v/>
      </c>
      <c r="AK158" s="28">
        <f>IF(L158=1,IF(COUNTIFS($F$2:F158,F158,$L$2:L158,1)=1,1,0),0)</f>
        <v>0</v>
      </c>
      <c r="AL158" s="28" t="str">
        <f ca="1">IF(B158="","",IF(K158="DUPLICATE","Duplicate (removed)",IF(AO158=1,"Scheduled within 24h",IF(M158=1,"Scheduled late",IF(K158="BAD CONTACT","Bad contact details",IF(O158=1,"Stopped / wrong number",IF(N158=1,"Not interested",IF(P158=1,"Partner has no slots",IF(SETTINGS!$B$4&gt;=V158,IF(Q158=0,"Missed deadline: never tried","Missed deadline: tried, not booked"),IF(Q158&gt;=SETTINGS!$B$6,"No reply after max tries","Open"))))))))))</f>
        <v>Missed deadline: tried, not booked</v>
      </c>
      <c r="AM158" s="46" t="str">
        <f>IF(M158=1,IF(_xlfn.MINIFS(LOG!$G$2:$G$2001,LOG!$C$2:$C$2001,F158,LOG!$E$2:$E$2001,B158,LOG!$D$2:$D$2001,"*BOOKED")=0,_xlfn.MINIFS(LOG!$G$2:$G$2001,LOG!$C$2:$C$2001,F158,LOG!$E$2:$E$2001,"",LOG!$D$2:$D$2001,"*BOOKED"),IF(_xlfn.MINIFS(LOG!$G$2:$G$2001,LOG!$C$2:$C$2001,F158,LOG!$E$2:$E$2001,"",LOG!$D$2:$D$2001,"*BOOKED")=0,_xlfn.MINIFS(LOG!$G$2:$G$2001,LOG!$C$2:$C$2001,F158,LOG!$E$2:$E$2001,B158,LOG!$D$2:$D$2001,"*BOOKED"),MIN(_xlfn.MINIFS(LOG!$G$2:$G$2001,LOG!$C$2:$C$2001,F158,LOG!$E$2:$E$2001,B158,LOG!$D$2:$D$2001,"*BOOKED"),_xlfn.MINIFS(LOG!$G$2:$G$2001,LOG!$C$2:$C$2001,F158,LOG!$E$2:$E$2001,"",LOG!$D$2:$D$2001,"*BOOKED")))),"")</f>
        <v/>
      </c>
      <c r="AN158" s="28" t="str">
        <f t="shared" si="29"/>
        <v/>
      </c>
      <c r="AO158" s="28">
        <f>IF(AND(M158=1,AN158&lt;&gt;""),IF(AN158&lt;=SETTINGS!$B$5,1,0),0)</f>
        <v>0</v>
      </c>
      <c r="AP158" s="28">
        <f>IF(M158=1,IF(COUNTIFS(LOG!$C$2:$C$2001,F158,LOG!$E$2:$E$2001,B158,LOG!$D$2:$D$2001,"BOOKED")+COUNTIFS(LOG!$C$2:$C$2001,F158,LOG!$E$2:$E$2001,"",LOG!$D$2:$D$2001,"BOOKED")&gt;0,1,0),0)</f>
        <v>0</v>
      </c>
      <c r="AQ158" s="28" t="str">
        <f t="shared" si="30"/>
        <v>Kabir</v>
      </c>
      <c r="AR158" s="28" t="str">
        <f>IF(AND(AK158=1,K158="OK"),COUNTIFS($AK$2:AK158,1,$K$2:K158,"OK"),"")</f>
        <v/>
      </c>
      <c r="AS158" s="28" t="str">
        <f>IF(L158=1,IFERROR(INDEX(MESSAGES!$J$9:$J$1008,MATCH(F158,MESSAGES!$M$9:$M$1008,0))&amp;"",""),"")</f>
        <v/>
      </c>
      <c r="AT158" s="28" t="str">
        <f>IF(L158=1,IFERROR(INDEX(MESSAGES!$K$9:$K$1008,MATCH(F158,MESSAGES!$M$9:$M$1008,0))&amp;"",""),"")</f>
        <v/>
      </c>
      <c r="AU158" s="28">
        <f t="shared" ca="1" si="31"/>
        <v>0</v>
      </c>
      <c r="AV158" s="28" t="str">
        <f t="shared" si="32"/>
        <v>HOLD</v>
      </c>
    </row>
    <row r="159" spans="1:48" x14ac:dyDescent="0.35">
      <c r="A159" s="28">
        <v>158</v>
      </c>
      <c r="B159" s="28" t="str">
        <f>IF(INPUT!A159="","",TRIM(INPUT!A159))</f>
        <v>Partner 044</v>
      </c>
      <c r="C159" s="28" t="str">
        <f>IF(B159="","",INPUT!C159)</f>
        <v>interviewer1@partner044.example.com</v>
      </c>
      <c r="D159" s="28" t="str">
        <f>IF(B159="","",INPUT!D159)</f>
        <v>Kavya F.</v>
      </c>
      <c r="E159" s="28" t="str">
        <f>IF(B159="","",INPUT!E159)</f>
        <v>kavya.f179@example.com</v>
      </c>
      <c r="F159" s="43" t="str">
        <f>IF(B159="","",TRIM(INPUT!F159&amp;""))</f>
        <v>9000002334</v>
      </c>
      <c r="G159" s="28" t="str">
        <f>IF(B159="","",INPUT!H159)</f>
        <v>Round1</v>
      </c>
      <c r="H159" s="46">
        <f>IF(B159="","",INPUT!I159)</f>
        <v>46308.82708333333</v>
      </c>
      <c r="I159" s="28" t="str">
        <f>IF(B159="","",IF(INPUT!J159="","None",INPUT!J159))</f>
        <v>None</v>
      </c>
      <c r="J159" s="28" t="str">
        <f t="shared" si="22"/>
        <v>kavya.f179@example.com|partner 044|Round1|interviewer1@partner044.example.com</v>
      </c>
      <c r="K159" s="28" t="str">
        <f>IF(B159="","",IF(SUMPRODUCT(($J$2:$J$601=J159)*($H$2:$H$601&lt;H159))+SUMPRODUCT(($J$2:J159=J159)*($H$2:H159=H159))-1&gt;0,"DUPLICATE",IF(AND(ISNUMBER(SEARCH("@",E159)),ISNUMBER(SEARCH(".",E159)),LEN(F159)=10,ISNUMBER(VALUE(F159))),"OK","BAD CONTACT")))</f>
        <v>OK</v>
      </c>
      <c r="L159" s="28">
        <f t="shared" si="23"/>
        <v>1</v>
      </c>
      <c r="M159" s="28">
        <f>IF(L159=1,IF(COUNTIFS(LOG!$C$2:$C$2001,F159,LOG!$E$2:$E$2001,B159,LOG!$D$2:$D$2001,"*BOOKED")+COUNTIFS(LOG!$C$2:$C$2001,F159,LOG!$E$2:$E$2001,"",LOG!$D$2:$D$2001,"*BOOKED")&gt;0,1,0),0)</f>
        <v>0</v>
      </c>
      <c r="N159" s="28">
        <f>IF(L159=1,IF(COUNTIFS(LOG!$C$2:$C$2001,F159,LOG!$E$2:$E$2001,B159,LOG!$D$2:$D$2001,"NOT_INTERESTED")+COUNTIFS(LOG!$C$2:$C$2001,F159,LOG!$E$2:$E$2001,"",LOG!$D$2:$D$2001,"NOT_INTERESTED")&gt;0,1,0),0)</f>
        <v>0</v>
      </c>
      <c r="O159" s="28">
        <f>IF(L159=1,IF(COUNTIFS(LOG!$C$2:$C$2001,F159,LOG!$D$2:$D$2001,"STOP")+COUNTIFS(LOG!$C$2:$C$2001,F159,LOG!$D$2:$D$2001,"WRONG_NUMBER")&gt;0,1,IF(ISNUMBER(SEARCH("STOP",AT159)),1,0)),0)</f>
        <v>0</v>
      </c>
      <c r="P159" s="28">
        <f>IF(L159=1,IF(IFERROR(INDEX(PARTNERS!$D$2:$D$88,MATCH(B159,PARTNERS!$A$2:$A$88,0)),"")="NO SLOTS",1,IF(AND(IFERROR(INDEX(PARTNERS!$D$2:$D$88,MATCH(B159,PARTNERS!$A$2:$A$88,0)),"")&lt;&gt;"REOPENED",COUNTIFS(LOG!$E$2:$E$2001,B159,LOG!$D$2:$D$2001,"NO_SLOTS")&gt;0),1,0)),0)</f>
        <v>0</v>
      </c>
      <c r="Q159" s="28">
        <f>IF(L159=1,COUNTIFS(LOG!$C$2:$C$2001,F159,LOG!$H$2:$H$2001,1),0)</f>
        <v>0</v>
      </c>
      <c r="R159" s="46">
        <f>IF(Q159&gt;0,_xlfn.MAXIFS(LOG!$G$2:$G$2001,LOG!$C$2:$C$2001,F159,LOG!$H$2:$H$2001,1),0)</f>
        <v>0</v>
      </c>
      <c r="S159" s="28" t="str">
        <f>IF(Q159&gt;0,IFERROR(INDEX(LOG!$D$2:$D$2001,MATCH(F159&amp;"|"&amp;Q159,LOG!$I$2:$I$2001,0)),""),"")</f>
        <v/>
      </c>
      <c r="T159" s="28">
        <f>IF(S159="",0,IFERROR(VLOOKUP(S159,LISTS!$A$2:$E$10,4,FALSE),0))</f>
        <v>0</v>
      </c>
      <c r="U159" s="46">
        <f t="shared" si="24"/>
        <v>0</v>
      </c>
      <c r="V159" s="46">
        <f>IF(L159=1,H159+SETTINGS!$B$5/24,"")</f>
        <v>46309.82708333333</v>
      </c>
      <c r="W159" s="28">
        <f ca="1">IF(L159=1,(V159-SETTINGS!$B$4)*24,"")</f>
        <v>-1.6666666720993817E-2</v>
      </c>
      <c r="X159" s="28">
        <f ca="1">IF(AND(L159=1,K159="OK",M159=0,N159=0,O159=0,P159=0,SETTINGS!$B$4&lt;V159,Q159&lt;SETTINGS!$B$6),1,0)</f>
        <v>0</v>
      </c>
      <c r="Y159" s="28">
        <f ca="1">IF(AND(X159=1,SETTINGS!$B$4&gt;=H159,SETTINGS!$B$4&gt;=U159,ROUND(MOD(SETTINGS!$B$4,1)*1440,0)&gt;=ROUND(SETTINGS!$B$7*1440,0),ROUND(MOD(SETTINGS!$B$4,1)*1440,0)&lt;ROUND(SETTINGS!$B$8*1440,0)),1,0)</f>
        <v>0</v>
      </c>
      <c r="Z159" s="28" t="str">
        <f ca="1">IF(B159="","",IF(ROUND(MOD(SETTINGS!$B$4,1)*1440,0)&lt;ROUND(SETTINGS!$B$11*1440,0),"Ram",IF(ROUND(MOD(SETTINGS!$B$4,1)*1440,0)&gt;=ROUND(SETTINGS!$B$10*1440,0),"Shyam",IF(MOD(IFERROR(VALUE(RIGHT(F159,2)),0),2)=0,"Ram","Shyam"))))</f>
        <v>Shyam</v>
      </c>
      <c r="AA159" s="28">
        <f t="shared" ca="1" si="25"/>
        <v>0</v>
      </c>
      <c r="AB159" s="28">
        <f ca="1">IF(X159=1,COUNTIFS($F$2:F159,F159,$X$2:X159,1),0)</f>
        <v>0</v>
      </c>
      <c r="AC159" s="28" t="str">
        <f>IF(L159=1,IF(IFERROR(INDEX(PARTNERS!$C$2:$C$88,MATCH(B159,PARTNERS!$A$2:$A$88,0)),"")="YES","YES","NO"),"")</f>
        <v>NO</v>
      </c>
      <c r="AD159" s="28" t="str">
        <f>IF(L159=1,IFERROR(INDEX(PARTNERS!$B$2:$B$88,MATCH(B159,PARTNERS!$A$2:$A$88,0)),""),"")</f>
        <v>https://calendly.com/partner044/interview</v>
      </c>
      <c r="AE159" s="28">
        <f ca="1">IF(X159=1,IFERROR(INDEX(SETTINGS!$B$34:$D$36,MATCH(I159,SETTINGS!$A$34:$A$36,0),MIN(Q159,2)+1),SETTINGS!$B$36),0)</f>
        <v>0</v>
      </c>
      <c r="AF159" s="28">
        <f t="shared" si="26"/>
        <v>1</v>
      </c>
      <c r="AG159" s="28">
        <f ca="1">IF(AND(Y159=1,AB159=1),ROUND(AA159*AE159*IF(AF159&gt;1,SETTINGS!$B$16,1)*IF(W159&lt;=SETTINGS!$B$14,SETTINGS!$B$15,1)*IF(AU159=1,SETTINGS!$B$21,1),6),0)</f>
        <v>0</v>
      </c>
      <c r="AH159" s="28" t="str">
        <f ca="1">IF(AG159&gt;0,COUNTIFS($Z$2:$Z$601,Z159,$AG$2:$AG$601,"&gt;"&amp;AG159)+COUNTIFS($Z$2:Z159,Z159,$AG$2:AG159,AG159),"")</f>
        <v/>
      </c>
      <c r="AI159" s="28" t="str">
        <f t="shared" ca="1" si="27"/>
        <v/>
      </c>
      <c r="AJ159" s="28" t="str">
        <f t="shared" ca="1" si="28"/>
        <v/>
      </c>
      <c r="AK159" s="28">
        <f>IF(L159=1,IF(COUNTIFS($F$2:F159,F159,$L$2:L159,1)=1,1,0),0)</f>
        <v>1</v>
      </c>
      <c r="AL159" s="28" t="str">
        <f ca="1">IF(B159="","",IF(K159="DUPLICATE","Duplicate (removed)",IF(AO159=1,"Scheduled within 24h",IF(M159=1,"Scheduled late",IF(K159="BAD CONTACT","Bad contact details",IF(O159=1,"Stopped / wrong number",IF(N159=1,"Not interested",IF(P159=1,"Partner has no slots",IF(SETTINGS!$B$4&gt;=V159,IF(Q159=0,"Missed deadline: never tried","Missed deadline: tried, not booked"),IF(Q159&gt;=SETTINGS!$B$6,"No reply after max tries","Open"))))))))))</f>
        <v>Missed deadline: never tried</v>
      </c>
      <c r="AM159" s="46" t="str">
        <f>IF(M159=1,IF(_xlfn.MINIFS(LOG!$G$2:$G$2001,LOG!$C$2:$C$2001,F159,LOG!$E$2:$E$2001,B159,LOG!$D$2:$D$2001,"*BOOKED")=0,_xlfn.MINIFS(LOG!$G$2:$G$2001,LOG!$C$2:$C$2001,F159,LOG!$E$2:$E$2001,"",LOG!$D$2:$D$2001,"*BOOKED"),IF(_xlfn.MINIFS(LOG!$G$2:$G$2001,LOG!$C$2:$C$2001,F159,LOG!$E$2:$E$2001,"",LOG!$D$2:$D$2001,"*BOOKED")=0,_xlfn.MINIFS(LOG!$G$2:$G$2001,LOG!$C$2:$C$2001,F159,LOG!$E$2:$E$2001,B159,LOG!$D$2:$D$2001,"*BOOKED"),MIN(_xlfn.MINIFS(LOG!$G$2:$G$2001,LOG!$C$2:$C$2001,F159,LOG!$E$2:$E$2001,B159,LOG!$D$2:$D$2001,"*BOOKED"),_xlfn.MINIFS(LOG!$G$2:$G$2001,LOG!$C$2:$C$2001,F159,LOG!$E$2:$E$2001,"",LOG!$D$2:$D$2001,"*BOOKED")))),"")</f>
        <v/>
      </c>
      <c r="AN159" s="28" t="str">
        <f t="shared" si="29"/>
        <v/>
      </c>
      <c r="AO159" s="28">
        <f>IF(AND(M159=1,AN159&lt;&gt;""),IF(AN159&lt;=SETTINGS!$B$5,1,0),0)</f>
        <v>0</v>
      </c>
      <c r="AP159" s="28">
        <f>IF(M159=1,IF(COUNTIFS(LOG!$C$2:$C$2001,F159,LOG!$E$2:$E$2001,B159,LOG!$D$2:$D$2001,"BOOKED")+COUNTIFS(LOG!$C$2:$C$2001,F159,LOG!$E$2:$E$2001,"",LOG!$D$2:$D$2001,"BOOKED")&gt;0,1,0),0)</f>
        <v>0</v>
      </c>
      <c r="AQ159" s="28" t="str">
        <f t="shared" si="30"/>
        <v>Kavya</v>
      </c>
      <c r="AR159" s="28">
        <f>IF(AND(AK159=1,K159="OK"),COUNTIFS($AK$2:AK159,1,$K$2:K159,"OK"),"")</f>
        <v>145</v>
      </c>
      <c r="AS159" s="28" t="str">
        <f>IF(L159=1,IFERROR(INDEX(MESSAGES!$J$9:$J$1008,MATCH(F159,MESSAGES!$M$9:$M$1008,0))&amp;"",""),"")</f>
        <v/>
      </c>
      <c r="AT159" s="28" t="str">
        <f>IF(L159=1,IFERROR(INDEX(MESSAGES!$K$9:$K$1008,MATCH(F159,MESSAGES!$M$9:$M$1008,0))&amp;"",""),"")</f>
        <v/>
      </c>
      <c r="AU159" s="28">
        <f t="shared" ca="1" si="31"/>
        <v>0</v>
      </c>
      <c r="AV159" s="28" t="str">
        <f t="shared" si="32"/>
        <v>HOLD</v>
      </c>
    </row>
    <row r="160" spans="1:48" x14ac:dyDescent="0.35">
      <c r="A160" s="28">
        <v>159</v>
      </c>
      <c r="B160" s="28" t="str">
        <f>IF(INPUT!A160="","",TRIM(INPUT!A160))</f>
        <v>Partner 005</v>
      </c>
      <c r="C160" s="28" t="str">
        <f>IF(B160="","",INPUT!C160)</f>
        <v>interviewer0@partner005.example.com</v>
      </c>
      <c r="D160" s="28" t="str">
        <f>IF(B160="","",INPUT!D160)</f>
        <v>Isha G.</v>
      </c>
      <c r="E160" s="28" t="str">
        <f>IF(B160="","",INPUT!E160)</f>
        <v>isha.g205@example.com</v>
      </c>
      <c r="F160" s="43" t="str">
        <f>IF(B160="","",TRIM(INPUT!F160&amp;""))</f>
        <v>9000002672</v>
      </c>
      <c r="G160" s="28" t="str">
        <f>IF(B160="","",INPUT!H160)</f>
        <v>Round1</v>
      </c>
      <c r="H160" s="46">
        <f>IF(B160="","",INPUT!I160)</f>
        <v>46308.82708333333</v>
      </c>
      <c r="I160" s="28" t="str">
        <f>IF(B160="","",IF(INPUT!J160="","None",INPUT!J160))</f>
        <v>Clicked</v>
      </c>
      <c r="J160" s="28" t="str">
        <f t="shared" si="22"/>
        <v>isha.g205@example.com|partner 005|Round1|interviewer0@partner005.example.com</v>
      </c>
      <c r="K160" s="28" t="str">
        <f>IF(B160="","",IF(SUMPRODUCT(($J$2:$J$601=J160)*($H$2:$H$601&lt;H160))+SUMPRODUCT(($J$2:J160=J160)*($H$2:H160=H160))-1&gt;0,"DUPLICATE",IF(AND(ISNUMBER(SEARCH("@",E160)),ISNUMBER(SEARCH(".",E160)),LEN(F160)=10,ISNUMBER(VALUE(F160))),"OK","BAD CONTACT")))</f>
        <v>OK</v>
      </c>
      <c r="L160" s="28">
        <f t="shared" si="23"/>
        <v>1</v>
      </c>
      <c r="M160" s="28">
        <f>IF(L160=1,IF(COUNTIFS(LOG!$C$2:$C$2001,F160,LOG!$E$2:$E$2001,B160,LOG!$D$2:$D$2001,"*BOOKED")+COUNTIFS(LOG!$C$2:$C$2001,F160,LOG!$E$2:$E$2001,"",LOG!$D$2:$D$2001,"*BOOKED")&gt;0,1,0),0)</f>
        <v>0</v>
      </c>
      <c r="N160" s="28">
        <f>IF(L160=1,IF(COUNTIFS(LOG!$C$2:$C$2001,F160,LOG!$E$2:$E$2001,B160,LOG!$D$2:$D$2001,"NOT_INTERESTED")+COUNTIFS(LOG!$C$2:$C$2001,F160,LOG!$E$2:$E$2001,"",LOG!$D$2:$D$2001,"NOT_INTERESTED")&gt;0,1,0),0)</f>
        <v>0</v>
      </c>
      <c r="O160" s="28">
        <f>IF(L160=1,IF(COUNTIFS(LOG!$C$2:$C$2001,F160,LOG!$D$2:$D$2001,"STOP")+COUNTIFS(LOG!$C$2:$C$2001,F160,LOG!$D$2:$D$2001,"WRONG_NUMBER")&gt;0,1,IF(ISNUMBER(SEARCH("STOP",AT160)),1,0)),0)</f>
        <v>0</v>
      </c>
      <c r="P160" s="28">
        <f>IF(L160=1,IF(IFERROR(INDEX(PARTNERS!$D$2:$D$88,MATCH(B160,PARTNERS!$A$2:$A$88,0)),"")="NO SLOTS",1,IF(AND(IFERROR(INDEX(PARTNERS!$D$2:$D$88,MATCH(B160,PARTNERS!$A$2:$A$88,0)),"")&lt;&gt;"REOPENED",COUNTIFS(LOG!$E$2:$E$2001,B160,LOG!$D$2:$D$2001,"NO_SLOTS")&gt;0),1,0)),0)</f>
        <v>0</v>
      </c>
      <c r="Q160" s="28">
        <f>IF(L160=1,COUNTIFS(LOG!$C$2:$C$2001,F160,LOG!$H$2:$H$2001,1),0)</f>
        <v>2</v>
      </c>
      <c r="R160" s="46">
        <f>IF(Q160&gt;0,_xlfn.MAXIFS(LOG!$G$2:$G$2001,LOG!$C$2:$C$2001,F160,LOG!$H$2:$H$2001,1),0)</f>
        <v>46309.707632671772</v>
      </c>
      <c r="S160" s="28" t="str">
        <f>IF(Q160&gt;0,IFERROR(INDEX(LOG!$D$2:$D$2001,MATCH(F160&amp;"|"&amp;Q160,LOG!$I$2:$I$2001,0)),""),"")</f>
        <v>NO_ANSWER</v>
      </c>
      <c r="T160" s="28">
        <f>IF(S160="",0,IFERROR(VLOOKUP(S160,LISTS!$A$2:$E$10,4,FALSE),0))</f>
        <v>120</v>
      </c>
      <c r="U160" s="46">
        <f t="shared" si="24"/>
        <v>46309.790966005108</v>
      </c>
      <c r="V160" s="46">
        <f>IF(L160=1,H160+SETTINGS!$B$5/24,"")</f>
        <v>46309.82708333333</v>
      </c>
      <c r="W160" s="28">
        <f ca="1">IF(L160=1,(V160-SETTINGS!$B$4)*24,"")</f>
        <v>-1.6666666720993817E-2</v>
      </c>
      <c r="X160" s="28">
        <f ca="1">IF(AND(L160=1,K160="OK",M160=0,N160=0,O160=0,P160=0,SETTINGS!$B$4&lt;V160,Q160&lt;SETTINGS!$B$6),1,0)</f>
        <v>0</v>
      </c>
      <c r="Y160" s="28">
        <f ca="1">IF(AND(X160=1,SETTINGS!$B$4&gt;=H160,SETTINGS!$B$4&gt;=U160,ROUND(MOD(SETTINGS!$B$4,1)*1440,0)&gt;=ROUND(SETTINGS!$B$7*1440,0),ROUND(MOD(SETTINGS!$B$4,1)*1440,0)&lt;ROUND(SETTINGS!$B$8*1440,0)),1,0)</f>
        <v>0</v>
      </c>
      <c r="Z160" s="28" t="str">
        <f ca="1">IF(B160="","",IF(ROUND(MOD(SETTINGS!$B$4,1)*1440,0)&lt;ROUND(SETTINGS!$B$11*1440,0),"Ram",IF(ROUND(MOD(SETTINGS!$B$4,1)*1440,0)&gt;=ROUND(SETTINGS!$B$10*1440,0),"Shyam",IF(MOD(IFERROR(VALUE(RIGHT(F160,2)),0),2)=0,"Ram","Shyam"))))</f>
        <v>Shyam</v>
      </c>
      <c r="AA160" s="28">
        <f t="shared" ca="1" si="25"/>
        <v>0</v>
      </c>
      <c r="AB160" s="28">
        <f ca="1">IF(X160=1,COUNTIFS($F$2:F160,F160,$X$2:X160,1),0)</f>
        <v>0</v>
      </c>
      <c r="AC160" s="28" t="str">
        <f>IF(L160=1,IF(IFERROR(INDEX(PARTNERS!$C$2:$C$88,MATCH(B160,PARTNERS!$A$2:$A$88,0)),"")="YES","YES","NO"),"")</f>
        <v>YES</v>
      </c>
      <c r="AD160" s="28" t="str">
        <f>IF(L160=1,IFERROR(INDEX(PARTNERS!$B$2:$B$88,MATCH(B160,PARTNERS!$A$2:$A$88,0)),""),"")</f>
        <v>https://calendly.com/partner005/interview</v>
      </c>
      <c r="AE160" s="28">
        <f ca="1">IF(X160=1,IFERROR(INDEX(SETTINGS!$B$34:$D$36,MATCH(I160,SETTINGS!$A$34:$A$36,0),MIN(Q160,2)+1),SETTINGS!$B$36),0)</f>
        <v>0</v>
      </c>
      <c r="AF160" s="28">
        <f t="shared" si="26"/>
        <v>1</v>
      </c>
      <c r="AG160" s="28">
        <f ca="1">IF(AND(Y160=1,AB160=1),ROUND(AA160*AE160*IF(AF160&gt;1,SETTINGS!$B$16,1)*IF(W160&lt;=SETTINGS!$B$14,SETTINGS!$B$15,1)*IF(AU160=1,SETTINGS!$B$21,1),6),0)</f>
        <v>0</v>
      </c>
      <c r="AH160" s="28" t="str">
        <f ca="1">IF(AG160&gt;0,COUNTIFS($Z$2:$Z$601,Z160,$AG$2:$AG$601,"&gt;"&amp;AG160)+COUNTIFS($Z$2:Z160,Z160,$AG$2:AG160,AG160),"")</f>
        <v/>
      </c>
      <c r="AI160" s="28" t="str">
        <f t="shared" ca="1" si="27"/>
        <v/>
      </c>
      <c r="AJ160" s="28" t="str">
        <f t="shared" ca="1" si="28"/>
        <v/>
      </c>
      <c r="AK160" s="28">
        <f>IF(L160=1,IF(COUNTIFS($F$2:F160,F160,$L$2:L160,1)=1,1,0),0)</f>
        <v>1</v>
      </c>
      <c r="AL160" s="28" t="str">
        <f ca="1">IF(B160="","",IF(K160="DUPLICATE","Duplicate (removed)",IF(AO160=1,"Scheduled within 24h",IF(M160=1,"Scheduled late",IF(K160="BAD CONTACT","Bad contact details",IF(O160=1,"Stopped / wrong number",IF(N160=1,"Not interested",IF(P160=1,"Partner has no slots",IF(SETTINGS!$B$4&gt;=V160,IF(Q160=0,"Missed deadline: never tried","Missed deadline: tried, not booked"),IF(Q160&gt;=SETTINGS!$B$6,"No reply after max tries","Open"))))))))))</f>
        <v>Missed deadline: tried, not booked</v>
      </c>
      <c r="AM160" s="46" t="str">
        <f>IF(M160=1,IF(_xlfn.MINIFS(LOG!$G$2:$G$2001,LOG!$C$2:$C$2001,F160,LOG!$E$2:$E$2001,B160,LOG!$D$2:$D$2001,"*BOOKED")=0,_xlfn.MINIFS(LOG!$G$2:$G$2001,LOG!$C$2:$C$2001,F160,LOG!$E$2:$E$2001,"",LOG!$D$2:$D$2001,"*BOOKED"),IF(_xlfn.MINIFS(LOG!$G$2:$G$2001,LOG!$C$2:$C$2001,F160,LOG!$E$2:$E$2001,"",LOG!$D$2:$D$2001,"*BOOKED")=0,_xlfn.MINIFS(LOG!$G$2:$G$2001,LOG!$C$2:$C$2001,F160,LOG!$E$2:$E$2001,B160,LOG!$D$2:$D$2001,"*BOOKED"),MIN(_xlfn.MINIFS(LOG!$G$2:$G$2001,LOG!$C$2:$C$2001,F160,LOG!$E$2:$E$2001,B160,LOG!$D$2:$D$2001,"*BOOKED"),_xlfn.MINIFS(LOG!$G$2:$G$2001,LOG!$C$2:$C$2001,F160,LOG!$E$2:$E$2001,"",LOG!$D$2:$D$2001,"*BOOKED")))),"")</f>
        <v/>
      </c>
      <c r="AN160" s="28" t="str">
        <f t="shared" si="29"/>
        <v/>
      </c>
      <c r="AO160" s="28">
        <f>IF(AND(M160=1,AN160&lt;&gt;""),IF(AN160&lt;=SETTINGS!$B$5,1,0),0)</f>
        <v>0</v>
      </c>
      <c r="AP160" s="28">
        <f>IF(M160=1,IF(COUNTIFS(LOG!$C$2:$C$2001,F160,LOG!$E$2:$E$2001,B160,LOG!$D$2:$D$2001,"BOOKED")+COUNTIFS(LOG!$C$2:$C$2001,F160,LOG!$E$2:$E$2001,"",LOG!$D$2:$D$2001,"BOOKED")&gt;0,1,0),0)</f>
        <v>0</v>
      </c>
      <c r="AQ160" s="28" t="str">
        <f t="shared" si="30"/>
        <v>Isha</v>
      </c>
      <c r="AR160" s="28">
        <f>IF(AND(AK160=1,K160="OK"),COUNTIFS($AK$2:AK160,1,$K$2:K160,"OK"),"")</f>
        <v>146</v>
      </c>
      <c r="AS160" s="28" t="str">
        <f>IF(L160=1,IFERROR(INDEX(MESSAGES!$J$9:$J$1008,MATCH(F160,MESSAGES!$M$9:$M$1008,0))&amp;"",""),"")</f>
        <v/>
      </c>
      <c r="AT160" s="28" t="str">
        <f>IF(L160=1,IFERROR(INDEX(MESSAGES!$K$9:$K$1008,MATCH(F160,MESSAGES!$M$9:$M$1008,0))&amp;"",""),"")</f>
        <v/>
      </c>
      <c r="AU160" s="28">
        <f t="shared" ca="1" si="31"/>
        <v>0</v>
      </c>
      <c r="AV160" s="28" t="str">
        <f t="shared" si="32"/>
        <v>HOLD</v>
      </c>
    </row>
    <row r="161" spans="1:48" x14ac:dyDescent="0.35">
      <c r="A161" s="28">
        <v>160</v>
      </c>
      <c r="B161" s="28" t="str">
        <f>IF(INPUT!A161="","",TRIM(INPUT!A161))</f>
        <v>Partner 002</v>
      </c>
      <c r="C161" s="28" t="str">
        <f>IF(B161="","",INPUT!C161)</f>
        <v>interviewer1@partner002.example.com</v>
      </c>
      <c r="D161" s="28" t="str">
        <f>IF(B161="","",INPUT!D161)</f>
        <v>Ishaan D.</v>
      </c>
      <c r="E161" s="28" t="str">
        <f>IF(B161="","",INPUT!E161)</f>
        <v>ishaan.d104@example.com</v>
      </c>
      <c r="F161" s="43" t="str">
        <f>IF(B161="","",TRIM(INPUT!F161&amp;""))</f>
        <v>9000001359</v>
      </c>
      <c r="G161" s="28" t="str">
        <f>IF(B161="","",INPUT!H161)</f>
        <v>Round1</v>
      </c>
      <c r="H161" s="46">
        <f>IF(B161="","",INPUT!I161)</f>
        <v>46308.82708333333</v>
      </c>
      <c r="I161" s="28" t="str">
        <f>IF(B161="","",IF(INPUT!J161="","None",INPUT!J161))</f>
        <v>Clicked</v>
      </c>
      <c r="J161" s="28" t="str">
        <f t="shared" si="22"/>
        <v>ishaan.d104@example.com|partner 002|Round1|interviewer1@partner002.example.com</v>
      </c>
      <c r="K161" s="28" t="str">
        <f>IF(B161="","",IF(SUMPRODUCT(($J$2:$J$601=J161)*($H$2:$H$601&lt;H161))+SUMPRODUCT(($J$2:J161=J161)*($H$2:H161=H161))-1&gt;0,"DUPLICATE",IF(AND(ISNUMBER(SEARCH("@",E161)),ISNUMBER(SEARCH(".",E161)),LEN(F161)=10,ISNUMBER(VALUE(F161))),"OK","BAD CONTACT")))</f>
        <v>OK</v>
      </c>
      <c r="L161" s="28">
        <f t="shared" si="23"/>
        <v>1</v>
      </c>
      <c r="M161" s="28">
        <f>IF(L161=1,IF(COUNTIFS(LOG!$C$2:$C$2001,F161,LOG!$E$2:$E$2001,B161,LOG!$D$2:$D$2001,"*BOOKED")+COUNTIFS(LOG!$C$2:$C$2001,F161,LOG!$E$2:$E$2001,"",LOG!$D$2:$D$2001,"*BOOKED")&gt;0,1,0),0)</f>
        <v>0</v>
      </c>
      <c r="N161" s="28">
        <f>IF(L161=1,IF(COUNTIFS(LOG!$C$2:$C$2001,F161,LOG!$E$2:$E$2001,B161,LOG!$D$2:$D$2001,"NOT_INTERESTED")+COUNTIFS(LOG!$C$2:$C$2001,F161,LOG!$E$2:$E$2001,"",LOG!$D$2:$D$2001,"NOT_INTERESTED")&gt;0,1,0),0)</f>
        <v>0</v>
      </c>
      <c r="O161" s="28">
        <f>IF(L161=1,IF(COUNTIFS(LOG!$C$2:$C$2001,F161,LOG!$D$2:$D$2001,"STOP")+COUNTIFS(LOG!$C$2:$C$2001,F161,LOG!$D$2:$D$2001,"WRONG_NUMBER")&gt;0,1,IF(ISNUMBER(SEARCH("STOP",AT161)),1,0)),0)</f>
        <v>0</v>
      </c>
      <c r="P161" s="28">
        <f>IF(L161=1,IF(IFERROR(INDEX(PARTNERS!$D$2:$D$88,MATCH(B161,PARTNERS!$A$2:$A$88,0)),"")="NO SLOTS",1,IF(AND(IFERROR(INDEX(PARTNERS!$D$2:$D$88,MATCH(B161,PARTNERS!$A$2:$A$88,0)),"")&lt;&gt;"REOPENED",COUNTIFS(LOG!$E$2:$E$2001,B161,LOG!$D$2:$D$2001,"NO_SLOTS")&gt;0),1,0)),0)</f>
        <v>0</v>
      </c>
      <c r="Q161" s="28">
        <f>IF(L161=1,COUNTIFS(LOG!$C$2:$C$2001,F161,LOG!$H$2:$H$2001,1),0)</f>
        <v>2</v>
      </c>
      <c r="R161" s="46">
        <f>IF(Q161&gt;0,_xlfn.MAXIFS(LOG!$G$2:$G$2001,LOG!$C$2:$C$2001,F161,LOG!$H$2:$H$2001,1),0)</f>
        <v>46309.731465387733</v>
      </c>
      <c r="S161" s="28" t="str">
        <f>IF(Q161&gt;0,IFERROR(INDEX(LOG!$D$2:$D$2001,MATCH(F161&amp;"|"&amp;Q161,LOG!$I$2:$I$2001,0)),""),"")</f>
        <v>NO_ANSWER</v>
      </c>
      <c r="T161" s="28">
        <f>IF(S161="",0,IFERROR(VLOOKUP(S161,LISTS!$A$2:$E$10,4,FALSE),0))</f>
        <v>120</v>
      </c>
      <c r="U161" s="46">
        <f t="shared" si="24"/>
        <v>46309.814798721069</v>
      </c>
      <c r="V161" s="46">
        <f>IF(L161=1,H161+SETTINGS!$B$5/24,"")</f>
        <v>46309.82708333333</v>
      </c>
      <c r="W161" s="28">
        <f ca="1">IF(L161=1,(V161-SETTINGS!$B$4)*24,"")</f>
        <v>-1.6666666720993817E-2</v>
      </c>
      <c r="X161" s="28">
        <f ca="1">IF(AND(L161=1,K161="OK",M161=0,N161=0,O161=0,P161=0,SETTINGS!$B$4&lt;V161,Q161&lt;SETTINGS!$B$6),1,0)</f>
        <v>0</v>
      </c>
      <c r="Y161" s="28">
        <f ca="1">IF(AND(X161=1,SETTINGS!$B$4&gt;=H161,SETTINGS!$B$4&gt;=U161,ROUND(MOD(SETTINGS!$B$4,1)*1440,0)&gt;=ROUND(SETTINGS!$B$7*1440,0),ROUND(MOD(SETTINGS!$B$4,1)*1440,0)&lt;ROUND(SETTINGS!$B$8*1440,0)),1,0)</f>
        <v>0</v>
      </c>
      <c r="Z161" s="28" t="str">
        <f ca="1">IF(B161="","",IF(ROUND(MOD(SETTINGS!$B$4,1)*1440,0)&lt;ROUND(SETTINGS!$B$11*1440,0),"Ram",IF(ROUND(MOD(SETTINGS!$B$4,1)*1440,0)&gt;=ROUND(SETTINGS!$B$10*1440,0),"Shyam",IF(MOD(IFERROR(VALUE(RIGHT(F161,2)),0),2)=0,"Ram","Shyam"))))</f>
        <v>Shyam</v>
      </c>
      <c r="AA161" s="28">
        <f t="shared" ca="1" si="25"/>
        <v>0</v>
      </c>
      <c r="AB161" s="28">
        <f ca="1">IF(X161=1,COUNTIFS($F$2:F161,F161,$X$2:X161,1),0)</f>
        <v>0</v>
      </c>
      <c r="AC161" s="28" t="str">
        <f>IF(L161=1,IF(IFERROR(INDEX(PARTNERS!$C$2:$C$88,MATCH(B161,PARTNERS!$A$2:$A$88,0)),"")="YES","YES","NO"),"")</f>
        <v>YES</v>
      </c>
      <c r="AD161" s="28" t="str">
        <f>IF(L161=1,IFERROR(INDEX(PARTNERS!$B$2:$B$88,MATCH(B161,PARTNERS!$A$2:$A$88,0)),""),"")</f>
        <v>https://calendly.com/partner002/interview</v>
      </c>
      <c r="AE161" s="28">
        <f ca="1">IF(X161=1,IFERROR(INDEX(SETTINGS!$B$34:$D$36,MATCH(I161,SETTINGS!$A$34:$A$36,0),MIN(Q161,2)+1),SETTINGS!$B$36),0)</f>
        <v>0</v>
      </c>
      <c r="AF161" s="28">
        <f t="shared" si="26"/>
        <v>1</v>
      </c>
      <c r="AG161" s="28">
        <f ca="1">IF(AND(Y161=1,AB161=1),ROUND(AA161*AE161*IF(AF161&gt;1,SETTINGS!$B$16,1)*IF(W161&lt;=SETTINGS!$B$14,SETTINGS!$B$15,1)*IF(AU161=1,SETTINGS!$B$21,1),6),0)</f>
        <v>0</v>
      </c>
      <c r="AH161" s="28" t="str">
        <f ca="1">IF(AG161&gt;0,COUNTIFS($Z$2:$Z$601,Z161,$AG$2:$AG$601,"&gt;"&amp;AG161)+COUNTIFS($Z$2:Z161,Z161,$AG$2:AG161,AG161),"")</f>
        <v/>
      </c>
      <c r="AI161" s="28" t="str">
        <f t="shared" ca="1" si="27"/>
        <v/>
      </c>
      <c r="AJ161" s="28" t="str">
        <f t="shared" ca="1" si="28"/>
        <v/>
      </c>
      <c r="AK161" s="28">
        <f>IF(L161=1,IF(COUNTIFS($F$2:F161,F161,$L$2:L161,1)=1,1,0),0)</f>
        <v>1</v>
      </c>
      <c r="AL161" s="28" t="str">
        <f ca="1">IF(B161="","",IF(K161="DUPLICATE","Duplicate (removed)",IF(AO161=1,"Scheduled within 24h",IF(M161=1,"Scheduled late",IF(K161="BAD CONTACT","Bad contact details",IF(O161=1,"Stopped / wrong number",IF(N161=1,"Not interested",IF(P161=1,"Partner has no slots",IF(SETTINGS!$B$4&gt;=V161,IF(Q161=0,"Missed deadline: never tried","Missed deadline: tried, not booked"),IF(Q161&gt;=SETTINGS!$B$6,"No reply after max tries","Open"))))))))))</f>
        <v>Missed deadline: tried, not booked</v>
      </c>
      <c r="AM161" s="46" t="str">
        <f>IF(M161=1,IF(_xlfn.MINIFS(LOG!$G$2:$G$2001,LOG!$C$2:$C$2001,F161,LOG!$E$2:$E$2001,B161,LOG!$D$2:$D$2001,"*BOOKED")=0,_xlfn.MINIFS(LOG!$G$2:$G$2001,LOG!$C$2:$C$2001,F161,LOG!$E$2:$E$2001,"",LOG!$D$2:$D$2001,"*BOOKED"),IF(_xlfn.MINIFS(LOG!$G$2:$G$2001,LOG!$C$2:$C$2001,F161,LOG!$E$2:$E$2001,"",LOG!$D$2:$D$2001,"*BOOKED")=0,_xlfn.MINIFS(LOG!$G$2:$G$2001,LOG!$C$2:$C$2001,F161,LOG!$E$2:$E$2001,B161,LOG!$D$2:$D$2001,"*BOOKED"),MIN(_xlfn.MINIFS(LOG!$G$2:$G$2001,LOG!$C$2:$C$2001,F161,LOG!$E$2:$E$2001,B161,LOG!$D$2:$D$2001,"*BOOKED"),_xlfn.MINIFS(LOG!$G$2:$G$2001,LOG!$C$2:$C$2001,F161,LOG!$E$2:$E$2001,"",LOG!$D$2:$D$2001,"*BOOKED")))),"")</f>
        <v/>
      </c>
      <c r="AN161" s="28" t="str">
        <f t="shared" si="29"/>
        <v/>
      </c>
      <c r="AO161" s="28">
        <f>IF(AND(M161=1,AN161&lt;&gt;""),IF(AN161&lt;=SETTINGS!$B$5,1,0),0)</f>
        <v>0</v>
      </c>
      <c r="AP161" s="28">
        <f>IF(M161=1,IF(COUNTIFS(LOG!$C$2:$C$2001,F161,LOG!$E$2:$E$2001,B161,LOG!$D$2:$D$2001,"BOOKED")+COUNTIFS(LOG!$C$2:$C$2001,F161,LOG!$E$2:$E$2001,"",LOG!$D$2:$D$2001,"BOOKED")&gt;0,1,0),0)</f>
        <v>0</v>
      </c>
      <c r="AQ161" s="28" t="str">
        <f t="shared" si="30"/>
        <v>Ishaan</v>
      </c>
      <c r="AR161" s="28">
        <f>IF(AND(AK161=1,K161="OK"),COUNTIFS($AK$2:AK161,1,$K$2:K161,"OK"),"")</f>
        <v>147</v>
      </c>
      <c r="AS161" s="28" t="str">
        <f>IF(L161=1,IFERROR(INDEX(MESSAGES!$J$9:$J$1008,MATCH(F161,MESSAGES!$M$9:$M$1008,0))&amp;"",""),"")</f>
        <v/>
      </c>
      <c r="AT161" s="28" t="str">
        <f>IF(L161=1,IFERROR(INDEX(MESSAGES!$K$9:$K$1008,MATCH(F161,MESSAGES!$M$9:$M$1008,0))&amp;"",""),"")</f>
        <v/>
      </c>
      <c r="AU161" s="28">
        <f t="shared" ca="1" si="31"/>
        <v>0</v>
      </c>
      <c r="AV161" s="28" t="str">
        <f t="shared" si="32"/>
        <v>HOLD</v>
      </c>
    </row>
    <row r="162" spans="1:48" x14ac:dyDescent="0.35">
      <c r="A162" s="28">
        <v>161</v>
      </c>
      <c r="B162" s="28" t="str">
        <f>IF(INPUT!A162="","",TRIM(INPUT!A162))</f>
        <v>Partner 002</v>
      </c>
      <c r="C162" s="28" t="str">
        <f>IF(B162="","",INPUT!C162)</f>
        <v>interviewer1@partner002.example.com</v>
      </c>
      <c r="D162" s="28" t="str">
        <f>IF(B162="","",INPUT!D162)</f>
        <v>Ira G.</v>
      </c>
      <c r="E162" s="28" t="str">
        <f>IF(B162="","",INPUT!E162)</f>
        <v>ira.g185@example.com</v>
      </c>
      <c r="F162" s="43" t="str">
        <f>IF(B162="","",TRIM(INPUT!F162&amp;""))</f>
        <v>9000002412</v>
      </c>
      <c r="G162" s="28" t="str">
        <f>IF(B162="","",INPUT!H162)</f>
        <v>Round1</v>
      </c>
      <c r="H162" s="46">
        <f>IF(B162="","",INPUT!I162)</f>
        <v>46308.82708333333</v>
      </c>
      <c r="I162" s="28" t="str">
        <f>IF(B162="","",IF(INPUT!J162="","None",INPUT!J162))</f>
        <v>Opened</v>
      </c>
      <c r="J162" s="28" t="str">
        <f t="shared" si="22"/>
        <v>ira.g185@example.com|partner 002|Round1|interviewer1@partner002.example.com</v>
      </c>
      <c r="K162" s="28" t="str">
        <f>IF(B162="","",IF(SUMPRODUCT(($J$2:$J$601=J162)*($H$2:$H$601&lt;H162))+SUMPRODUCT(($J$2:J162=J162)*($H$2:H162=H162))-1&gt;0,"DUPLICATE",IF(AND(ISNUMBER(SEARCH("@",E162)),ISNUMBER(SEARCH(".",E162)),LEN(F162)=10,ISNUMBER(VALUE(F162))),"OK","BAD CONTACT")))</f>
        <v>OK</v>
      </c>
      <c r="L162" s="28">
        <f t="shared" si="23"/>
        <v>1</v>
      </c>
      <c r="M162" s="28">
        <f>IF(L162=1,IF(COUNTIFS(LOG!$C$2:$C$2001,F162,LOG!$E$2:$E$2001,B162,LOG!$D$2:$D$2001,"*BOOKED")+COUNTIFS(LOG!$C$2:$C$2001,F162,LOG!$E$2:$E$2001,"",LOG!$D$2:$D$2001,"*BOOKED")&gt;0,1,0),0)</f>
        <v>1</v>
      </c>
      <c r="N162" s="28">
        <f>IF(L162=1,IF(COUNTIFS(LOG!$C$2:$C$2001,F162,LOG!$E$2:$E$2001,B162,LOG!$D$2:$D$2001,"NOT_INTERESTED")+COUNTIFS(LOG!$C$2:$C$2001,F162,LOG!$E$2:$E$2001,"",LOG!$D$2:$D$2001,"NOT_INTERESTED")&gt;0,1,0),0)</f>
        <v>0</v>
      </c>
      <c r="O162" s="28">
        <f>IF(L162=1,IF(COUNTIFS(LOG!$C$2:$C$2001,F162,LOG!$D$2:$D$2001,"STOP")+COUNTIFS(LOG!$C$2:$C$2001,F162,LOG!$D$2:$D$2001,"WRONG_NUMBER")&gt;0,1,IF(ISNUMBER(SEARCH("STOP",AT162)),1,0)),0)</f>
        <v>0</v>
      </c>
      <c r="P162" s="28">
        <f>IF(L162=1,IF(IFERROR(INDEX(PARTNERS!$D$2:$D$88,MATCH(B162,PARTNERS!$A$2:$A$88,0)),"")="NO SLOTS",1,IF(AND(IFERROR(INDEX(PARTNERS!$D$2:$D$88,MATCH(B162,PARTNERS!$A$2:$A$88,0)),"")&lt;&gt;"REOPENED",COUNTIFS(LOG!$E$2:$E$2001,B162,LOG!$D$2:$D$2001,"NO_SLOTS")&gt;0),1,0)),0)</f>
        <v>0</v>
      </c>
      <c r="Q162" s="28">
        <f>IF(L162=1,COUNTIFS(LOG!$C$2:$C$2001,F162,LOG!$H$2:$H$2001,1),0)</f>
        <v>0</v>
      </c>
      <c r="R162" s="46">
        <f>IF(Q162&gt;0,_xlfn.MAXIFS(LOG!$G$2:$G$2001,LOG!$C$2:$C$2001,F162,LOG!$H$2:$H$2001,1),0)</f>
        <v>0</v>
      </c>
      <c r="S162" s="28" t="str">
        <f>IF(Q162&gt;0,IFERROR(INDEX(LOG!$D$2:$D$2001,MATCH(F162&amp;"|"&amp;Q162,LOG!$I$2:$I$2001,0)),""),"")</f>
        <v/>
      </c>
      <c r="T162" s="28">
        <f>IF(S162="",0,IFERROR(VLOOKUP(S162,LISTS!$A$2:$E$10,4,FALSE),0))</f>
        <v>0</v>
      </c>
      <c r="U162" s="46">
        <f t="shared" si="24"/>
        <v>0</v>
      </c>
      <c r="V162" s="46">
        <f>IF(L162=1,H162+SETTINGS!$B$5/24,"")</f>
        <v>46309.82708333333</v>
      </c>
      <c r="W162" s="28">
        <f ca="1">IF(L162=1,(V162-SETTINGS!$B$4)*24,"")</f>
        <v>-1.6666666720993817E-2</v>
      </c>
      <c r="X162" s="28">
        <f ca="1">IF(AND(L162=1,K162="OK",M162=0,N162=0,O162=0,P162=0,SETTINGS!$B$4&lt;V162,Q162&lt;SETTINGS!$B$6),1,0)</f>
        <v>0</v>
      </c>
      <c r="Y162" s="28">
        <f ca="1">IF(AND(X162=1,SETTINGS!$B$4&gt;=H162,SETTINGS!$B$4&gt;=U162,ROUND(MOD(SETTINGS!$B$4,1)*1440,0)&gt;=ROUND(SETTINGS!$B$7*1440,0),ROUND(MOD(SETTINGS!$B$4,1)*1440,0)&lt;ROUND(SETTINGS!$B$8*1440,0)),1,0)</f>
        <v>0</v>
      </c>
      <c r="Z162" s="28" t="str">
        <f ca="1">IF(B162="","",IF(ROUND(MOD(SETTINGS!$B$4,1)*1440,0)&lt;ROUND(SETTINGS!$B$11*1440,0),"Ram",IF(ROUND(MOD(SETTINGS!$B$4,1)*1440,0)&gt;=ROUND(SETTINGS!$B$10*1440,0),"Shyam",IF(MOD(IFERROR(VALUE(RIGHT(F162,2)),0),2)=0,"Ram","Shyam"))))</f>
        <v>Shyam</v>
      </c>
      <c r="AA162" s="28">
        <f t="shared" ca="1" si="25"/>
        <v>0</v>
      </c>
      <c r="AB162" s="28">
        <f ca="1">IF(X162=1,COUNTIFS($F$2:F162,F162,$X$2:X162,1),0)</f>
        <v>0</v>
      </c>
      <c r="AC162" s="28" t="str">
        <f>IF(L162=1,IF(IFERROR(INDEX(PARTNERS!$C$2:$C$88,MATCH(B162,PARTNERS!$A$2:$A$88,0)),"")="YES","YES","NO"),"")</f>
        <v>YES</v>
      </c>
      <c r="AD162" s="28" t="str">
        <f>IF(L162=1,IFERROR(INDEX(PARTNERS!$B$2:$B$88,MATCH(B162,PARTNERS!$A$2:$A$88,0)),""),"")</f>
        <v>https://calendly.com/partner002/interview</v>
      </c>
      <c r="AE162" s="28">
        <f ca="1">IF(X162=1,IFERROR(INDEX(SETTINGS!$B$34:$D$36,MATCH(I162,SETTINGS!$A$34:$A$36,0),MIN(Q162,2)+1),SETTINGS!$B$36),0)</f>
        <v>0</v>
      </c>
      <c r="AF162" s="28">
        <f t="shared" si="26"/>
        <v>1</v>
      </c>
      <c r="AG162" s="28">
        <f ca="1">IF(AND(Y162=1,AB162=1),ROUND(AA162*AE162*IF(AF162&gt;1,SETTINGS!$B$16,1)*IF(W162&lt;=SETTINGS!$B$14,SETTINGS!$B$15,1)*IF(AU162=1,SETTINGS!$B$21,1),6),0)</f>
        <v>0</v>
      </c>
      <c r="AH162" s="28" t="str">
        <f ca="1">IF(AG162&gt;0,COUNTIFS($Z$2:$Z$601,Z162,$AG$2:$AG$601,"&gt;"&amp;AG162)+COUNTIFS($Z$2:Z162,Z162,$AG$2:AG162,AG162),"")</f>
        <v/>
      </c>
      <c r="AI162" s="28" t="str">
        <f t="shared" ca="1" si="27"/>
        <v/>
      </c>
      <c r="AJ162" s="28" t="str">
        <f t="shared" ca="1" si="28"/>
        <v/>
      </c>
      <c r="AK162" s="28">
        <f>IF(L162=1,IF(COUNTIFS($F$2:F162,F162,$L$2:L162,1)=1,1,0),0)</f>
        <v>1</v>
      </c>
      <c r="AL162" s="28" t="str">
        <f>IF(B162="","",IF(K162="DUPLICATE","Duplicate (removed)",IF(AO162=1,"Scheduled within 24h",IF(M162=1,"Scheduled late",IF(K162="BAD CONTACT","Bad contact details",IF(O162=1,"Stopped / wrong number",IF(N162=1,"Not interested",IF(P162=1,"Partner has no slots",IF(SETTINGS!$B$4&gt;=V162,IF(Q162=0,"Missed deadline: never tried","Missed deadline: tried, not booked"),IF(Q162&gt;=SETTINGS!$B$6,"No reply after max tries","Open"))))))))))</f>
        <v>Scheduled within 24h</v>
      </c>
      <c r="AM162" s="46">
        <f>IF(M162=1,IF(_xlfn.MINIFS(LOG!$G$2:$G$2001,LOG!$C$2:$C$2001,F162,LOG!$E$2:$E$2001,B162,LOG!$D$2:$D$2001,"*BOOKED")=0,_xlfn.MINIFS(LOG!$G$2:$G$2001,LOG!$C$2:$C$2001,F162,LOG!$E$2:$E$2001,"",LOG!$D$2:$D$2001,"*BOOKED"),IF(_xlfn.MINIFS(LOG!$G$2:$G$2001,LOG!$C$2:$C$2001,F162,LOG!$E$2:$E$2001,"",LOG!$D$2:$D$2001,"*BOOKED")=0,_xlfn.MINIFS(LOG!$G$2:$G$2001,LOG!$C$2:$C$2001,F162,LOG!$E$2:$E$2001,B162,LOG!$D$2:$D$2001,"*BOOKED"),MIN(_xlfn.MINIFS(LOG!$G$2:$G$2001,LOG!$C$2:$C$2001,F162,LOG!$E$2:$E$2001,B162,LOG!$D$2:$D$2001,"*BOOKED"),_xlfn.MINIFS(LOG!$G$2:$G$2001,LOG!$C$2:$C$2001,F162,LOG!$E$2:$E$2001,"",LOG!$D$2:$D$2001,"*BOOKED")))),"")</f>
        <v>46309.367541644446</v>
      </c>
      <c r="AN162" s="28">
        <f t="shared" si="29"/>
        <v>12.970999466779176</v>
      </c>
      <c r="AO162" s="28">
        <f>IF(AND(M162=1,AN162&lt;&gt;""),IF(AN162&lt;=SETTINGS!$B$5,1,0),0)</f>
        <v>1</v>
      </c>
      <c r="AP162" s="28">
        <f>IF(M162=1,IF(COUNTIFS(LOG!$C$2:$C$2001,F162,LOG!$E$2:$E$2001,B162,LOG!$D$2:$D$2001,"BOOKED")+COUNTIFS(LOG!$C$2:$C$2001,F162,LOG!$E$2:$E$2001,"",LOG!$D$2:$D$2001,"BOOKED")&gt;0,1,0),0)</f>
        <v>0</v>
      </c>
      <c r="AQ162" s="28" t="str">
        <f t="shared" si="30"/>
        <v>Ira</v>
      </c>
      <c r="AR162" s="28">
        <f>IF(AND(AK162=1,K162="OK"),COUNTIFS($AK$2:AK162,1,$K$2:K162,"OK"),"")</f>
        <v>148</v>
      </c>
      <c r="AS162" s="28" t="str">
        <f>IF(L162=1,IFERROR(INDEX(MESSAGES!$J$9:$J$1008,MATCH(F162,MESSAGES!$M$9:$M$1008,0))&amp;"",""),"")</f>
        <v/>
      </c>
      <c r="AT162" s="28" t="str">
        <f>IF(L162=1,IFERROR(INDEX(MESSAGES!$K$9:$K$1008,MATCH(F162,MESSAGES!$M$9:$M$1008,0))&amp;"",""),"")</f>
        <v/>
      </c>
      <c r="AU162" s="28">
        <f t="shared" ca="1" si="31"/>
        <v>0</v>
      </c>
      <c r="AV162" s="28" t="str">
        <f t="shared" si="32"/>
        <v>HOLD</v>
      </c>
    </row>
    <row r="163" spans="1:48" x14ac:dyDescent="0.35">
      <c r="A163" s="28">
        <v>162</v>
      </c>
      <c r="B163" s="28" t="str">
        <f>IF(INPUT!A163="","",TRIM(INPUT!A163))</f>
        <v>Partner 002</v>
      </c>
      <c r="C163" s="28" t="str">
        <f>IF(B163="","",INPUT!C163)</f>
        <v>interviewer0@partner002.example.com</v>
      </c>
      <c r="D163" s="28" t="str">
        <f>IF(B163="","",INPUT!D163)</f>
        <v>Diya J.</v>
      </c>
      <c r="E163" s="28" t="str">
        <f>IF(B163="","",INPUT!E163)</f>
        <v>diya.j241@example.com</v>
      </c>
      <c r="F163" s="43" t="str">
        <f>IF(B163="","",TRIM(INPUT!F163&amp;""))</f>
        <v>9000003140</v>
      </c>
      <c r="G163" s="28" t="str">
        <f>IF(B163="","",INPUT!H163)</f>
        <v>Round1</v>
      </c>
      <c r="H163" s="46">
        <f>IF(B163="","",INPUT!I163)</f>
        <v>46308.82708333333</v>
      </c>
      <c r="I163" s="28" t="str">
        <f>IF(B163="","",IF(INPUT!J163="","None",INPUT!J163))</f>
        <v>Opened</v>
      </c>
      <c r="J163" s="28" t="str">
        <f t="shared" si="22"/>
        <v>diya.j241@example.com|partner 002|Round1|interviewer0@partner002.example.com</v>
      </c>
      <c r="K163" s="28" t="str">
        <f>IF(B163="","",IF(SUMPRODUCT(($J$2:$J$601=J163)*($H$2:$H$601&lt;H163))+SUMPRODUCT(($J$2:J163=J163)*($H$2:H163=H163))-1&gt;0,"DUPLICATE",IF(AND(ISNUMBER(SEARCH("@",E163)),ISNUMBER(SEARCH(".",E163)),LEN(F163)=10,ISNUMBER(VALUE(F163))),"OK","BAD CONTACT")))</f>
        <v>OK</v>
      </c>
      <c r="L163" s="28">
        <f t="shared" si="23"/>
        <v>1</v>
      </c>
      <c r="M163" s="28">
        <f>IF(L163=1,IF(COUNTIFS(LOG!$C$2:$C$2001,F163,LOG!$E$2:$E$2001,B163,LOG!$D$2:$D$2001,"*BOOKED")+COUNTIFS(LOG!$C$2:$C$2001,F163,LOG!$E$2:$E$2001,"",LOG!$D$2:$D$2001,"*BOOKED")&gt;0,1,0),0)</f>
        <v>0</v>
      </c>
      <c r="N163" s="28">
        <f>IF(L163=1,IF(COUNTIFS(LOG!$C$2:$C$2001,F163,LOG!$E$2:$E$2001,B163,LOG!$D$2:$D$2001,"NOT_INTERESTED")+COUNTIFS(LOG!$C$2:$C$2001,F163,LOG!$E$2:$E$2001,"",LOG!$D$2:$D$2001,"NOT_INTERESTED")&gt;0,1,0),0)</f>
        <v>0</v>
      </c>
      <c r="O163" s="28">
        <f>IF(L163=1,IF(COUNTIFS(LOG!$C$2:$C$2001,F163,LOG!$D$2:$D$2001,"STOP")+COUNTIFS(LOG!$C$2:$C$2001,F163,LOG!$D$2:$D$2001,"WRONG_NUMBER")&gt;0,1,IF(ISNUMBER(SEARCH("STOP",AT163)),1,0)),0)</f>
        <v>0</v>
      </c>
      <c r="P163" s="28">
        <f>IF(L163=1,IF(IFERROR(INDEX(PARTNERS!$D$2:$D$88,MATCH(B163,PARTNERS!$A$2:$A$88,0)),"")="NO SLOTS",1,IF(AND(IFERROR(INDEX(PARTNERS!$D$2:$D$88,MATCH(B163,PARTNERS!$A$2:$A$88,0)),"")&lt;&gt;"REOPENED",COUNTIFS(LOG!$E$2:$E$2001,B163,LOG!$D$2:$D$2001,"NO_SLOTS")&gt;0),1,0)),0)</f>
        <v>0</v>
      </c>
      <c r="Q163" s="28">
        <f>IF(L163=1,COUNTIFS(LOG!$C$2:$C$2001,F163,LOG!$H$2:$H$2001,1),0)</f>
        <v>0</v>
      </c>
      <c r="R163" s="46">
        <f>IF(Q163&gt;0,_xlfn.MAXIFS(LOG!$G$2:$G$2001,LOG!$C$2:$C$2001,F163,LOG!$H$2:$H$2001,1),0)</f>
        <v>0</v>
      </c>
      <c r="S163" s="28" t="str">
        <f>IF(Q163&gt;0,IFERROR(INDEX(LOG!$D$2:$D$2001,MATCH(F163&amp;"|"&amp;Q163,LOG!$I$2:$I$2001,0)),""),"")</f>
        <v/>
      </c>
      <c r="T163" s="28">
        <f>IF(S163="",0,IFERROR(VLOOKUP(S163,LISTS!$A$2:$E$10,4,FALSE),0))</f>
        <v>0</v>
      </c>
      <c r="U163" s="46">
        <f t="shared" si="24"/>
        <v>0</v>
      </c>
      <c r="V163" s="46">
        <f>IF(L163=1,H163+SETTINGS!$B$5/24,"")</f>
        <v>46309.82708333333</v>
      </c>
      <c r="W163" s="28">
        <f ca="1">IF(L163=1,(V163-SETTINGS!$B$4)*24,"")</f>
        <v>-1.6666666720993817E-2</v>
      </c>
      <c r="X163" s="28">
        <f ca="1">IF(AND(L163=1,K163="OK",M163=0,N163=0,O163=0,P163=0,SETTINGS!$B$4&lt;V163,Q163&lt;SETTINGS!$B$6),1,0)</f>
        <v>0</v>
      </c>
      <c r="Y163" s="28">
        <f ca="1">IF(AND(X163=1,SETTINGS!$B$4&gt;=H163,SETTINGS!$B$4&gt;=U163,ROUND(MOD(SETTINGS!$B$4,1)*1440,0)&gt;=ROUND(SETTINGS!$B$7*1440,0),ROUND(MOD(SETTINGS!$B$4,1)*1440,0)&lt;ROUND(SETTINGS!$B$8*1440,0)),1,0)</f>
        <v>0</v>
      </c>
      <c r="Z163" s="28" t="str">
        <f ca="1">IF(B163="","",IF(ROUND(MOD(SETTINGS!$B$4,1)*1440,0)&lt;ROUND(SETTINGS!$B$11*1440,0),"Ram",IF(ROUND(MOD(SETTINGS!$B$4,1)*1440,0)&gt;=ROUND(SETTINGS!$B$10*1440,0),"Shyam",IF(MOD(IFERROR(VALUE(RIGHT(F163,2)),0),2)=0,"Ram","Shyam"))))</f>
        <v>Shyam</v>
      </c>
      <c r="AA163" s="28">
        <f t="shared" ca="1" si="25"/>
        <v>0</v>
      </c>
      <c r="AB163" s="28">
        <f ca="1">IF(X163=1,COUNTIFS($F$2:F163,F163,$X$2:X163,1),0)</f>
        <v>0</v>
      </c>
      <c r="AC163" s="28" t="str">
        <f>IF(L163=1,IF(IFERROR(INDEX(PARTNERS!$C$2:$C$88,MATCH(B163,PARTNERS!$A$2:$A$88,0)),"")="YES","YES","NO"),"")</f>
        <v>YES</v>
      </c>
      <c r="AD163" s="28" t="str">
        <f>IF(L163=1,IFERROR(INDEX(PARTNERS!$B$2:$B$88,MATCH(B163,PARTNERS!$A$2:$A$88,0)),""),"")</f>
        <v>https://calendly.com/partner002/interview</v>
      </c>
      <c r="AE163" s="28">
        <f ca="1">IF(X163=1,IFERROR(INDEX(SETTINGS!$B$34:$D$36,MATCH(I163,SETTINGS!$A$34:$A$36,0),MIN(Q163,2)+1),SETTINGS!$B$36),0)</f>
        <v>0</v>
      </c>
      <c r="AF163" s="28">
        <f t="shared" si="26"/>
        <v>1</v>
      </c>
      <c r="AG163" s="28">
        <f ca="1">IF(AND(Y163=1,AB163=1),ROUND(AA163*AE163*IF(AF163&gt;1,SETTINGS!$B$16,1)*IF(W163&lt;=SETTINGS!$B$14,SETTINGS!$B$15,1)*IF(AU163=1,SETTINGS!$B$21,1),6),0)</f>
        <v>0</v>
      </c>
      <c r="AH163" s="28" t="str">
        <f ca="1">IF(AG163&gt;0,COUNTIFS($Z$2:$Z$601,Z163,$AG$2:$AG$601,"&gt;"&amp;AG163)+COUNTIFS($Z$2:Z163,Z163,$AG$2:AG163,AG163),"")</f>
        <v/>
      </c>
      <c r="AI163" s="28" t="str">
        <f t="shared" ca="1" si="27"/>
        <v/>
      </c>
      <c r="AJ163" s="28" t="str">
        <f t="shared" ca="1" si="28"/>
        <v/>
      </c>
      <c r="AK163" s="28">
        <f>IF(L163=1,IF(COUNTIFS($F$2:F163,F163,$L$2:L163,1)=1,1,0),0)</f>
        <v>0</v>
      </c>
      <c r="AL163" s="28" t="str">
        <f ca="1">IF(B163="","",IF(K163="DUPLICATE","Duplicate (removed)",IF(AO163=1,"Scheduled within 24h",IF(M163=1,"Scheduled late",IF(K163="BAD CONTACT","Bad contact details",IF(O163=1,"Stopped / wrong number",IF(N163=1,"Not interested",IF(P163=1,"Partner has no slots",IF(SETTINGS!$B$4&gt;=V163,IF(Q163=0,"Missed deadline: never tried","Missed deadline: tried, not booked"),IF(Q163&gt;=SETTINGS!$B$6,"No reply after max tries","Open"))))))))))</f>
        <v>Missed deadline: never tried</v>
      </c>
      <c r="AM163" s="46" t="str">
        <f>IF(M163=1,IF(_xlfn.MINIFS(LOG!$G$2:$G$2001,LOG!$C$2:$C$2001,F163,LOG!$E$2:$E$2001,B163,LOG!$D$2:$D$2001,"*BOOKED")=0,_xlfn.MINIFS(LOG!$G$2:$G$2001,LOG!$C$2:$C$2001,F163,LOG!$E$2:$E$2001,"",LOG!$D$2:$D$2001,"*BOOKED"),IF(_xlfn.MINIFS(LOG!$G$2:$G$2001,LOG!$C$2:$C$2001,F163,LOG!$E$2:$E$2001,"",LOG!$D$2:$D$2001,"*BOOKED")=0,_xlfn.MINIFS(LOG!$G$2:$G$2001,LOG!$C$2:$C$2001,F163,LOG!$E$2:$E$2001,B163,LOG!$D$2:$D$2001,"*BOOKED"),MIN(_xlfn.MINIFS(LOG!$G$2:$G$2001,LOG!$C$2:$C$2001,F163,LOG!$E$2:$E$2001,B163,LOG!$D$2:$D$2001,"*BOOKED"),_xlfn.MINIFS(LOG!$G$2:$G$2001,LOG!$C$2:$C$2001,F163,LOG!$E$2:$E$2001,"",LOG!$D$2:$D$2001,"*BOOKED")))),"")</f>
        <v/>
      </c>
      <c r="AN163" s="28" t="str">
        <f t="shared" si="29"/>
        <v/>
      </c>
      <c r="AO163" s="28">
        <f>IF(AND(M163=1,AN163&lt;&gt;""),IF(AN163&lt;=SETTINGS!$B$5,1,0),0)</f>
        <v>0</v>
      </c>
      <c r="AP163" s="28">
        <f>IF(M163=1,IF(COUNTIFS(LOG!$C$2:$C$2001,F163,LOG!$E$2:$E$2001,B163,LOG!$D$2:$D$2001,"BOOKED")+COUNTIFS(LOG!$C$2:$C$2001,F163,LOG!$E$2:$E$2001,"",LOG!$D$2:$D$2001,"BOOKED")&gt;0,1,0),0)</f>
        <v>0</v>
      </c>
      <c r="AQ163" s="28" t="str">
        <f t="shared" si="30"/>
        <v>Diya</v>
      </c>
      <c r="AR163" s="28" t="str">
        <f>IF(AND(AK163=1,K163="OK"),COUNTIFS($AK$2:AK163,1,$K$2:K163,"OK"),"")</f>
        <v/>
      </c>
      <c r="AS163" s="28" t="str">
        <f>IF(L163=1,IFERROR(INDEX(MESSAGES!$J$9:$J$1008,MATCH(F163,MESSAGES!$M$9:$M$1008,0))&amp;"",""),"")</f>
        <v/>
      </c>
      <c r="AT163" s="28" t="str">
        <f>IF(L163=1,IFERROR(INDEX(MESSAGES!$K$9:$K$1008,MATCH(F163,MESSAGES!$M$9:$M$1008,0))&amp;"",""),"")</f>
        <v/>
      </c>
      <c r="AU163" s="28">
        <f t="shared" ca="1" si="31"/>
        <v>0</v>
      </c>
      <c r="AV163" s="28" t="str">
        <f t="shared" si="32"/>
        <v>SEND</v>
      </c>
    </row>
    <row r="164" spans="1:48" x14ac:dyDescent="0.35">
      <c r="A164" s="28">
        <v>163</v>
      </c>
      <c r="B164" s="28" t="str">
        <f>IF(INPUT!A164="","",TRIM(INPUT!A164))</f>
        <v>Partner 004</v>
      </c>
      <c r="C164" s="28" t="str">
        <f>IF(B164="","",INPUT!C164)</f>
        <v>interviewer1@partner004.example.com</v>
      </c>
      <c r="D164" s="28" t="str">
        <f>IF(B164="","",INPUT!D164)</f>
        <v>Reyansh L.</v>
      </c>
      <c r="E164" s="28" t="str">
        <f>IF(B164="","",INPUT!E164)</f>
        <v>reyansh.l306@example.com</v>
      </c>
      <c r="F164" s="43" t="str">
        <f>IF(B164="","",TRIM(INPUT!F164&amp;""))</f>
        <v>9000003985</v>
      </c>
      <c r="G164" s="28" t="str">
        <f>IF(B164="","",INPUT!H164)</f>
        <v>Round1</v>
      </c>
      <c r="H164" s="46">
        <f>IF(B164="","",INPUT!I164)</f>
        <v>46308.82708333333</v>
      </c>
      <c r="I164" s="28" t="str">
        <f>IF(B164="","",IF(INPUT!J164="","None",INPUT!J164))</f>
        <v>Opened</v>
      </c>
      <c r="J164" s="28" t="str">
        <f t="shared" si="22"/>
        <v>reyansh.l306@example.com|partner 004|Round1|interviewer1@partner004.example.com</v>
      </c>
      <c r="K164" s="28" t="str">
        <f>IF(B164="","",IF(SUMPRODUCT(($J$2:$J$601=J164)*($H$2:$H$601&lt;H164))+SUMPRODUCT(($J$2:J164=J164)*($H$2:H164=H164))-1&gt;0,"DUPLICATE",IF(AND(ISNUMBER(SEARCH("@",E164)),ISNUMBER(SEARCH(".",E164)),LEN(F164)=10,ISNUMBER(VALUE(F164))),"OK","BAD CONTACT")))</f>
        <v>OK</v>
      </c>
      <c r="L164" s="28">
        <f t="shared" si="23"/>
        <v>1</v>
      </c>
      <c r="M164" s="28">
        <f>IF(L164=1,IF(COUNTIFS(LOG!$C$2:$C$2001,F164,LOG!$E$2:$E$2001,B164,LOG!$D$2:$D$2001,"*BOOKED")+COUNTIFS(LOG!$C$2:$C$2001,F164,LOG!$E$2:$E$2001,"",LOG!$D$2:$D$2001,"*BOOKED")&gt;0,1,0),0)</f>
        <v>0</v>
      </c>
      <c r="N164" s="28">
        <f>IF(L164=1,IF(COUNTIFS(LOG!$C$2:$C$2001,F164,LOG!$E$2:$E$2001,B164,LOG!$D$2:$D$2001,"NOT_INTERESTED")+COUNTIFS(LOG!$C$2:$C$2001,F164,LOG!$E$2:$E$2001,"",LOG!$D$2:$D$2001,"NOT_INTERESTED")&gt;0,1,0),0)</f>
        <v>0</v>
      </c>
      <c r="O164" s="28">
        <f>IF(L164=1,IF(COUNTIFS(LOG!$C$2:$C$2001,F164,LOG!$D$2:$D$2001,"STOP")+COUNTIFS(LOG!$C$2:$C$2001,F164,LOG!$D$2:$D$2001,"WRONG_NUMBER")&gt;0,1,IF(ISNUMBER(SEARCH("STOP",AT164)),1,0)),0)</f>
        <v>0</v>
      </c>
      <c r="P164" s="28">
        <f>IF(L164=1,IF(IFERROR(INDEX(PARTNERS!$D$2:$D$88,MATCH(B164,PARTNERS!$A$2:$A$88,0)),"")="NO SLOTS",1,IF(AND(IFERROR(INDEX(PARTNERS!$D$2:$D$88,MATCH(B164,PARTNERS!$A$2:$A$88,0)),"")&lt;&gt;"REOPENED",COUNTIFS(LOG!$E$2:$E$2001,B164,LOG!$D$2:$D$2001,"NO_SLOTS")&gt;0),1,0)),0)</f>
        <v>0</v>
      </c>
      <c r="Q164" s="28">
        <f>IF(L164=1,COUNTIFS(LOG!$C$2:$C$2001,F164,LOG!$H$2:$H$2001,1),0)</f>
        <v>0</v>
      </c>
      <c r="R164" s="46">
        <f>IF(Q164&gt;0,_xlfn.MAXIFS(LOG!$G$2:$G$2001,LOG!$C$2:$C$2001,F164,LOG!$H$2:$H$2001,1),0)</f>
        <v>0</v>
      </c>
      <c r="S164" s="28" t="str">
        <f>IF(Q164&gt;0,IFERROR(INDEX(LOG!$D$2:$D$2001,MATCH(F164&amp;"|"&amp;Q164,LOG!$I$2:$I$2001,0)),""),"")</f>
        <v/>
      </c>
      <c r="T164" s="28">
        <f>IF(S164="",0,IFERROR(VLOOKUP(S164,LISTS!$A$2:$E$10,4,FALSE),0))</f>
        <v>0</v>
      </c>
      <c r="U164" s="46">
        <f t="shared" si="24"/>
        <v>0</v>
      </c>
      <c r="V164" s="46">
        <f>IF(L164=1,H164+SETTINGS!$B$5/24,"")</f>
        <v>46309.82708333333</v>
      </c>
      <c r="W164" s="28">
        <f ca="1">IF(L164=1,(V164-SETTINGS!$B$4)*24,"")</f>
        <v>-1.6666666720993817E-2</v>
      </c>
      <c r="X164" s="28">
        <f ca="1">IF(AND(L164=1,K164="OK",M164=0,N164=0,O164=0,P164=0,SETTINGS!$B$4&lt;V164,Q164&lt;SETTINGS!$B$6),1,0)</f>
        <v>0</v>
      </c>
      <c r="Y164" s="28">
        <f ca="1">IF(AND(X164=1,SETTINGS!$B$4&gt;=H164,SETTINGS!$B$4&gt;=U164,ROUND(MOD(SETTINGS!$B$4,1)*1440,0)&gt;=ROUND(SETTINGS!$B$7*1440,0),ROUND(MOD(SETTINGS!$B$4,1)*1440,0)&lt;ROUND(SETTINGS!$B$8*1440,0)),1,0)</f>
        <v>0</v>
      </c>
      <c r="Z164" s="28" t="str">
        <f ca="1">IF(B164="","",IF(ROUND(MOD(SETTINGS!$B$4,1)*1440,0)&lt;ROUND(SETTINGS!$B$11*1440,0),"Ram",IF(ROUND(MOD(SETTINGS!$B$4,1)*1440,0)&gt;=ROUND(SETTINGS!$B$10*1440,0),"Shyam",IF(MOD(IFERROR(VALUE(RIGHT(F164,2)),0),2)=0,"Ram","Shyam"))))</f>
        <v>Shyam</v>
      </c>
      <c r="AA164" s="28">
        <f t="shared" ca="1" si="25"/>
        <v>0</v>
      </c>
      <c r="AB164" s="28">
        <f ca="1">IF(X164=1,COUNTIFS($F$2:F164,F164,$X$2:X164,1),0)</f>
        <v>0</v>
      </c>
      <c r="AC164" s="28" t="str">
        <f>IF(L164=1,IF(IFERROR(INDEX(PARTNERS!$C$2:$C$88,MATCH(B164,PARTNERS!$A$2:$A$88,0)),"")="YES","YES","NO"),"")</f>
        <v>YES</v>
      </c>
      <c r="AD164" s="28" t="str">
        <f>IF(L164=1,IFERROR(INDEX(PARTNERS!$B$2:$B$88,MATCH(B164,PARTNERS!$A$2:$A$88,0)),""),"")</f>
        <v>https://calendly.com/partner004/interview</v>
      </c>
      <c r="AE164" s="28">
        <f ca="1">IF(X164=1,IFERROR(INDEX(SETTINGS!$B$34:$D$36,MATCH(I164,SETTINGS!$A$34:$A$36,0),MIN(Q164,2)+1),SETTINGS!$B$36),0)</f>
        <v>0</v>
      </c>
      <c r="AF164" s="28">
        <f t="shared" si="26"/>
        <v>1</v>
      </c>
      <c r="AG164" s="28">
        <f ca="1">IF(AND(Y164=1,AB164=1),ROUND(AA164*AE164*IF(AF164&gt;1,SETTINGS!$B$16,1)*IF(W164&lt;=SETTINGS!$B$14,SETTINGS!$B$15,1)*IF(AU164=1,SETTINGS!$B$21,1),6),0)</f>
        <v>0</v>
      </c>
      <c r="AH164" s="28" t="str">
        <f ca="1">IF(AG164&gt;0,COUNTIFS($Z$2:$Z$601,Z164,$AG$2:$AG$601,"&gt;"&amp;AG164)+COUNTIFS($Z$2:Z164,Z164,$AG$2:AG164,AG164),"")</f>
        <v/>
      </c>
      <c r="AI164" s="28" t="str">
        <f t="shared" ca="1" si="27"/>
        <v/>
      </c>
      <c r="AJ164" s="28" t="str">
        <f t="shared" ca="1" si="28"/>
        <v/>
      </c>
      <c r="AK164" s="28">
        <f>IF(L164=1,IF(COUNTIFS($F$2:F164,F164,$L$2:L164,1)=1,1,0),0)</f>
        <v>1</v>
      </c>
      <c r="AL164" s="28" t="str">
        <f ca="1">IF(B164="","",IF(K164="DUPLICATE","Duplicate (removed)",IF(AO164=1,"Scheduled within 24h",IF(M164=1,"Scheduled late",IF(K164="BAD CONTACT","Bad contact details",IF(O164=1,"Stopped / wrong number",IF(N164=1,"Not interested",IF(P164=1,"Partner has no slots",IF(SETTINGS!$B$4&gt;=V164,IF(Q164=0,"Missed deadline: never tried","Missed deadline: tried, not booked"),IF(Q164&gt;=SETTINGS!$B$6,"No reply after max tries","Open"))))))))))</f>
        <v>Missed deadline: never tried</v>
      </c>
      <c r="AM164" s="46" t="str">
        <f>IF(M164=1,IF(_xlfn.MINIFS(LOG!$G$2:$G$2001,LOG!$C$2:$C$2001,F164,LOG!$E$2:$E$2001,B164,LOG!$D$2:$D$2001,"*BOOKED")=0,_xlfn.MINIFS(LOG!$G$2:$G$2001,LOG!$C$2:$C$2001,F164,LOG!$E$2:$E$2001,"",LOG!$D$2:$D$2001,"*BOOKED"),IF(_xlfn.MINIFS(LOG!$G$2:$G$2001,LOG!$C$2:$C$2001,F164,LOG!$E$2:$E$2001,"",LOG!$D$2:$D$2001,"*BOOKED")=0,_xlfn.MINIFS(LOG!$G$2:$G$2001,LOG!$C$2:$C$2001,F164,LOG!$E$2:$E$2001,B164,LOG!$D$2:$D$2001,"*BOOKED"),MIN(_xlfn.MINIFS(LOG!$G$2:$G$2001,LOG!$C$2:$C$2001,F164,LOG!$E$2:$E$2001,B164,LOG!$D$2:$D$2001,"*BOOKED"),_xlfn.MINIFS(LOG!$G$2:$G$2001,LOG!$C$2:$C$2001,F164,LOG!$E$2:$E$2001,"",LOG!$D$2:$D$2001,"*BOOKED")))),"")</f>
        <v/>
      </c>
      <c r="AN164" s="28" t="str">
        <f t="shared" si="29"/>
        <v/>
      </c>
      <c r="AO164" s="28">
        <f>IF(AND(M164=1,AN164&lt;&gt;""),IF(AN164&lt;=SETTINGS!$B$5,1,0),0)</f>
        <v>0</v>
      </c>
      <c r="AP164" s="28">
        <f>IF(M164=1,IF(COUNTIFS(LOG!$C$2:$C$2001,F164,LOG!$E$2:$E$2001,B164,LOG!$D$2:$D$2001,"BOOKED")+COUNTIFS(LOG!$C$2:$C$2001,F164,LOG!$E$2:$E$2001,"",LOG!$D$2:$D$2001,"BOOKED")&gt;0,1,0),0)</f>
        <v>0</v>
      </c>
      <c r="AQ164" s="28" t="str">
        <f t="shared" si="30"/>
        <v>Reyansh</v>
      </c>
      <c r="AR164" s="28">
        <f>IF(AND(AK164=1,K164="OK"),COUNTIFS($AK$2:AK164,1,$K$2:K164,"OK"),"")</f>
        <v>149</v>
      </c>
      <c r="AS164" s="28" t="str">
        <f>IF(L164=1,IFERROR(INDEX(MESSAGES!$J$9:$J$1008,MATCH(F164,MESSAGES!$M$9:$M$1008,0))&amp;"",""),"")</f>
        <v/>
      </c>
      <c r="AT164" s="28" t="str">
        <f>IF(L164=1,IFERROR(INDEX(MESSAGES!$K$9:$K$1008,MATCH(F164,MESSAGES!$M$9:$M$1008,0))&amp;"",""),"")</f>
        <v/>
      </c>
      <c r="AU164" s="28">
        <f t="shared" ca="1" si="31"/>
        <v>0</v>
      </c>
      <c r="AV164" s="28" t="str">
        <f t="shared" si="32"/>
        <v>SEND</v>
      </c>
    </row>
    <row r="165" spans="1:48" x14ac:dyDescent="0.35">
      <c r="A165" s="28">
        <v>164</v>
      </c>
      <c r="B165" s="28" t="str">
        <f>IF(INPUT!A165="","",TRIM(INPUT!A165))</f>
        <v>Partner 007</v>
      </c>
      <c r="C165" s="28" t="str">
        <f>IF(B165="","",INPUT!C165)</f>
        <v>interviewer1@partner007.example.com</v>
      </c>
      <c r="D165" s="28" t="str">
        <f>IF(B165="","",INPUT!D165)</f>
        <v>Reyansh N.</v>
      </c>
      <c r="E165" s="28" t="str">
        <f>IF(B165="","",INPUT!E165)</f>
        <v>reyansh.n366@example.com</v>
      </c>
      <c r="F165" s="43" t="str">
        <f>IF(B165="","",TRIM(INPUT!F165&amp;""))</f>
        <v>9000004765</v>
      </c>
      <c r="G165" s="28" t="str">
        <f>IF(B165="","",INPUT!H165)</f>
        <v>Round1</v>
      </c>
      <c r="H165" s="46">
        <f>IF(B165="","",INPUT!I165)</f>
        <v>46308.82708333333</v>
      </c>
      <c r="I165" s="28" t="str">
        <f>IF(B165="","",IF(INPUT!J165="","None",INPUT!J165))</f>
        <v>Opened</v>
      </c>
      <c r="J165" s="28" t="str">
        <f t="shared" si="22"/>
        <v>reyansh.n366@example.com|partner 007|Round1|interviewer1@partner007.example.com</v>
      </c>
      <c r="K165" s="28" t="str">
        <f>IF(B165="","",IF(SUMPRODUCT(($J$2:$J$601=J165)*($H$2:$H$601&lt;H165))+SUMPRODUCT(($J$2:J165=J165)*($H$2:H165=H165))-1&gt;0,"DUPLICATE",IF(AND(ISNUMBER(SEARCH("@",E165)),ISNUMBER(SEARCH(".",E165)),LEN(F165)=10,ISNUMBER(VALUE(F165))),"OK","BAD CONTACT")))</f>
        <v>OK</v>
      </c>
      <c r="L165" s="28">
        <f t="shared" si="23"/>
        <v>1</v>
      </c>
      <c r="M165" s="28">
        <f>IF(L165=1,IF(COUNTIFS(LOG!$C$2:$C$2001,F165,LOG!$E$2:$E$2001,B165,LOG!$D$2:$D$2001,"*BOOKED")+COUNTIFS(LOG!$C$2:$C$2001,F165,LOG!$E$2:$E$2001,"",LOG!$D$2:$D$2001,"*BOOKED")&gt;0,1,0),0)</f>
        <v>1</v>
      </c>
      <c r="N165" s="28">
        <f>IF(L165=1,IF(COUNTIFS(LOG!$C$2:$C$2001,F165,LOG!$E$2:$E$2001,B165,LOG!$D$2:$D$2001,"NOT_INTERESTED")+COUNTIFS(LOG!$C$2:$C$2001,F165,LOG!$E$2:$E$2001,"",LOG!$D$2:$D$2001,"NOT_INTERESTED")&gt;0,1,0),0)</f>
        <v>0</v>
      </c>
      <c r="O165" s="28">
        <f>IF(L165=1,IF(COUNTIFS(LOG!$C$2:$C$2001,F165,LOG!$D$2:$D$2001,"STOP")+COUNTIFS(LOG!$C$2:$C$2001,F165,LOG!$D$2:$D$2001,"WRONG_NUMBER")&gt;0,1,IF(ISNUMBER(SEARCH("STOP",AT165)),1,0)),0)</f>
        <v>0</v>
      </c>
      <c r="P165" s="28">
        <f>IF(L165=1,IF(IFERROR(INDEX(PARTNERS!$D$2:$D$88,MATCH(B165,PARTNERS!$A$2:$A$88,0)),"")="NO SLOTS",1,IF(AND(IFERROR(INDEX(PARTNERS!$D$2:$D$88,MATCH(B165,PARTNERS!$A$2:$A$88,0)),"")&lt;&gt;"REOPENED",COUNTIFS(LOG!$E$2:$E$2001,B165,LOG!$D$2:$D$2001,"NO_SLOTS")&gt;0),1,0)),0)</f>
        <v>0</v>
      </c>
      <c r="Q165" s="28">
        <f>IF(L165=1,COUNTIFS(LOG!$C$2:$C$2001,F165,LOG!$H$2:$H$2001,1),0)</f>
        <v>0</v>
      </c>
      <c r="R165" s="46">
        <f>IF(Q165&gt;0,_xlfn.MAXIFS(LOG!$G$2:$G$2001,LOG!$C$2:$C$2001,F165,LOG!$H$2:$H$2001,1),0)</f>
        <v>0</v>
      </c>
      <c r="S165" s="28" t="str">
        <f>IF(Q165&gt;0,IFERROR(INDEX(LOG!$D$2:$D$2001,MATCH(F165&amp;"|"&amp;Q165,LOG!$I$2:$I$2001,0)),""),"")</f>
        <v/>
      </c>
      <c r="T165" s="28">
        <f>IF(S165="",0,IFERROR(VLOOKUP(S165,LISTS!$A$2:$E$10,4,FALSE),0))</f>
        <v>0</v>
      </c>
      <c r="U165" s="46">
        <f t="shared" si="24"/>
        <v>0</v>
      </c>
      <c r="V165" s="46">
        <f>IF(L165=1,H165+SETTINGS!$B$5/24,"")</f>
        <v>46309.82708333333</v>
      </c>
      <c r="W165" s="28">
        <f ca="1">IF(L165=1,(V165-SETTINGS!$B$4)*24,"")</f>
        <v>-1.6666666720993817E-2</v>
      </c>
      <c r="X165" s="28">
        <f ca="1">IF(AND(L165=1,K165="OK",M165=0,N165=0,O165=0,P165=0,SETTINGS!$B$4&lt;V165,Q165&lt;SETTINGS!$B$6),1,0)</f>
        <v>0</v>
      </c>
      <c r="Y165" s="28">
        <f ca="1">IF(AND(X165=1,SETTINGS!$B$4&gt;=H165,SETTINGS!$B$4&gt;=U165,ROUND(MOD(SETTINGS!$B$4,1)*1440,0)&gt;=ROUND(SETTINGS!$B$7*1440,0),ROUND(MOD(SETTINGS!$B$4,1)*1440,0)&lt;ROUND(SETTINGS!$B$8*1440,0)),1,0)</f>
        <v>0</v>
      </c>
      <c r="Z165" s="28" t="str">
        <f ca="1">IF(B165="","",IF(ROUND(MOD(SETTINGS!$B$4,1)*1440,0)&lt;ROUND(SETTINGS!$B$11*1440,0),"Ram",IF(ROUND(MOD(SETTINGS!$B$4,1)*1440,0)&gt;=ROUND(SETTINGS!$B$10*1440,0),"Shyam",IF(MOD(IFERROR(VALUE(RIGHT(F165,2)),0),2)=0,"Ram","Shyam"))))</f>
        <v>Shyam</v>
      </c>
      <c r="AA165" s="28">
        <f t="shared" ca="1" si="25"/>
        <v>0</v>
      </c>
      <c r="AB165" s="28">
        <f ca="1">IF(X165=1,COUNTIFS($F$2:F165,F165,$X$2:X165,1),0)</f>
        <v>0</v>
      </c>
      <c r="AC165" s="28" t="str">
        <f>IF(L165=1,IF(IFERROR(INDEX(PARTNERS!$C$2:$C$88,MATCH(B165,PARTNERS!$A$2:$A$88,0)),"")="YES","YES","NO"),"")</f>
        <v>NO</v>
      </c>
      <c r="AD165" s="28" t="str">
        <f>IF(L165=1,IFERROR(INDEX(PARTNERS!$B$2:$B$88,MATCH(B165,PARTNERS!$A$2:$A$88,0)),""),"")</f>
        <v>https://calendly.com/partner007/interview</v>
      </c>
      <c r="AE165" s="28">
        <f ca="1">IF(X165=1,IFERROR(INDEX(SETTINGS!$B$34:$D$36,MATCH(I165,SETTINGS!$A$34:$A$36,0),MIN(Q165,2)+1),SETTINGS!$B$36),0)</f>
        <v>0</v>
      </c>
      <c r="AF165" s="28">
        <f t="shared" si="26"/>
        <v>1</v>
      </c>
      <c r="AG165" s="28">
        <f ca="1">IF(AND(Y165=1,AB165=1),ROUND(AA165*AE165*IF(AF165&gt;1,SETTINGS!$B$16,1)*IF(W165&lt;=SETTINGS!$B$14,SETTINGS!$B$15,1)*IF(AU165=1,SETTINGS!$B$21,1),6),0)</f>
        <v>0</v>
      </c>
      <c r="AH165" s="28" t="str">
        <f ca="1">IF(AG165&gt;0,COUNTIFS($Z$2:$Z$601,Z165,$AG$2:$AG$601,"&gt;"&amp;AG165)+COUNTIFS($Z$2:Z165,Z165,$AG$2:AG165,AG165),"")</f>
        <v/>
      </c>
      <c r="AI165" s="28" t="str">
        <f t="shared" ca="1" si="27"/>
        <v/>
      </c>
      <c r="AJ165" s="28" t="str">
        <f t="shared" ca="1" si="28"/>
        <v/>
      </c>
      <c r="AK165" s="28">
        <f>IF(L165=1,IF(COUNTIFS($F$2:F165,F165,$L$2:L165,1)=1,1,0),0)</f>
        <v>1</v>
      </c>
      <c r="AL165" s="28" t="str">
        <f>IF(B165="","",IF(K165="DUPLICATE","Duplicate (removed)",IF(AO165=1,"Scheduled within 24h",IF(M165=1,"Scheduled late",IF(K165="BAD CONTACT","Bad contact details",IF(O165=1,"Stopped / wrong number",IF(N165=1,"Not interested",IF(P165=1,"Partner has no slots",IF(SETTINGS!$B$4&gt;=V165,IF(Q165=0,"Missed deadline: never tried","Missed deadline: tried, not booked"),IF(Q165&gt;=SETTINGS!$B$6,"No reply after max tries","Open"))))))))))</f>
        <v>Scheduled within 24h</v>
      </c>
      <c r="AM165" s="46">
        <f>IF(M165=1,IF(_xlfn.MINIFS(LOG!$G$2:$G$2001,LOG!$C$2:$C$2001,F165,LOG!$E$2:$E$2001,B165,LOG!$D$2:$D$2001,"*BOOKED")=0,_xlfn.MINIFS(LOG!$G$2:$G$2001,LOG!$C$2:$C$2001,F165,LOG!$E$2:$E$2001,"",LOG!$D$2:$D$2001,"*BOOKED"),IF(_xlfn.MINIFS(LOG!$G$2:$G$2001,LOG!$C$2:$C$2001,F165,LOG!$E$2:$E$2001,"",LOG!$D$2:$D$2001,"*BOOKED")=0,_xlfn.MINIFS(LOG!$G$2:$G$2001,LOG!$C$2:$C$2001,F165,LOG!$E$2:$E$2001,B165,LOG!$D$2:$D$2001,"*BOOKED"),MIN(_xlfn.MINIFS(LOG!$G$2:$G$2001,LOG!$C$2:$C$2001,F165,LOG!$E$2:$E$2001,B165,LOG!$D$2:$D$2001,"*BOOKED"),_xlfn.MINIFS(LOG!$G$2:$G$2001,LOG!$C$2:$C$2001,F165,LOG!$E$2:$E$2001,"",LOG!$D$2:$D$2001,"*BOOKED")))),"")</f>
        <v>46309.374379519068</v>
      </c>
      <c r="AN165" s="28">
        <f t="shared" si="29"/>
        <v>13.135108457703609</v>
      </c>
      <c r="AO165" s="28">
        <f>IF(AND(M165=1,AN165&lt;&gt;""),IF(AN165&lt;=SETTINGS!$B$5,1,0),0)</f>
        <v>1</v>
      </c>
      <c r="AP165" s="28">
        <f>IF(M165=1,IF(COUNTIFS(LOG!$C$2:$C$2001,F165,LOG!$E$2:$E$2001,B165,LOG!$D$2:$D$2001,"BOOKED")+COUNTIFS(LOG!$C$2:$C$2001,F165,LOG!$E$2:$E$2001,"",LOG!$D$2:$D$2001,"BOOKED")&gt;0,1,0),0)</f>
        <v>0</v>
      </c>
      <c r="AQ165" s="28" t="str">
        <f t="shared" si="30"/>
        <v>Reyansh</v>
      </c>
      <c r="AR165" s="28">
        <f>IF(AND(AK165=1,K165="OK"),COUNTIFS($AK$2:AK165,1,$K$2:K165,"OK"),"")</f>
        <v>150</v>
      </c>
      <c r="AS165" s="28" t="str">
        <f>IF(L165=1,IFERROR(INDEX(MESSAGES!$J$9:$J$1008,MATCH(F165,MESSAGES!$M$9:$M$1008,0))&amp;"",""),"")</f>
        <v/>
      </c>
      <c r="AT165" s="28" t="str">
        <f>IF(L165=1,IFERROR(INDEX(MESSAGES!$K$9:$K$1008,MATCH(F165,MESSAGES!$M$9:$M$1008,0))&amp;"",""),"")</f>
        <v/>
      </c>
      <c r="AU165" s="28">
        <f t="shared" ca="1" si="31"/>
        <v>0</v>
      </c>
      <c r="AV165" s="28" t="str">
        <f t="shared" si="32"/>
        <v>SEND</v>
      </c>
    </row>
    <row r="166" spans="1:48" x14ac:dyDescent="0.35">
      <c r="A166" s="28">
        <v>165</v>
      </c>
      <c r="B166" s="28" t="str">
        <f>IF(INPUT!A166="","",TRIM(INPUT!A166))</f>
        <v>Partner 000</v>
      </c>
      <c r="C166" s="28" t="str">
        <f>IF(B166="","",INPUT!C166)</f>
        <v>interviewer0@partner000.example.com</v>
      </c>
      <c r="D166" s="28" t="str">
        <f>IF(B166="","",INPUT!D166)</f>
        <v>Reyansh G.</v>
      </c>
      <c r="E166" s="28" t="str">
        <f>IF(B166="","",INPUT!E166)</f>
        <v>reyansh.g186@example.com</v>
      </c>
      <c r="F166" s="43" t="str">
        <f>IF(B166="","",TRIM(INPUT!F166&amp;""))</f>
        <v>9000002425</v>
      </c>
      <c r="G166" s="28" t="str">
        <f>IF(B166="","",INPUT!H166)</f>
        <v>Round1</v>
      </c>
      <c r="H166" s="46">
        <f>IF(B166="","",INPUT!I166)</f>
        <v>46308.82708333333</v>
      </c>
      <c r="I166" s="28" t="str">
        <f>IF(B166="","",IF(INPUT!J166="","None",INPUT!J166))</f>
        <v>Clicked</v>
      </c>
      <c r="J166" s="28" t="str">
        <f t="shared" si="22"/>
        <v>reyansh.g186@example.com|partner 000|Round1|interviewer0@partner000.example.com</v>
      </c>
      <c r="K166" s="28" t="str">
        <f>IF(B166="","",IF(SUMPRODUCT(($J$2:$J$601=J166)*($H$2:$H$601&lt;H166))+SUMPRODUCT(($J$2:J166=J166)*($H$2:H166=H166))-1&gt;0,"DUPLICATE",IF(AND(ISNUMBER(SEARCH("@",E166)),ISNUMBER(SEARCH(".",E166)),LEN(F166)=10,ISNUMBER(VALUE(F166))),"OK","BAD CONTACT")))</f>
        <v>OK</v>
      </c>
      <c r="L166" s="28">
        <f t="shared" si="23"/>
        <v>1</v>
      </c>
      <c r="M166" s="28">
        <f>IF(L166=1,IF(COUNTIFS(LOG!$C$2:$C$2001,F166,LOG!$E$2:$E$2001,B166,LOG!$D$2:$D$2001,"*BOOKED")+COUNTIFS(LOG!$C$2:$C$2001,F166,LOG!$E$2:$E$2001,"",LOG!$D$2:$D$2001,"*BOOKED")&gt;0,1,0),0)</f>
        <v>1</v>
      </c>
      <c r="N166" s="28">
        <f>IF(L166=1,IF(COUNTIFS(LOG!$C$2:$C$2001,F166,LOG!$E$2:$E$2001,B166,LOG!$D$2:$D$2001,"NOT_INTERESTED")+COUNTIFS(LOG!$C$2:$C$2001,F166,LOG!$E$2:$E$2001,"",LOG!$D$2:$D$2001,"NOT_INTERESTED")&gt;0,1,0),0)</f>
        <v>0</v>
      </c>
      <c r="O166" s="28">
        <f>IF(L166=1,IF(COUNTIFS(LOG!$C$2:$C$2001,F166,LOG!$D$2:$D$2001,"STOP")+COUNTIFS(LOG!$C$2:$C$2001,F166,LOG!$D$2:$D$2001,"WRONG_NUMBER")&gt;0,1,IF(ISNUMBER(SEARCH("STOP",AT166)),1,0)),0)</f>
        <v>0</v>
      </c>
      <c r="P166" s="28">
        <f>IF(L166=1,IF(IFERROR(INDEX(PARTNERS!$D$2:$D$88,MATCH(B166,PARTNERS!$A$2:$A$88,0)),"")="NO SLOTS",1,IF(AND(IFERROR(INDEX(PARTNERS!$D$2:$D$88,MATCH(B166,PARTNERS!$A$2:$A$88,0)),"")&lt;&gt;"REOPENED",COUNTIFS(LOG!$E$2:$E$2001,B166,LOG!$D$2:$D$2001,"NO_SLOTS")&gt;0),1,0)),0)</f>
        <v>0</v>
      </c>
      <c r="Q166" s="28">
        <f>IF(L166=1,COUNTIFS(LOG!$C$2:$C$2001,F166,LOG!$H$2:$H$2001,1),0)</f>
        <v>1</v>
      </c>
      <c r="R166" s="46">
        <f>IF(Q166&gt;0,_xlfn.MAXIFS(LOG!$G$2:$G$2001,LOG!$C$2:$C$2001,F166,LOG!$H$2:$H$2001,1),0)</f>
        <v>46309.603681193919</v>
      </c>
      <c r="S166" s="28" t="str">
        <f>IF(Q166&gt;0,IFERROR(INDEX(LOG!$D$2:$D$2001,MATCH(F166&amp;"|"&amp;Q166,LOG!$I$2:$I$2001,0)),""),"")</f>
        <v>SENT_LINK</v>
      </c>
      <c r="T166" s="28">
        <f>IF(S166="",0,IFERROR(VLOOKUP(S166,LISTS!$A$2:$E$10,4,FALSE),0))</f>
        <v>180</v>
      </c>
      <c r="U166" s="46">
        <f t="shared" si="24"/>
        <v>46309.728681193919</v>
      </c>
      <c r="V166" s="46">
        <f>IF(L166=1,H166+SETTINGS!$B$5/24,"")</f>
        <v>46309.82708333333</v>
      </c>
      <c r="W166" s="28">
        <f ca="1">IF(L166=1,(V166-SETTINGS!$B$4)*24,"")</f>
        <v>-1.6666666720993817E-2</v>
      </c>
      <c r="X166" s="28">
        <f ca="1">IF(AND(L166=1,K166="OK",M166=0,N166=0,O166=0,P166=0,SETTINGS!$B$4&lt;V166,Q166&lt;SETTINGS!$B$6),1,0)</f>
        <v>0</v>
      </c>
      <c r="Y166" s="28">
        <f ca="1">IF(AND(X166=1,SETTINGS!$B$4&gt;=H166,SETTINGS!$B$4&gt;=U166,ROUND(MOD(SETTINGS!$B$4,1)*1440,0)&gt;=ROUND(SETTINGS!$B$7*1440,0),ROUND(MOD(SETTINGS!$B$4,1)*1440,0)&lt;ROUND(SETTINGS!$B$8*1440,0)),1,0)</f>
        <v>0</v>
      </c>
      <c r="Z166" s="28" t="str">
        <f ca="1">IF(B166="","",IF(ROUND(MOD(SETTINGS!$B$4,1)*1440,0)&lt;ROUND(SETTINGS!$B$11*1440,0),"Ram",IF(ROUND(MOD(SETTINGS!$B$4,1)*1440,0)&gt;=ROUND(SETTINGS!$B$10*1440,0),"Shyam",IF(MOD(IFERROR(VALUE(RIGHT(F166,2)),0),2)=0,"Ram","Shyam"))))</f>
        <v>Shyam</v>
      </c>
      <c r="AA166" s="28">
        <f t="shared" ca="1" si="25"/>
        <v>0</v>
      </c>
      <c r="AB166" s="28">
        <f ca="1">IF(X166=1,COUNTIFS($F$2:F166,F166,$X$2:X166,1),0)</f>
        <v>0</v>
      </c>
      <c r="AC166" s="28" t="str">
        <f>IF(L166=1,IF(IFERROR(INDEX(PARTNERS!$C$2:$C$88,MATCH(B166,PARTNERS!$A$2:$A$88,0)),"")="YES","YES","NO"),"")</f>
        <v>NO</v>
      </c>
      <c r="AD166" s="28" t="str">
        <f>IF(L166=1,IFERROR(INDEX(PARTNERS!$B$2:$B$88,MATCH(B166,PARTNERS!$A$2:$A$88,0)),""),"")</f>
        <v>https://calendly.com/partner000/interview</v>
      </c>
      <c r="AE166" s="28">
        <f ca="1">IF(X166=1,IFERROR(INDEX(SETTINGS!$B$34:$D$36,MATCH(I166,SETTINGS!$A$34:$A$36,0),MIN(Q166,2)+1),SETTINGS!$B$36),0)</f>
        <v>0</v>
      </c>
      <c r="AF166" s="28">
        <f t="shared" si="26"/>
        <v>1</v>
      </c>
      <c r="AG166" s="28">
        <f ca="1">IF(AND(Y166=1,AB166=1),ROUND(AA166*AE166*IF(AF166&gt;1,SETTINGS!$B$16,1)*IF(W166&lt;=SETTINGS!$B$14,SETTINGS!$B$15,1)*IF(AU166=1,SETTINGS!$B$21,1),6),0)</f>
        <v>0</v>
      </c>
      <c r="AH166" s="28" t="str">
        <f ca="1">IF(AG166&gt;0,COUNTIFS($Z$2:$Z$601,Z166,$AG$2:$AG$601,"&gt;"&amp;AG166)+COUNTIFS($Z$2:Z166,Z166,$AG$2:AG166,AG166),"")</f>
        <v/>
      </c>
      <c r="AI166" s="28" t="str">
        <f t="shared" ca="1" si="27"/>
        <v/>
      </c>
      <c r="AJ166" s="28" t="str">
        <f t="shared" ca="1" si="28"/>
        <v/>
      </c>
      <c r="AK166" s="28">
        <f>IF(L166=1,IF(COUNTIFS($F$2:F166,F166,$L$2:L166,1)=1,1,0),0)</f>
        <v>1</v>
      </c>
      <c r="AL166" s="28" t="str">
        <f>IF(B166="","",IF(K166="DUPLICATE","Duplicate (removed)",IF(AO166=1,"Scheduled within 24h",IF(M166=1,"Scheduled late",IF(K166="BAD CONTACT","Bad contact details",IF(O166=1,"Stopped / wrong number",IF(N166=1,"Not interested",IF(P166=1,"Partner has no slots",IF(SETTINGS!$B$4&gt;=V166,IF(Q166=0,"Missed deadline: never tried","Missed deadline: tried, not booked"),IF(Q166&gt;=SETTINGS!$B$6,"No reply after max tries","Open"))))))))))</f>
        <v>Scheduled within 24h</v>
      </c>
      <c r="AM166" s="46">
        <f>IF(M166=1,IF(_xlfn.MINIFS(LOG!$G$2:$G$2001,LOG!$C$2:$C$2001,F166,LOG!$E$2:$E$2001,B166,LOG!$D$2:$D$2001,"*BOOKED")=0,_xlfn.MINIFS(LOG!$G$2:$G$2001,LOG!$C$2:$C$2001,F166,LOG!$E$2:$E$2001,"",LOG!$D$2:$D$2001,"*BOOKED"),IF(_xlfn.MINIFS(LOG!$G$2:$G$2001,LOG!$C$2:$C$2001,F166,LOG!$E$2:$E$2001,"",LOG!$D$2:$D$2001,"*BOOKED")=0,_xlfn.MINIFS(LOG!$G$2:$G$2001,LOG!$C$2:$C$2001,F166,LOG!$E$2:$E$2001,B166,LOG!$D$2:$D$2001,"*BOOKED"),MIN(_xlfn.MINIFS(LOG!$G$2:$G$2001,LOG!$C$2:$C$2001,F166,LOG!$E$2:$E$2001,B166,LOG!$D$2:$D$2001,"*BOOKED"),_xlfn.MINIFS(LOG!$G$2:$G$2001,LOG!$C$2:$C$2001,F166,LOG!$E$2:$E$2001,"",LOG!$D$2:$D$2001,"*BOOKED")))),"")</f>
        <v>46309.701605251539</v>
      </c>
      <c r="AN166" s="28">
        <f t="shared" si="29"/>
        <v>20.988526037021074</v>
      </c>
      <c r="AO166" s="28">
        <f>IF(AND(M166=1,AN166&lt;&gt;""),IF(AN166&lt;=SETTINGS!$B$5,1,0),0)</f>
        <v>1</v>
      </c>
      <c r="AP166" s="28">
        <f>IF(M166=1,IF(COUNTIFS(LOG!$C$2:$C$2001,F166,LOG!$E$2:$E$2001,B166,LOG!$D$2:$D$2001,"BOOKED")+COUNTIFS(LOG!$C$2:$C$2001,F166,LOG!$E$2:$E$2001,"",LOG!$D$2:$D$2001,"BOOKED")&gt;0,1,0),0)</f>
        <v>0</v>
      </c>
      <c r="AQ166" s="28" t="str">
        <f t="shared" si="30"/>
        <v>Reyansh</v>
      </c>
      <c r="AR166" s="28">
        <f>IF(AND(AK166=1,K166="OK"),COUNTIFS($AK$2:AK166,1,$K$2:K166,"OK"),"")</f>
        <v>151</v>
      </c>
      <c r="AS166" s="28" t="str">
        <f>IF(L166=1,IFERROR(INDEX(MESSAGES!$J$9:$J$1008,MATCH(F166,MESSAGES!$M$9:$M$1008,0))&amp;"",""),"")</f>
        <v/>
      </c>
      <c r="AT166" s="28" t="str">
        <f>IF(L166=1,IFERROR(INDEX(MESSAGES!$K$9:$K$1008,MATCH(F166,MESSAGES!$M$9:$M$1008,0))&amp;"",""),"")</f>
        <v/>
      </c>
      <c r="AU166" s="28">
        <f t="shared" ca="1" si="31"/>
        <v>0</v>
      </c>
      <c r="AV166" s="28" t="str">
        <f t="shared" si="32"/>
        <v>SEND</v>
      </c>
    </row>
    <row r="167" spans="1:48" x14ac:dyDescent="0.35">
      <c r="A167" s="28">
        <v>166</v>
      </c>
      <c r="B167" s="28" t="str">
        <f>IF(INPUT!A167="","",TRIM(INPUT!A167))</f>
        <v>Partner 021</v>
      </c>
      <c r="C167" s="28" t="str">
        <f>IF(B167="","",INPUT!C167)</f>
        <v>interviewer2@partner021.example.com</v>
      </c>
      <c r="D167" s="28" t="str">
        <f>IF(B167="","",INPUT!D167)</f>
        <v>Kavya B.</v>
      </c>
      <c r="E167" s="28" t="str">
        <f>IF(B167="","",INPUT!E167)</f>
        <v>kavya.b059@example.com</v>
      </c>
      <c r="F167" s="43" t="str">
        <f>IF(B167="","",TRIM(INPUT!F167&amp;""))</f>
        <v>9000000774</v>
      </c>
      <c r="G167" s="28" t="str">
        <f>IF(B167="","",INPUT!H167)</f>
        <v>Round1</v>
      </c>
      <c r="H167" s="46">
        <f>IF(B167="","",INPUT!I167)</f>
        <v>46308.82708333333</v>
      </c>
      <c r="I167" s="28" t="str">
        <f>IF(B167="","",IF(INPUT!J167="","None",INPUT!J167))</f>
        <v>None</v>
      </c>
      <c r="J167" s="28" t="str">
        <f t="shared" si="22"/>
        <v>kavya.b059@example.com|partner 021|Round1|interviewer2@partner021.example.com</v>
      </c>
      <c r="K167" s="28" t="str">
        <f>IF(B167="","",IF(SUMPRODUCT(($J$2:$J$601=J167)*($H$2:$H$601&lt;H167))+SUMPRODUCT(($J$2:J167=J167)*($H$2:H167=H167))-1&gt;0,"DUPLICATE",IF(AND(ISNUMBER(SEARCH("@",E167)),ISNUMBER(SEARCH(".",E167)),LEN(F167)=10,ISNUMBER(VALUE(F167))),"OK","BAD CONTACT")))</f>
        <v>OK</v>
      </c>
      <c r="L167" s="28">
        <f t="shared" si="23"/>
        <v>1</v>
      </c>
      <c r="M167" s="28">
        <f>IF(L167=1,IF(COUNTIFS(LOG!$C$2:$C$2001,F167,LOG!$E$2:$E$2001,B167,LOG!$D$2:$D$2001,"*BOOKED")+COUNTIFS(LOG!$C$2:$C$2001,F167,LOG!$E$2:$E$2001,"",LOG!$D$2:$D$2001,"*BOOKED")&gt;0,1,0),0)</f>
        <v>0</v>
      </c>
      <c r="N167" s="28">
        <f>IF(L167=1,IF(COUNTIFS(LOG!$C$2:$C$2001,F167,LOG!$E$2:$E$2001,B167,LOG!$D$2:$D$2001,"NOT_INTERESTED")+COUNTIFS(LOG!$C$2:$C$2001,F167,LOG!$E$2:$E$2001,"",LOG!$D$2:$D$2001,"NOT_INTERESTED")&gt;0,1,0),0)</f>
        <v>0</v>
      </c>
      <c r="O167" s="28">
        <f>IF(L167=1,IF(COUNTIFS(LOG!$C$2:$C$2001,F167,LOG!$D$2:$D$2001,"STOP")+COUNTIFS(LOG!$C$2:$C$2001,F167,LOG!$D$2:$D$2001,"WRONG_NUMBER")&gt;0,1,IF(ISNUMBER(SEARCH("STOP",AT167)),1,0)),0)</f>
        <v>0</v>
      </c>
      <c r="P167" s="28">
        <f>IF(L167=1,IF(IFERROR(INDEX(PARTNERS!$D$2:$D$88,MATCH(B167,PARTNERS!$A$2:$A$88,0)),"")="NO SLOTS",1,IF(AND(IFERROR(INDEX(PARTNERS!$D$2:$D$88,MATCH(B167,PARTNERS!$A$2:$A$88,0)),"")&lt;&gt;"REOPENED",COUNTIFS(LOG!$E$2:$E$2001,B167,LOG!$D$2:$D$2001,"NO_SLOTS")&gt;0),1,0)),0)</f>
        <v>0</v>
      </c>
      <c r="Q167" s="28">
        <f>IF(L167=1,COUNTIFS(LOG!$C$2:$C$2001,F167,LOG!$H$2:$H$2001,1),0)</f>
        <v>0</v>
      </c>
      <c r="R167" s="46">
        <f>IF(Q167&gt;0,_xlfn.MAXIFS(LOG!$G$2:$G$2001,LOG!$C$2:$C$2001,F167,LOG!$H$2:$H$2001,1),0)</f>
        <v>0</v>
      </c>
      <c r="S167" s="28" t="str">
        <f>IF(Q167&gt;0,IFERROR(INDEX(LOG!$D$2:$D$2001,MATCH(F167&amp;"|"&amp;Q167,LOG!$I$2:$I$2001,0)),""),"")</f>
        <v/>
      </c>
      <c r="T167" s="28">
        <f>IF(S167="",0,IFERROR(VLOOKUP(S167,LISTS!$A$2:$E$10,4,FALSE),0))</f>
        <v>0</v>
      </c>
      <c r="U167" s="46">
        <f t="shared" si="24"/>
        <v>0</v>
      </c>
      <c r="V167" s="46">
        <f>IF(L167=1,H167+SETTINGS!$B$5/24,"")</f>
        <v>46309.82708333333</v>
      </c>
      <c r="W167" s="28">
        <f ca="1">IF(L167=1,(V167-SETTINGS!$B$4)*24,"")</f>
        <v>-1.6666666720993817E-2</v>
      </c>
      <c r="X167" s="28">
        <f ca="1">IF(AND(L167=1,K167="OK",M167=0,N167=0,O167=0,P167=0,SETTINGS!$B$4&lt;V167,Q167&lt;SETTINGS!$B$6),1,0)</f>
        <v>0</v>
      </c>
      <c r="Y167" s="28">
        <f ca="1">IF(AND(X167=1,SETTINGS!$B$4&gt;=H167,SETTINGS!$B$4&gt;=U167,ROUND(MOD(SETTINGS!$B$4,1)*1440,0)&gt;=ROUND(SETTINGS!$B$7*1440,0),ROUND(MOD(SETTINGS!$B$4,1)*1440,0)&lt;ROUND(SETTINGS!$B$8*1440,0)),1,0)</f>
        <v>0</v>
      </c>
      <c r="Z167" s="28" t="str">
        <f ca="1">IF(B167="","",IF(ROUND(MOD(SETTINGS!$B$4,1)*1440,0)&lt;ROUND(SETTINGS!$B$11*1440,0),"Ram",IF(ROUND(MOD(SETTINGS!$B$4,1)*1440,0)&gt;=ROUND(SETTINGS!$B$10*1440,0),"Shyam",IF(MOD(IFERROR(VALUE(RIGHT(F167,2)),0),2)=0,"Ram","Shyam"))))</f>
        <v>Shyam</v>
      </c>
      <c r="AA167" s="28">
        <f t="shared" ca="1" si="25"/>
        <v>0</v>
      </c>
      <c r="AB167" s="28">
        <f ca="1">IF(X167=1,COUNTIFS($F$2:F167,F167,$X$2:X167,1),0)</f>
        <v>0</v>
      </c>
      <c r="AC167" s="28" t="str">
        <f>IF(L167=1,IF(IFERROR(INDEX(PARTNERS!$C$2:$C$88,MATCH(B167,PARTNERS!$A$2:$A$88,0)),"")="YES","YES","NO"),"")</f>
        <v>NO</v>
      </c>
      <c r="AD167" s="28" t="str">
        <f>IF(L167=1,IFERROR(INDEX(PARTNERS!$B$2:$B$88,MATCH(B167,PARTNERS!$A$2:$A$88,0)),""),"")</f>
        <v>https://calendly.com/partner021/interview</v>
      </c>
      <c r="AE167" s="28">
        <f ca="1">IF(X167=1,IFERROR(INDEX(SETTINGS!$B$34:$D$36,MATCH(I167,SETTINGS!$A$34:$A$36,0),MIN(Q167,2)+1),SETTINGS!$B$36),0)</f>
        <v>0</v>
      </c>
      <c r="AF167" s="28">
        <f t="shared" si="26"/>
        <v>1</v>
      </c>
      <c r="AG167" s="28">
        <f ca="1">IF(AND(Y167=1,AB167=1),ROUND(AA167*AE167*IF(AF167&gt;1,SETTINGS!$B$16,1)*IF(W167&lt;=SETTINGS!$B$14,SETTINGS!$B$15,1)*IF(AU167=1,SETTINGS!$B$21,1),6),0)</f>
        <v>0</v>
      </c>
      <c r="AH167" s="28" t="str">
        <f ca="1">IF(AG167&gt;0,COUNTIFS($Z$2:$Z$601,Z167,$AG$2:$AG$601,"&gt;"&amp;AG167)+COUNTIFS($Z$2:Z167,Z167,$AG$2:AG167,AG167),"")</f>
        <v/>
      </c>
      <c r="AI167" s="28" t="str">
        <f t="shared" ca="1" si="27"/>
        <v/>
      </c>
      <c r="AJ167" s="28" t="str">
        <f t="shared" ca="1" si="28"/>
        <v/>
      </c>
      <c r="AK167" s="28">
        <f>IF(L167=1,IF(COUNTIFS($F$2:F167,F167,$L$2:L167,1)=1,1,0),0)</f>
        <v>1</v>
      </c>
      <c r="AL167" s="28" t="str">
        <f ca="1">IF(B167="","",IF(K167="DUPLICATE","Duplicate (removed)",IF(AO167=1,"Scheduled within 24h",IF(M167=1,"Scheduled late",IF(K167="BAD CONTACT","Bad contact details",IF(O167=1,"Stopped / wrong number",IF(N167=1,"Not interested",IF(P167=1,"Partner has no slots",IF(SETTINGS!$B$4&gt;=V167,IF(Q167=0,"Missed deadline: never tried","Missed deadline: tried, not booked"),IF(Q167&gt;=SETTINGS!$B$6,"No reply after max tries","Open"))))))))))</f>
        <v>Missed deadline: never tried</v>
      </c>
      <c r="AM167" s="46" t="str">
        <f>IF(M167=1,IF(_xlfn.MINIFS(LOG!$G$2:$G$2001,LOG!$C$2:$C$2001,F167,LOG!$E$2:$E$2001,B167,LOG!$D$2:$D$2001,"*BOOKED")=0,_xlfn.MINIFS(LOG!$G$2:$G$2001,LOG!$C$2:$C$2001,F167,LOG!$E$2:$E$2001,"",LOG!$D$2:$D$2001,"*BOOKED"),IF(_xlfn.MINIFS(LOG!$G$2:$G$2001,LOG!$C$2:$C$2001,F167,LOG!$E$2:$E$2001,"",LOG!$D$2:$D$2001,"*BOOKED")=0,_xlfn.MINIFS(LOG!$G$2:$G$2001,LOG!$C$2:$C$2001,F167,LOG!$E$2:$E$2001,B167,LOG!$D$2:$D$2001,"*BOOKED"),MIN(_xlfn.MINIFS(LOG!$G$2:$G$2001,LOG!$C$2:$C$2001,F167,LOG!$E$2:$E$2001,B167,LOG!$D$2:$D$2001,"*BOOKED"),_xlfn.MINIFS(LOG!$G$2:$G$2001,LOG!$C$2:$C$2001,F167,LOG!$E$2:$E$2001,"",LOG!$D$2:$D$2001,"*BOOKED")))),"")</f>
        <v/>
      </c>
      <c r="AN167" s="28" t="str">
        <f t="shared" si="29"/>
        <v/>
      </c>
      <c r="AO167" s="28">
        <f>IF(AND(M167=1,AN167&lt;&gt;""),IF(AN167&lt;=SETTINGS!$B$5,1,0),0)</f>
        <v>0</v>
      </c>
      <c r="AP167" s="28">
        <f>IF(M167=1,IF(COUNTIFS(LOG!$C$2:$C$2001,F167,LOG!$E$2:$E$2001,B167,LOG!$D$2:$D$2001,"BOOKED")+COUNTIFS(LOG!$C$2:$C$2001,F167,LOG!$E$2:$E$2001,"",LOG!$D$2:$D$2001,"BOOKED")&gt;0,1,0),0)</f>
        <v>0</v>
      </c>
      <c r="AQ167" s="28" t="str">
        <f t="shared" si="30"/>
        <v>Kavya</v>
      </c>
      <c r="AR167" s="28">
        <f>IF(AND(AK167=1,K167="OK"),COUNTIFS($AK$2:AK167,1,$K$2:K167,"OK"),"")</f>
        <v>152</v>
      </c>
      <c r="AS167" s="28" t="str">
        <f>IF(L167=1,IFERROR(INDEX(MESSAGES!$J$9:$J$1008,MATCH(F167,MESSAGES!$M$9:$M$1008,0))&amp;"",""),"")</f>
        <v/>
      </c>
      <c r="AT167" s="28" t="str">
        <f>IF(L167=1,IFERROR(INDEX(MESSAGES!$K$9:$K$1008,MATCH(F167,MESSAGES!$M$9:$M$1008,0))&amp;"",""),"")</f>
        <v/>
      </c>
      <c r="AU167" s="28">
        <f t="shared" ca="1" si="31"/>
        <v>0</v>
      </c>
      <c r="AV167" s="28" t="str">
        <f t="shared" si="32"/>
        <v>HOLD</v>
      </c>
    </row>
    <row r="168" spans="1:48" x14ac:dyDescent="0.35">
      <c r="A168" s="28">
        <v>167</v>
      </c>
      <c r="B168" s="28" t="str">
        <f>IF(INPUT!A168="","",TRIM(INPUT!A168))</f>
        <v>Partner 099</v>
      </c>
      <c r="C168" s="28" t="str">
        <f>IF(B168="","",INPUT!C168)</f>
        <v>interviewer1@partner099.example.com</v>
      </c>
      <c r="D168" s="28" t="str">
        <f>IF(B168="","",INPUT!D168)</f>
        <v>Diya H.</v>
      </c>
      <c r="E168" s="28" t="str">
        <f>IF(B168="","",INPUT!E168)</f>
        <v>diya.h211@example.com</v>
      </c>
      <c r="F168" s="43" t="str">
        <f>IF(B168="","",TRIM(INPUT!F168&amp;""))</f>
        <v>9000002750</v>
      </c>
      <c r="G168" s="28" t="str">
        <f>IF(B168="","",INPUT!H168)</f>
        <v>Round1</v>
      </c>
      <c r="H168" s="46">
        <f>IF(B168="","",INPUT!I168)</f>
        <v>46308.82708333333</v>
      </c>
      <c r="I168" s="28" t="str">
        <f>IF(B168="","",IF(INPUT!J168="","None",INPUT!J168))</f>
        <v>Opened</v>
      </c>
      <c r="J168" s="28" t="str">
        <f t="shared" si="22"/>
        <v>diya.h211@example.com|partner 099|Round1|interviewer1@partner099.example.com</v>
      </c>
      <c r="K168" s="28" t="str">
        <f>IF(B168="","",IF(SUMPRODUCT(($J$2:$J$601=J168)*($H$2:$H$601&lt;H168))+SUMPRODUCT(($J$2:J168=J168)*($H$2:H168=H168))-1&gt;0,"DUPLICATE",IF(AND(ISNUMBER(SEARCH("@",E168)),ISNUMBER(SEARCH(".",E168)),LEN(F168)=10,ISNUMBER(VALUE(F168))),"OK","BAD CONTACT")))</f>
        <v>OK</v>
      </c>
      <c r="L168" s="28">
        <f t="shared" si="23"/>
        <v>1</v>
      </c>
      <c r="M168" s="28">
        <f>IF(L168=1,IF(COUNTIFS(LOG!$C$2:$C$2001,F168,LOG!$E$2:$E$2001,B168,LOG!$D$2:$D$2001,"*BOOKED")+COUNTIFS(LOG!$C$2:$C$2001,F168,LOG!$E$2:$E$2001,"",LOG!$D$2:$D$2001,"*BOOKED")&gt;0,1,0),0)</f>
        <v>1</v>
      </c>
      <c r="N168" s="28">
        <f>IF(L168=1,IF(COUNTIFS(LOG!$C$2:$C$2001,F168,LOG!$E$2:$E$2001,B168,LOG!$D$2:$D$2001,"NOT_INTERESTED")+COUNTIFS(LOG!$C$2:$C$2001,F168,LOG!$E$2:$E$2001,"",LOG!$D$2:$D$2001,"NOT_INTERESTED")&gt;0,1,0),0)</f>
        <v>0</v>
      </c>
      <c r="O168" s="28">
        <f>IF(L168=1,IF(COUNTIFS(LOG!$C$2:$C$2001,F168,LOG!$D$2:$D$2001,"STOP")+COUNTIFS(LOG!$C$2:$C$2001,F168,LOG!$D$2:$D$2001,"WRONG_NUMBER")&gt;0,1,IF(ISNUMBER(SEARCH("STOP",AT168)),1,0)),0)</f>
        <v>0</v>
      </c>
      <c r="P168" s="28">
        <f>IF(L168=1,IF(IFERROR(INDEX(PARTNERS!$D$2:$D$88,MATCH(B168,PARTNERS!$A$2:$A$88,0)),"")="NO SLOTS",1,IF(AND(IFERROR(INDEX(PARTNERS!$D$2:$D$88,MATCH(B168,PARTNERS!$A$2:$A$88,0)),"")&lt;&gt;"REOPENED",COUNTIFS(LOG!$E$2:$E$2001,B168,LOG!$D$2:$D$2001,"NO_SLOTS")&gt;0),1,0)),0)</f>
        <v>0</v>
      </c>
      <c r="Q168" s="28">
        <f>IF(L168=1,COUNTIFS(LOG!$C$2:$C$2001,F168,LOG!$H$2:$H$2001,1),0)</f>
        <v>0</v>
      </c>
      <c r="R168" s="46">
        <f>IF(Q168&gt;0,_xlfn.MAXIFS(LOG!$G$2:$G$2001,LOG!$C$2:$C$2001,F168,LOG!$H$2:$H$2001,1),0)</f>
        <v>0</v>
      </c>
      <c r="S168" s="28" t="str">
        <f>IF(Q168&gt;0,IFERROR(INDEX(LOG!$D$2:$D$2001,MATCH(F168&amp;"|"&amp;Q168,LOG!$I$2:$I$2001,0)),""),"")</f>
        <v/>
      </c>
      <c r="T168" s="28">
        <f>IF(S168="",0,IFERROR(VLOOKUP(S168,LISTS!$A$2:$E$10,4,FALSE),0))</f>
        <v>0</v>
      </c>
      <c r="U168" s="46">
        <f t="shared" si="24"/>
        <v>0</v>
      </c>
      <c r="V168" s="46">
        <f>IF(L168=1,H168+SETTINGS!$B$5/24,"")</f>
        <v>46309.82708333333</v>
      </c>
      <c r="W168" s="28">
        <f ca="1">IF(L168=1,(V168-SETTINGS!$B$4)*24,"")</f>
        <v>-1.6666666720993817E-2</v>
      </c>
      <c r="X168" s="28">
        <f ca="1">IF(AND(L168=1,K168="OK",M168=0,N168=0,O168=0,P168=0,SETTINGS!$B$4&lt;V168,Q168&lt;SETTINGS!$B$6),1,0)</f>
        <v>0</v>
      </c>
      <c r="Y168" s="28">
        <f ca="1">IF(AND(X168=1,SETTINGS!$B$4&gt;=H168,SETTINGS!$B$4&gt;=U168,ROUND(MOD(SETTINGS!$B$4,1)*1440,0)&gt;=ROUND(SETTINGS!$B$7*1440,0),ROUND(MOD(SETTINGS!$B$4,1)*1440,0)&lt;ROUND(SETTINGS!$B$8*1440,0)),1,0)</f>
        <v>0</v>
      </c>
      <c r="Z168" s="28" t="str">
        <f ca="1">IF(B168="","",IF(ROUND(MOD(SETTINGS!$B$4,1)*1440,0)&lt;ROUND(SETTINGS!$B$11*1440,0),"Ram",IF(ROUND(MOD(SETTINGS!$B$4,1)*1440,0)&gt;=ROUND(SETTINGS!$B$10*1440,0),"Shyam",IF(MOD(IFERROR(VALUE(RIGHT(F168,2)),0),2)=0,"Ram","Shyam"))))</f>
        <v>Shyam</v>
      </c>
      <c r="AA168" s="28">
        <f t="shared" ca="1" si="25"/>
        <v>0</v>
      </c>
      <c r="AB168" s="28">
        <f ca="1">IF(X168=1,COUNTIFS($F$2:F168,F168,$X$2:X168,1),0)</f>
        <v>0</v>
      </c>
      <c r="AC168" s="28" t="str">
        <f>IF(L168=1,IF(IFERROR(INDEX(PARTNERS!$C$2:$C$88,MATCH(B168,PARTNERS!$A$2:$A$88,0)),"")="YES","YES","NO"),"")</f>
        <v>YES</v>
      </c>
      <c r="AD168" s="28" t="str">
        <f>IF(L168=1,IFERROR(INDEX(PARTNERS!$B$2:$B$88,MATCH(B168,PARTNERS!$A$2:$A$88,0)),""),"")</f>
        <v>https://calendly.com/partner099/interview</v>
      </c>
      <c r="AE168" s="28">
        <f ca="1">IF(X168=1,IFERROR(INDEX(SETTINGS!$B$34:$D$36,MATCH(I168,SETTINGS!$A$34:$A$36,0),MIN(Q168,2)+1),SETTINGS!$B$36),0)</f>
        <v>0</v>
      </c>
      <c r="AF168" s="28">
        <f t="shared" si="26"/>
        <v>1</v>
      </c>
      <c r="AG168" s="28">
        <f ca="1">IF(AND(Y168=1,AB168=1),ROUND(AA168*AE168*IF(AF168&gt;1,SETTINGS!$B$16,1)*IF(W168&lt;=SETTINGS!$B$14,SETTINGS!$B$15,1)*IF(AU168=1,SETTINGS!$B$21,1),6),0)</f>
        <v>0</v>
      </c>
      <c r="AH168" s="28" t="str">
        <f ca="1">IF(AG168&gt;0,COUNTIFS($Z$2:$Z$601,Z168,$AG$2:$AG$601,"&gt;"&amp;AG168)+COUNTIFS($Z$2:Z168,Z168,$AG$2:AG168,AG168),"")</f>
        <v/>
      </c>
      <c r="AI168" s="28" t="str">
        <f t="shared" ca="1" si="27"/>
        <v/>
      </c>
      <c r="AJ168" s="28" t="str">
        <f t="shared" ca="1" si="28"/>
        <v/>
      </c>
      <c r="AK168" s="28">
        <f>IF(L168=1,IF(COUNTIFS($F$2:F168,F168,$L$2:L168,1)=1,1,0),0)</f>
        <v>1</v>
      </c>
      <c r="AL168" s="28" t="str">
        <f>IF(B168="","",IF(K168="DUPLICATE","Duplicate (removed)",IF(AO168=1,"Scheduled within 24h",IF(M168=1,"Scheduled late",IF(K168="BAD CONTACT","Bad contact details",IF(O168=1,"Stopped / wrong number",IF(N168=1,"Not interested",IF(P168=1,"Partner has no slots",IF(SETTINGS!$B$4&gt;=V168,IF(Q168=0,"Missed deadline: never tried","Missed deadline: tried, not booked"),IF(Q168&gt;=SETTINGS!$B$6,"No reply after max tries","Open"))))))))))</f>
        <v>Scheduled within 24h</v>
      </c>
      <c r="AM168" s="46">
        <f>IF(M168=1,IF(_xlfn.MINIFS(LOG!$G$2:$G$2001,LOG!$C$2:$C$2001,F168,LOG!$E$2:$E$2001,B168,LOG!$D$2:$D$2001,"*BOOKED")=0,_xlfn.MINIFS(LOG!$G$2:$G$2001,LOG!$C$2:$C$2001,F168,LOG!$E$2:$E$2001,"",LOG!$D$2:$D$2001,"*BOOKED"),IF(_xlfn.MINIFS(LOG!$G$2:$G$2001,LOG!$C$2:$C$2001,F168,LOG!$E$2:$E$2001,"",LOG!$D$2:$D$2001,"*BOOKED")=0,_xlfn.MINIFS(LOG!$G$2:$G$2001,LOG!$C$2:$C$2001,F168,LOG!$E$2:$E$2001,B168,LOG!$D$2:$D$2001,"*BOOKED"),MIN(_xlfn.MINIFS(LOG!$G$2:$G$2001,LOG!$C$2:$C$2001,F168,LOG!$E$2:$E$2001,B168,LOG!$D$2:$D$2001,"*BOOKED"),_xlfn.MINIFS(LOG!$G$2:$G$2001,LOG!$C$2:$C$2001,F168,LOG!$E$2:$E$2001,"",LOG!$D$2:$D$2001,"*BOOKED")))),"")</f>
        <v>46308.921505335107</v>
      </c>
      <c r="AN168" s="28">
        <f t="shared" si="29"/>
        <v>2.2661280426546</v>
      </c>
      <c r="AO168" s="28">
        <f>IF(AND(M168=1,AN168&lt;&gt;""),IF(AN168&lt;=SETTINGS!$B$5,1,0),0)</f>
        <v>1</v>
      </c>
      <c r="AP168" s="28">
        <f>IF(M168=1,IF(COUNTIFS(LOG!$C$2:$C$2001,F168,LOG!$E$2:$E$2001,B168,LOG!$D$2:$D$2001,"BOOKED")+COUNTIFS(LOG!$C$2:$C$2001,F168,LOG!$E$2:$E$2001,"",LOG!$D$2:$D$2001,"BOOKED")&gt;0,1,0),0)</f>
        <v>0</v>
      </c>
      <c r="AQ168" s="28" t="str">
        <f t="shared" si="30"/>
        <v>Diya</v>
      </c>
      <c r="AR168" s="28">
        <f>IF(AND(AK168=1,K168="OK"),COUNTIFS($AK$2:AK168,1,$K$2:K168,"OK"),"")</f>
        <v>153</v>
      </c>
      <c r="AS168" s="28" t="str">
        <f>IF(L168=1,IFERROR(INDEX(MESSAGES!$J$9:$J$1008,MATCH(F168,MESSAGES!$M$9:$M$1008,0))&amp;"",""),"")</f>
        <v/>
      </c>
      <c r="AT168" s="28" t="str">
        <f>IF(L168=1,IFERROR(INDEX(MESSAGES!$K$9:$K$1008,MATCH(F168,MESSAGES!$M$9:$M$1008,0))&amp;"",""),"")</f>
        <v/>
      </c>
      <c r="AU168" s="28">
        <f t="shared" ca="1" si="31"/>
        <v>0</v>
      </c>
      <c r="AV168" s="28" t="str">
        <f t="shared" si="32"/>
        <v>HOLD</v>
      </c>
    </row>
    <row r="169" spans="1:48" x14ac:dyDescent="0.35">
      <c r="A169" s="28">
        <v>168</v>
      </c>
      <c r="B169" s="28" t="str">
        <f>IF(INPUT!A169="","",TRIM(INPUT!A169))</f>
        <v>Partner 016</v>
      </c>
      <c r="C169" s="28" t="str">
        <f>IF(B169="","",INPUT!C169)</f>
        <v>interviewer1@partner016.example.com</v>
      </c>
      <c r="D169" s="28" t="str">
        <f>IF(B169="","",INPUT!D169)</f>
        <v>Manav H.</v>
      </c>
      <c r="E169" s="28" t="str">
        <f>IF(B169="","",INPUT!E169)</f>
        <v>manav.h234@example.com</v>
      </c>
      <c r="F169" s="43" t="str">
        <f>IF(B169="","",TRIM(INPUT!F169&amp;""))</f>
        <v>9000003049</v>
      </c>
      <c r="G169" s="28" t="str">
        <f>IF(B169="","",INPUT!H169)</f>
        <v>Round1</v>
      </c>
      <c r="H169" s="46">
        <f>IF(B169="","",INPUT!I169)</f>
        <v>46308.82708333333</v>
      </c>
      <c r="I169" s="28" t="str">
        <f>IF(B169="","",IF(INPUT!J169="","None",INPUT!J169))</f>
        <v>Opened</v>
      </c>
      <c r="J169" s="28" t="str">
        <f t="shared" si="22"/>
        <v>manav.h234@example.com|partner 016|Round1|interviewer1@partner016.example.com</v>
      </c>
      <c r="K169" s="28" t="str">
        <f>IF(B169="","",IF(SUMPRODUCT(($J$2:$J$601=J169)*($H$2:$H$601&lt;H169))+SUMPRODUCT(($J$2:J169=J169)*($H$2:H169=H169))-1&gt;0,"DUPLICATE",IF(AND(ISNUMBER(SEARCH("@",E169)),ISNUMBER(SEARCH(".",E169)),LEN(F169)=10,ISNUMBER(VALUE(F169))),"OK","BAD CONTACT")))</f>
        <v>OK</v>
      </c>
      <c r="L169" s="28">
        <f t="shared" si="23"/>
        <v>1</v>
      </c>
      <c r="M169" s="28">
        <f>IF(L169=1,IF(COUNTIFS(LOG!$C$2:$C$2001,F169,LOG!$E$2:$E$2001,B169,LOG!$D$2:$D$2001,"*BOOKED")+COUNTIFS(LOG!$C$2:$C$2001,F169,LOG!$E$2:$E$2001,"",LOG!$D$2:$D$2001,"*BOOKED")&gt;0,1,0),0)</f>
        <v>0</v>
      </c>
      <c r="N169" s="28">
        <f>IF(L169=1,IF(COUNTIFS(LOG!$C$2:$C$2001,F169,LOG!$E$2:$E$2001,B169,LOG!$D$2:$D$2001,"NOT_INTERESTED")+COUNTIFS(LOG!$C$2:$C$2001,F169,LOG!$E$2:$E$2001,"",LOG!$D$2:$D$2001,"NOT_INTERESTED")&gt;0,1,0),0)</f>
        <v>0</v>
      </c>
      <c r="O169" s="28">
        <f>IF(L169=1,IF(COUNTIFS(LOG!$C$2:$C$2001,F169,LOG!$D$2:$D$2001,"STOP")+COUNTIFS(LOG!$C$2:$C$2001,F169,LOG!$D$2:$D$2001,"WRONG_NUMBER")&gt;0,1,IF(ISNUMBER(SEARCH("STOP",AT169)),1,0)),0)</f>
        <v>0</v>
      </c>
      <c r="P169" s="28">
        <f>IF(L169=1,IF(IFERROR(INDEX(PARTNERS!$D$2:$D$88,MATCH(B169,PARTNERS!$A$2:$A$88,0)),"")="NO SLOTS",1,IF(AND(IFERROR(INDEX(PARTNERS!$D$2:$D$88,MATCH(B169,PARTNERS!$A$2:$A$88,0)),"")&lt;&gt;"REOPENED",COUNTIFS(LOG!$E$2:$E$2001,B169,LOG!$D$2:$D$2001,"NO_SLOTS")&gt;0),1,0)),0)</f>
        <v>0</v>
      </c>
      <c r="Q169" s="28">
        <f>IF(L169=1,COUNTIFS(LOG!$C$2:$C$2001,F169,LOG!$H$2:$H$2001,1),0)</f>
        <v>0</v>
      </c>
      <c r="R169" s="46">
        <f>IF(Q169&gt;0,_xlfn.MAXIFS(LOG!$G$2:$G$2001,LOG!$C$2:$C$2001,F169,LOG!$H$2:$H$2001,1),0)</f>
        <v>0</v>
      </c>
      <c r="S169" s="28" t="str">
        <f>IF(Q169&gt;0,IFERROR(INDEX(LOG!$D$2:$D$2001,MATCH(F169&amp;"|"&amp;Q169,LOG!$I$2:$I$2001,0)),""),"")</f>
        <v/>
      </c>
      <c r="T169" s="28">
        <f>IF(S169="",0,IFERROR(VLOOKUP(S169,LISTS!$A$2:$E$10,4,FALSE),0))</f>
        <v>0</v>
      </c>
      <c r="U169" s="46">
        <f t="shared" si="24"/>
        <v>0</v>
      </c>
      <c r="V169" s="46">
        <f>IF(L169=1,H169+SETTINGS!$B$5/24,"")</f>
        <v>46309.82708333333</v>
      </c>
      <c r="W169" s="28">
        <f ca="1">IF(L169=1,(V169-SETTINGS!$B$4)*24,"")</f>
        <v>-1.6666666720993817E-2</v>
      </c>
      <c r="X169" s="28">
        <f ca="1">IF(AND(L169=1,K169="OK",M169=0,N169=0,O169=0,P169=0,SETTINGS!$B$4&lt;V169,Q169&lt;SETTINGS!$B$6),1,0)</f>
        <v>0</v>
      </c>
      <c r="Y169" s="28">
        <f ca="1">IF(AND(X169=1,SETTINGS!$B$4&gt;=H169,SETTINGS!$B$4&gt;=U169,ROUND(MOD(SETTINGS!$B$4,1)*1440,0)&gt;=ROUND(SETTINGS!$B$7*1440,0),ROUND(MOD(SETTINGS!$B$4,1)*1440,0)&lt;ROUND(SETTINGS!$B$8*1440,0)),1,0)</f>
        <v>0</v>
      </c>
      <c r="Z169" s="28" t="str">
        <f ca="1">IF(B169="","",IF(ROUND(MOD(SETTINGS!$B$4,1)*1440,0)&lt;ROUND(SETTINGS!$B$11*1440,0),"Ram",IF(ROUND(MOD(SETTINGS!$B$4,1)*1440,0)&gt;=ROUND(SETTINGS!$B$10*1440,0),"Shyam",IF(MOD(IFERROR(VALUE(RIGHT(F169,2)),0),2)=0,"Ram","Shyam"))))</f>
        <v>Shyam</v>
      </c>
      <c r="AA169" s="28">
        <f t="shared" ca="1" si="25"/>
        <v>0</v>
      </c>
      <c r="AB169" s="28">
        <f ca="1">IF(X169=1,COUNTIFS($F$2:F169,F169,$X$2:X169,1),0)</f>
        <v>0</v>
      </c>
      <c r="AC169" s="28" t="str">
        <f>IF(L169=1,IF(IFERROR(INDEX(PARTNERS!$C$2:$C$88,MATCH(B169,PARTNERS!$A$2:$A$88,0)),"")="YES","YES","NO"),"")</f>
        <v>NO</v>
      </c>
      <c r="AD169" s="28" t="str">
        <f>IF(L169=1,IFERROR(INDEX(PARTNERS!$B$2:$B$88,MATCH(B169,PARTNERS!$A$2:$A$88,0)),""),"")</f>
        <v>https://calendly.com/partner016/interview</v>
      </c>
      <c r="AE169" s="28">
        <f ca="1">IF(X169=1,IFERROR(INDEX(SETTINGS!$B$34:$D$36,MATCH(I169,SETTINGS!$A$34:$A$36,0),MIN(Q169,2)+1),SETTINGS!$B$36),0)</f>
        <v>0</v>
      </c>
      <c r="AF169" s="28">
        <f t="shared" si="26"/>
        <v>1</v>
      </c>
      <c r="AG169" s="28">
        <f ca="1">IF(AND(Y169=1,AB169=1),ROUND(AA169*AE169*IF(AF169&gt;1,SETTINGS!$B$16,1)*IF(W169&lt;=SETTINGS!$B$14,SETTINGS!$B$15,1)*IF(AU169=1,SETTINGS!$B$21,1),6),0)</f>
        <v>0</v>
      </c>
      <c r="AH169" s="28" t="str">
        <f ca="1">IF(AG169&gt;0,COUNTIFS($Z$2:$Z$601,Z169,$AG$2:$AG$601,"&gt;"&amp;AG169)+COUNTIFS($Z$2:Z169,Z169,$AG$2:AG169,AG169),"")</f>
        <v/>
      </c>
      <c r="AI169" s="28" t="str">
        <f t="shared" ca="1" si="27"/>
        <v/>
      </c>
      <c r="AJ169" s="28" t="str">
        <f t="shared" ca="1" si="28"/>
        <v/>
      </c>
      <c r="AK169" s="28">
        <f>IF(L169=1,IF(COUNTIFS($F$2:F169,F169,$L$2:L169,1)=1,1,0),0)</f>
        <v>1</v>
      </c>
      <c r="AL169" s="28" t="str">
        <f ca="1">IF(B169="","",IF(K169="DUPLICATE","Duplicate (removed)",IF(AO169=1,"Scheduled within 24h",IF(M169=1,"Scheduled late",IF(K169="BAD CONTACT","Bad contact details",IF(O169=1,"Stopped / wrong number",IF(N169=1,"Not interested",IF(P169=1,"Partner has no slots",IF(SETTINGS!$B$4&gt;=V169,IF(Q169=0,"Missed deadline: never tried","Missed deadline: tried, not booked"),IF(Q169&gt;=SETTINGS!$B$6,"No reply after max tries","Open"))))))))))</f>
        <v>Missed deadline: never tried</v>
      </c>
      <c r="AM169" s="46" t="str">
        <f>IF(M169=1,IF(_xlfn.MINIFS(LOG!$G$2:$G$2001,LOG!$C$2:$C$2001,F169,LOG!$E$2:$E$2001,B169,LOG!$D$2:$D$2001,"*BOOKED")=0,_xlfn.MINIFS(LOG!$G$2:$G$2001,LOG!$C$2:$C$2001,F169,LOG!$E$2:$E$2001,"",LOG!$D$2:$D$2001,"*BOOKED"),IF(_xlfn.MINIFS(LOG!$G$2:$G$2001,LOG!$C$2:$C$2001,F169,LOG!$E$2:$E$2001,"",LOG!$D$2:$D$2001,"*BOOKED")=0,_xlfn.MINIFS(LOG!$G$2:$G$2001,LOG!$C$2:$C$2001,F169,LOG!$E$2:$E$2001,B169,LOG!$D$2:$D$2001,"*BOOKED"),MIN(_xlfn.MINIFS(LOG!$G$2:$G$2001,LOG!$C$2:$C$2001,F169,LOG!$E$2:$E$2001,B169,LOG!$D$2:$D$2001,"*BOOKED"),_xlfn.MINIFS(LOG!$G$2:$G$2001,LOG!$C$2:$C$2001,F169,LOG!$E$2:$E$2001,"",LOG!$D$2:$D$2001,"*BOOKED")))),"")</f>
        <v/>
      </c>
      <c r="AN169" s="28" t="str">
        <f t="shared" si="29"/>
        <v/>
      </c>
      <c r="AO169" s="28">
        <f>IF(AND(M169=1,AN169&lt;&gt;""),IF(AN169&lt;=SETTINGS!$B$5,1,0),0)</f>
        <v>0</v>
      </c>
      <c r="AP169" s="28">
        <f>IF(M169=1,IF(COUNTIFS(LOG!$C$2:$C$2001,F169,LOG!$E$2:$E$2001,B169,LOG!$D$2:$D$2001,"BOOKED")+COUNTIFS(LOG!$C$2:$C$2001,F169,LOG!$E$2:$E$2001,"",LOG!$D$2:$D$2001,"BOOKED")&gt;0,1,0),0)</f>
        <v>0</v>
      </c>
      <c r="AQ169" s="28" t="str">
        <f t="shared" si="30"/>
        <v>Manav</v>
      </c>
      <c r="AR169" s="28">
        <f>IF(AND(AK169=1,K169="OK"),COUNTIFS($AK$2:AK169,1,$K$2:K169,"OK"),"")</f>
        <v>154</v>
      </c>
      <c r="AS169" s="28" t="str">
        <f>IF(L169=1,IFERROR(INDEX(MESSAGES!$J$9:$J$1008,MATCH(F169,MESSAGES!$M$9:$M$1008,0))&amp;"",""),"")</f>
        <v/>
      </c>
      <c r="AT169" s="28" t="str">
        <f>IF(L169=1,IFERROR(INDEX(MESSAGES!$K$9:$K$1008,MATCH(F169,MESSAGES!$M$9:$M$1008,0))&amp;"",""),"")</f>
        <v/>
      </c>
      <c r="AU169" s="28">
        <f t="shared" ca="1" si="31"/>
        <v>0</v>
      </c>
      <c r="AV169" s="28" t="str">
        <f t="shared" si="32"/>
        <v>SEND</v>
      </c>
    </row>
    <row r="170" spans="1:48" x14ac:dyDescent="0.35">
      <c r="A170" s="28">
        <v>169</v>
      </c>
      <c r="B170" s="28" t="str">
        <f>IF(INPUT!A170="","",TRIM(INPUT!A170))</f>
        <v>Partner 001</v>
      </c>
      <c r="C170" s="28" t="str">
        <f>IF(B170="","",INPUT!C170)</f>
        <v>interviewer2@partner001.example.com</v>
      </c>
      <c r="D170" s="28" t="str">
        <f>IF(B170="","",INPUT!D170)</f>
        <v>Varun D.</v>
      </c>
      <c r="E170" s="28" t="str">
        <f>IF(B170="","",INPUT!E170)</f>
        <v>varun.d118@example.com</v>
      </c>
      <c r="F170" s="43" t="str">
        <f>IF(B170="","",TRIM(INPUT!F170&amp;""))</f>
        <v>9000001541</v>
      </c>
      <c r="G170" s="28" t="str">
        <f>IF(B170="","",INPUT!H170)</f>
        <v>Round1</v>
      </c>
      <c r="H170" s="46">
        <f>IF(B170="","",INPUT!I170)</f>
        <v>46308.82708333333</v>
      </c>
      <c r="I170" s="28" t="str">
        <f>IF(B170="","",IF(INPUT!J170="","None",INPUT!J170))</f>
        <v>Clicked</v>
      </c>
      <c r="J170" s="28" t="str">
        <f t="shared" si="22"/>
        <v>varun.d118@example.com|partner 001|Round1|interviewer2@partner001.example.com</v>
      </c>
      <c r="K170" s="28" t="str">
        <f>IF(B170="","",IF(SUMPRODUCT(($J$2:$J$601=J170)*($H$2:$H$601&lt;H170))+SUMPRODUCT(($J$2:J170=J170)*($H$2:H170=H170))-1&gt;0,"DUPLICATE",IF(AND(ISNUMBER(SEARCH("@",E170)),ISNUMBER(SEARCH(".",E170)),LEN(F170)=10,ISNUMBER(VALUE(F170))),"OK","BAD CONTACT")))</f>
        <v>OK</v>
      </c>
      <c r="L170" s="28">
        <f t="shared" si="23"/>
        <v>1</v>
      </c>
      <c r="M170" s="28">
        <f>IF(L170=1,IF(COUNTIFS(LOG!$C$2:$C$2001,F170,LOG!$E$2:$E$2001,B170,LOG!$D$2:$D$2001,"*BOOKED")+COUNTIFS(LOG!$C$2:$C$2001,F170,LOG!$E$2:$E$2001,"",LOG!$D$2:$D$2001,"*BOOKED")&gt;0,1,0),0)</f>
        <v>1</v>
      </c>
      <c r="N170" s="28">
        <f>IF(L170=1,IF(COUNTIFS(LOG!$C$2:$C$2001,F170,LOG!$E$2:$E$2001,B170,LOG!$D$2:$D$2001,"NOT_INTERESTED")+COUNTIFS(LOG!$C$2:$C$2001,F170,LOG!$E$2:$E$2001,"",LOG!$D$2:$D$2001,"NOT_INTERESTED")&gt;0,1,0),0)</f>
        <v>0</v>
      </c>
      <c r="O170" s="28">
        <f>IF(L170=1,IF(COUNTIFS(LOG!$C$2:$C$2001,F170,LOG!$D$2:$D$2001,"STOP")+COUNTIFS(LOG!$C$2:$C$2001,F170,LOG!$D$2:$D$2001,"WRONG_NUMBER")&gt;0,1,IF(ISNUMBER(SEARCH("STOP",AT170)),1,0)),0)</f>
        <v>0</v>
      </c>
      <c r="P170" s="28">
        <f>IF(L170=1,IF(IFERROR(INDEX(PARTNERS!$D$2:$D$88,MATCH(B170,PARTNERS!$A$2:$A$88,0)),"")="NO SLOTS",1,IF(AND(IFERROR(INDEX(PARTNERS!$D$2:$D$88,MATCH(B170,PARTNERS!$A$2:$A$88,0)),"")&lt;&gt;"REOPENED",COUNTIFS(LOG!$E$2:$E$2001,B170,LOG!$D$2:$D$2001,"NO_SLOTS")&gt;0),1,0)),0)</f>
        <v>0</v>
      </c>
      <c r="Q170" s="28">
        <f>IF(L170=1,COUNTIFS(LOG!$C$2:$C$2001,F170,LOG!$H$2:$H$2001,1),0)</f>
        <v>0</v>
      </c>
      <c r="R170" s="46">
        <f>IF(Q170&gt;0,_xlfn.MAXIFS(LOG!$G$2:$G$2001,LOG!$C$2:$C$2001,F170,LOG!$H$2:$H$2001,1),0)</f>
        <v>0</v>
      </c>
      <c r="S170" s="28" t="str">
        <f>IF(Q170&gt;0,IFERROR(INDEX(LOG!$D$2:$D$2001,MATCH(F170&amp;"|"&amp;Q170,LOG!$I$2:$I$2001,0)),""),"")</f>
        <v/>
      </c>
      <c r="T170" s="28">
        <f>IF(S170="",0,IFERROR(VLOOKUP(S170,LISTS!$A$2:$E$10,4,FALSE),0))</f>
        <v>0</v>
      </c>
      <c r="U170" s="46">
        <f t="shared" si="24"/>
        <v>0</v>
      </c>
      <c r="V170" s="46">
        <f>IF(L170=1,H170+SETTINGS!$B$5/24,"")</f>
        <v>46309.82708333333</v>
      </c>
      <c r="W170" s="28">
        <f ca="1">IF(L170=1,(V170-SETTINGS!$B$4)*24,"")</f>
        <v>-1.6666666720993817E-2</v>
      </c>
      <c r="X170" s="28">
        <f ca="1">IF(AND(L170=1,K170="OK",M170=0,N170=0,O170=0,P170=0,SETTINGS!$B$4&lt;V170,Q170&lt;SETTINGS!$B$6),1,0)</f>
        <v>0</v>
      </c>
      <c r="Y170" s="28">
        <f ca="1">IF(AND(X170=1,SETTINGS!$B$4&gt;=H170,SETTINGS!$B$4&gt;=U170,ROUND(MOD(SETTINGS!$B$4,1)*1440,0)&gt;=ROUND(SETTINGS!$B$7*1440,0),ROUND(MOD(SETTINGS!$B$4,1)*1440,0)&lt;ROUND(SETTINGS!$B$8*1440,0)),1,0)</f>
        <v>0</v>
      </c>
      <c r="Z170" s="28" t="str">
        <f ca="1">IF(B170="","",IF(ROUND(MOD(SETTINGS!$B$4,1)*1440,0)&lt;ROUND(SETTINGS!$B$11*1440,0),"Ram",IF(ROUND(MOD(SETTINGS!$B$4,1)*1440,0)&gt;=ROUND(SETTINGS!$B$10*1440,0),"Shyam",IF(MOD(IFERROR(VALUE(RIGHT(F170,2)),0),2)=0,"Ram","Shyam"))))</f>
        <v>Shyam</v>
      </c>
      <c r="AA170" s="28">
        <f t="shared" ca="1" si="25"/>
        <v>0</v>
      </c>
      <c r="AB170" s="28">
        <f ca="1">IF(X170=1,COUNTIFS($F$2:F170,F170,$X$2:X170,1),0)</f>
        <v>0</v>
      </c>
      <c r="AC170" s="28" t="str">
        <f>IF(L170=1,IF(IFERROR(INDEX(PARTNERS!$C$2:$C$88,MATCH(B170,PARTNERS!$A$2:$A$88,0)),"")="YES","YES","NO"),"")</f>
        <v>NO</v>
      </c>
      <c r="AD170" s="28" t="str">
        <f>IF(L170=1,IFERROR(INDEX(PARTNERS!$B$2:$B$88,MATCH(B170,PARTNERS!$A$2:$A$88,0)),""),"")</f>
        <v>https://calendly.com/partner001/interview</v>
      </c>
      <c r="AE170" s="28">
        <f ca="1">IF(X170=1,IFERROR(INDEX(SETTINGS!$B$34:$D$36,MATCH(I170,SETTINGS!$A$34:$A$36,0),MIN(Q170,2)+1),SETTINGS!$B$36),0)</f>
        <v>0</v>
      </c>
      <c r="AF170" s="28">
        <f t="shared" si="26"/>
        <v>1</v>
      </c>
      <c r="AG170" s="28">
        <f ca="1">IF(AND(Y170=1,AB170=1),ROUND(AA170*AE170*IF(AF170&gt;1,SETTINGS!$B$16,1)*IF(W170&lt;=SETTINGS!$B$14,SETTINGS!$B$15,1)*IF(AU170=1,SETTINGS!$B$21,1),6),0)</f>
        <v>0</v>
      </c>
      <c r="AH170" s="28" t="str">
        <f ca="1">IF(AG170&gt;0,COUNTIFS($Z$2:$Z$601,Z170,$AG$2:$AG$601,"&gt;"&amp;AG170)+COUNTIFS($Z$2:Z170,Z170,$AG$2:AG170,AG170),"")</f>
        <v/>
      </c>
      <c r="AI170" s="28" t="str">
        <f t="shared" ca="1" si="27"/>
        <v/>
      </c>
      <c r="AJ170" s="28" t="str">
        <f t="shared" ca="1" si="28"/>
        <v/>
      </c>
      <c r="AK170" s="28">
        <f>IF(L170=1,IF(COUNTIFS($F$2:F170,F170,$L$2:L170,1)=1,1,0),0)</f>
        <v>1</v>
      </c>
      <c r="AL170" s="28" t="str">
        <f>IF(B170="","",IF(K170="DUPLICATE","Duplicate (removed)",IF(AO170=1,"Scheduled within 24h",IF(M170=1,"Scheduled late",IF(K170="BAD CONTACT","Bad contact details",IF(O170=1,"Stopped / wrong number",IF(N170=1,"Not interested",IF(P170=1,"Partner has no slots",IF(SETTINGS!$B$4&gt;=V170,IF(Q170=0,"Missed deadline: never tried","Missed deadline: tried, not booked"),IF(Q170&gt;=SETTINGS!$B$6,"No reply after max tries","Open"))))))))))</f>
        <v>Scheduled within 24h</v>
      </c>
      <c r="AM170" s="46">
        <f>IF(M170=1,IF(_xlfn.MINIFS(LOG!$G$2:$G$2001,LOG!$C$2:$C$2001,F170,LOG!$E$2:$E$2001,B170,LOG!$D$2:$D$2001,"*BOOKED")=0,_xlfn.MINIFS(LOG!$G$2:$G$2001,LOG!$C$2:$C$2001,F170,LOG!$E$2:$E$2001,"",LOG!$D$2:$D$2001,"*BOOKED"),IF(_xlfn.MINIFS(LOG!$G$2:$G$2001,LOG!$C$2:$C$2001,F170,LOG!$E$2:$E$2001,"",LOG!$D$2:$D$2001,"*BOOKED")=0,_xlfn.MINIFS(LOG!$G$2:$G$2001,LOG!$C$2:$C$2001,F170,LOG!$E$2:$E$2001,B170,LOG!$D$2:$D$2001,"*BOOKED"),MIN(_xlfn.MINIFS(LOG!$G$2:$G$2001,LOG!$C$2:$C$2001,F170,LOG!$E$2:$E$2001,B170,LOG!$D$2:$D$2001,"*BOOKED"),_xlfn.MINIFS(LOG!$G$2:$G$2001,LOG!$C$2:$C$2001,F170,LOG!$E$2:$E$2001,"",LOG!$D$2:$D$2001,"*BOOKED")))),"")</f>
        <v>46309.494325010019</v>
      </c>
      <c r="AN170" s="28">
        <f t="shared" si="29"/>
        <v>16.013800240529235</v>
      </c>
      <c r="AO170" s="28">
        <f>IF(AND(M170=1,AN170&lt;&gt;""),IF(AN170&lt;=SETTINGS!$B$5,1,0),0)</f>
        <v>1</v>
      </c>
      <c r="AP170" s="28">
        <f>IF(M170=1,IF(COUNTIFS(LOG!$C$2:$C$2001,F170,LOG!$E$2:$E$2001,B170,LOG!$D$2:$D$2001,"BOOKED")+COUNTIFS(LOG!$C$2:$C$2001,F170,LOG!$E$2:$E$2001,"",LOG!$D$2:$D$2001,"BOOKED")&gt;0,1,0),0)</f>
        <v>0</v>
      </c>
      <c r="AQ170" s="28" t="str">
        <f t="shared" si="30"/>
        <v>Varun</v>
      </c>
      <c r="AR170" s="28">
        <f>IF(AND(AK170=1,K170="OK"),COUNTIFS($AK$2:AK170,1,$K$2:K170,"OK"),"")</f>
        <v>155</v>
      </c>
      <c r="AS170" s="28" t="str">
        <f>IF(L170=1,IFERROR(INDEX(MESSAGES!$J$9:$J$1008,MATCH(F170,MESSAGES!$M$9:$M$1008,0))&amp;"",""),"")</f>
        <v/>
      </c>
      <c r="AT170" s="28" t="str">
        <f>IF(L170=1,IFERROR(INDEX(MESSAGES!$K$9:$K$1008,MATCH(F170,MESSAGES!$M$9:$M$1008,0))&amp;"",""),"")</f>
        <v/>
      </c>
      <c r="AU170" s="28">
        <f t="shared" ca="1" si="31"/>
        <v>0</v>
      </c>
      <c r="AV170" s="28" t="str">
        <f t="shared" si="32"/>
        <v>SEND</v>
      </c>
    </row>
    <row r="171" spans="1:48" x14ac:dyDescent="0.35">
      <c r="A171" s="28">
        <v>170</v>
      </c>
      <c r="B171" s="28" t="str">
        <f>IF(INPUT!A171="","",TRIM(INPUT!A171))</f>
        <v>Partner 001</v>
      </c>
      <c r="C171" s="28" t="str">
        <f>IF(B171="","",INPUT!C171)</f>
        <v>interviewer0@partner001.example.com</v>
      </c>
      <c r="D171" s="28" t="str">
        <f>IF(B171="","",INPUT!D171)</f>
        <v>Karan J.</v>
      </c>
      <c r="E171" s="28" t="str">
        <f>IF(B171="","",INPUT!E171)</f>
        <v>karan.j260@example.com</v>
      </c>
      <c r="F171" s="43" t="str">
        <f>IF(B171="","",TRIM(INPUT!F171&amp;""))</f>
        <v>9000003387</v>
      </c>
      <c r="G171" s="28" t="str">
        <f>IF(B171="","",INPUT!H171)</f>
        <v>Round1</v>
      </c>
      <c r="H171" s="46">
        <f>IF(B171="","",INPUT!I171)</f>
        <v>46308.82708333333</v>
      </c>
      <c r="I171" s="28" t="str">
        <f>IF(B171="","",IF(INPUT!J171="","None",INPUT!J171))</f>
        <v>None</v>
      </c>
      <c r="J171" s="28" t="str">
        <f t="shared" si="22"/>
        <v>karan.j260@example.com|partner 001|Round1|interviewer0@partner001.example.com</v>
      </c>
      <c r="K171" s="28" t="str">
        <f>IF(B171="","",IF(SUMPRODUCT(($J$2:$J$601=J171)*($H$2:$H$601&lt;H171))+SUMPRODUCT(($J$2:J171=J171)*($H$2:H171=H171))-1&gt;0,"DUPLICATE",IF(AND(ISNUMBER(SEARCH("@",E171)),ISNUMBER(SEARCH(".",E171)),LEN(F171)=10,ISNUMBER(VALUE(F171))),"OK","BAD CONTACT")))</f>
        <v>OK</v>
      </c>
      <c r="L171" s="28">
        <f t="shared" si="23"/>
        <v>1</v>
      </c>
      <c r="M171" s="28">
        <f>IF(L171=1,IF(COUNTIFS(LOG!$C$2:$C$2001,F171,LOG!$E$2:$E$2001,B171,LOG!$D$2:$D$2001,"*BOOKED")+COUNTIFS(LOG!$C$2:$C$2001,F171,LOG!$E$2:$E$2001,"",LOG!$D$2:$D$2001,"*BOOKED")&gt;0,1,0),0)</f>
        <v>0</v>
      </c>
      <c r="N171" s="28">
        <f>IF(L171=1,IF(COUNTIFS(LOG!$C$2:$C$2001,F171,LOG!$E$2:$E$2001,B171,LOG!$D$2:$D$2001,"NOT_INTERESTED")+COUNTIFS(LOG!$C$2:$C$2001,F171,LOG!$E$2:$E$2001,"",LOG!$D$2:$D$2001,"NOT_INTERESTED")&gt;0,1,0),0)</f>
        <v>0</v>
      </c>
      <c r="O171" s="28">
        <f>IF(L171=1,IF(COUNTIFS(LOG!$C$2:$C$2001,F171,LOG!$D$2:$D$2001,"STOP")+COUNTIFS(LOG!$C$2:$C$2001,F171,LOG!$D$2:$D$2001,"WRONG_NUMBER")&gt;0,1,IF(ISNUMBER(SEARCH("STOP",AT171)),1,0)),0)</f>
        <v>0</v>
      </c>
      <c r="P171" s="28">
        <f>IF(L171=1,IF(IFERROR(INDEX(PARTNERS!$D$2:$D$88,MATCH(B171,PARTNERS!$A$2:$A$88,0)),"")="NO SLOTS",1,IF(AND(IFERROR(INDEX(PARTNERS!$D$2:$D$88,MATCH(B171,PARTNERS!$A$2:$A$88,0)),"")&lt;&gt;"REOPENED",COUNTIFS(LOG!$E$2:$E$2001,B171,LOG!$D$2:$D$2001,"NO_SLOTS")&gt;0),1,0)),0)</f>
        <v>0</v>
      </c>
      <c r="Q171" s="28">
        <f>IF(L171=1,COUNTIFS(LOG!$C$2:$C$2001,F171,LOG!$H$2:$H$2001,1),0)</f>
        <v>0</v>
      </c>
      <c r="R171" s="46">
        <f>IF(Q171&gt;0,_xlfn.MAXIFS(LOG!$G$2:$G$2001,LOG!$C$2:$C$2001,F171,LOG!$H$2:$H$2001,1),0)</f>
        <v>0</v>
      </c>
      <c r="S171" s="28" t="str">
        <f>IF(Q171&gt;0,IFERROR(INDEX(LOG!$D$2:$D$2001,MATCH(F171&amp;"|"&amp;Q171,LOG!$I$2:$I$2001,0)),""),"")</f>
        <v/>
      </c>
      <c r="T171" s="28">
        <f>IF(S171="",0,IFERROR(VLOOKUP(S171,LISTS!$A$2:$E$10,4,FALSE),0))</f>
        <v>0</v>
      </c>
      <c r="U171" s="46">
        <f t="shared" si="24"/>
        <v>0</v>
      </c>
      <c r="V171" s="46">
        <f>IF(L171=1,H171+SETTINGS!$B$5/24,"")</f>
        <v>46309.82708333333</v>
      </c>
      <c r="W171" s="28">
        <f ca="1">IF(L171=1,(V171-SETTINGS!$B$4)*24,"")</f>
        <v>-1.6666666720993817E-2</v>
      </c>
      <c r="X171" s="28">
        <f ca="1">IF(AND(L171=1,K171="OK",M171=0,N171=0,O171=0,P171=0,SETTINGS!$B$4&lt;V171,Q171&lt;SETTINGS!$B$6),1,0)</f>
        <v>0</v>
      </c>
      <c r="Y171" s="28">
        <f ca="1">IF(AND(X171=1,SETTINGS!$B$4&gt;=H171,SETTINGS!$B$4&gt;=U171,ROUND(MOD(SETTINGS!$B$4,1)*1440,0)&gt;=ROUND(SETTINGS!$B$7*1440,0),ROUND(MOD(SETTINGS!$B$4,1)*1440,0)&lt;ROUND(SETTINGS!$B$8*1440,0)),1,0)</f>
        <v>0</v>
      </c>
      <c r="Z171" s="28" t="str">
        <f ca="1">IF(B171="","",IF(ROUND(MOD(SETTINGS!$B$4,1)*1440,0)&lt;ROUND(SETTINGS!$B$11*1440,0),"Ram",IF(ROUND(MOD(SETTINGS!$B$4,1)*1440,0)&gt;=ROUND(SETTINGS!$B$10*1440,0),"Shyam",IF(MOD(IFERROR(VALUE(RIGHT(F171,2)),0),2)=0,"Ram","Shyam"))))</f>
        <v>Shyam</v>
      </c>
      <c r="AA171" s="28">
        <f t="shared" ca="1" si="25"/>
        <v>0</v>
      </c>
      <c r="AB171" s="28">
        <f ca="1">IF(X171=1,COUNTIFS($F$2:F171,F171,$X$2:X171,1),0)</f>
        <v>0</v>
      </c>
      <c r="AC171" s="28" t="str">
        <f>IF(L171=1,IF(IFERROR(INDEX(PARTNERS!$C$2:$C$88,MATCH(B171,PARTNERS!$A$2:$A$88,0)),"")="YES","YES","NO"),"")</f>
        <v>NO</v>
      </c>
      <c r="AD171" s="28" t="str">
        <f>IF(L171=1,IFERROR(INDEX(PARTNERS!$B$2:$B$88,MATCH(B171,PARTNERS!$A$2:$A$88,0)),""),"")</f>
        <v>https://calendly.com/partner001/interview</v>
      </c>
      <c r="AE171" s="28">
        <f ca="1">IF(X171=1,IFERROR(INDEX(SETTINGS!$B$34:$D$36,MATCH(I171,SETTINGS!$A$34:$A$36,0),MIN(Q171,2)+1),SETTINGS!$B$36),0)</f>
        <v>0</v>
      </c>
      <c r="AF171" s="28">
        <f t="shared" si="26"/>
        <v>1</v>
      </c>
      <c r="AG171" s="28">
        <f ca="1">IF(AND(Y171=1,AB171=1),ROUND(AA171*AE171*IF(AF171&gt;1,SETTINGS!$B$16,1)*IF(W171&lt;=SETTINGS!$B$14,SETTINGS!$B$15,1)*IF(AU171=1,SETTINGS!$B$21,1),6),0)</f>
        <v>0</v>
      </c>
      <c r="AH171" s="28" t="str">
        <f ca="1">IF(AG171&gt;0,COUNTIFS($Z$2:$Z$601,Z171,$AG$2:$AG$601,"&gt;"&amp;AG171)+COUNTIFS($Z$2:Z171,Z171,$AG$2:AG171,AG171),"")</f>
        <v/>
      </c>
      <c r="AI171" s="28" t="str">
        <f t="shared" ca="1" si="27"/>
        <v/>
      </c>
      <c r="AJ171" s="28" t="str">
        <f t="shared" ca="1" si="28"/>
        <v/>
      </c>
      <c r="AK171" s="28">
        <f>IF(L171=1,IF(COUNTIFS($F$2:F171,F171,$L$2:L171,1)=1,1,0),0)</f>
        <v>0</v>
      </c>
      <c r="AL171" s="28" t="str">
        <f ca="1">IF(B171="","",IF(K171="DUPLICATE","Duplicate (removed)",IF(AO171=1,"Scheduled within 24h",IF(M171=1,"Scheduled late",IF(K171="BAD CONTACT","Bad contact details",IF(O171=1,"Stopped / wrong number",IF(N171=1,"Not interested",IF(P171=1,"Partner has no slots",IF(SETTINGS!$B$4&gt;=V171,IF(Q171=0,"Missed deadline: never tried","Missed deadline: tried, not booked"),IF(Q171&gt;=SETTINGS!$B$6,"No reply after max tries","Open"))))))))))</f>
        <v>Missed deadline: never tried</v>
      </c>
      <c r="AM171" s="46" t="str">
        <f>IF(M171=1,IF(_xlfn.MINIFS(LOG!$G$2:$G$2001,LOG!$C$2:$C$2001,F171,LOG!$E$2:$E$2001,B171,LOG!$D$2:$D$2001,"*BOOKED")=0,_xlfn.MINIFS(LOG!$G$2:$G$2001,LOG!$C$2:$C$2001,F171,LOG!$E$2:$E$2001,"",LOG!$D$2:$D$2001,"*BOOKED"),IF(_xlfn.MINIFS(LOG!$G$2:$G$2001,LOG!$C$2:$C$2001,F171,LOG!$E$2:$E$2001,"",LOG!$D$2:$D$2001,"*BOOKED")=0,_xlfn.MINIFS(LOG!$G$2:$G$2001,LOG!$C$2:$C$2001,F171,LOG!$E$2:$E$2001,B171,LOG!$D$2:$D$2001,"*BOOKED"),MIN(_xlfn.MINIFS(LOG!$G$2:$G$2001,LOG!$C$2:$C$2001,F171,LOG!$E$2:$E$2001,B171,LOG!$D$2:$D$2001,"*BOOKED"),_xlfn.MINIFS(LOG!$G$2:$G$2001,LOG!$C$2:$C$2001,F171,LOG!$E$2:$E$2001,"",LOG!$D$2:$D$2001,"*BOOKED")))),"")</f>
        <v/>
      </c>
      <c r="AN171" s="28" t="str">
        <f t="shared" si="29"/>
        <v/>
      </c>
      <c r="AO171" s="28">
        <f>IF(AND(M171=1,AN171&lt;&gt;""),IF(AN171&lt;=SETTINGS!$B$5,1,0),0)</f>
        <v>0</v>
      </c>
      <c r="AP171" s="28">
        <f>IF(M171=1,IF(COUNTIFS(LOG!$C$2:$C$2001,F171,LOG!$E$2:$E$2001,B171,LOG!$D$2:$D$2001,"BOOKED")+COUNTIFS(LOG!$C$2:$C$2001,F171,LOG!$E$2:$E$2001,"",LOG!$D$2:$D$2001,"BOOKED")&gt;0,1,0),0)</f>
        <v>0</v>
      </c>
      <c r="AQ171" s="28" t="str">
        <f t="shared" si="30"/>
        <v>Karan</v>
      </c>
      <c r="AR171" s="28" t="str">
        <f>IF(AND(AK171=1,K171="OK"),COUNTIFS($AK$2:AK171,1,$K$2:K171,"OK"),"")</f>
        <v/>
      </c>
      <c r="AS171" s="28" t="str">
        <f>IF(L171=1,IFERROR(INDEX(MESSAGES!$J$9:$J$1008,MATCH(F171,MESSAGES!$M$9:$M$1008,0))&amp;"",""),"")</f>
        <v/>
      </c>
      <c r="AT171" s="28" t="str">
        <f>IF(L171=1,IFERROR(INDEX(MESSAGES!$K$9:$K$1008,MATCH(F171,MESSAGES!$M$9:$M$1008,0))&amp;"",""),"")</f>
        <v/>
      </c>
      <c r="AU171" s="28">
        <f t="shared" ca="1" si="31"/>
        <v>0</v>
      </c>
      <c r="AV171" s="28" t="str">
        <f t="shared" si="32"/>
        <v>SEND</v>
      </c>
    </row>
    <row r="172" spans="1:48" x14ac:dyDescent="0.35">
      <c r="A172" s="28">
        <v>171</v>
      </c>
      <c r="B172" s="28" t="str">
        <f>IF(INPUT!A172="","",TRIM(INPUT!A172))</f>
        <v>Partner 000</v>
      </c>
      <c r="C172" s="28" t="str">
        <f>IF(B172="","",INPUT!C172)</f>
        <v>interviewer1@partner000.example.com</v>
      </c>
      <c r="D172" s="28" t="str">
        <f>IF(B172="","",INPUT!D172)</f>
        <v>Navya N.</v>
      </c>
      <c r="E172" s="28" t="str">
        <f>IF(B172="","",INPUT!E172)</f>
        <v>navya.n373@example.com</v>
      </c>
      <c r="F172" s="43" t="str">
        <f>IF(B172="","",TRIM(INPUT!F172&amp;""))</f>
        <v>9000004856</v>
      </c>
      <c r="G172" s="28" t="str">
        <f>IF(B172="","",INPUT!H172)</f>
        <v>Round1</v>
      </c>
      <c r="H172" s="46">
        <f>IF(B172="","",INPUT!I172)</f>
        <v>46308.82708333333</v>
      </c>
      <c r="I172" s="28" t="str">
        <f>IF(B172="","",IF(INPUT!J172="","None",INPUT!J172))</f>
        <v>Clicked</v>
      </c>
      <c r="J172" s="28" t="str">
        <f t="shared" si="22"/>
        <v>navya.n373@example.com|partner 000|Round1|interviewer1@partner000.example.com</v>
      </c>
      <c r="K172" s="28" t="str">
        <f>IF(B172="","",IF(SUMPRODUCT(($J$2:$J$601=J172)*($H$2:$H$601&lt;H172))+SUMPRODUCT(($J$2:J172=J172)*($H$2:H172=H172))-1&gt;0,"DUPLICATE",IF(AND(ISNUMBER(SEARCH("@",E172)),ISNUMBER(SEARCH(".",E172)),LEN(F172)=10,ISNUMBER(VALUE(F172))),"OK","BAD CONTACT")))</f>
        <v>OK</v>
      </c>
      <c r="L172" s="28">
        <f t="shared" si="23"/>
        <v>1</v>
      </c>
      <c r="M172" s="28">
        <f>IF(L172=1,IF(COUNTIFS(LOG!$C$2:$C$2001,F172,LOG!$E$2:$E$2001,B172,LOG!$D$2:$D$2001,"*BOOKED")+COUNTIFS(LOG!$C$2:$C$2001,F172,LOG!$E$2:$E$2001,"",LOG!$D$2:$D$2001,"*BOOKED")&gt;0,1,0),0)</f>
        <v>1</v>
      </c>
      <c r="N172" s="28">
        <f>IF(L172=1,IF(COUNTIFS(LOG!$C$2:$C$2001,F172,LOG!$E$2:$E$2001,B172,LOG!$D$2:$D$2001,"NOT_INTERESTED")+COUNTIFS(LOG!$C$2:$C$2001,F172,LOG!$E$2:$E$2001,"",LOG!$D$2:$D$2001,"NOT_INTERESTED")&gt;0,1,0),0)</f>
        <v>0</v>
      </c>
      <c r="O172" s="28">
        <f>IF(L172=1,IF(COUNTIFS(LOG!$C$2:$C$2001,F172,LOG!$D$2:$D$2001,"STOP")+COUNTIFS(LOG!$C$2:$C$2001,F172,LOG!$D$2:$D$2001,"WRONG_NUMBER")&gt;0,1,IF(ISNUMBER(SEARCH("STOP",AT172)),1,0)),0)</f>
        <v>0</v>
      </c>
      <c r="P172" s="28">
        <f>IF(L172=1,IF(IFERROR(INDEX(PARTNERS!$D$2:$D$88,MATCH(B172,PARTNERS!$A$2:$A$88,0)),"")="NO SLOTS",1,IF(AND(IFERROR(INDEX(PARTNERS!$D$2:$D$88,MATCH(B172,PARTNERS!$A$2:$A$88,0)),"")&lt;&gt;"REOPENED",COUNTIFS(LOG!$E$2:$E$2001,B172,LOG!$D$2:$D$2001,"NO_SLOTS")&gt;0),1,0)),0)</f>
        <v>0</v>
      </c>
      <c r="Q172" s="28">
        <f>IF(L172=1,COUNTIFS(LOG!$C$2:$C$2001,F172,LOG!$H$2:$H$2001,1),0)</f>
        <v>0</v>
      </c>
      <c r="R172" s="46">
        <f>IF(Q172&gt;0,_xlfn.MAXIFS(LOG!$G$2:$G$2001,LOG!$C$2:$C$2001,F172,LOG!$H$2:$H$2001,1),0)</f>
        <v>0</v>
      </c>
      <c r="S172" s="28" t="str">
        <f>IF(Q172&gt;0,IFERROR(INDEX(LOG!$D$2:$D$2001,MATCH(F172&amp;"|"&amp;Q172,LOG!$I$2:$I$2001,0)),""),"")</f>
        <v/>
      </c>
      <c r="T172" s="28">
        <f>IF(S172="",0,IFERROR(VLOOKUP(S172,LISTS!$A$2:$E$10,4,FALSE),0))</f>
        <v>0</v>
      </c>
      <c r="U172" s="46">
        <f t="shared" si="24"/>
        <v>0</v>
      </c>
      <c r="V172" s="46">
        <f>IF(L172=1,H172+SETTINGS!$B$5/24,"")</f>
        <v>46309.82708333333</v>
      </c>
      <c r="W172" s="28">
        <f ca="1">IF(L172=1,(V172-SETTINGS!$B$4)*24,"")</f>
        <v>-1.6666666720993817E-2</v>
      </c>
      <c r="X172" s="28">
        <f ca="1">IF(AND(L172=1,K172="OK",M172=0,N172=0,O172=0,P172=0,SETTINGS!$B$4&lt;V172,Q172&lt;SETTINGS!$B$6),1,0)</f>
        <v>0</v>
      </c>
      <c r="Y172" s="28">
        <f ca="1">IF(AND(X172=1,SETTINGS!$B$4&gt;=H172,SETTINGS!$B$4&gt;=U172,ROUND(MOD(SETTINGS!$B$4,1)*1440,0)&gt;=ROUND(SETTINGS!$B$7*1440,0),ROUND(MOD(SETTINGS!$B$4,1)*1440,0)&lt;ROUND(SETTINGS!$B$8*1440,0)),1,0)</f>
        <v>0</v>
      </c>
      <c r="Z172" s="28" t="str">
        <f ca="1">IF(B172="","",IF(ROUND(MOD(SETTINGS!$B$4,1)*1440,0)&lt;ROUND(SETTINGS!$B$11*1440,0),"Ram",IF(ROUND(MOD(SETTINGS!$B$4,1)*1440,0)&gt;=ROUND(SETTINGS!$B$10*1440,0),"Shyam",IF(MOD(IFERROR(VALUE(RIGHT(F172,2)),0),2)=0,"Ram","Shyam"))))</f>
        <v>Shyam</v>
      </c>
      <c r="AA172" s="28">
        <f t="shared" ca="1" si="25"/>
        <v>0</v>
      </c>
      <c r="AB172" s="28">
        <f ca="1">IF(X172=1,COUNTIFS($F$2:F172,F172,$X$2:X172,1),0)</f>
        <v>0</v>
      </c>
      <c r="AC172" s="28" t="str">
        <f>IF(L172=1,IF(IFERROR(INDEX(PARTNERS!$C$2:$C$88,MATCH(B172,PARTNERS!$A$2:$A$88,0)),"")="YES","YES","NO"),"")</f>
        <v>NO</v>
      </c>
      <c r="AD172" s="28" t="str">
        <f>IF(L172=1,IFERROR(INDEX(PARTNERS!$B$2:$B$88,MATCH(B172,PARTNERS!$A$2:$A$88,0)),""),"")</f>
        <v>https://calendly.com/partner000/interview</v>
      </c>
      <c r="AE172" s="28">
        <f ca="1">IF(X172=1,IFERROR(INDEX(SETTINGS!$B$34:$D$36,MATCH(I172,SETTINGS!$A$34:$A$36,0),MIN(Q172,2)+1),SETTINGS!$B$36),0)</f>
        <v>0</v>
      </c>
      <c r="AF172" s="28">
        <f t="shared" si="26"/>
        <v>1</v>
      </c>
      <c r="AG172" s="28">
        <f ca="1">IF(AND(Y172=1,AB172=1),ROUND(AA172*AE172*IF(AF172&gt;1,SETTINGS!$B$16,1)*IF(W172&lt;=SETTINGS!$B$14,SETTINGS!$B$15,1)*IF(AU172=1,SETTINGS!$B$21,1),6),0)</f>
        <v>0</v>
      </c>
      <c r="AH172" s="28" t="str">
        <f ca="1">IF(AG172&gt;0,COUNTIFS($Z$2:$Z$601,Z172,$AG$2:$AG$601,"&gt;"&amp;AG172)+COUNTIFS($Z$2:Z172,Z172,$AG$2:AG172,AG172),"")</f>
        <v/>
      </c>
      <c r="AI172" s="28" t="str">
        <f t="shared" ca="1" si="27"/>
        <v/>
      </c>
      <c r="AJ172" s="28" t="str">
        <f t="shared" ca="1" si="28"/>
        <v/>
      </c>
      <c r="AK172" s="28">
        <f>IF(L172=1,IF(COUNTIFS($F$2:F172,F172,$L$2:L172,1)=1,1,0),0)</f>
        <v>1</v>
      </c>
      <c r="AL172" s="28" t="str">
        <f>IF(B172="","",IF(K172="DUPLICATE","Duplicate (removed)",IF(AO172=1,"Scheduled within 24h",IF(M172=1,"Scheduled late",IF(K172="BAD CONTACT","Bad contact details",IF(O172=1,"Stopped / wrong number",IF(N172=1,"Not interested",IF(P172=1,"Partner has no slots",IF(SETTINGS!$B$4&gt;=V172,IF(Q172=0,"Missed deadline: never tried","Missed deadline: tried, not booked"),IF(Q172&gt;=SETTINGS!$B$6,"No reply after max tries","Open"))))))))))</f>
        <v>Scheduled within 24h</v>
      </c>
      <c r="AM172" s="46">
        <f>IF(M172=1,IF(_xlfn.MINIFS(LOG!$G$2:$G$2001,LOG!$C$2:$C$2001,F172,LOG!$E$2:$E$2001,B172,LOG!$D$2:$D$2001,"*BOOKED")=0,_xlfn.MINIFS(LOG!$G$2:$G$2001,LOG!$C$2:$C$2001,F172,LOG!$E$2:$E$2001,"",LOG!$D$2:$D$2001,"*BOOKED"),IF(_xlfn.MINIFS(LOG!$G$2:$G$2001,LOG!$C$2:$C$2001,F172,LOG!$E$2:$E$2001,"",LOG!$D$2:$D$2001,"*BOOKED")=0,_xlfn.MINIFS(LOG!$G$2:$G$2001,LOG!$C$2:$C$2001,F172,LOG!$E$2:$E$2001,B172,LOG!$D$2:$D$2001,"*BOOKED"),MIN(_xlfn.MINIFS(LOG!$G$2:$G$2001,LOG!$C$2:$C$2001,F172,LOG!$E$2:$E$2001,B172,LOG!$D$2:$D$2001,"*BOOKED"),_xlfn.MINIFS(LOG!$G$2:$G$2001,LOG!$C$2:$C$2001,F172,LOG!$E$2:$E$2001,"",LOG!$D$2:$D$2001,"*BOOKED")))),"")</f>
        <v>46309.420512072043</v>
      </c>
      <c r="AN172" s="28">
        <f t="shared" si="29"/>
        <v>14.242289729125332</v>
      </c>
      <c r="AO172" s="28">
        <f>IF(AND(M172=1,AN172&lt;&gt;""),IF(AN172&lt;=SETTINGS!$B$5,1,0),0)</f>
        <v>1</v>
      </c>
      <c r="AP172" s="28">
        <f>IF(M172=1,IF(COUNTIFS(LOG!$C$2:$C$2001,F172,LOG!$E$2:$E$2001,B172,LOG!$D$2:$D$2001,"BOOKED")+COUNTIFS(LOG!$C$2:$C$2001,F172,LOG!$E$2:$E$2001,"",LOG!$D$2:$D$2001,"BOOKED")&gt;0,1,0),0)</f>
        <v>0</v>
      </c>
      <c r="AQ172" s="28" t="str">
        <f t="shared" si="30"/>
        <v>Navya</v>
      </c>
      <c r="AR172" s="28">
        <f>IF(AND(AK172=1,K172="OK"),COUNTIFS($AK$2:AK172,1,$K$2:K172,"OK"),"")</f>
        <v>156</v>
      </c>
      <c r="AS172" s="28" t="str">
        <f>IF(L172=1,IFERROR(INDEX(MESSAGES!$J$9:$J$1008,MATCH(F172,MESSAGES!$M$9:$M$1008,0))&amp;"",""),"")</f>
        <v/>
      </c>
      <c r="AT172" s="28" t="str">
        <f>IF(L172=1,IFERROR(INDEX(MESSAGES!$K$9:$K$1008,MATCH(F172,MESSAGES!$M$9:$M$1008,0))&amp;"",""),"")</f>
        <v/>
      </c>
      <c r="AU172" s="28">
        <f t="shared" ca="1" si="31"/>
        <v>0</v>
      </c>
      <c r="AV172" s="28" t="str">
        <f t="shared" si="32"/>
        <v>HOLD</v>
      </c>
    </row>
    <row r="173" spans="1:48" x14ac:dyDescent="0.35">
      <c r="A173" s="28">
        <v>172</v>
      </c>
      <c r="B173" s="28" t="str">
        <f>IF(INPUT!A173="","",TRIM(INPUT!A173))</f>
        <v>Partner 000</v>
      </c>
      <c r="C173" s="28" t="str">
        <f>IF(B173="","",INPUT!C173)</f>
        <v>interviewer2@partner000.example.com</v>
      </c>
      <c r="D173" s="28" t="str">
        <f>IF(B173="","",INPUT!D173)</f>
        <v>Kabir M.</v>
      </c>
      <c r="E173" s="28" t="str">
        <f>IF(B173="","",INPUT!E173)</f>
        <v>kabir.m332@example.com</v>
      </c>
      <c r="F173" s="43" t="str">
        <f>IF(B173="","",TRIM(INPUT!F173&amp;""))</f>
        <v>9000004323</v>
      </c>
      <c r="G173" s="28" t="str">
        <f>IF(B173="","",INPUT!H173)</f>
        <v>Round1</v>
      </c>
      <c r="H173" s="46">
        <f>IF(B173="","",INPUT!I173)</f>
        <v>46308.82708333333</v>
      </c>
      <c r="I173" s="28" t="str">
        <f>IF(B173="","",IF(INPUT!J173="","None",INPUT!J173))</f>
        <v>Opened</v>
      </c>
      <c r="J173" s="28" t="str">
        <f t="shared" si="22"/>
        <v>kabir.m332@example.com|partner 000|Round1|interviewer2@partner000.example.com</v>
      </c>
      <c r="K173" s="28" t="str">
        <f>IF(B173="","",IF(SUMPRODUCT(($J$2:$J$601=J173)*($H$2:$H$601&lt;H173))+SUMPRODUCT(($J$2:J173=J173)*($H$2:H173=H173))-1&gt;0,"DUPLICATE",IF(AND(ISNUMBER(SEARCH("@",E173)),ISNUMBER(SEARCH(".",E173)),LEN(F173)=10,ISNUMBER(VALUE(F173))),"OK","BAD CONTACT")))</f>
        <v>OK</v>
      </c>
      <c r="L173" s="28">
        <f t="shared" si="23"/>
        <v>1</v>
      </c>
      <c r="M173" s="28">
        <f>IF(L173=1,IF(COUNTIFS(LOG!$C$2:$C$2001,F173,LOG!$E$2:$E$2001,B173,LOG!$D$2:$D$2001,"*BOOKED")+COUNTIFS(LOG!$C$2:$C$2001,F173,LOG!$E$2:$E$2001,"",LOG!$D$2:$D$2001,"*BOOKED")&gt;0,1,0),0)</f>
        <v>1</v>
      </c>
      <c r="N173" s="28">
        <f>IF(L173=1,IF(COUNTIFS(LOG!$C$2:$C$2001,F173,LOG!$E$2:$E$2001,B173,LOG!$D$2:$D$2001,"NOT_INTERESTED")+COUNTIFS(LOG!$C$2:$C$2001,F173,LOG!$E$2:$E$2001,"",LOG!$D$2:$D$2001,"NOT_INTERESTED")&gt;0,1,0),0)</f>
        <v>0</v>
      </c>
      <c r="O173" s="28">
        <f>IF(L173=1,IF(COUNTIFS(LOG!$C$2:$C$2001,F173,LOG!$D$2:$D$2001,"STOP")+COUNTIFS(LOG!$C$2:$C$2001,F173,LOG!$D$2:$D$2001,"WRONG_NUMBER")&gt;0,1,IF(ISNUMBER(SEARCH("STOP",AT173)),1,0)),0)</f>
        <v>0</v>
      </c>
      <c r="P173" s="28">
        <f>IF(L173=1,IF(IFERROR(INDEX(PARTNERS!$D$2:$D$88,MATCH(B173,PARTNERS!$A$2:$A$88,0)),"")="NO SLOTS",1,IF(AND(IFERROR(INDEX(PARTNERS!$D$2:$D$88,MATCH(B173,PARTNERS!$A$2:$A$88,0)),"")&lt;&gt;"REOPENED",COUNTIFS(LOG!$E$2:$E$2001,B173,LOG!$D$2:$D$2001,"NO_SLOTS")&gt;0),1,0)),0)</f>
        <v>0</v>
      </c>
      <c r="Q173" s="28">
        <f>IF(L173=1,COUNTIFS(LOG!$C$2:$C$2001,F173,LOG!$H$2:$H$2001,1),0)</f>
        <v>0</v>
      </c>
      <c r="R173" s="46">
        <f>IF(Q173&gt;0,_xlfn.MAXIFS(LOG!$G$2:$G$2001,LOG!$C$2:$C$2001,F173,LOG!$H$2:$H$2001,1),0)</f>
        <v>0</v>
      </c>
      <c r="S173" s="28" t="str">
        <f>IF(Q173&gt;0,IFERROR(INDEX(LOG!$D$2:$D$2001,MATCH(F173&amp;"|"&amp;Q173,LOG!$I$2:$I$2001,0)),""),"")</f>
        <v/>
      </c>
      <c r="T173" s="28">
        <f>IF(S173="",0,IFERROR(VLOOKUP(S173,LISTS!$A$2:$E$10,4,FALSE),0))</f>
        <v>0</v>
      </c>
      <c r="U173" s="46">
        <f t="shared" si="24"/>
        <v>0</v>
      </c>
      <c r="V173" s="46">
        <f>IF(L173=1,H173+SETTINGS!$B$5/24,"")</f>
        <v>46309.82708333333</v>
      </c>
      <c r="W173" s="28">
        <f ca="1">IF(L173=1,(V173-SETTINGS!$B$4)*24,"")</f>
        <v>-1.6666666720993817E-2</v>
      </c>
      <c r="X173" s="28">
        <f ca="1">IF(AND(L173=1,K173="OK",M173=0,N173=0,O173=0,P173=0,SETTINGS!$B$4&lt;V173,Q173&lt;SETTINGS!$B$6),1,0)</f>
        <v>0</v>
      </c>
      <c r="Y173" s="28">
        <f ca="1">IF(AND(X173=1,SETTINGS!$B$4&gt;=H173,SETTINGS!$B$4&gt;=U173,ROUND(MOD(SETTINGS!$B$4,1)*1440,0)&gt;=ROUND(SETTINGS!$B$7*1440,0),ROUND(MOD(SETTINGS!$B$4,1)*1440,0)&lt;ROUND(SETTINGS!$B$8*1440,0)),1,0)</f>
        <v>0</v>
      </c>
      <c r="Z173" s="28" t="str">
        <f ca="1">IF(B173="","",IF(ROUND(MOD(SETTINGS!$B$4,1)*1440,0)&lt;ROUND(SETTINGS!$B$11*1440,0),"Ram",IF(ROUND(MOD(SETTINGS!$B$4,1)*1440,0)&gt;=ROUND(SETTINGS!$B$10*1440,0),"Shyam",IF(MOD(IFERROR(VALUE(RIGHT(F173,2)),0),2)=0,"Ram","Shyam"))))</f>
        <v>Shyam</v>
      </c>
      <c r="AA173" s="28">
        <f t="shared" ca="1" si="25"/>
        <v>0</v>
      </c>
      <c r="AB173" s="28">
        <f ca="1">IF(X173=1,COUNTIFS($F$2:F173,F173,$X$2:X173,1),0)</f>
        <v>0</v>
      </c>
      <c r="AC173" s="28" t="str">
        <f>IF(L173=1,IF(IFERROR(INDEX(PARTNERS!$C$2:$C$88,MATCH(B173,PARTNERS!$A$2:$A$88,0)),"")="YES","YES","NO"),"")</f>
        <v>NO</v>
      </c>
      <c r="AD173" s="28" t="str">
        <f>IF(L173=1,IFERROR(INDEX(PARTNERS!$B$2:$B$88,MATCH(B173,PARTNERS!$A$2:$A$88,0)),""),"")</f>
        <v>https://calendly.com/partner000/interview</v>
      </c>
      <c r="AE173" s="28">
        <f ca="1">IF(X173=1,IFERROR(INDEX(SETTINGS!$B$34:$D$36,MATCH(I173,SETTINGS!$A$34:$A$36,0),MIN(Q173,2)+1),SETTINGS!$B$36),0)</f>
        <v>0</v>
      </c>
      <c r="AF173" s="28">
        <f t="shared" si="26"/>
        <v>1</v>
      </c>
      <c r="AG173" s="28">
        <f ca="1">IF(AND(Y173=1,AB173=1),ROUND(AA173*AE173*IF(AF173&gt;1,SETTINGS!$B$16,1)*IF(W173&lt;=SETTINGS!$B$14,SETTINGS!$B$15,1)*IF(AU173=1,SETTINGS!$B$21,1),6),0)</f>
        <v>0</v>
      </c>
      <c r="AH173" s="28" t="str">
        <f ca="1">IF(AG173&gt;0,COUNTIFS($Z$2:$Z$601,Z173,$AG$2:$AG$601,"&gt;"&amp;AG173)+COUNTIFS($Z$2:Z173,Z173,$AG$2:AG173,AG173),"")</f>
        <v/>
      </c>
      <c r="AI173" s="28" t="str">
        <f t="shared" ca="1" si="27"/>
        <v/>
      </c>
      <c r="AJ173" s="28" t="str">
        <f t="shared" ca="1" si="28"/>
        <v/>
      </c>
      <c r="AK173" s="28">
        <f>IF(L173=1,IF(COUNTIFS($F$2:F173,F173,$L$2:L173,1)=1,1,0),0)</f>
        <v>1</v>
      </c>
      <c r="AL173" s="28" t="str">
        <f>IF(B173="","",IF(K173="DUPLICATE","Duplicate (removed)",IF(AO173=1,"Scheduled within 24h",IF(M173=1,"Scheduled late",IF(K173="BAD CONTACT","Bad contact details",IF(O173=1,"Stopped / wrong number",IF(N173=1,"Not interested",IF(P173=1,"Partner has no slots",IF(SETTINGS!$B$4&gt;=V173,IF(Q173=0,"Missed deadline: never tried","Missed deadline: tried, not booked"),IF(Q173&gt;=SETTINGS!$B$6,"No reply after max tries","Open"))))))))))</f>
        <v>Scheduled within 24h</v>
      </c>
      <c r="AM173" s="46">
        <f>IF(M173=1,IF(_xlfn.MINIFS(LOG!$G$2:$G$2001,LOG!$C$2:$C$2001,F173,LOG!$E$2:$E$2001,B173,LOG!$D$2:$D$2001,"*BOOKED")=0,_xlfn.MINIFS(LOG!$G$2:$G$2001,LOG!$C$2:$C$2001,F173,LOG!$E$2:$E$2001,"",LOG!$D$2:$D$2001,"*BOOKED"),IF(_xlfn.MINIFS(LOG!$G$2:$G$2001,LOG!$C$2:$C$2001,F173,LOG!$E$2:$E$2001,"",LOG!$D$2:$D$2001,"*BOOKED")=0,_xlfn.MINIFS(LOG!$G$2:$G$2001,LOG!$C$2:$C$2001,F173,LOG!$E$2:$E$2001,B173,LOG!$D$2:$D$2001,"*BOOKED"),MIN(_xlfn.MINIFS(LOG!$G$2:$G$2001,LOG!$C$2:$C$2001,F173,LOG!$E$2:$E$2001,B173,LOG!$D$2:$D$2001,"*BOOKED"),_xlfn.MINIFS(LOG!$G$2:$G$2001,LOG!$C$2:$C$2001,F173,LOG!$E$2:$E$2001,"",LOG!$D$2:$D$2001,"*BOOKED")))),"")</f>
        <v>46308.88884905132</v>
      </c>
      <c r="AN173" s="28">
        <f t="shared" si="29"/>
        <v>1.4823772317613475</v>
      </c>
      <c r="AO173" s="28">
        <f>IF(AND(M173=1,AN173&lt;&gt;""),IF(AN173&lt;=SETTINGS!$B$5,1,0),0)</f>
        <v>1</v>
      </c>
      <c r="AP173" s="28">
        <f>IF(M173=1,IF(COUNTIFS(LOG!$C$2:$C$2001,F173,LOG!$E$2:$E$2001,B173,LOG!$D$2:$D$2001,"BOOKED")+COUNTIFS(LOG!$C$2:$C$2001,F173,LOG!$E$2:$E$2001,"",LOG!$D$2:$D$2001,"BOOKED")&gt;0,1,0),0)</f>
        <v>0</v>
      </c>
      <c r="AQ173" s="28" t="str">
        <f t="shared" si="30"/>
        <v>Kabir</v>
      </c>
      <c r="AR173" s="28">
        <f>IF(AND(AK173=1,K173="OK"),COUNTIFS($AK$2:AK173,1,$K$2:K173,"OK"),"")</f>
        <v>157</v>
      </c>
      <c r="AS173" s="28" t="str">
        <f>IF(L173=1,IFERROR(INDEX(MESSAGES!$J$9:$J$1008,MATCH(F173,MESSAGES!$M$9:$M$1008,0))&amp;"",""),"")</f>
        <v/>
      </c>
      <c r="AT173" s="28" t="str">
        <f>IF(L173=1,IFERROR(INDEX(MESSAGES!$K$9:$K$1008,MATCH(F173,MESSAGES!$M$9:$M$1008,0))&amp;"",""),"")</f>
        <v/>
      </c>
      <c r="AU173" s="28">
        <f t="shared" ca="1" si="31"/>
        <v>0</v>
      </c>
      <c r="AV173" s="28" t="str">
        <f t="shared" si="32"/>
        <v>SEND</v>
      </c>
    </row>
    <row r="174" spans="1:48" x14ac:dyDescent="0.35">
      <c r="A174" s="28">
        <v>173</v>
      </c>
      <c r="B174" s="28" t="str">
        <f>IF(INPUT!A174="","",TRIM(INPUT!A174))</f>
        <v>Partner 073</v>
      </c>
      <c r="C174" s="28" t="str">
        <f>IF(B174="","",INPUT!C174)</f>
        <v>interviewer0@partner073.example.com</v>
      </c>
      <c r="D174" s="28" t="str">
        <f>IF(B174="","",INPUT!D174)</f>
        <v>Arjun P.</v>
      </c>
      <c r="E174" s="28" t="str">
        <f>IF(B174="","",INPUT!E174)</f>
        <v>arjun.p398@example.com</v>
      </c>
      <c r="F174" s="43" t="str">
        <f>IF(B174="","",TRIM(INPUT!F174&amp;""))</f>
        <v>9000005181</v>
      </c>
      <c r="G174" s="28" t="str">
        <f>IF(B174="","",INPUT!H174)</f>
        <v>Round1</v>
      </c>
      <c r="H174" s="46">
        <f>IF(B174="","",INPUT!I174)</f>
        <v>46308.82708333333</v>
      </c>
      <c r="I174" s="28" t="str">
        <f>IF(B174="","",IF(INPUT!J174="","None",INPUT!J174))</f>
        <v>Clicked</v>
      </c>
      <c r="J174" s="28" t="str">
        <f t="shared" si="22"/>
        <v>arjun.p398@example.com|partner 073|Round1|interviewer0@partner073.example.com</v>
      </c>
      <c r="K174" s="28" t="str">
        <f>IF(B174="","",IF(SUMPRODUCT(($J$2:$J$601=J174)*($H$2:$H$601&lt;H174))+SUMPRODUCT(($J$2:J174=J174)*($H$2:H174=H174))-1&gt;0,"DUPLICATE",IF(AND(ISNUMBER(SEARCH("@",E174)),ISNUMBER(SEARCH(".",E174)),LEN(F174)=10,ISNUMBER(VALUE(F174))),"OK","BAD CONTACT")))</f>
        <v>OK</v>
      </c>
      <c r="L174" s="28">
        <f t="shared" si="23"/>
        <v>1</v>
      </c>
      <c r="M174" s="28">
        <f>IF(L174=1,IF(COUNTIFS(LOG!$C$2:$C$2001,F174,LOG!$E$2:$E$2001,B174,LOG!$D$2:$D$2001,"*BOOKED")+COUNTIFS(LOG!$C$2:$C$2001,F174,LOG!$E$2:$E$2001,"",LOG!$D$2:$D$2001,"*BOOKED")&gt;0,1,0),0)</f>
        <v>0</v>
      </c>
      <c r="N174" s="28">
        <f>IF(L174=1,IF(COUNTIFS(LOG!$C$2:$C$2001,F174,LOG!$E$2:$E$2001,B174,LOG!$D$2:$D$2001,"NOT_INTERESTED")+COUNTIFS(LOG!$C$2:$C$2001,F174,LOG!$E$2:$E$2001,"",LOG!$D$2:$D$2001,"NOT_INTERESTED")&gt;0,1,0),0)</f>
        <v>0</v>
      </c>
      <c r="O174" s="28">
        <f>IF(L174=1,IF(COUNTIFS(LOG!$C$2:$C$2001,F174,LOG!$D$2:$D$2001,"STOP")+COUNTIFS(LOG!$C$2:$C$2001,F174,LOG!$D$2:$D$2001,"WRONG_NUMBER")&gt;0,1,IF(ISNUMBER(SEARCH("STOP",AT174)),1,0)),0)</f>
        <v>0</v>
      </c>
      <c r="P174" s="28">
        <f>IF(L174=1,IF(IFERROR(INDEX(PARTNERS!$D$2:$D$88,MATCH(B174,PARTNERS!$A$2:$A$88,0)),"")="NO SLOTS",1,IF(AND(IFERROR(INDEX(PARTNERS!$D$2:$D$88,MATCH(B174,PARTNERS!$A$2:$A$88,0)),"")&lt;&gt;"REOPENED",COUNTIFS(LOG!$E$2:$E$2001,B174,LOG!$D$2:$D$2001,"NO_SLOTS")&gt;0),1,0)),0)</f>
        <v>0</v>
      </c>
      <c r="Q174" s="28">
        <f>IF(L174=1,COUNTIFS(LOG!$C$2:$C$2001,F174,LOG!$H$2:$H$2001,1),0)</f>
        <v>2</v>
      </c>
      <c r="R174" s="46">
        <f>IF(Q174&gt;0,_xlfn.MAXIFS(LOG!$G$2:$G$2001,LOG!$C$2:$C$2001,F174,LOG!$H$2:$H$2001,1),0)</f>
        <v>46309.73362907819</v>
      </c>
      <c r="S174" s="28" t="str">
        <f>IF(Q174&gt;0,IFERROR(INDEX(LOG!$D$2:$D$2001,MATCH(F174&amp;"|"&amp;Q174,LOG!$I$2:$I$2001,0)),""),"")</f>
        <v>CALL_BACK</v>
      </c>
      <c r="T174" s="28">
        <f>IF(S174="",0,IFERROR(VLOOKUP(S174,LISTS!$A$2:$E$10,4,FALSE),0))</f>
        <v>120</v>
      </c>
      <c r="U174" s="46">
        <f t="shared" si="24"/>
        <v>46309.816962411525</v>
      </c>
      <c r="V174" s="46">
        <f>IF(L174=1,H174+SETTINGS!$B$5/24,"")</f>
        <v>46309.82708333333</v>
      </c>
      <c r="W174" s="28">
        <f ca="1">IF(L174=1,(V174-SETTINGS!$B$4)*24,"")</f>
        <v>-1.6666666720993817E-2</v>
      </c>
      <c r="X174" s="28">
        <f ca="1">IF(AND(L174=1,K174="OK",M174=0,N174=0,O174=0,P174=0,SETTINGS!$B$4&lt;V174,Q174&lt;SETTINGS!$B$6),1,0)</f>
        <v>0</v>
      </c>
      <c r="Y174" s="28">
        <f ca="1">IF(AND(X174=1,SETTINGS!$B$4&gt;=H174,SETTINGS!$B$4&gt;=U174,ROUND(MOD(SETTINGS!$B$4,1)*1440,0)&gt;=ROUND(SETTINGS!$B$7*1440,0),ROUND(MOD(SETTINGS!$B$4,1)*1440,0)&lt;ROUND(SETTINGS!$B$8*1440,0)),1,0)</f>
        <v>0</v>
      </c>
      <c r="Z174" s="28" t="str">
        <f ca="1">IF(B174="","",IF(ROUND(MOD(SETTINGS!$B$4,1)*1440,0)&lt;ROUND(SETTINGS!$B$11*1440,0),"Ram",IF(ROUND(MOD(SETTINGS!$B$4,1)*1440,0)&gt;=ROUND(SETTINGS!$B$10*1440,0),"Shyam",IF(MOD(IFERROR(VALUE(RIGHT(F174,2)),0),2)=0,"Ram","Shyam"))))</f>
        <v>Shyam</v>
      </c>
      <c r="AA174" s="28">
        <f t="shared" ca="1" si="25"/>
        <v>0</v>
      </c>
      <c r="AB174" s="28">
        <f ca="1">IF(X174=1,COUNTIFS($F$2:F174,F174,$X$2:X174,1),0)</f>
        <v>0</v>
      </c>
      <c r="AC174" s="28" t="str">
        <f>IF(L174=1,IF(IFERROR(INDEX(PARTNERS!$C$2:$C$88,MATCH(B174,PARTNERS!$A$2:$A$88,0)),"")="YES","YES","NO"),"")</f>
        <v>YES</v>
      </c>
      <c r="AD174" s="28" t="str">
        <f>IF(L174=1,IFERROR(INDEX(PARTNERS!$B$2:$B$88,MATCH(B174,PARTNERS!$A$2:$A$88,0)),""),"")</f>
        <v>https://calendly.com/partner073/interview</v>
      </c>
      <c r="AE174" s="28">
        <f ca="1">IF(X174=1,IFERROR(INDEX(SETTINGS!$B$34:$D$36,MATCH(I174,SETTINGS!$A$34:$A$36,0),MIN(Q174,2)+1),SETTINGS!$B$36),0)</f>
        <v>0</v>
      </c>
      <c r="AF174" s="28">
        <f t="shared" si="26"/>
        <v>1</v>
      </c>
      <c r="AG174" s="28">
        <f ca="1">IF(AND(Y174=1,AB174=1),ROUND(AA174*AE174*IF(AF174&gt;1,SETTINGS!$B$16,1)*IF(W174&lt;=SETTINGS!$B$14,SETTINGS!$B$15,1)*IF(AU174=1,SETTINGS!$B$21,1),6),0)</f>
        <v>0</v>
      </c>
      <c r="AH174" s="28" t="str">
        <f ca="1">IF(AG174&gt;0,COUNTIFS($Z$2:$Z$601,Z174,$AG$2:$AG$601,"&gt;"&amp;AG174)+COUNTIFS($Z$2:Z174,Z174,$AG$2:AG174,AG174),"")</f>
        <v/>
      </c>
      <c r="AI174" s="28" t="str">
        <f t="shared" ca="1" si="27"/>
        <v/>
      </c>
      <c r="AJ174" s="28" t="str">
        <f t="shared" ca="1" si="28"/>
        <v/>
      </c>
      <c r="AK174" s="28">
        <f>IF(L174=1,IF(COUNTIFS($F$2:F174,F174,$L$2:L174,1)=1,1,0),0)</f>
        <v>1</v>
      </c>
      <c r="AL174" s="28" t="str">
        <f ca="1">IF(B174="","",IF(K174="DUPLICATE","Duplicate (removed)",IF(AO174=1,"Scheduled within 24h",IF(M174=1,"Scheduled late",IF(K174="BAD CONTACT","Bad contact details",IF(O174=1,"Stopped / wrong number",IF(N174=1,"Not interested",IF(P174=1,"Partner has no slots",IF(SETTINGS!$B$4&gt;=V174,IF(Q174=0,"Missed deadline: never tried","Missed deadline: tried, not booked"),IF(Q174&gt;=SETTINGS!$B$6,"No reply after max tries","Open"))))))))))</f>
        <v>Missed deadline: tried, not booked</v>
      </c>
      <c r="AM174" s="46" t="str">
        <f>IF(M174=1,IF(_xlfn.MINIFS(LOG!$G$2:$G$2001,LOG!$C$2:$C$2001,F174,LOG!$E$2:$E$2001,B174,LOG!$D$2:$D$2001,"*BOOKED")=0,_xlfn.MINIFS(LOG!$G$2:$G$2001,LOG!$C$2:$C$2001,F174,LOG!$E$2:$E$2001,"",LOG!$D$2:$D$2001,"*BOOKED"),IF(_xlfn.MINIFS(LOG!$G$2:$G$2001,LOG!$C$2:$C$2001,F174,LOG!$E$2:$E$2001,"",LOG!$D$2:$D$2001,"*BOOKED")=0,_xlfn.MINIFS(LOG!$G$2:$G$2001,LOG!$C$2:$C$2001,F174,LOG!$E$2:$E$2001,B174,LOG!$D$2:$D$2001,"*BOOKED"),MIN(_xlfn.MINIFS(LOG!$G$2:$G$2001,LOG!$C$2:$C$2001,F174,LOG!$E$2:$E$2001,B174,LOG!$D$2:$D$2001,"*BOOKED"),_xlfn.MINIFS(LOG!$G$2:$G$2001,LOG!$C$2:$C$2001,F174,LOG!$E$2:$E$2001,"",LOG!$D$2:$D$2001,"*BOOKED")))),"")</f>
        <v/>
      </c>
      <c r="AN174" s="28" t="str">
        <f t="shared" si="29"/>
        <v/>
      </c>
      <c r="AO174" s="28">
        <f>IF(AND(M174=1,AN174&lt;&gt;""),IF(AN174&lt;=SETTINGS!$B$5,1,0),0)</f>
        <v>0</v>
      </c>
      <c r="AP174" s="28">
        <f>IF(M174=1,IF(COUNTIFS(LOG!$C$2:$C$2001,F174,LOG!$E$2:$E$2001,B174,LOG!$D$2:$D$2001,"BOOKED")+COUNTIFS(LOG!$C$2:$C$2001,F174,LOG!$E$2:$E$2001,"",LOG!$D$2:$D$2001,"BOOKED")&gt;0,1,0),0)</f>
        <v>0</v>
      </c>
      <c r="AQ174" s="28" t="str">
        <f t="shared" si="30"/>
        <v>Arjun</v>
      </c>
      <c r="AR174" s="28">
        <f>IF(AND(AK174=1,K174="OK"),COUNTIFS($AK$2:AK174,1,$K$2:K174,"OK"),"")</f>
        <v>158</v>
      </c>
      <c r="AS174" s="28" t="str">
        <f>IF(L174=1,IFERROR(INDEX(MESSAGES!$J$9:$J$1008,MATCH(F174,MESSAGES!$M$9:$M$1008,0))&amp;"",""),"")</f>
        <v/>
      </c>
      <c r="AT174" s="28" t="str">
        <f>IF(L174=1,IFERROR(INDEX(MESSAGES!$K$9:$K$1008,MATCH(F174,MESSAGES!$M$9:$M$1008,0))&amp;"",""),"")</f>
        <v/>
      </c>
      <c r="AU174" s="28">
        <f t="shared" ca="1" si="31"/>
        <v>0</v>
      </c>
      <c r="AV174" s="28" t="str">
        <f t="shared" si="32"/>
        <v>SEND</v>
      </c>
    </row>
    <row r="175" spans="1:48" x14ac:dyDescent="0.35">
      <c r="A175" s="28">
        <v>174</v>
      </c>
      <c r="B175" s="28" t="str">
        <f>IF(INPUT!A175="","",TRIM(INPUT!A175))</f>
        <v>Partner 058</v>
      </c>
      <c r="C175" s="28" t="str">
        <f>IF(B175="","",INPUT!C175)</f>
        <v>interviewer0@partner058.example.com</v>
      </c>
      <c r="D175" s="28" t="str">
        <f>IF(B175="","",INPUT!D175)</f>
        <v>Ira J.</v>
      </c>
      <c r="E175" s="28" t="str">
        <f>IF(B175="","",INPUT!E175)</f>
        <v>ira.j245@example.com</v>
      </c>
      <c r="F175" s="43" t="str">
        <f>IF(B175="","",TRIM(INPUT!F175&amp;""))</f>
        <v>9000003192</v>
      </c>
      <c r="G175" s="28" t="str">
        <f>IF(B175="","",INPUT!H175)</f>
        <v>Round1</v>
      </c>
      <c r="H175" s="46">
        <f>IF(B175="","",INPUT!I175)</f>
        <v>46308.82708333333</v>
      </c>
      <c r="I175" s="28" t="str">
        <f>IF(B175="","",IF(INPUT!J175="","None",INPUT!J175))</f>
        <v>Opened</v>
      </c>
      <c r="J175" s="28" t="str">
        <f t="shared" si="22"/>
        <v>ira.j245@example.com|partner 058|Round1|interviewer0@partner058.example.com</v>
      </c>
      <c r="K175" s="28" t="str">
        <f>IF(B175="","",IF(SUMPRODUCT(($J$2:$J$601=J175)*($H$2:$H$601&lt;H175))+SUMPRODUCT(($J$2:J175=J175)*($H$2:H175=H175))-1&gt;0,"DUPLICATE",IF(AND(ISNUMBER(SEARCH("@",E175)),ISNUMBER(SEARCH(".",E175)),LEN(F175)=10,ISNUMBER(VALUE(F175))),"OK","BAD CONTACT")))</f>
        <v>OK</v>
      </c>
      <c r="L175" s="28">
        <f t="shared" si="23"/>
        <v>1</v>
      </c>
      <c r="M175" s="28">
        <f>IF(L175=1,IF(COUNTIFS(LOG!$C$2:$C$2001,F175,LOG!$E$2:$E$2001,B175,LOG!$D$2:$D$2001,"*BOOKED")+COUNTIFS(LOG!$C$2:$C$2001,F175,LOG!$E$2:$E$2001,"",LOG!$D$2:$D$2001,"*BOOKED")&gt;0,1,0),0)</f>
        <v>0</v>
      </c>
      <c r="N175" s="28">
        <f>IF(L175=1,IF(COUNTIFS(LOG!$C$2:$C$2001,F175,LOG!$E$2:$E$2001,B175,LOG!$D$2:$D$2001,"NOT_INTERESTED")+COUNTIFS(LOG!$C$2:$C$2001,F175,LOG!$E$2:$E$2001,"",LOG!$D$2:$D$2001,"NOT_INTERESTED")&gt;0,1,0),0)</f>
        <v>0</v>
      </c>
      <c r="O175" s="28">
        <f>IF(L175=1,IF(COUNTIFS(LOG!$C$2:$C$2001,F175,LOG!$D$2:$D$2001,"STOP")+COUNTIFS(LOG!$C$2:$C$2001,F175,LOG!$D$2:$D$2001,"WRONG_NUMBER")&gt;0,1,IF(ISNUMBER(SEARCH("STOP",AT175)),1,0)),0)</f>
        <v>0</v>
      </c>
      <c r="P175" s="28">
        <f>IF(L175=1,IF(IFERROR(INDEX(PARTNERS!$D$2:$D$88,MATCH(B175,PARTNERS!$A$2:$A$88,0)),"")="NO SLOTS",1,IF(AND(IFERROR(INDEX(PARTNERS!$D$2:$D$88,MATCH(B175,PARTNERS!$A$2:$A$88,0)),"")&lt;&gt;"REOPENED",COUNTIFS(LOG!$E$2:$E$2001,B175,LOG!$D$2:$D$2001,"NO_SLOTS")&gt;0),1,0)),0)</f>
        <v>0</v>
      </c>
      <c r="Q175" s="28">
        <f>IF(L175=1,COUNTIFS(LOG!$C$2:$C$2001,F175,LOG!$H$2:$H$2001,1),0)</f>
        <v>0</v>
      </c>
      <c r="R175" s="46">
        <f>IF(Q175&gt;0,_xlfn.MAXIFS(LOG!$G$2:$G$2001,LOG!$C$2:$C$2001,F175,LOG!$H$2:$H$2001,1),0)</f>
        <v>0</v>
      </c>
      <c r="S175" s="28" t="str">
        <f>IF(Q175&gt;0,IFERROR(INDEX(LOG!$D$2:$D$2001,MATCH(F175&amp;"|"&amp;Q175,LOG!$I$2:$I$2001,0)),""),"")</f>
        <v/>
      </c>
      <c r="T175" s="28">
        <f>IF(S175="",0,IFERROR(VLOOKUP(S175,LISTS!$A$2:$E$10,4,FALSE),0))</f>
        <v>0</v>
      </c>
      <c r="U175" s="46">
        <f t="shared" si="24"/>
        <v>0</v>
      </c>
      <c r="V175" s="46">
        <f>IF(L175=1,H175+SETTINGS!$B$5/24,"")</f>
        <v>46309.82708333333</v>
      </c>
      <c r="W175" s="28">
        <f ca="1">IF(L175=1,(V175-SETTINGS!$B$4)*24,"")</f>
        <v>-1.6666666720993817E-2</v>
      </c>
      <c r="X175" s="28">
        <f ca="1">IF(AND(L175=1,K175="OK",M175=0,N175=0,O175=0,P175=0,SETTINGS!$B$4&lt;V175,Q175&lt;SETTINGS!$B$6),1,0)</f>
        <v>0</v>
      </c>
      <c r="Y175" s="28">
        <f ca="1">IF(AND(X175=1,SETTINGS!$B$4&gt;=H175,SETTINGS!$B$4&gt;=U175,ROUND(MOD(SETTINGS!$B$4,1)*1440,0)&gt;=ROUND(SETTINGS!$B$7*1440,0),ROUND(MOD(SETTINGS!$B$4,1)*1440,0)&lt;ROUND(SETTINGS!$B$8*1440,0)),1,0)</f>
        <v>0</v>
      </c>
      <c r="Z175" s="28" t="str">
        <f ca="1">IF(B175="","",IF(ROUND(MOD(SETTINGS!$B$4,1)*1440,0)&lt;ROUND(SETTINGS!$B$11*1440,0),"Ram",IF(ROUND(MOD(SETTINGS!$B$4,1)*1440,0)&gt;=ROUND(SETTINGS!$B$10*1440,0),"Shyam",IF(MOD(IFERROR(VALUE(RIGHT(F175,2)),0),2)=0,"Ram","Shyam"))))</f>
        <v>Shyam</v>
      </c>
      <c r="AA175" s="28">
        <f t="shared" ca="1" si="25"/>
        <v>0</v>
      </c>
      <c r="AB175" s="28">
        <f ca="1">IF(X175=1,COUNTIFS($F$2:F175,F175,$X$2:X175,1),0)</f>
        <v>0</v>
      </c>
      <c r="AC175" s="28" t="str">
        <f>IF(L175=1,IF(IFERROR(INDEX(PARTNERS!$C$2:$C$88,MATCH(B175,PARTNERS!$A$2:$A$88,0)),"")="YES","YES","NO"),"")</f>
        <v>NO</v>
      </c>
      <c r="AD175" s="28" t="str">
        <f>IF(L175=1,IFERROR(INDEX(PARTNERS!$B$2:$B$88,MATCH(B175,PARTNERS!$A$2:$A$88,0)),""),"")</f>
        <v>https://calendly.com/partner058/interview</v>
      </c>
      <c r="AE175" s="28">
        <f ca="1">IF(X175=1,IFERROR(INDEX(SETTINGS!$B$34:$D$36,MATCH(I175,SETTINGS!$A$34:$A$36,0),MIN(Q175,2)+1),SETTINGS!$B$36),0)</f>
        <v>0</v>
      </c>
      <c r="AF175" s="28">
        <f t="shared" si="26"/>
        <v>1</v>
      </c>
      <c r="AG175" s="28">
        <f ca="1">IF(AND(Y175=1,AB175=1),ROUND(AA175*AE175*IF(AF175&gt;1,SETTINGS!$B$16,1)*IF(W175&lt;=SETTINGS!$B$14,SETTINGS!$B$15,1)*IF(AU175=1,SETTINGS!$B$21,1),6),0)</f>
        <v>0</v>
      </c>
      <c r="AH175" s="28" t="str">
        <f ca="1">IF(AG175&gt;0,COUNTIFS($Z$2:$Z$601,Z175,$AG$2:$AG$601,"&gt;"&amp;AG175)+COUNTIFS($Z$2:Z175,Z175,$AG$2:AG175,AG175),"")</f>
        <v/>
      </c>
      <c r="AI175" s="28" t="str">
        <f t="shared" ca="1" si="27"/>
        <v/>
      </c>
      <c r="AJ175" s="28" t="str">
        <f t="shared" ca="1" si="28"/>
        <v/>
      </c>
      <c r="AK175" s="28">
        <f>IF(L175=1,IF(COUNTIFS($F$2:F175,F175,$L$2:L175,1)=1,1,0),0)</f>
        <v>1</v>
      </c>
      <c r="AL175" s="28" t="str">
        <f ca="1">IF(B175="","",IF(K175="DUPLICATE","Duplicate (removed)",IF(AO175=1,"Scheduled within 24h",IF(M175=1,"Scheduled late",IF(K175="BAD CONTACT","Bad contact details",IF(O175=1,"Stopped / wrong number",IF(N175=1,"Not interested",IF(P175=1,"Partner has no slots",IF(SETTINGS!$B$4&gt;=V175,IF(Q175=0,"Missed deadline: never tried","Missed deadline: tried, not booked"),IF(Q175&gt;=SETTINGS!$B$6,"No reply after max tries","Open"))))))))))</f>
        <v>Missed deadline: never tried</v>
      </c>
      <c r="AM175" s="46" t="str">
        <f>IF(M175=1,IF(_xlfn.MINIFS(LOG!$G$2:$G$2001,LOG!$C$2:$C$2001,F175,LOG!$E$2:$E$2001,B175,LOG!$D$2:$D$2001,"*BOOKED")=0,_xlfn.MINIFS(LOG!$G$2:$G$2001,LOG!$C$2:$C$2001,F175,LOG!$E$2:$E$2001,"",LOG!$D$2:$D$2001,"*BOOKED"),IF(_xlfn.MINIFS(LOG!$G$2:$G$2001,LOG!$C$2:$C$2001,F175,LOG!$E$2:$E$2001,"",LOG!$D$2:$D$2001,"*BOOKED")=0,_xlfn.MINIFS(LOG!$G$2:$G$2001,LOG!$C$2:$C$2001,F175,LOG!$E$2:$E$2001,B175,LOG!$D$2:$D$2001,"*BOOKED"),MIN(_xlfn.MINIFS(LOG!$G$2:$G$2001,LOG!$C$2:$C$2001,F175,LOG!$E$2:$E$2001,B175,LOG!$D$2:$D$2001,"*BOOKED"),_xlfn.MINIFS(LOG!$G$2:$G$2001,LOG!$C$2:$C$2001,F175,LOG!$E$2:$E$2001,"",LOG!$D$2:$D$2001,"*BOOKED")))),"")</f>
        <v/>
      </c>
      <c r="AN175" s="28" t="str">
        <f t="shared" si="29"/>
        <v/>
      </c>
      <c r="AO175" s="28">
        <f>IF(AND(M175=1,AN175&lt;&gt;""),IF(AN175&lt;=SETTINGS!$B$5,1,0),0)</f>
        <v>0</v>
      </c>
      <c r="AP175" s="28">
        <f>IF(M175=1,IF(COUNTIFS(LOG!$C$2:$C$2001,F175,LOG!$E$2:$E$2001,B175,LOG!$D$2:$D$2001,"BOOKED")+COUNTIFS(LOG!$C$2:$C$2001,F175,LOG!$E$2:$E$2001,"",LOG!$D$2:$D$2001,"BOOKED")&gt;0,1,0),0)</f>
        <v>0</v>
      </c>
      <c r="AQ175" s="28" t="str">
        <f t="shared" si="30"/>
        <v>Ira</v>
      </c>
      <c r="AR175" s="28">
        <f>IF(AND(AK175=1,K175="OK"),COUNTIFS($AK$2:AK175,1,$K$2:K175,"OK"),"")</f>
        <v>159</v>
      </c>
      <c r="AS175" s="28" t="str">
        <f>IF(L175=1,IFERROR(INDEX(MESSAGES!$J$9:$J$1008,MATCH(F175,MESSAGES!$M$9:$M$1008,0))&amp;"",""),"")</f>
        <v/>
      </c>
      <c r="AT175" s="28" t="str">
        <f>IF(L175=1,IFERROR(INDEX(MESSAGES!$K$9:$K$1008,MATCH(F175,MESSAGES!$M$9:$M$1008,0))&amp;"",""),"")</f>
        <v/>
      </c>
      <c r="AU175" s="28">
        <f t="shared" ca="1" si="31"/>
        <v>0</v>
      </c>
      <c r="AV175" s="28" t="str">
        <f t="shared" si="32"/>
        <v>HOLD</v>
      </c>
    </row>
    <row r="176" spans="1:48" x14ac:dyDescent="0.35">
      <c r="A176" s="28">
        <v>175</v>
      </c>
      <c r="B176" s="28" t="str">
        <f>IF(INPUT!A176="","",TRIM(INPUT!A176))</f>
        <v>Partner 001</v>
      </c>
      <c r="C176" s="28" t="str">
        <f>IF(B176="","",INPUT!C176)</f>
        <v>interviewer1@partner001.example.com</v>
      </c>
      <c r="D176" s="28" t="str">
        <f>IF(B176="","",INPUT!D176)</f>
        <v>Manav F.</v>
      </c>
      <c r="E176" s="28" t="str">
        <f>IF(B176="","",INPUT!E176)</f>
        <v>manav.f174@example.com</v>
      </c>
      <c r="F176" s="43" t="str">
        <f>IF(B176="","",TRIM(INPUT!F176&amp;""))</f>
        <v>9000002269</v>
      </c>
      <c r="G176" s="28" t="str">
        <f>IF(B176="","",INPUT!H176)</f>
        <v>Round1</v>
      </c>
      <c r="H176" s="46">
        <f>IF(B176="","",INPUT!I176)</f>
        <v>46308.82708333333</v>
      </c>
      <c r="I176" s="28" t="str">
        <f>IF(B176="","",IF(INPUT!J176="","None",INPUT!J176))</f>
        <v>Opened</v>
      </c>
      <c r="J176" s="28" t="str">
        <f t="shared" si="22"/>
        <v>manav.f174@example.com|partner 001|Round1|interviewer1@partner001.example.com</v>
      </c>
      <c r="K176" s="28" t="str">
        <f>IF(B176="","",IF(SUMPRODUCT(($J$2:$J$601=J176)*($H$2:$H$601&lt;H176))+SUMPRODUCT(($J$2:J176=J176)*($H$2:H176=H176))-1&gt;0,"DUPLICATE",IF(AND(ISNUMBER(SEARCH("@",E176)),ISNUMBER(SEARCH(".",E176)),LEN(F176)=10,ISNUMBER(VALUE(F176))),"OK","BAD CONTACT")))</f>
        <v>OK</v>
      </c>
      <c r="L176" s="28">
        <f t="shared" si="23"/>
        <v>1</v>
      </c>
      <c r="M176" s="28">
        <f>IF(L176=1,IF(COUNTIFS(LOG!$C$2:$C$2001,F176,LOG!$E$2:$E$2001,B176,LOG!$D$2:$D$2001,"*BOOKED")+COUNTIFS(LOG!$C$2:$C$2001,F176,LOG!$E$2:$E$2001,"",LOG!$D$2:$D$2001,"*BOOKED")&gt;0,1,0),0)</f>
        <v>0</v>
      </c>
      <c r="N176" s="28">
        <f>IF(L176=1,IF(COUNTIFS(LOG!$C$2:$C$2001,F176,LOG!$E$2:$E$2001,B176,LOG!$D$2:$D$2001,"NOT_INTERESTED")+COUNTIFS(LOG!$C$2:$C$2001,F176,LOG!$E$2:$E$2001,"",LOG!$D$2:$D$2001,"NOT_INTERESTED")&gt;0,1,0),0)</f>
        <v>0</v>
      </c>
      <c r="O176" s="28">
        <f>IF(L176=1,IF(COUNTIFS(LOG!$C$2:$C$2001,F176,LOG!$D$2:$D$2001,"STOP")+COUNTIFS(LOG!$C$2:$C$2001,F176,LOG!$D$2:$D$2001,"WRONG_NUMBER")&gt;0,1,IF(ISNUMBER(SEARCH("STOP",AT176)),1,0)),0)</f>
        <v>0</v>
      </c>
      <c r="P176" s="28">
        <f>IF(L176=1,IF(IFERROR(INDEX(PARTNERS!$D$2:$D$88,MATCH(B176,PARTNERS!$A$2:$A$88,0)),"")="NO SLOTS",1,IF(AND(IFERROR(INDEX(PARTNERS!$D$2:$D$88,MATCH(B176,PARTNERS!$A$2:$A$88,0)),"")&lt;&gt;"REOPENED",COUNTIFS(LOG!$E$2:$E$2001,B176,LOG!$D$2:$D$2001,"NO_SLOTS")&gt;0),1,0)),0)</f>
        <v>0</v>
      </c>
      <c r="Q176" s="28">
        <f>IF(L176=1,COUNTIFS(LOG!$C$2:$C$2001,F176,LOG!$H$2:$H$2001,1),0)</f>
        <v>0</v>
      </c>
      <c r="R176" s="46">
        <f>IF(Q176&gt;0,_xlfn.MAXIFS(LOG!$G$2:$G$2001,LOG!$C$2:$C$2001,F176,LOG!$H$2:$H$2001,1),0)</f>
        <v>0</v>
      </c>
      <c r="S176" s="28" t="str">
        <f>IF(Q176&gt;0,IFERROR(INDEX(LOG!$D$2:$D$2001,MATCH(F176&amp;"|"&amp;Q176,LOG!$I$2:$I$2001,0)),""),"")</f>
        <v/>
      </c>
      <c r="T176" s="28">
        <f>IF(S176="",0,IFERROR(VLOOKUP(S176,LISTS!$A$2:$E$10,4,FALSE),0))</f>
        <v>0</v>
      </c>
      <c r="U176" s="46">
        <f t="shared" si="24"/>
        <v>0</v>
      </c>
      <c r="V176" s="46">
        <f>IF(L176=1,H176+SETTINGS!$B$5/24,"")</f>
        <v>46309.82708333333</v>
      </c>
      <c r="W176" s="28">
        <f ca="1">IF(L176=1,(V176-SETTINGS!$B$4)*24,"")</f>
        <v>-1.6666666720993817E-2</v>
      </c>
      <c r="X176" s="28">
        <f ca="1">IF(AND(L176=1,K176="OK",M176=0,N176=0,O176=0,P176=0,SETTINGS!$B$4&lt;V176,Q176&lt;SETTINGS!$B$6),1,0)</f>
        <v>0</v>
      </c>
      <c r="Y176" s="28">
        <f ca="1">IF(AND(X176=1,SETTINGS!$B$4&gt;=H176,SETTINGS!$B$4&gt;=U176,ROUND(MOD(SETTINGS!$B$4,1)*1440,0)&gt;=ROUND(SETTINGS!$B$7*1440,0),ROUND(MOD(SETTINGS!$B$4,1)*1440,0)&lt;ROUND(SETTINGS!$B$8*1440,0)),1,0)</f>
        <v>0</v>
      </c>
      <c r="Z176" s="28" t="str">
        <f ca="1">IF(B176="","",IF(ROUND(MOD(SETTINGS!$B$4,1)*1440,0)&lt;ROUND(SETTINGS!$B$11*1440,0),"Ram",IF(ROUND(MOD(SETTINGS!$B$4,1)*1440,0)&gt;=ROUND(SETTINGS!$B$10*1440,0),"Shyam",IF(MOD(IFERROR(VALUE(RIGHT(F176,2)),0),2)=0,"Ram","Shyam"))))</f>
        <v>Shyam</v>
      </c>
      <c r="AA176" s="28">
        <f t="shared" ca="1" si="25"/>
        <v>0</v>
      </c>
      <c r="AB176" s="28">
        <f ca="1">IF(X176=1,COUNTIFS($F$2:F176,F176,$X$2:X176,1),0)</f>
        <v>0</v>
      </c>
      <c r="AC176" s="28" t="str">
        <f>IF(L176=1,IF(IFERROR(INDEX(PARTNERS!$C$2:$C$88,MATCH(B176,PARTNERS!$A$2:$A$88,0)),"")="YES","YES","NO"),"")</f>
        <v>NO</v>
      </c>
      <c r="AD176" s="28" t="str">
        <f>IF(L176=1,IFERROR(INDEX(PARTNERS!$B$2:$B$88,MATCH(B176,PARTNERS!$A$2:$A$88,0)),""),"")</f>
        <v>https://calendly.com/partner001/interview</v>
      </c>
      <c r="AE176" s="28">
        <f ca="1">IF(X176=1,IFERROR(INDEX(SETTINGS!$B$34:$D$36,MATCH(I176,SETTINGS!$A$34:$A$36,0),MIN(Q176,2)+1),SETTINGS!$B$36),0)</f>
        <v>0</v>
      </c>
      <c r="AF176" s="28">
        <f t="shared" si="26"/>
        <v>1</v>
      </c>
      <c r="AG176" s="28">
        <f ca="1">IF(AND(Y176=1,AB176=1),ROUND(AA176*AE176*IF(AF176&gt;1,SETTINGS!$B$16,1)*IF(W176&lt;=SETTINGS!$B$14,SETTINGS!$B$15,1)*IF(AU176=1,SETTINGS!$B$21,1),6),0)</f>
        <v>0</v>
      </c>
      <c r="AH176" s="28" t="str">
        <f ca="1">IF(AG176&gt;0,COUNTIFS($Z$2:$Z$601,Z176,$AG$2:$AG$601,"&gt;"&amp;AG176)+COUNTIFS($Z$2:Z176,Z176,$AG$2:AG176,AG176),"")</f>
        <v/>
      </c>
      <c r="AI176" s="28" t="str">
        <f t="shared" ca="1" si="27"/>
        <v/>
      </c>
      <c r="AJ176" s="28" t="str">
        <f t="shared" ca="1" si="28"/>
        <v/>
      </c>
      <c r="AK176" s="28">
        <f>IF(L176=1,IF(COUNTIFS($F$2:F176,F176,$L$2:L176,1)=1,1,0),0)</f>
        <v>0</v>
      </c>
      <c r="AL176" s="28" t="str">
        <f ca="1">IF(B176="","",IF(K176="DUPLICATE","Duplicate (removed)",IF(AO176=1,"Scheduled within 24h",IF(M176=1,"Scheduled late",IF(K176="BAD CONTACT","Bad contact details",IF(O176=1,"Stopped / wrong number",IF(N176=1,"Not interested",IF(P176=1,"Partner has no slots",IF(SETTINGS!$B$4&gt;=V176,IF(Q176=0,"Missed deadline: never tried","Missed deadline: tried, not booked"),IF(Q176&gt;=SETTINGS!$B$6,"No reply after max tries","Open"))))))))))</f>
        <v>Missed deadline: never tried</v>
      </c>
      <c r="AM176" s="46" t="str">
        <f>IF(M176=1,IF(_xlfn.MINIFS(LOG!$G$2:$G$2001,LOG!$C$2:$C$2001,F176,LOG!$E$2:$E$2001,B176,LOG!$D$2:$D$2001,"*BOOKED")=0,_xlfn.MINIFS(LOG!$G$2:$G$2001,LOG!$C$2:$C$2001,F176,LOG!$E$2:$E$2001,"",LOG!$D$2:$D$2001,"*BOOKED"),IF(_xlfn.MINIFS(LOG!$G$2:$G$2001,LOG!$C$2:$C$2001,F176,LOG!$E$2:$E$2001,"",LOG!$D$2:$D$2001,"*BOOKED")=0,_xlfn.MINIFS(LOG!$G$2:$G$2001,LOG!$C$2:$C$2001,F176,LOG!$E$2:$E$2001,B176,LOG!$D$2:$D$2001,"*BOOKED"),MIN(_xlfn.MINIFS(LOG!$G$2:$G$2001,LOG!$C$2:$C$2001,F176,LOG!$E$2:$E$2001,B176,LOG!$D$2:$D$2001,"*BOOKED"),_xlfn.MINIFS(LOG!$G$2:$G$2001,LOG!$C$2:$C$2001,F176,LOG!$E$2:$E$2001,"",LOG!$D$2:$D$2001,"*BOOKED")))),"")</f>
        <v/>
      </c>
      <c r="AN176" s="28" t="str">
        <f t="shared" si="29"/>
        <v/>
      </c>
      <c r="AO176" s="28">
        <f>IF(AND(M176=1,AN176&lt;&gt;""),IF(AN176&lt;=SETTINGS!$B$5,1,0),0)</f>
        <v>0</v>
      </c>
      <c r="AP176" s="28">
        <f>IF(M176=1,IF(COUNTIFS(LOG!$C$2:$C$2001,F176,LOG!$E$2:$E$2001,B176,LOG!$D$2:$D$2001,"BOOKED")+COUNTIFS(LOG!$C$2:$C$2001,F176,LOG!$E$2:$E$2001,"",LOG!$D$2:$D$2001,"BOOKED")&gt;0,1,0),0)</f>
        <v>0</v>
      </c>
      <c r="AQ176" s="28" t="str">
        <f t="shared" si="30"/>
        <v>Manav</v>
      </c>
      <c r="AR176" s="28" t="str">
        <f>IF(AND(AK176=1,K176="OK"),COUNTIFS($AK$2:AK176,1,$K$2:K176,"OK"),"")</f>
        <v/>
      </c>
      <c r="AS176" s="28" t="str">
        <f>IF(L176=1,IFERROR(INDEX(MESSAGES!$J$9:$J$1008,MATCH(F176,MESSAGES!$M$9:$M$1008,0))&amp;"",""),"")</f>
        <v/>
      </c>
      <c r="AT176" s="28" t="str">
        <f>IF(L176=1,IFERROR(INDEX(MESSAGES!$K$9:$K$1008,MATCH(F176,MESSAGES!$M$9:$M$1008,0))&amp;"",""),"")</f>
        <v/>
      </c>
      <c r="AU176" s="28">
        <f t="shared" ca="1" si="31"/>
        <v>0</v>
      </c>
      <c r="AV176" s="28" t="str">
        <f t="shared" si="32"/>
        <v>SEND</v>
      </c>
    </row>
    <row r="177" spans="1:48" x14ac:dyDescent="0.35">
      <c r="A177" s="28">
        <v>176</v>
      </c>
      <c r="B177" s="28" t="str">
        <f>IF(INPUT!A177="","",TRIM(INPUT!A177))</f>
        <v>Partner 060</v>
      </c>
      <c r="C177" s="28" t="str">
        <f>IF(B177="","",INPUT!C177)</f>
        <v>interviewer1@partner060.example.com</v>
      </c>
      <c r="D177" s="28" t="str">
        <f>IF(B177="","",INPUT!D177)</f>
        <v>Rohan G.</v>
      </c>
      <c r="E177" s="28" t="str">
        <f>IF(B177="","",INPUT!E177)</f>
        <v>rohan.g190@example.com</v>
      </c>
      <c r="F177" s="43" t="str">
        <f>IF(B177="","",TRIM(INPUT!F177&amp;""))</f>
        <v>9000002477</v>
      </c>
      <c r="G177" s="28" t="str">
        <f>IF(B177="","",INPUT!H177)</f>
        <v>Round3</v>
      </c>
      <c r="H177" s="46">
        <f>IF(B177="","",INPUT!I177)</f>
        <v>46308.82708333333</v>
      </c>
      <c r="I177" s="28" t="str">
        <f>IF(B177="","",IF(INPUT!J177="","None",INPUT!J177))</f>
        <v>None</v>
      </c>
      <c r="J177" s="28" t="str">
        <f t="shared" si="22"/>
        <v>rohan.g190@example.com|partner 060|Round3|interviewer1@partner060.example.com</v>
      </c>
      <c r="K177" s="28" t="str">
        <f>IF(B177="","",IF(SUMPRODUCT(($J$2:$J$601=J177)*($H$2:$H$601&lt;H177))+SUMPRODUCT(($J$2:J177=J177)*($H$2:H177=H177))-1&gt;0,"DUPLICATE",IF(AND(ISNUMBER(SEARCH("@",E177)),ISNUMBER(SEARCH(".",E177)),LEN(F177)=10,ISNUMBER(VALUE(F177))),"OK","BAD CONTACT")))</f>
        <v>OK</v>
      </c>
      <c r="L177" s="28">
        <f t="shared" si="23"/>
        <v>1</v>
      </c>
      <c r="M177" s="28">
        <f>IF(L177=1,IF(COUNTIFS(LOG!$C$2:$C$2001,F177,LOG!$E$2:$E$2001,B177,LOG!$D$2:$D$2001,"*BOOKED")+COUNTIFS(LOG!$C$2:$C$2001,F177,LOG!$E$2:$E$2001,"",LOG!$D$2:$D$2001,"*BOOKED")&gt;0,1,0),0)</f>
        <v>1</v>
      </c>
      <c r="N177" s="28">
        <f>IF(L177=1,IF(COUNTIFS(LOG!$C$2:$C$2001,F177,LOG!$E$2:$E$2001,B177,LOG!$D$2:$D$2001,"NOT_INTERESTED")+COUNTIFS(LOG!$C$2:$C$2001,F177,LOG!$E$2:$E$2001,"",LOG!$D$2:$D$2001,"NOT_INTERESTED")&gt;0,1,0),0)</f>
        <v>0</v>
      </c>
      <c r="O177" s="28">
        <f>IF(L177=1,IF(COUNTIFS(LOG!$C$2:$C$2001,F177,LOG!$D$2:$D$2001,"STOP")+COUNTIFS(LOG!$C$2:$C$2001,F177,LOG!$D$2:$D$2001,"WRONG_NUMBER")&gt;0,1,IF(ISNUMBER(SEARCH("STOP",AT177)),1,0)),0)</f>
        <v>0</v>
      </c>
      <c r="P177" s="28">
        <f>IF(L177=1,IF(IFERROR(INDEX(PARTNERS!$D$2:$D$88,MATCH(B177,PARTNERS!$A$2:$A$88,0)),"")="NO SLOTS",1,IF(AND(IFERROR(INDEX(PARTNERS!$D$2:$D$88,MATCH(B177,PARTNERS!$A$2:$A$88,0)),"")&lt;&gt;"REOPENED",COUNTIFS(LOG!$E$2:$E$2001,B177,LOG!$D$2:$D$2001,"NO_SLOTS")&gt;0),1,0)),0)</f>
        <v>0</v>
      </c>
      <c r="Q177" s="28">
        <f>IF(L177=1,COUNTIFS(LOG!$C$2:$C$2001,F177,LOG!$H$2:$H$2001,1),0)</f>
        <v>0</v>
      </c>
      <c r="R177" s="46">
        <f>IF(Q177&gt;0,_xlfn.MAXIFS(LOG!$G$2:$G$2001,LOG!$C$2:$C$2001,F177,LOG!$H$2:$H$2001,1),0)</f>
        <v>0</v>
      </c>
      <c r="S177" s="28" t="str">
        <f>IF(Q177&gt;0,IFERROR(INDEX(LOG!$D$2:$D$2001,MATCH(F177&amp;"|"&amp;Q177,LOG!$I$2:$I$2001,0)),""),"")</f>
        <v/>
      </c>
      <c r="T177" s="28">
        <f>IF(S177="",0,IFERROR(VLOOKUP(S177,LISTS!$A$2:$E$10,4,FALSE),0))</f>
        <v>0</v>
      </c>
      <c r="U177" s="46">
        <f t="shared" si="24"/>
        <v>0</v>
      </c>
      <c r="V177" s="46">
        <f>IF(L177=1,H177+SETTINGS!$B$5/24,"")</f>
        <v>46309.82708333333</v>
      </c>
      <c r="W177" s="28">
        <f ca="1">IF(L177=1,(V177-SETTINGS!$B$4)*24,"")</f>
        <v>-1.6666666720993817E-2</v>
      </c>
      <c r="X177" s="28">
        <f ca="1">IF(AND(L177=1,K177="OK",M177=0,N177=0,O177=0,P177=0,SETTINGS!$B$4&lt;V177,Q177&lt;SETTINGS!$B$6),1,0)</f>
        <v>0</v>
      </c>
      <c r="Y177" s="28">
        <f ca="1">IF(AND(X177=1,SETTINGS!$B$4&gt;=H177,SETTINGS!$B$4&gt;=U177,ROUND(MOD(SETTINGS!$B$4,1)*1440,0)&gt;=ROUND(SETTINGS!$B$7*1440,0),ROUND(MOD(SETTINGS!$B$4,1)*1440,0)&lt;ROUND(SETTINGS!$B$8*1440,0)),1,0)</f>
        <v>0</v>
      </c>
      <c r="Z177" s="28" t="str">
        <f ca="1">IF(B177="","",IF(ROUND(MOD(SETTINGS!$B$4,1)*1440,0)&lt;ROUND(SETTINGS!$B$11*1440,0),"Ram",IF(ROUND(MOD(SETTINGS!$B$4,1)*1440,0)&gt;=ROUND(SETTINGS!$B$10*1440,0),"Shyam",IF(MOD(IFERROR(VALUE(RIGHT(F177,2)),0),2)=0,"Ram","Shyam"))))</f>
        <v>Shyam</v>
      </c>
      <c r="AA177" s="28">
        <f t="shared" ca="1" si="25"/>
        <v>0</v>
      </c>
      <c r="AB177" s="28">
        <f ca="1">IF(X177=1,COUNTIFS($F$2:F177,F177,$X$2:X177,1),0)</f>
        <v>0</v>
      </c>
      <c r="AC177" s="28" t="str">
        <f>IF(L177=1,IF(IFERROR(INDEX(PARTNERS!$C$2:$C$88,MATCH(B177,PARTNERS!$A$2:$A$88,0)),"")="YES","YES","NO"),"")</f>
        <v>NO</v>
      </c>
      <c r="AD177" s="28" t="str">
        <f>IF(L177=1,IFERROR(INDEX(PARTNERS!$B$2:$B$88,MATCH(B177,PARTNERS!$A$2:$A$88,0)),""),"")</f>
        <v>https://calendly.com/partner060/interview</v>
      </c>
      <c r="AE177" s="28">
        <f ca="1">IF(X177=1,IFERROR(INDEX(SETTINGS!$B$34:$D$36,MATCH(I177,SETTINGS!$A$34:$A$36,0),MIN(Q177,2)+1),SETTINGS!$B$36),0)</f>
        <v>0</v>
      </c>
      <c r="AF177" s="28">
        <f t="shared" si="26"/>
        <v>3</v>
      </c>
      <c r="AG177" s="28">
        <f ca="1">IF(AND(Y177=1,AB177=1),ROUND(AA177*AE177*IF(AF177&gt;1,SETTINGS!$B$16,1)*IF(W177&lt;=SETTINGS!$B$14,SETTINGS!$B$15,1)*IF(AU177=1,SETTINGS!$B$21,1),6),0)</f>
        <v>0</v>
      </c>
      <c r="AH177" s="28" t="str">
        <f ca="1">IF(AG177&gt;0,COUNTIFS($Z$2:$Z$601,Z177,$AG$2:$AG$601,"&gt;"&amp;AG177)+COUNTIFS($Z$2:Z177,Z177,$AG$2:AG177,AG177),"")</f>
        <v/>
      </c>
      <c r="AI177" s="28" t="str">
        <f t="shared" ca="1" si="27"/>
        <v/>
      </c>
      <c r="AJ177" s="28" t="str">
        <f t="shared" ca="1" si="28"/>
        <v/>
      </c>
      <c r="AK177" s="28">
        <f>IF(L177=1,IF(COUNTIFS($F$2:F177,F177,$L$2:L177,1)=1,1,0),0)</f>
        <v>1</v>
      </c>
      <c r="AL177" s="28" t="str">
        <f>IF(B177="","",IF(K177="DUPLICATE","Duplicate (removed)",IF(AO177=1,"Scheduled within 24h",IF(M177=1,"Scheduled late",IF(K177="BAD CONTACT","Bad contact details",IF(O177=1,"Stopped / wrong number",IF(N177=1,"Not interested",IF(P177=1,"Partner has no slots",IF(SETTINGS!$B$4&gt;=V177,IF(Q177=0,"Missed deadline: never tried","Missed deadline: tried, not booked"),IF(Q177&gt;=SETTINGS!$B$6,"No reply after max tries","Open"))))))))))</f>
        <v>Scheduled within 24h</v>
      </c>
      <c r="AM177" s="46">
        <f>IF(M177=1,IF(_xlfn.MINIFS(LOG!$G$2:$G$2001,LOG!$C$2:$C$2001,F177,LOG!$E$2:$E$2001,B177,LOG!$D$2:$D$2001,"*BOOKED")=0,_xlfn.MINIFS(LOG!$G$2:$G$2001,LOG!$C$2:$C$2001,F177,LOG!$E$2:$E$2001,"",LOG!$D$2:$D$2001,"*BOOKED"),IF(_xlfn.MINIFS(LOG!$G$2:$G$2001,LOG!$C$2:$C$2001,F177,LOG!$E$2:$E$2001,"",LOG!$D$2:$D$2001,"*BOOKED")=0,_xlfn.MINIFS(LOG!$G$2:$G$2001,LOG!$C$2:$C$2001,F177,LOG!$E$2:$E$2001,B177,LOG!$D$2:$D$2001,"*BOOKED"),MIN(_xlfn.MINIFS(LOG!$G$2:$G$2001,LOG!$C$2:$C$2001,F177,LOG!$E$2:$E$2001,B177,LOG!$D$2:$D$2001,"*BOOKED"),_xlfn.MINIFS(LOG!$G$2:$G$2001,LOG!$C$2:$C$2001,F177,LOG!$E$2:$E$2001,"",LOG!$D$2:$D$2001,"*BOOKED")))),"")</f>
        <v>46309.534486865239</v>
      </c>
      <c r="AN177" s="28">
        <f t="shared" si="29"/>
        <v>16.977684765821323</v>
      </c>
      <c r="AO177" s="28">
        <f>IF(AND(M177=1,AN177&lt;&gt;""),IF(AN177&lt;=SETTINGS!$B$5,1,0),0)</f>
        <v>1</v>
      </c>
      <c r="AP177" s="28">
        <f>IF(M177=1,IF(COUNTIFS(LOG!$C$2:$C$2001,F177,LOG!$E$2:$E$2001,B177,LOG!$D$2:$D$2001,"BOOKED")+COUNTIFS(LOG!$C$2:$C$2001,F177,LOG!$E$2:$E$2001,"",LOG!$D$2:$D$2001,"BOOKED")&gt;0,1,0),0)</f>
        <v>0</v>
      </c>
      <c r="AQ177" s="28" t="str">
        <f t="shared" si="30"/>
        <v>Rohan</v>
      </c>
      <c r="AR177" s="28">
        <f>IF(AND(AK177=1,K177="OK"),COUNTIFS($AK$2:AK177,1,$K$2:K177,"OK"),"")</f>
        <v>160</v>
      </c>
      <c r="AS177" s="28" t="str">
        <f>IF(L177=1,IFERROR(INDEX(MESSAGES!$J$9:$J$1008,MATCH(F177,MESSAGES!$M$9:$M$1008,0))&amp;"",""),"")</f>
        <v/>
      </c>
      <c r="AT177" s="28" t="str">
        <f>IF(L177=1,IFERROR(INDEX(MESSAGES!$K$9:$K$1008,MATCH(F177,MESSAGES!$M$9:$M$1008,0))&amp;"",""),"")</f>
        <v/>
      </c>
      <c r="AU177" s="28">
        <f t="shared" ca="1" si="31"/>
        <v>0</v>
      </c>
      <c r="AV177" s="28" t="str">
        <f t="shared" si="32"/>
        <v>HOLD</v>
      </c>
    </row>
    <row r="178" spans="1:48" x14ac:dyDescent="0.35">
      <c r="A178" s="28">
        <v>177</v>
      </c>
      <c r="B178" s="28" t="str">
        <f>IF(INPUT!A178="","",TRIM(INPUT!A178))</f>
        <v>Partner 005</v>
      </c>
      <c r="C178" s="28" t="str">
        <f>IF(B178="","",INPUT!C178)</f>
        <v>interviewer0@partner005.example.com</v>
      </c>
      <c r="D178" s="28" t="str">
        <f>IF(B178="","",INPUT!D178)</f>
        <v>Meera J.</v>
      </c>
      <c r="E178" s="28" t="str">
        <f>IF(B178="","",INPUT!E178)</f>
        <v>meera.j247@example.com</v>
      </c>
      <c r="F178" s="43" t="str">
        <f>IF(B178="","",TRIM(INPUT!F178&amp;""))</f>
        <v>9000003218</v>
      </c>
      <c r="G178" s="28" t="str">
        <f>IF(B178="","",INPUT!H178)</f>
        <v>Round1</v>
      </c>
      <c r="H178" s="46">
        <f>IF(B178="","",INPUT!I178)</f>
        <v>46308.82708333333</v>
      </c>
      <c r="I178" s="28" t="str">
        <f>IF(B178="","",IF(INPUT!J178="","None",INPUT!J178))</f>
        <v>None</v>
      </c>
      <c r="J178" s="28" t="str">
        <f t="shared" si="22"/>
        <v>meera.j247@example.com|partner 005|Round1|interviewer0@partner005.example.com</v>
      </c>
      <c r="K178" s="28" t="str">
        <f>IF(B178="","",IF(SUMPRODUCT(($J$2:$J$601=J178)*($H$2:$H$601&lt;H178))+SUMPRODUCT(($J$2:J178=J178)*($H$2:H178=H178))-1&gt;0,"DUPLICATE",IF(AND(ISNUMBER(SEARCH("@",E178)),ISNUMBER(SEARCH(".",E178)),LEN(F178)=10,ISNUMBER(VALUE(F178))),"OK","BAD CONTACT")))</f>
        <v>OK</v>
      </c>
      <c r="L178" s="28">
        <f t="shared" si="23"/>
        <v>1</v>
      </c>
      <c r="M178" s="28">
        <f>IF(L178=1,IF(COUNTIFS(LOG!$C$2:$C$2001,F178,LOG!$E$2:$E$2001,B178,LOG!$D$2:$D$2001,"*BOOKED")+COUNTIFS(LOG!$C$2:$C$2001,F178,LOG!$E$2:$E$2001,"",LOG!$D$2:$D$2001,"*BOOKED")&gt;0,1,0),0)</f>
        <v>0</v>
      </c>
      <c r="N178" s="28">
        <f>IF(L178=1,IF(COUNTIFS(LOG!$C$2:$C$2001,F178,LOG!$E$2:$E$2001,B178,LOG!$D$2:$D$2001,"NOT_INTERESTED")+COUNTIFS(LOG!$C$2:$C$2001,F178,LOG!$E$2:$E$2001,"",LOG!$D$2:$D$2001,"NOT_INTERESTED")&gt;0,1,0),0)</f>
        <v>0</v>
      </c>
      <c r="O178" s="28">
        <f>IF(L178=1,IF(COUNTIFS(LOG!$C$2:$C$2001,F178,LOG!$D$2:$D$2001,"STOP")+COUNTIFS(LOG!$C$2:$C$2001,F178,LOG!$D$2:$D$2001,"WRONG_NUMBER")&gt;0,1,IF(ISNUMBER(SEARCH("STOP",AT178)),1,0)),0)</f>
        <v>0</v>
      </c>
      <c r="P178" s="28">
        <f>IF(L178=1,IF(IFERROR(INDEX(PARTNERS!$D$2:$D$88,MATCH(B178,PARTNERS!$A$2:$A$88,0)),"")="NO SLOTS",1,IF(AND(IFERROR(INDEX(PARTNERS!$D$2:$D$88,MATCH(B178,PARTNERS!$A$2:$A$88,0)),"")&lt;&gt;"REOPENED",COUNTIFS(LOG!$E$2:$E$2001,B178,LOG!$D$2:$D$2001,"NO_SLOTS")&gt;0),1,0)),0)</f>
        <v>0</v>
      </c>
      <c r="Q178" s="28">
        <f>IF(L178=1,COUNTIFS(LOG!$C$2:$C$2001,F178,LOG!$H$2:$H$2001,1),0)</f>
        <v>0</v>
      </c>
      <c r="R178" s="46">
        <f>IF(Q178&gt;0,_xlfn.MAXIFS(LOG!$G$2:$G$2001,LOG!$C$2:$C$2001,F178,LOG!$H$2:$H$2001,1),0)</f>
        <v>0</v>
      </c>
      <c r="S178" s="28" t="str">
        <f>IF(Q178&gt;0,IFERROR(INDEX(LOG!$D$2:$D$2001,MATCH(F178&amp;"|"&amp;Q178,LOG!$I$2:$I$2001,0)),""),"")</f>
        <v/>
      </c>
      <c r="T178" s="28">
        <f>IF(S178="",0,IFERROR(VLOOKUP(S178,LISTS!$A$2:$E$10,4,FALSE),0))</f>
        <v>0</v>
      </c>
      <c r="U178" s="46">
        <f t="shared" si="24"/>
        <v>0</v>
      </c>
      <c r="V178" s="46">
        <f>IF(L178=1,H178+SETTINGS!$B$5/24,"")</f>
        <v>46309.82708333333</v>
      </c>
      <c r="W178" s="28">
        <f ca="1">IF(L178=1,(V178-SETTINGS!$B$4)*24,"")</f>
        <v>-1.6666666720993817E-2</v>
      </c>
      <c r="X178" s="28">
        <f ca="1">IF(AND(L178=1,K178="OK",M178=0,N178=0,O178=0,P178=0,SETTINGS!$B$4&lt;V178,Q178&lt;SETTINGS!$B$6),1,0)</f>
        <v>0</v>
      </c>
      <c r="Y178" s="28">
        <f ca="1">IF(AND(X178=1,SETTINGS!$B$4&gt;=H178,SETTINGS!$B$4&gt;=U178,ROUND(MOD(SETTINGS!$B$4,1)*1440,0)&gt;=ROUND(SETTINGS!$B$7*1440,0),ROUND(MOD(SETTINGS!$B$4,1)*1440,0)&lt;ROUND(SETTINGS!$B$8*1440,0)),1,0)</f>
        <v>0</v>
      </c>
      <c r="Z178" s="28" t="str">
        <f ca="1">IF(B178="","",IF(ROUND(MOD(SETTINGS!$B$4,1)*1440,0)&lt;ROUND(SETTINGS!$B$11*1440,0),"Ram",IF(ROUND(MOD(SETTINGS!$B$4,1)*1440,0)&gt;=ROUND(SETTINGS!$B$10*1440,0),"Shyam",IF(MOD(IFERROR(VALUE(RIGHT(F178,2)),0),2)=0,"Ram","Shyam"))))</f>
        <v>Shyam</v>
      </c>
      <c r="AA178" s="28">
        <f t="shared" ca="1" si="25"/>
        <v>0</v>
      </c>
      <c r="AB178" s="28">
        <f ca="1">IF(X178=1,COUNTIFS($F$2:F178,F178,$X$2:X178,1),0)</f>
        <v>0</v>
      </c>
      <c r="AC178" s="28" t="str">
        <f>IF(L178=1,IF(IFERROR(INDEX(PARTNERS!$C$2:$C$88,MATCH(B178,PARTNERS!$A$2:$A$88,0)),"")="YES","YES","NO"),"")</f>
        <v>YES</v>
      </c>
      <c r="AD178" s="28" t="str">
        <f>IF(L178=1,IFERROR(INDEX(PARTNERS!$B$2:$B$88,MATCH(B178,PARTNERS!$A$2:$A$88,0)),""),"")</f>
        <v>https://calendly.com/partner005/interview</v>
      </c>
      <c r="AE178" s="28">
        <f ca="1">IF(X178=1,IFERROR(INDEX(SETTINGS!$B$34:$D$36,MATCH(I178,SETTINGS!$A$34:$A$36,0),MIN(Q178,2)+1),SETTINGS!$B$36),0)</f>
        <v>0</v>
      </c>
      <c r="AF178" s="28">
        <f t="shared" si="26"/>
        <v>1</v>
      </c>
      <c r="AG178" s="28">
        <f ca="1">IF(AND(Y178=1,AB178=1),ROUND(AA178*AE178*IF(AF178&gt;1,SETTINGS!$B$16,1)*IF(W178&lt;=SETTINGS!$B$14,SETTINGS!$B$15,1)*IF(AU178=1,SETTINGS!$B$21,1),6),0)</f>
        <v>0</v>
      </c>
      <c r="AH178" s="28" t="str">
        <f ca="1">IF(AG178&gt;0,COUNTIFS($Z$2:$Z$601,Z178,$AG$2:$AG$601,"&gt;"&amp;AG178)+COUNTIFS($Z$2:Z178,Z178,$AG$2:AG178,AG178),"")</f>
        <v/>
      </c>
      <c r="AI178" s="28" t="str">
        <f t="shared" ca="1" si="27"/>
        <v/>
      </c>
      <c r="AJ178" s="28" t="str">
        <f t="shared" ca="1" si="28"/>
        <v/>
      </c>
      <c r="AK178" s="28">
        <f>IF(L178=1,IF(COUNTIFS($F$2:F178,F178,$L$2:L178,1)=1,1,0),0)</f>
        <v>1</v>
      </c>
      <c r="AL178" s="28" t="str">
        <f ca="1">IF(B178="","",IF(K178="DUPLICATE","Duplicate (removed)",IF(AO178=1,"Scheduled within 24h",IF(M178=1,"Scheduled late",IF(K178="BAD CONTACT","Bad contact details",IF(O178=1,"Stopped / wrong number",IF(N178=1,"Not interested",IF(P178=1,"Partner has no slots",IF(SETTINGS!$B$4&gt;=V178,IF(Q178=0,"Missed deadline: never tried","Missed deadline: tried, not booked"),IF(Q178&gt;=SETTINGS!$B$6,"No reply after max tries","Open"))))))))))</f>
        <v>Missed deadline: never tried</v>
      </c>
      <c r="AM178" s="46" t="str">
        <f>IF(M178=1,IF(_xlfn.MINIFS(LOG!$G$2:$G$2001,LOG!$C$2:$C$2001,F178,LOG!$E$2:$E$2001,B178,LOG!$D$2:$D$2001,"*BOOKED")=0,_xlfn.MINIFS(LOG!$G$2:$G$2001,LOG!$C$2:$C$2001,F178,LOG!$E$2:$E$2001,"",LOG!$D$2:$D$2001,"*BOOKED"),IF(_xlfn.MINIFS(LOG!$G$2:$G$2001,LOG!$C$2:$C$2001,F178,LOG!$E$2:$E$2001,"",LOG!$D$2:$D$2001,"*BOOKED")=0,_xlfn.MINIFS(LOG!$G$2:$G$2001,LOG!$C$2:$C$2001,F178,LOG!$E$2:$E$2001,B178,LOG!$D$2:$D$2001,"*BOOKED"),MIN(_xlfn.MINIFS(LOG!$G$2:$G$2001,LOG!$C$2:$C$2001,F178,LOG!$E$2:$E$2001,B178,LOG!$D$2:$D$2001,"*BOOKED"),_xlfn.MINIFS(LOG!$G$2:$G$2001,LOG!$C$2:$C$2001,F178,LOG!$E$2:$E$2001,"",LOG!$D$2:$D$2001,"*BOOKED")))),"")</f>
        <v/>
      </c>
      <c r="AN178" s="28" t="str">
        <f t="shared" si="29"/>
        <v/>
      </c>
      <c r="AO178" s="28">
        <f>IF(AND(M178=1,AN178&lt;&gt;""),IF(AN178&lt;=SETTINGS!$B$5,1,0),0)</f>
        <v>0</v>
      </c>
      <c r="AP178" s="28">
        <f>IF(M178=1,IF(COUNTIFS(LOG!$C$2:$C$2001,F178,LOG!$E$2:$E$2001,B178,LOG!$D$2:$D$2001,"BOOKED")+COUNTIFS(LOG!$C$2:$C$2001,F178,LOG!$E$2:$E$2001,"",LOG!$D$2:$D$2001,"BOOKED")&gt;0,1,0),0)</f>
        <v>0</v>
      </c>
      <c r="AQ178" s="28" t="str">
        <f t="shared" si="30"/>
        <v>Meera</v>
      </c>
      <c r="AR178" s="28">
        <f>IF(AND(AK178=1,K178="OK"),COUNTIFS($AK$2:AK178,1,$K$2:K178,"OK"),"")</f>
        <v>161</v>
      </c>
      <c r="AS178" s="28" t="str">
        <f>IF(L178=1,IFERROR(INDEX(MESSAGES!$J$9:$J$1008,MATCH(F178,MESSAGES!$M$9:$M$1008,0))&amp;"",""),"")</f>
        <v/>
      </c>
      <c r="AT178" s="28" t="str">
        <f>IF(L178=1,IFERROR(INDEX(MESSAGES!$K$9:$K$1008,MATCH(F178,MESSAGES!$M$9:$M$1008,0))&amp;"",""),"")</f>
        <v/>
      </c>
      <c r="AU178" s="28">
        <f t="shared" ca="1" si="31"/>
        <v>0</v>
      </c>
      <c r="AV178" s="28" t="str">
        <f t="shared" si="32"/>
        <v>HOLD</v>
      </c>
    </row>
    <row r="179" spans="1:48" x14ac:dyDescent="0.35">
      <c r="A179" s="28">
        <v>178</v>
      </c>
      <c r="B179" s="28" t="str">
        <f>IF(INPUT!A179="","",TRIM(INPUT!A179))</f>
        <v>Partner 000</v>
      </c>
      <c r="C179" s="28" t="str">
        <f>IF(B179="","",INPUT!C179)</f>
        <v>interviewer1@partner000.example.com</v>
      </c>
      <c r="D179" s="28" t="str">
        <f>IF(B179="","",INPUT!D179)</f>
        <v>Isha E.</v>
      </c>
      <c r="E179" s="28" t="str">
        <f>IF(B179="","",INPUT!E179)</f>
        <v>isha.e145@example.com</v>
      </c>
      <c r="F179" s="43" t="str">
        <f>IF(B179="","",TRIM(INPUT!F179&amp;""))</f>
        <v>9000001892</v>
      </c>
      <c r="G179" s="28" t="str">
        <f>IF(B179="","",INPUT!H179)</f>
        <v>Round1</v>
      </c>
      <c r="H179" s="46">
        <f>IF(B179="","",INPUT!I179)</f>
        <v>46308.82708333333</v>
      </c>
      <c r="I179" s="28" t="str">
        <f>IF(B179="","",IF(INPUT!J179="","None",INPUT!J179))</f>
        <v>None</v>
      </c>
      <c r="J179" s="28" t="str">
        <f t="shared" si="22"/>
        <v>isha.e145@example.com|partner 000|Round1|interviewer1@partner000.example.com</v>
      </c>
      <c r="K179" s="28" t="str">
        <f>IF(B179="","",IF(SUMPRODUCT(($J$2:$J$601=J179)*($H$2:$H$601&lt;H179))+SUMPRODUCT(($J$2:J179=J179)*($H$2:H179=H179))-1&gt;0,"DUPLICATE",IF(AND(ISNUMBER(SEARCH("@",E179)),ISNUMBER(SEARCH(".",E179)),LEN(F179)=10,ISNUMBER(VALUE(F179))),"OK","BAD CONTACT")))</f>
        <v>OK</v>
      </c>
      <c r="L179" s="28">
        <f t="shared" si="23"/>
        <v>1</v>
      </c>
      <c r="M179" s="28">
        <f>IF(L179=1,IF(COUNTIFS(LOG!$C$2:$C$2001,F179,LOG!$E$2:$E$2001,B179,LOG!$D$2:$D$2001,"*BOOKED")+COUNTIFS(LOG!$C$2:$C$2001,F179,LOG!$E$2:$E$2001,"",LOG!$D$2:$D$2001,"*BOOKED")&gt;0,1,0),0)</f>
        <v>0</v>
      </c>
      <c r="N179" s="28">
        <f>IF(L179=1,IF(COUNTIFS(LOG!$C$2:$C$2001,F179,LOG!$E$2:$E$2001,B179,LOG!$D$2:$D$2001,"NOT_INTERESTED")+COUNTIFS(LOG!$C$2:$C$2001,F179,LOG!$E$2:$E$2001,"",LOG!$D$2:$D$2001,"NOT_INTERESTED")&gt;0,1,0),0)</f>
        <v>0</v>
      </c>
      <c r="O179" s="28">
        <f>IF(L179=1,IF(COUNTIFS(LOG!$C$2:$C$2001,F179,LOG!$D$2:$D$2001,"STOP")+COUNTIFS(LOG!$C$2:$C$2001,F179,LOG!$D$2:$D$2001,"WRONG_NUMBER")&gt;0,1,IF(ISNUMBER(SEARCH("STOP",AT179)),1,0)),0)</f>
        <v>0</v>
      </c>
      <c r="P179" s="28">
        <f>IF(L179=1,IF(IFERROR(INDEX(PARTNERS!$D$2:$D$88,MATCH(B179,PARTNERS!$A$2:$A$88,0)),"")="NO SLOTS",1,IF(AND(IFERROR(INDEX(PARTNERS!$D$2:$D$88,MATCH(B179,PARTNERS!$A$2:$A$88,0)),"")&lt;&gt;"REOPENED",COUNTIFS(LOG!$E$2:$E$2001,B179,LOG!$D$2:$D$2001,"NO_SLOTS")&gt;0),1,0)),0)</f>
        <v>0</v>
      </c>
      <c r="Q179" s="28">
        <f>IF(L179=1,COUNTIFS(LOG!$C$2:$C$2001,F179,LOG!$H$2:$H$2001,1),0)</f>
        <v>0</v>
      </c>
      <c r="R179" s="46">
        <f>IF(Q179&gt;0,_xlfn.MAXIFS(LOG!$G$2:$G$2001,LOG!$C$2:$C$2001,F179,LOG!$H$2:$H$2001,1),0)</f>
        <v>0</v>
      </c>
      <c r="S179" s="28" t="str">
        <f>IF(Q179&gt;0,IFERROR(INDEX(LOG!$D$2:$D$2001,MATCH(F179&amp;"|"&amp;Q179,LOG!$I$2:$I$2001,0)),""),"")</f>
        <v/>
      </c>
      <c r="T179" s="28">
        <f>IF(S179="",0,IFERROR(VLOOKUP(S179,LISTS!$A$2:$E$10,4,FALSE),0))</f>
        <v>0</v>
      </c>
      <c r="U179" s="46">
        <f t="shared" si="24"/>
        <v>0</v>
      </c>
      <c r="V179" s="46">
        <f>IF(L179=1,H179+SETTINGS!$B$5/24,"")</f>
        <v>46309.82708333333</v>
      </c>
      <c r="W179" s="28">
        <f ca="1">IF(L179=1,(V179-SETTINGS!$B$4)*24,"")</f>
        <v>-1.6666666720993817E-2</v>
      </c>
      <c r="X179" s="28">
        <f ca="1">IF(AND(L179=1,K179="OK",M179=0,N179=0,O179=0,P179=0,SETTINGS!$B$4&lt;V179,Q179&lt;SETTINGS!$B$6),1,0)</f>
        <v>0</v>
      </c>
      <c r="Y179" s="28">
        <f ca="1">IF(AND(X179=1,SETTINGS!$B$4&gt;=H179,SETTINGS!$B$4&gt;=U179,ROUND(MOD(SETTINGS!$B$4,1)*1440,0)&gt;=ROUND(SETTINGS!$B$7*1440,0),ROUND(MOD(SETTINGS!$B$4,1)*1440,0)&lt;ROUND(SETTINGS!$B$8*1440,0)),1,0)</f>
        <v>0</v>
      </c>
      <c r="Z179" s="28" t="str">
        <f ca="1">IF(B179="","",IF(ROUND(MOD(SETTINGS!$B$4,1)*1440,0)&lt;ROUND(SETTINGS!$B$11*1440,0),"Ram",IF(ROUND(MOD(SETTINGS!$B$4,1)*1440,0)&gt;=ROUND(SETTINGS!$B$10*1440,0),"Shyam",IF(MOD(IFERROR(VALUE(RIGHT(F179,2)),0),2)=0,"Ram","Shyam"))))</f>
        <v>Shyam</v>
      </c>
      <c r="AA179" s="28">
        <f t="shared" ca="1" si="25"/>
        <v>0</v>
      </c>
      <c r="AB179" s="28">
        <f ca="1">IF(X179=1,COUNTIFS($F$2:F179,F179,$X$2:X179,1),0)</f>
        <v>0</v>
      </c>
      <c r="AC179" s="28" t="str">
        <f>IF(L179=1,IF(IFERROR(INDEX(PARTNERS!$C$2:$C$88,MATCH(B179,PARTNERS!$A$2:$A$88,0)),"")="YES","YES","NO"),"")</f>
        <v>NO</v>
      </c>
      <c r="AD179" s="28" t="str">
        <f>IF(L179=1,IFERROR(INDEX(PARTNERS!$B$2:$B$88,MATCH(B179,PARTNERS!$A$2:$A$88,0)),""),"")</f>
        <v>https://calendly.com/partner000/interview</v>
      </c>
      <c r="AE179" s="28">
        <f ca="1">IF(X179=1,IFERROR(INDEX(SETTINGS!$B$34:$D$36,MATCH(I179,SETTINGS!$A$34:$A$36,0),MIN(Q179,2)+1),SETTINGS!$B$36),0)</f>
        <v>0</v>
      </c>
      <c r="AF179" s="28">
        <f t="shared" si="26"/>
        <v>1</v>
      </c>
      <c r="AG179" s="28">
        <f ca="1">IF(AND(Y179=1,AB179=1),ROUND(AA179*AE179*IF(AF179&gt;1,SETTINGS!$B$16,1)*IF(W179&lt;=SETTINGS!$B$14,SETTINGS!$B$15,1)*IF(AU179=1,SETTINGS!$B$21,1),6),0)</f>
        <v>0</v>
      </c>
      <c r="AH179" s="28" t="str">
        <f ca="1">IF(AG179&gt;0,COUNTIFS($Z$2:$Z$601,Z179,$AG$2:$AG$601,"&gt;"&amp;AG179)+COUNTIFS($Z$2:Z179,Z179,$AG$2:AG179,AG179),"")</f>
        <v/>
      </c>
      <c r="AI179" s="28" t="str">
        <f t="shared" ca="1" si="27"/>
        <v/>
      </c>
      <c r="AJ179" s="28" t="str">
        <f t="shared" ca="1" si="28"/>
        <v/>
      </c>
      <c r="AK179" s="28">
        <f>IF(L179=1,IF(COUNTIFS($F$2:F179,F179,$L$2:L179,1)=1,1,0),0)</f>
        <v>1</v>
      </c>
      <c r="AL179" s="28" t="str">
        <f ca="1">IF(B179="","",IF(K179="DUPLICATE","Duplicate (removed)",IF(AO179=1,"Scheduled within 24h",IF(M179=1,"Scheduled late",IF(K179="BAD CONTACT","Bad contact details",IF(O179=1,"Stopped / wrong number",IF(N179=1,"Not interested",IF(P179=1,"Partner has no slots",IF(SETTINGS!$B$4&gt;=V179,IF(Q179=0,"Missed deadline: never tried","Missed deadline: tried, not booked"),IF(Q179&gt;=SETTINGS!$B$6,"No reply after max tries","Open"))))))))))</f>
        <v>Missed deadline: never tried</v>
      </c>
      <c r="AM179" s="46" t="str">
        <f>IF(M179=1,IF(_xlfn.MINIFS(LOG!$G$2:$G$2001,LOG!$C$2:$C$2001,F179,LOG!$E$2:$E$2001,B179,LOG!$D$2:$D$2001,"*BOOKED")=0,_xlfn.MINIFS(LOG!$G$2:$G$2001,LOG!$C$2:$C$2001,F179,LOG!$E$2:$E$2001,"",LOG!$D$2:$D$2001,"*BOOKED"),IF(_xlfn.MINIFS(LOG!$G$2:$G$2001,LOG!$C$2:$C$2001,F179,LOG!$E$2:$E$2001,"",LOG!$D$2:$D$2001,"*BOOKED")=0,_xlfn.MINIFS(LOG!$G$2:$G$2001,LOG!$C$2:$C$2001,F179,LOG!$E$2:$E$2001,B179,LOG!$D$2:$D$2001,"*BOOKED"),MIN(_xlfn.MINIFS(LOG!$G$2:$G$2001,LOG!$C$2:$C$2001,F179,LOG!$E$2:$E$2001,B179,LOG!$D$2:$D$2001,"*BOOKED"),_xlfn.MINIFS(LOG!$G$2:$G$2001,LOG!$C$2:$C$2001,F179,LOG!$E$2:$E$2001,"",LOG!$D$2:$D$2001,"*BOOKED")))),"")</f>
        <v/>
      </c>
      <c r="AN179" s="28" t="str">
        <f t="shared" si="29"/>
        <v/>
      </c>
      <c r="AO179" s="28">
        <f>IF(AND(M179=1,AN179&lt;&gt;""),IF(AN179&lt;=SETTINGS!$B$5,1,0),0)</f>
        <v>0</v>
      </c>
      <c r="AP179" s="28">
        <f>IF(M179=1,IF(COUNTIFS(LOG!$C$2:$C$2001,F179,LOG!$E$2:$E$2001,B179,LOG!$D$2:$D$2001,"BOOKED")+COUNTIFS(LOG!$C$2:$C$2001,F179,LOG!$E$2:$E$2001,"",LOG!$D$2:$D$2001,"BOOKED")&gt;0,1,0),0)</f>
        <v>0</v>
      </c>
      <c r="AQ179" s="28" t="str">
        <f t="shared" si="30"/>
        <v>Isha</v>
      </c>
      <c r="AR179" s="28">
        <f>IF(AND(AK179=1,K179="OK"),COUNTIFS($AK$2:AK179,1,$K$2:K179,"OK"),"")</f>
        <v>162</v>
      </c>
      <c r="AS179" s="28" t="str">
        <f>IF(L179=1,IFERROR(INDEX(MESSAGES!$J$9:$J$1008,MATCH(F179,MESSAGES!$M$9:$M$1008,0))&amp;"",""),"")</f>
        <v/>
      </c>
      <c r="AT179" s="28" t="str">
        <f>IF(L179=1,IFERROR(INDEX(MESSAGES!$K$9:$K$1008,MATCH(F179,MESSAGES!$M$9:$M$1008,0))&amp;"",""),"")</f>
        <v/>
      </c>
      <c r="AU179" s="28">
        <f t="shared" ca="1" si="31"/>
        <v>0</v>
      </c>
      <c r="AV179" s="28" t="str">
        <f t="shared" si="32"/>
        <v>HOLD</v>
      </c>
    </row>
    <row r="180" spans="1:48" x14ac:dyDescent="0.35">
      <c r="A180" s="28">
        <v>179</v>
      </c>
      <c r="B180" s="28" t="str">
        <f>IF(INPUT!A180="","",TRIM(INPUT!A180))</f>
        <v>Partner 008</v>
      </c>
      <c r="C180" s="28" t="str">
        <f>IF(B180="","",INPUT!C180)</f>
        <v>interviewer1@partner008.example.com</v>
      </c>
      <c r="D180" s="28" t="str">
        <f>IF(B180="","",INPUT!D180)</f>
        <v>Karan A.</v>
      </c>
      <c r="E180" s="28" t="str">
        <f>IF(B180="","",INPUT!E180)</f>
        <v>karan.a020@example.com</v>
      </c>
      <c r="F180" s="43" t="str">
        <f>IF(B180="","",TRIM(INPUT!F180&amp;""))</f>
        <v>9000000267</v>
      </c>
      <c r="G180" s="28" t="str">
        <f>IF(B180="","",INPUT!H180)</f>
        <v>Round1</v>
      </c>
      <c r="H180" s="46">
        <f>IF(B180="","",INPUT!I180)</f>
        <v>46308.82916666667</v>
      </c>
      <c r="I180" s="28" t="str">
        <f>IF(B180="","",IF(INPUT!J180="","None",INPUT!J180))</f>
        <v>Opened</v>
      </c>
      <c r="J180" s="28" t="str">
        <f t="shared" si="22"/>
        <v>karan.a020@example.com|partner 008|Round1|interviewer1@partner008.example.com</v>
      </c>
      <c r="K180" s="28" t="str">
        <f>IF(B180="","",IF(SUMPRODUCT(($J$2:$J$601=J180)*($H$2:$H$601&lt;H180))+SUMPRODUCT(($J$2:J180=J180)*($H$2:H180=H180))-1&gt;0,"DUPLICATE",IF(AND(ISNUMBER(SEARCH("@",E180)),ISNUMBER(SEARCH(".",E180)),LEN(F180)=10,ISNUMBER(VALUE(F180))),"OK","BAD CONTACT")))</f>
        <v>DUPLICATE</v>
      </c>
      <c r="L180" s="28">
        <f t="shared" si="23"/>
        <v>0</v>
      </c>
      <c r="M180" s="28">
        <f>IF(L180=1,IF(COUNTIFS(LOG!$C$2:$C$2001,F180,LOG!$E$2:$E$2001,B180,LOG!$D$2:$D$2001,"*BOOKED")+COUNTIFS(LOG!$C$2:$C$2001,F180,LOG!$E$2:$E$2001,"",LOG!$D$2:$D$2001,"*BOOKED")&gt;0,1,0),0)</f>
        <v>0</v>
      </c>
      <c r="N180" s="28">
        <f>IF(L180=1,IF(COUNTIFS(LOG!$C$2:$C$2001,F180,LOG!$E$2:$E$2001,B180,LOG!$D$2:$D$2001,"NOT_INTERESTED")+COUNTIFS(LOG!$C$2:$C$2001,F180,LOG!$E$2:$E$2001,"",LOG!$D$2:$D$2001,"NOT_INTERESTED")&gt;0,1,0),0)</f>
        <v>0</v>
      </c>
      <c r="O180" s="28">
        <f>IF(L180=1,IF(COUNTIFS(LOG!$C$2:$C$2001,F180,LOG!$D$2:$D$2001,"STOP")+COUNTIFS(LOG!$C$2:$C$2001,F180,LOG!$D$2:$D$2001,"WRONG_NUMBER")&gt;0,1,IF(ISNUMBER(SEARCH("STOP",AT180)),1,0)),0)</f>
        <v>0</v>
      </c>
      <c r="P180" s="28">
        <f>IF(L180=1,IF(IFERROR(INDEX(PARTNERS!$D$2:$D$88,MATCH(B180,PARTNERS!$A$2:$A$88,0)),"")="NO SLOTS",1,IF(AND(IFERROR(INDEX(PARTNERS!$D$2:$D$88,MATCH(B180,PARTNERS!$A$2:$A$88,0)),"")&lt;&gt;"REOPENED",COUNTIFS(LOG!$E$2:$E$2001,B180,LOG!$D$2:$D$2001,"NO_SLOTS")&gt;0),1,0)),0)</f>
        <v>0</v>
      </c>
      <c r="Q180" s="28">
        <f>IF(L180=1,COUNTIFS(LOG!$C$2:$C$2001,F180,LOG!$H$2:$H$2001,1),0)</f>
        <v>0</v>
      </c>
      <c r="R180" s="46">
        <f>IF(Q180&gt;0,_xlfn.MAXIFS(LOG!$G$2:$G$2001,LOG!$C$2:$C$2001,F180,LOG!$H$2:$H$2001,1),0)</f>
        <v>0</v>
      </c>
      <c r="S180" s="28" t="str">
        <f>IF(Q180&gt;0,IFERROR(INDEX(LOG!$D$2:$D$2001,MATCH(F180&amp;"|"&amp;Q180,LOG!$I$2:$I$2001,0)),""),"")</f>
        <v/>
      </c>
      <c r="T180" s="28">
        <f>IF(S180="",0,IFERROR(VLOOKUP(S180,LISTS!$A$2:$E$10,4,FALSE),0))</f>
        <v>0</v>
      </c>
      <c r="U180" s="46">
        <f t="shared" si="24"/>
        <v>0</v>
      </c>
      <c r="V180" s="46" t="str">
        <f>IF(L180=1,H180+SETTINGS!$B$5/24,"")</f>
        <v/>
      </c>
      <c r="W180" s="28" t="str">
        <f>IF(L180=1,(V180-SETTINGS!$B$4)*24,"")</f>
        <v/>
      </c>
      <c r="X180" s="28">
        <f ca="1">IF(AND(L180=1,K180="OK",M180=0,N180=0,O180=0,P180=0,SETTINGS!$B$4&lt;V180,Q180&lt;SETTINGS!$B$6),1,0)</f>
        <v>0</v>
      </c>
      <c r="Y180" s="28">
        <f ca="1">IF(AND(X180=1,SETTINGS!$B$4&gt;=H180,SETTINGS!$B$4&gt;=U180,ROUND(MOD(SETTINGS!$B$4,1)*1440,0)&gt;=ROUND(SETTINGS!$B$7*1440,0),ROUND(MOD(SETTINGS!$B$4,1)*1440,0)&lt;ROUND(SETTINGS!$B$8*1440,0)),1,0)</f>
        <v>0</v>
      </c>
      <c r="Z180" s="28" t="str">
        <f ca="1">IF(B180="","",IF(ROUND(MOD(SETTINGS!$B$4,1)*1440,0)&lt;ROUND(SETTINGS!$B$11*1440,0),"Ram",IF(ROUND(MOD(SETTINGS!$B$4,1)*1440,0)&gt;=ROUND(SETTINGS!$B$10*1440,0),"Shyam",IF(MOD(IFERROR(VALUE(RIGHT(F180,2)),0),2)=0,"Ram","Shyam"))))</f>
        <v>Shyam</v>
      </c>
      <c r="AA180" s="28">
        <f t="shared" ca="1" si="25"/>
        <v>0</v>
      </c>
      <c r="AB180" s="28">
        <f ca="1">IF(X180=1,COUNTIFS($F$2:F180,F180,$X$2:X180,1),0)</f>
        <v>0</v>
      </c>
      <c r="AC180" s="28" t="str">
        <f>IF(L180=1,IF(IFERROR(INDEX(PARTNERS!$C$2:$C$88,MATCH(B180,PARTNERS!$A$2:$A$88,0)),"")="YES","YES","NO"),"")</f>
        <v/>
      </c>
      <c r="AD180" s="28" t="str">
        <f>IF(L180=1,IFERROR(INDEX(PARTNERS!$B$2:$B$88,MATCH(B180,PARTNERS!$A$2:$A$88,0)),""),"")</f>
        <v/>
      </c>
      <c r="AE180" s="28">
        <f ca="1">IF(X180=1,IFERROR(INDEX(SETTINGS!$B$34:$D$36,MATCH(I180,SETTINGS!$A$34:$A$36,0),MIN(Q180,2)+1),SETTINGS!$B$36),0)</f>
        <v>0</v>
      </c>
      <c r="AF180" s="28">
        <f t="shared" si="26"/>
        <v>0</v>
      </c>
      <c r="AG180" s="28">
        <f ca="1">IF(AND(Y180=1,AB180=1),ROUND(AA180*AE180*IF(AF180&gt;1,SETTINGS!$B$16,1)*IF(W180&lt;=SETTINGS!$B$14,SETTINGS!$B$15,1)*IF(AU180=1,SETTINGS!$B$21,1),6),0)</f>
        <v>0</v>
      </c>
      <c r="AH180" s="28" t="str">
        <f ca="1">IF(AG180&gt;0,COUNTIFS($Z$2:$Z$601,Z180,$AG$2:$AG$601,"&gt;"&amp;AG180)+COUNTIFS($Z$2:Z180,Z180,$AG$2:AG180,AG180),"")</f>
        <v/>
      </c>
      <c r="AI180" s="28" t="str">
        <f t="shared" ca="1" si="27"/>
        <v/>
      </c>
      <c r="AJ180" s="28" t="str">
        <f t="shared" ca="1" si="28"/>
        <v/>
      </c>
      <c r="AK180" s="28">
        <f>IF(L180=1,IF(COUNTIFS($F$2:F180,F180,$L$2:L180,1)=1,1,0),0)</f>
        <v>0</v>
      </c>
      <c r="AL180" s="28" t="str">
        <f>IF(B180="","",IF(K180="DUPLICATE","Duplicate (removed)",IF(AO180=1,"Scheduled within 24h",IF(M180=1,"Scheduled late",IF(K180="BAD CONTACT","Bad contact details",IF(O180=1,"Stopped / wrong number",IF(N180=1,"Not interested",IF(P180=1,"Partner has no slots",IF(SETTINGS!$B$4&gt;=V180,IF(Q180=0,"Missed deadline: never tried","Missed deadline: tried, not booked"),IF(Q180&gt;=SETTINGS!$B$6,"No reply after max tries","Open"))))))))))</f>
        <v>Duplicate (removed)</v>
      </c>
      <c r="AM180" s="46" t="str">
        <f>IF(M180=1,IF(_xlfn.MINIFS(LOG!$G$2:$G$2001,LOG!$C$2:$C$2001,F180,LOG!$E$2:$E$2001,B180,LOG!$D$2:$D$2001,"*BOOKED")=0,_xlfn.MINIFS(LOG!$G$2:$G$2001,LOG!$C$2:$C$2001,F180,LOG!$E$2:$E$2001,"",LOG!$D$2:$D$2001,"*BOOKED"),IF(_xlfn.MINIFS(LOG!$G$2:$G$2001,LOG!$C$2:$C$2001,F180,LOG!$E$2:$E$2001,"",LOG!$D$2:$D$2001,"*BOOKED")=0,_xlfn.MINIFS(LOG!$G$2:$G$2001,LOG!$C$2:$C$2001,F180,LOG!$E$2:$E$2001,B180,LOG!$D$2:$D$2001,"*BOOKED"),MIN(_xlfn.MINIFS(LOG!$G$2:$G$2001,LOG!$C$2:$C$2001,F180,LOG!$E$2:$E$2001,B180,LOG!$D$2:$D$2001,"*BOOKED"),_xlfn.MINIFS(LOG!$G$2:$G$2001,LOG!$C$2:$C$2001,F180,LOG!$E$2:$E$2001,"",LOG!$D$2:$D$2001,"*BOOKED")))),"")</f>
        <v/>
      </c>
      <c r="AN180" s="28" t="str">
        <f t="shared" si="29"/>
        <v/>
      </c>
      <c r="AO180" s="28">
        <f>IF(AND(M180=1,AN180&lt;&gt;""),IF(AN180&lt;=SETTINGS!$B$5,1,0),0)</f>
        <v>0</v>
      </c>
      <c r="AP180" s="28">
        <f>IF(M180=1,IF(COUNTIFS(LOG!$C$2:$C$2001,F180,LOG!$E$2:$E$2001,B180,LOG!$D$2:$D$2001,"BOOKED")+COUNTIFS(LOG!$C$2:$C$2001,F180,LOG!$E$2:$E$2001,"",LOG!$D$2:$D$2001,"BOOKED")&gt;0,1,0),0)</f>
        <v>0</v>
      </c>
      <c r="AQ180" s="28" t="str">
        <f t="shared" si="30"/>
        <v>Karan</v>
      </c>
      <c r="AR180" s="28" t="str">
        <f>IF(AND(AK180=1,K180="OK"),COUNTIFS($AK$2:AK180,1,$K$2:K180,"OK"),"")</f>
        <v/>
      </c>
      <c r="AS180" s="28" t="str">
        <f>IF(L180=1,IFERROR(INDEX(MESSAGES!$J$9:$J$1008,MATCH(F180,MESSAGES!$M$9:$M$1008,0))&amp;"",""),"")</f>
        <v/>
      </c>
      <c r="AT180" s="28" t="str">
        <f>IF(L180=1,IFERROR(INDEX(MESSAGES!$K$9:$K$1008,MATCH(F180,MESSAGES!$M$9:$M$1008,0))&amp;"",""),"")</f>
        <v/>
      </c>
      <c r="AU180" s="28">
        <f t="shared" ca="1" si="31"/>
        <v>0</v>
      </c>
      <c r="AV180" s="28" t="str">
        <f t="shared" si="32"/>
        <v/>
      </c>
    </row>
    <row r="181" spans="1:48" x14ac:dyDescent="0.35">
      <c r="A181" s="28">
        <v>180</v>
      </c>
      <c r="B181" s="28" t="str">
        <f>IF(INPUT!A181="","",TRIM(INPUT!A181))</f>
        <v>Partner 002</v>
      </c>
      <c r="C181" s="28" t="str">
        <f>IF(B181="","",INPUT!C181)</f>
        <v>interviewer0@partner002.example.com</v>
      </c>
      <c r="D181" s="28" t="str">
        <f>IF(B181="","",INPUT!D181)</f>
        <v>Isha N.</v>
      </c>
      <c r="E181" s="28" t="str">
        <f>IF(B181="","",INPUT!E181)</f>
        <v>isha.n385@example.com</v>
      </c>
      <c r="F181" s="43" t="str">
        <f>IF(B181="","",TRIM(INPUT!F181&amp;""))</f>
        <v>9000005012</v>
      </c>
      <c r="G181" s="28" t="str">
        <f>IF(B181="","",INPUT!H181)</f>
        <v>Round1</v>
      </c>
      <c r="H181" s="46">
        <f>IF(B181="","",INPUT!I181)</f>
        <v>46308.82708333333</v>
      </c>
      <c r="I181" s="28" t="str">
        <f>IF(B181="","",IF(INPUT!J181="","None",INPUT!J181))</f>
        <v>None</v>
      </c>
      <c r="J181" s="28" t="str">
        <f t="shared" si="22"/>
        <v>isha.n385@example.com|partner 002|Round1|interviewer0@partner002.example.com</v>
      </c>
      <c r="K181" s="28" t="str">
        <f>IF(B181="","",IF(SUMPRODUCT(($J$2:$J$601=J181)*($H$2:$H$601&lt;H181))+SUMPRODUCT(($J$2:J181=J181)*($H$2:H181=H181))-1&gt;0,"DUPLICATE",IF(AND(ISNUMBER(SEARCH("@",E181)),ISNUMBER(SEARCH(".",E181)),LEN(F181)=10,ISNUMBER(VALUE(F181))),"OK","BAD CONTACT")))</f>
        <v>OK</v>
      </c>
      <c r="L181" s="28">
        <f t="shared" si="23"/>
        <v>1</v>
      </c>
      <c r="M181" s="28">
        <f>IF(L181=1,IF(COUNTIFS(LOG!$C$2:$C$2001,F181,LOG!$E$2:$E$2001,B181,LOG!$D$2:$D$2001,"*BOOKED")+COUNTIFS(LOG!$C$2:$C$2001,F181,LOG!$E$2:$E$2001,"",LOG!$D$2:$D$2001,"*BOOKED")&gt;0,1,0),0)</f>
        <v>1</v>
      </c>
      <c r="N181" s="28">
        <f>IF(L181=1,IF(COUNTIFS(LOG!$C$2:$C$2001,F181,LOG!$E$2:$E$2001,B181,LOG!$D$2:$D$2001,"NOT_INTERESTED")+COUNTIFS(LOG!$C$2:$C$2001,F181,LOG!$E$2:$E$2001,"",LOG!$D$2:$D$2001,"NOT_INTERESTED")&gt;0,1,0),0)</f>
        <v>0</v>
      </c>
      <c r="O181" s="28">
        <f>IF(L181=1,IF(COUNTIFS(LOG!$C$2:$C$2001,F181,LOG!$D$2:$D$2001,"STOP")+COUNTIFS(LOG!$C$2:$C$2001,F181,LOG!$D$2:$D$2001,"WRONG_NUMBER")&gt;0,1,IF(ISNUMBER(SEARCH("STOP",AT181)),1,0)),0)</f>
        <v>0</v>
      </c>
      <c r="P181" s="28">
        <f>IF(L181=1,IF(IFERROR(INDEX(PARTNERS!$D$2:$D$88,MATCH(B181,PARTNERS!$A$2:$A$88,0)),"")="NO SLOTS",1,IF(AND(IFERROR(INDEX(PARTNERS!$D$2:$D$88,MATCH(B181,PARTNERS!$A$2:$A$88,0)),"")&lt;&gt;"REOPENED",COUNTIFS(LOG!$E$2:$E$2001,B181,LOG!$D$2:$D$2001,"NO_SLOTS")&gt;0),1,0)),0)</f>
        <v>0</v>
      </c>
      <c r="Q181" s="28">
        <f>IF(L181=1,COUNTIFS(LOG!$C$2:$C$2001,F181,LOG!$H$2:$H$2001,1),0)</f>
        <v>0</v>
      </c>
      <c r="R181" s="46">
        <f>IF(Q181&gt;0,_xlfn.MAXIFS(LOG!$G$2:$G$2001,LOG!$C$2:$C$2001,F181,LOG!$H$2:$H$2001,1),0)</f>
        <v>0</v>
      </c>
      <c r="S181" s="28" t="str">
        <f>IF(Q181&gt;0,IFERROR(INDEX(LOG!$D$2:$D$2001,MATCH(F181&amp;"|"&amp;Q181,LOG!$I$2:$I$2001,0)),""),"")</f>
        <v/>
      </c>
      <c r="T181" s="28">
        <f>IF(S181="",0,IFERROR(VLOOKUP(S181,LISTS!$A$2:$E$10,4,FALSE),0))</f>
        <v>0</v>
      </c>
      <c r="U181" s="46">
        <f t="shared" si="24"/>
        <v>0</v>
      </c>
      <c r="V181" s="46">
        <f>IF(L181=1,H181+SETTINGS!$B$5/24,"")</f>
        <v>46309.82708333333</v>
      </c>
      <c r="W181" s="28">
        <f ca="1">IF(L181=1,(V181-SETTINGS!$B$4)*24,"")</f>
        <v>-1.6666666720993817E-2</v>
      </c>
      <c r="X181" s="28">
        <f ca="1">IF(AND(L181=1,K181="OK",M181=0,N181=0,O181=0,P181=0,SETTINGS!$B$4&lt;V181,Q181&lt;SETTINGS!$B$6),1,0)</f>
        <v>0</v>
      </c>
      <c r="Y181" s="28">
        <f ca="1">IF(AND(X181=1,SETTINGS!$B$4&gt;=H181,SETTINGS!$B$4&gt;=U181,ROUND(MOD(SETTINGS!$B$4,1)*1440,0)&gt;=ROUND(SETTINGS!$B$7*1440,0),ROUND(MOD(SETTINGS!$B$4,1)*1440,0)&lt;ROUND(SETTINGS!$B$8*1440,0)),1,0)</f>
        <v>0</v>
      </c>
      <c r="Z181" s="28" t="str">
        <f ca="1">IF(B181="","",IF(ROUND(MOD(SETTINGS!$B$4,1)*1440,0)&lt;ROUND(SETTINGS!$B$11*1440,0),"Ram",IF(ROUND(MOD(SETTINGS!$B$4,1)*1440,0)&gt;=ROUND(SETTINGS!$B$10*1440,0),"Shyam",IF(MOD(IFERROR(VALUE(RIGHT(F181,2)),0),2)=0,"Ram","Shyam"))))</f>
        <v>Shyam</v>
      </c>
      <c r="AA181" s="28">
        <f t="shared" ca="1" si="25"/>
        <v>0</v>
      </c>
      <c r="AB181" s="28">
        <f ca="1">IF(X181=1,COUNTIFS($F$2:F181,F181,$X$2:X181,1),0)</f>
        <v>0</v>
      </c>
      <c r="AC181" s="28" t="str">
        <f>IF(L181=1,IF(IFERROR(INDEX(PARTNERS!$C$2:$C$88,MATCH(B181,PARTNERS!$A$2:$A$88,0)),"")="YES","YES","NO"),"")</f>
        <v>YES</v>
      </c>
      <c r="AD181" s="28" t="str">
        <f>IF(L181=1,IFERROR(INDEX(PARTNERS!$B$2:$B$88,MATCH(B181,PARTNERS!$A$2:$A$88,0)),""),"")</f>
        <v>https://calendly.com/partner002/interview</v>
      </c>
      <c r="AE181" s="28">
        <f ca="1">IF(X181=1,IFERROR(INDEX(SETTINGS!$B$34:$D$36,MATCH(I181,SETTINGS!$A$34:$A$36,0),MIN(Q181,2)+1),SETTINGS!$B$36),0)</f>
        <v>0</v>
      </c>
      <c r="AF181" s="28">
        <f t="shared" si="26"/>
        <v>1</v>
      </c>
      <c r="AG181" s="28">
        <f ca="1">IF(AND(Y181=1,AB181=1),ROUND(AA181*AE181*IF(AF181&gt;1,SETTINGS!$B$16,1)*IF(W181&lt;=SETTINGS!$B$14,SETTINGS!$B$15,1)*IF(AU181=1,SETTINGS!$B$21,1),6),0)</f>
        <v>0</v>
      </c>
      <c r="AH181" s="28" t="str">
        <f ca="1">IF(AG181&gt;0,COUNTIFS($Z$2:$Z$601,Z181,$AG$2:$AG$601,"&gt;"&amp;AG181)+COUNTIFS($Z$2:Z181,Z181,$AG$2:AG181,AG181),"")</f>
        <v/>
      </c>
      <c r="AI181" s="28" t="str">
        <f t="shared" ca="1" si="27"/>
        <v/>
      </c>
      <c r="AJ181" s="28" t="str">
        <f t="shared" ca="1" si="28"/>
        <v/>
      </c>
      <c r="AK181" s="28">
        <f>IF(L181=1,IF(COUNTIFS($F$2:F181,F181,$L$2:L181,1)=1,1,0),0)</f>
        <v>1</v>
      </c>
      <c r="AL181" s="28" t="str">
        <f>IF(B181="","",IF(K181="DUPLICATE","Duplicate (removed)",IF(AO181=1,"Scheduled within 24h",IF(M181=1,"Scheduled late",IF(K181="BAD CONTACT","Bad contact details",IF(O181=1,"Stopped / wrong number",IF(N181=1,"Not interested",IF(P181=1,"Partner has no slots",IF(SETTINGS!$B$4&gt;=V181,IF(Q181=0,"Missed deadline: never tried","Missed deadline: tried, not booked"),IF(Q181&gt;=SETTINGS!$B$6,"No reply after max tries","Open"))))))))))</f>
        <v>Scheduled within 24h</v>
      </c>
      <c r="AM181" s="46">
        <f>IF(M181=1,IF(_xlfn.MINIFS(LOG!$G$2:$G$2001,LOG!$C$2:$C$2001,F181,LOG!$E$2:$E$2001,B181,LOG!$D$2:$D$2001,"*BOOKED")=0,_xlfn.MINIFS(LOG!$G$2:$G$2001,LOG!$C$2:$C$2001,F181,LOG!$E$2:$E$2001,"",LOG!$D$2:$D$2001,"*BOOKED"),IF(_xlfn.MINIFS(LOG!$G$2:$G$2001,LOG!$C$2:$C$2001,F181,LOG!$E$2:$E$2001,"",LOG!$D$2:$D$2001,"*BOOKED")=0,_xlfn.MINIFS(LOG!$G$2:$G$2001,LOG!$C$2:$C$2001,F181,LOG!$E$2:$E$2001,B181,LOG!$D$2:$D$2001,"*BOOKED"),MIN(_xlfn.MINIFS(LOG!$G$2:$G$2001,LOG!$C$2:$C$2001,F181,LOG!$E$2:$E$2001,B181,LOG!$D$2:$D$2001,"*BOOKED"),_xlfn.MINIFS(LOG!$G$2:$G$2001,LOG!$C$2:$C$2001,F181,LOG!$E$2:$E$2001,"",LOG!$D$2:$D$2001,"*BOOKED")))),"")</f>
        <v>46308.908706659444</v>
      </c>
      <c r="AN181" s="28">
        <f t="shared" si="29"/>
        <v>1.958959826733917</v>
      </c>
      <c r="AO181" s="28">
        <f>IF(AND(M181=1,AN181&lt;&gt;""),IF(AN181&lt;=SETTINGS!$B$5,1,0),0)</f>
        <v>1</v>
      </c>
      <c r="AP181" s="28">
        <f>IF(M181=1,IF(COUNTIFS(LOG!$C$2:$C$2001,F181,LOG!$E$2:$E$2001,B181,LOG!$D$2:$D$2001,"BOOKED")+COUNTIFS(LOG!$C$2:$C$2001,F181,LOG!$E$2:$E$2001,"",LOG!$D$2:$D$2001,"BOOKED")&gt;0,1,0),0)</f>
        <v>0</v>
      </c>
      <c r="AQ181" s="28" t="str">
        <f t="shared" si="30"/>
        <v>Isha</v>
      </c>
      <c r="AR181" s="28">
        <f>IF(AND(AK181=1,K181="OK"),COUNTIFS($AK$2:AK181,1,$K$2:K181,"OK"),"")</f>
        <v>163</v>
      </c>
      <c r="AS181" s="28" t="str">
        <f>IF(L181=1,IFERROR(INDEX(MESSAGES!$J$9:$J$1008,MATCH(F181,MESSAGES!$M$9:$M$1008,0))&amp;"",""),"")</f>
        <v/>
      </c>
      <c r="AT181" s="28" t="str">
        <f>IF(L181=1,IFERROR(INDEX(MESSAGES!$K$9:$K$1008,MATCH(F181,MESSAGES!$M$9:$M$1008,0))&amp;"",""),"")</f>
        <v/>
      </c>
      <c r="AU181" s="28">
        <f t="shared" ca="1" si="31"/>
        <v>0</v>
      </c>
      <c r="AV181" s="28" t="str">
        <f t="shared" si="32"/>
        <v>HOLD</v>
      </c>
    </row>
    <row r="182" spans="1:48" x14ac:dyDescent="0.35">
      <c r="A182" s="28">
        <v>181</v>
      </c>
      <c r="B182" s="28" t="str">
        <f>IF(INPUT!A182="","",TRIM(INPUT!A182))</f>
        <v>Partner 002</v>
      </c>
      <c r="C182" s="28" t="str">
        <f>IF(B182="","",INPUT!C182)</f>
        <v>interviewer0@partner002.example.com</v>
      </c>
      <c r="D182" s="28" t="str">
        <f>IF(B182="","",INPUT!D182)</f>
        <v>Meera H.</v>
      </c>
      <c r="E182" s="28" t="str">
        <f>IF(B182="","",INPUT!E182)</f>
        <v>meera.h217@example.com</v>
      </c>
      <c r="F182" s="43" t="str">
        <f>IF(B182="","",TRIM(INPUT!F182&amp;""))</f>
        <v>9000002828</v>
      </c>
      <c r="G182" s="28" t="str">
        <f>IF(B182="","",INPUT!H182)</f>
        <v>Round1</v>
      </c>
      <c r="H182" s="46">
        <f>IF(B182="","",INPUT!I182)</f>
        <v>46308.82708333333</v>
      </c>
      <c r="I182" s="28" t="str">
        <f>IF(B182="","",IF(INPUT!J182="","None",INPUT!J182))</f>
        <v>None</v>
      </c>
      <c r="J182" s="28" t="str">
        <f t="shared" si="22"/>
        <v>meera.h217@example.com|partner 002|Round1|interviewer0@partner002.example.com</v>
      </c>
      <c r="K182" s="28" t="str">
        <f>IF(B182="","",IF(SUMPRODUCT(($J$2:$J$601=J182)*($H$2:$H$601&lt;H182))+SUMPRODUCT(($J$2:J182=J182)*($H$2:H182=H182))-1&gt;0,"DUPLICATE",IF(AND(ISNUMBER(SEARCH("@",E182)),ISNUMBER(SEARCH(".",E182)),LEN(F182)=10,ISNUMBER(VALUE(F182))),"OK","BAD CONTACT")))</f>
        <v>OK</v>
      </c>
      <c r="L182" s="28">
        <f t="shared" si="23"/>
        <v>1</v>
      </c>
      <c r="M182" s="28">
        <f>IF(L182=1,IF(COUNTIFS(LOG!$C$2:$C$2001,F182,LOG!$E$2:$E$2001,B182,LOG!$D$2:$D$2001,"*BOOKED")+COUNTIFS(LOG!$C$2:$C$2001,F182,LOG!$E$2:$E$2001,"",LOG!$D$2:$D$2001,"*BOOKED")&gt;0,1,0),0)</f>
        <v>0</v>
      </c>
      <c r="N182" s="28">
        <f>IF(L182=1,IF(COUNTIFS(LOG!$C$2:$C$2001,F182,LOG!$E$2:$E$2001,B182,LOG!$D$2:$D$2001,"NOT_INTERESTED")+COUNTIFS(LOG!$C$2:$C$2001,F182,LOG!$E$2:$E$2001,"",LOG!$D$2:$D$2001,"NOT_INTERESTED")&gt;0,1,0),0)</f>
        <v>0</v>
      </c>
      <c r="O182" s="28">
        <f>IF(L182=1,IF(COUNTIFS(LOG!$C$2:$C$2001,F182,LOG!$D$2:$D$2001,"STOP")+COUNTIFS(LOG!$C$2:$C$2001,F182,LOG!$D$2:$D$2001,"WRONG_NUMBER")&gt;0,1,IF(ISNUMBER(SEARCH("STOP",AT182)),1,0)),0)</f>
        <v>0</v>
      </c>
      <c r="P182" s="28">
        <f>IF(L182=1,IF(IFERROR(INDEX(PARTNERS!$D$2:$D$88,MATCH(B182,PARTNERS!$A$2:$A$88,0)),"")="NO SLOTS",1,IF(AND(IFERROR(INDEX(PARTNERS!$D$2:$D$88,MATCH(B182,PARTNERS!$A$2:$A$88,0)),"")&lt;&gt;"REOPENED",COUNTIFS(LOG!$E$2:$E$2001,B182,LOG!$D$2:$D$2001,"NO_SLOTS")&gt;0),1,0)),0)</f>
        <v>0</v>
      </c>
      <c r="Q182" s="28">
        <f>IF(L182=1,COUNTIFS(LOG!$C$2:$C$2001,F182,LOG!$H$2:$H$2001,1),0)</f>
        <v>1</v>
      </c>
      <c r="R182" s="46">
        <f>IF(Q182&gt;0,_xlfn.MAXIFS(LOG!$G$2:$G$2001,LOG!$C$2:$C$2001,F182,LOG!$H$2:$H$2001,1),0)</f>
        <v>46309.806551640198</v>
      </c>
      <c r="S182" s="28" t="str">
        <f>IF(Q182&gt;0,IFERROR(INDEX(LOG!$D$2:$D$2001,MATCH(F182&amp;"|"&amp;Q182,LOG!$I$2:$I$2001,0)),""),"")</f>
        <v>NO_ANSWER</v>
      </c>
      <c r="T182" s="28">
        <f>IF(S182="",0,IFERROR(VLOOKUP(S182,LISTS!$A$2:$E$10,4,FALSE),0))</f>
        <v>120</v>
      </c>
      <c r="U182" s="46">
        <f t="shared" si="24"/>
        <v>46309.889884973534</v>
      </c>
      <c r="V182" s="46">
        <f>IF(L182=1,H182+SETTINGS!$B$5/24,"")</f>
        <v>46309.82708333333</v>
      </c>
      <c r="W182" s="28">
        <f ca="1">IF(L182=1,(V182-SETTINGS!$B$4)*24,"")</f>
        <v>-1.6666666720993817E-2</v>
      </c>
      <c r="X182" s="28">
        <f ca="1">IF(AND(L182=1,K182="OK",M182=0,N182=0,O182=0,P182=0,SETTINGS!$B$4&lt;V182,Q182&lt;SETTINGS!$B$6),1,0)</f>
        <v>0</v>
      </c>
      <c r="Y182" s="28">
        <f ca="1">IF(AND(X182=1,SETTINGS!$B$4&gt;=H182,SETTINGS!$B$4&gt;=U182,ROUND(MOD(SETTINGS!$B$4,1)*1440,0)&gt;=ROUND(SETTINGS!$B$7*1440,0),ROUND(MOD(SETTINGS!$B$4,1)*1440,0)&lt;ROUND(SETTINGS!$B$8*1440,0)),1,0)</f>
        <v>0</v>
      </c>
      <c r="Z182" s="28" t="str">
        <f ca="1">IF(B182="","",IF(ROUND(MOD(SETTINGS!$B$4,1)*1440,0)&lt;ROUND(SETTINGS!$B$11*1440,0),"Ram",IF(ROUND(MOD(SETTINGS!$B$4,1)*1440,0)&gt;=ROUND(SETTINGS!$B$10*1440,0),"Shyam",IF(MOD(IFERROR(VALUE(RIGHT(F182,2)),0),2)=0,"Ram","Shyam"))))</f>
        <v>Shyam</v>
      </c>
      <c r="AA182" s="28">
        <f t="shared" ca="1" si="25"/>
        <v>0</v>
      </c>
      <c r="AB182" s="28">
        <f ca="1">IF(X182=1,COUNTIFS($F$2:F182,F182,$X$2:X182,1),0)</f>
        <v>0</v>
      </c>
      <c r="AC182" s="28" t="str">
        <f>IF(L182=1,IF(IFERROR(INDEX(PARTNERS!$C$2:$C$88,MATCH(B182,PARTNERS!$A$2:$A$88,0)),"")="YES","YES","NO"),"")</f>
        <v>YES</v>
      </c>
      <c r="AD182" s="28" t="str">
        <f>IF(L182=1,IFERROR(INDEX(PARTNERS!$B$2:$B$88,MATCH(B182,PARTNERS!$A$2:$A$88,0)),""),"")</f>
        <v>https://calendly.com/partner002/interview</v>
      </c>
      <c r="AE182" s="28">
        <f ca="1">IF(X182=1,IFERROR(INDEX(SETTINGS!$B$34:$D$36,MATCH(I182,SETTINGS!$A$34:$A$36,0),MIN(Q182,2)+1),SETTINGS!$B$36),0)</f>
        <v>0</v>
      </c>
      <c r="AF182" s="28">
        <f t="shared" si="26"/>
        <v>1</v>
      </c>
      <c r="AG182" s="28">
        <f ca="1">IF(AND(Y182=1,AB182=1),ROUND(AA182*AE182*IF(AF182&gt;1,SETTINGS!$B$16,1)*IF(W182&lt;=SETTINGS!$B$14,SETTINGS!$B$15,1)*IF(AU182=1,SETTINGS!$B$21,1),6),0)</f>
        <v>0</v>
      </c>
      <c r="AH182" s="28" t="str">
        <f ca="1">IF(AG182&gt;0,COUNTIFS($Z$2:$Z$601,Z182,$AG$2:$AG$601,"&gt;"&amp;AG182)+COUNTIFS($Z$2:Z182,Z182,$AG$2:AG182,AG182),"")</f>
        <v/>
      </c>
      <c r="AI182" s="28" t="str">
        <f t="shared" ca="1" si="27"/>
        <v/>
      </c>
      <c r="AJ182" s="28" t="str">
        <f t="shared" ca="1" si="28"/>
        <v/>
      </c>
      <c r="AK182" s="28">
        <f>IF(L182=1,IF(COUNTIFS($F$2:F182,F182,$L$2:L182,1)=1,1,0),0)</f>
        <v>0</v>
      </c>
      <c r="AL182" s="28" t="str">
        <f ca="1">IF(B182="","",IF(K182="DUPLICATE","Duplicate (removed)",IF(AO182=1,"Scheduled within 24h",IF(M182=1,"Scheduled late",IF(K182="BAD CONTACT","Bad contact details",IF(O182=1,"Stopped / wrong number",IF(N182=1,"Not interested",IF(P182=1,"Partner has no slots",IF(SETTINGS!$B$4&gt;=V182,IF(Q182=0,"Missed deadline: never tried","Missed deadline: tried, not booked"),IF(Q182&gt;=SETTINGS!$B$6,"No reply after max tries","Open"))))))))))</f>
        <v>Missed deadline: tried, not booked</v>
      </c>
      <c r="AM182" s="46" t="str">
        <f>IF(M182=1,IF(_xlfn.MINIFS(LOG!$G$2:$G$2001,LOG!$C$2:$C$2001,F182,LOG!$E$2:$E$2001,B182,LOG!$D$2:$D$2001,"*BOOKED")=0,_xlfn.MINIFS(LOG!$G$2:$G$2001,LOG!$C$2:$C$2001,F182,LOG!$E$2:$E$2001,"",LOG!$D$2:$D$2001,"*BOOKED"),IF(_xlfn.MINIFS(LOG!$G$2:$G$2001,LOG!$C$2:$C$2001,F182,LOG!$E$2:$E$2001,"",LOG!$D$2:$D$2001,"*BOOKED")=0,_xlfn.MINIFS(LOG!$G$2:$G$2001,LOG!$C$2:$C$2001,F182,LOG!$E$2:$E$2001,B182,LOG!$D$2:$D$2001,"*BOOKED"),MIN(_xlfn.MINIFS(LOG!$G$2:$G$2001,LOG!$C$2:$C$2001,F182,LOG!$E$2:$E$2001,B182,LOG!$D$2:$D$2001,"*BOOKED"),_xlfn.MINIFS(LOG!$G$2:$G$2001,LOG!$C$2:$C$2001,F182,LOG!$E$2:$E$2001,"",LOG!$D$2:$D$2001,"*BOOKED")))),"")</f>
        <v/>
      </c>
      <c r="AN182" s="28" t="str">
        <f t="shared" si="29"/>
        <v/>
      </c>
      <c r="AO182" s="28">
        <f>IF(AND(M182=1,AN182&lt;&gt;""),IF(AN182&lt;=SETTINGS!$B$5,1,0),0)</f>
        <v>0</v>
      </c>
      <c r="AP182" s="28">
        <f>IF(M182=1,IF(COUNTIFS(LOG!$C$2:$C$2001,F182,LOG!$E$2:$E$2001,B182,LOG!$D$2:$D$2001,"BOOKED")+COUNTIFS(LOG!$C$2:$C$2001,F182,LOG!$E$2:$E$2001,"",LOG!$D$2:$D$2001,"BOOKED")&gt;0,1,0),0)</f>
        <v>0</v>
      </c>
      <c r="AQ182" s="28" t="str">
        <f t="shared" si="30"/>
        <v>Meera</v>
      </c>
      <c r="AR182" s="28" t="str">
        <f>IF(AND(AK182=1,K182="OK"),COUNTIFS($AK$2:AK182,1,$K$2:K182,"OK"),"")</f>
        <v/>
      </c>
      <c r="AS182" s="28" t="str">
        <f>IF(L182=1,IFERROR(INDEX(MESSAGES!$J$9:$J$1008,MATCH(F182,MESSAGES!$M$9:$M$1008,0))&amp;"",""),"")</f>
        <v/>
      </c>
      <c r="AT182" s="28" t="str">
        <f>IF(L182=1,IFERROR(INDEX(MESSAGES!$K$9:$K$1008,MATCH(F182,MESSAGES!$M$9:$M$1008,0))&amp;"",""),"")</f>
        <v/>
      </c>
      <c r="AU182" s="28">
        <f t="shared" ca="1" si="31"/>
        <v>0</v>
      </c>
      <c r="AV182" s="28" t="str">
        <f t="shared" si="32"/>
        <v>SEND</v>
      </c>
    </row>
    <row r="183" spans="1:48" x14ac:dyDescent="0.35">
      <c r="A183" s="28">
        <v>182</v>
      </c>
      <c r="B183" s="28" t="str">
        <f>IF(INPUT!A183="","",TRIM(INPUT!A183))</f>
        <v>Partner 003</v>
      </c>
      <c r="C183" s="28" t="str">
        <f>IF(B183="","",INPUT!C183)</f>
        <v>interviewer0@partner003.example.com</v>
      </c>
      <c r="D183" s="28" t="str">
        <f>IF(B183="","",INPUT!D183)</f>
        <v>Neil N.</v>
      </c>
      <c r="E183" s="28" t="str">
        <f>IF(B183="","",INPUT!E183)</f>
        <v>neil.n378@example.com</v>
      </c>
      <c r="F183" s="43" t="str">
        <f>IF(B183="","",TRIM(INPUT!F183&amp;""))</f>
        <v>9000004921</v>
      </c>
      <c r="G183" s="28" t="str">
        <f>IF(B183="","",INPUT!H183)</f>
        <v>Round1</v>
      </c>
      <c r="H183" s="46">
        <f>IF(B183="","",INPUT!I183)</f>
        <v>46308.82708333333</v>
      </c>
      <c r="I183" s="28" t="str">
        <f>IF(B183="","",IF(INPUT!J183="","None",INPUT!J183))</f>
        <v>Opened</v>
      </c>
      <c r="J183" s="28" t="str">
        <f t="shared" si="22"/>
        <v>neil.n378@example.com|partner 003|Round1|interviewer0@partner003.example.com</v>
      </c>
      <c r="K183" s="28" t="str">
        <f>IF(B183="","",IF(SUMPRODUCT(($J$2:$J$601=J183)*($H$2:$H$601&lt;H183))+SUMPRODUCT(($J$2:J183=J183)*($H$2:H183=H183))-1&gt;0,"DUPLICATE",IF(AND(ISNUMBER(SEARCH("@",E183)),ISNUMBER(SEARCH(".",E183)),LEN(F183)=10,ISNUMBER(VALUE(F183))),"OK","BAD CONTACT")))</f>
        <v>OK</v>
      </c>
      <c r="L183" s="28">
        <f t="shared" si="23"/>
        <v>1</v>
      </c>
      <c r="M183" s="28">
        <f>IF(L183=1,IF(COUNTIFS(LOG!$C$2:$C$2001,F183,LOG!$E$2:$E$2001,B183,LOG!$D$2:$D$2001,"*BOOKED")+COUNTIFS(LOG!$C$2:$C$2001,F183,LOG!$E$2:$E$2001,"",LOG!$D$2:$D$2001,"*BOOKED")&gt;0,1,0),0)</f>
        <v>0</v>
      </c>
      <c r="N183" s="28">
        <f>IF(L183=1,IF(COUNTIFS(LOG!$C$2:$C$2001,F183,LOG!$E$2:$E$2001,B183,LOG!$D$2:$D$2001,"NOT_INTERESTED")+COUNTIFS(LOG!$C$2:$C$2001,F183,LOG!$E$2:$E$2001,"",LOG!$D$2:$D$2001,"NOT_INTERESTED")&gt;0,1,0),0)</f>
        <v>0</v>
      </c>
      <c r="O183" s="28">
        <f>IF(L183=1,IF(COUNTIFS(LOG!$C$2:$C$2001,F183,LOG!$D$2:$D$2001,"STOP")+COUNTIFS(LOG!$C$2:$C$2001,F183,LOG!$D$2:$D$2001,"WRONG_NUMBER")&gt;0,1,IF(ISNUMBER(SEARCH("STOP",AT183)),1,0)),0)</f>
        <v>0</v>
      </c>
      <c r="P183" s="28">
        <f>IF(L183=1,IF(IFERROR(INDEX(PARTNERS!$D$2:$D$88,MATCH(B183,PARTNERS!$A$2:$A$88,0)),"")="NO SLOTS",1,IF(AND(IFERROR(INDEX(PARTNERS!$D$2:$D$88,MATCH(B183,PARTNERS!$A$2:$A$88,0)),"")&lt;&gt;"REOPENED",COUNTIFS(LOG!$E$2:$E$2001,B183,LOG!$D$2:$D$2001,"NO_SLOTS")&gt;0),1,0)),0)</f>
        <v>0</v>
      </c>
      <c r="Q183" s="28">
        <f>IF(L183=1,COUNTIFS(LOG!$C$2:$C$2001,F183,LOG!$H$2:$H$2001,1),0)</f>
        <v>0</v>
      </c>
      <c r="R183" s="46">
        <f>IF(Q183&gt;0,_xlfn.MAXIFS(LOG!$G$2:$G$2001,LOG!$C$2:$C$2001,F183,LOG!$H$2:$H$2001,1),0)</f>
        <v>0</v>
      </c>
      <c r="S183" s="28" t="str">
        <f>IF(Q183&gt;0,IFERROR(INDEX(LOG!$D$2:$D$2001,MATCH(F183&amp;"|"&amp;Q183,LOG!$I$2:$I$2001,0)),""),"")</f>
        <v/>
      </c>
      <c r="T183" s="28">
        <f>IF(S183="",0,IFERROR(VLOOKUP(S183,LISTS!$A$2:$E$10,4,FALSE),0))</f>
        <v>0</v>
      </c>
      <c r="U183" s="46">
        <f t="shared" si="24"/>
        <v>0</v>
      </c>
      <c r="V183" s="46">
        <f>IF(L183=1,H183+SETTINGS!$B$5/24,"")</f>
        <v>46309.82708333333</v>
      </c>
      <c r="W183" s="28">
        <f ca="1">IF(L183=1,(V183-SETTINGS!$B$4)*24,"")</f>
        <v>-1.6666666720993817E-2</v>
      </c>
      <c r="X183" s="28">
        <f ca="1">IF(AND(L183=1,K183="OK",M183=0,N183=0,O183=0,P183=0,SETTINGS!$B$4&lt;V183,Q183&lt;SETTINGS!$B$6),1,0)</f>
        <v>0</v>
      </c>
      <c r="Y183" s="28">
        <f ca="1">IF(AND(X183=1,SETTINGS!$B$4&gt;=H183,SETTINGS!$B$4&gt;=U183,ROUND(MOD(SETTINGS!$B$4,1)*1440,0)&gt;=ROUND(SETTINGS!$B$7*1440,0),ROUND(MOD(SETTINGS!$B$4,1)*1440,0)&lt;ROUND(SETTINGS!$B$8*1440,0)),1,0)</f>
        <v>0</v>
      </c>
      <c r="Z183" s="28" t="str">
        <f ca="1">IF(B183="","",IF(ROUND(MOD(SETTINGS!$B$4,1)*1440,0)&lt;ROUND(SETTINGS!$B$11*1440,0),"Ram",IF(ROUND(MOD(SETTINGS!$B$4,1)*1440,0)&gt;=ROUND(SETTINGS!$B$10*1440,0),"Shyam",IF(MOD(IFERROR(VALUE(RIGHT(F183,2)),0),2)=0,"Ram","Shyam"))))</f>
        <v>Shyam</v>
      </c>
      <c r="AA183" s="28">
        <f t="shared" ca="1" si="25"/>
        <v>0</v>
      </c>
      <c r="AB183" s="28">
        <f ca="1">IF(X183=1,COUNTIFS($F$2:F183,F183,$X$2:X183,1),0)</f>
        <v>0</v>
      </c>
      <c r="AC183" s="28" t="str">
        <f>IF(L183=1,IF(IFERROR(INDEX(PARTNERS!$C$2:$C$88,MATCH(B183,PARTNERS!$A$2:$A$88,0)),"")="YES","YES","NO"),"")</f>
        <v>NO</v>
      </c>
      <c r="AD183" s="28" t="str">
        <f>IF(L183=1,IFERROR(INDEX(PARTNERS!$B$2:$B$88,MATCH(B183,PARTNERS!$A$2:$A$88,0)),""),"")</f>
        <v>https://calendly.com/partner003/interview</v>
      </c>
      <c r="AE183" s="28">
        <f ca="1">IF(X183=1,IFERROR(INDEX(SETTINGS!$B$34:$D$36,MATCH(I183,SETTINGS!$A$34:$A$36,0),MIN(Q183,2)+1),SETTINGS!$B$36),0)</f>
        <v>0</v>
      </c>
      <c r="AF183" s="28">
        <f t="shared" si="26"/>
        <v>1</v>
      </c>
      <c r="AG183" s="28">
        <f ca="1">IF(AND(Y183=1,AB183=1),ROUND(AA183*AE183*IF(AF183&gt;1,SETTINGS!$B$16,1)*IF(W183&lt;=SETTINGS!$B$14,SETTINGS!$B$15,1)*IF(AU183=1,SETTINGS!$B$21,1),6),0)</f>
        <v>0</v>
      </c>
      <c r="AH183" s="28" t="str">
        <f ca="1">IF(AG183&gt;0,COUNTIFS($Z$2:$Z$601,Z183,$AG$2:$AG$601,"&gt;"&amp;AG183)+COUNTIFS($Z$2:Z183,Z183,$AG$2:AG183,AG183),"")</f>
        <v/>
      </c>
      <c r="AI183" s="28" t="str">
        <f t="shared" ca="1" si="27"/>
        <v/>
      </c>
      <c r="AJ183" s="28" t="str">
        <f t="shared" ca="1" si="28"/>
        <v/>
      </c>
      <c r="AK183" s="28">
        <f>IF(L183=1,IF(COUNTIFS($F$2:F183,F183,$L$2:L183,1)=1,1,0),0)</f>
        <v>1</v>
      </c>
      <c r="AL183" s="28" t="str">
        <f ca="1">IF(B183="","",IF(K183="DUPLICATE","Duplicate (removed)",IF(AO183=1,"Scheduled within 24h",IF(M183=1,"Scheduled late",IF(K183="BAD CONTACT","Bad contact details",IF(O183=1,"Stopped / wrong number",IF(N183=1,"Not interested",IF(P183=1,"Partner has no slots",IF(SETTINGS!$B$4&gt;=V183,IF(Q183=0,"Missed deadline: never tried","Missed deadline: tried, not booked"),IF(Q183&gt;=SETTINGS!$B$6,"No reply after max tries","Open"))))))))))</f>
        <v>Missed deadline: never tried</v>
      </c>
      <c r="AM183" s="46" t="str">
        <f>IF(M183=1,IF(_xlfn.MINIFS(LOG!$G$2:$G$2001,LOG!$C$2:$C$2001,F183,LOG!$E$2:$E$2001,B183,LOG!$D$2:$D$2001,"*BOOKED")=0,_xlfn.MINIFS(LOG!$G$2:$G$2001,LOG!$C$2:$C$2001,F183,LOG!$E$2:$E$2001,"",LOG!$D$2:$D$2001,"*BOOKED"),IF(_xlfn.MINIFS(LOG!$G$2:$G$2001,LOG!$C$2:$C$2001,F183,LOG!$E$2:$E$2001,"",LOG!$D$2:$D$2001,"*BOOKED")=0,_xlfn.MINIFS(LOG!$G$2:$G$2001,LOG!$C$2:$C$2001,F183,LOG!$E$2:$E$2001,B183,LOG!$D$2:$D$2001,"*BOOKED"),MIN(_xlfn.MINIFS(LOG!$G$2:$G$2001,LOG!$C$2:$C$2001,F183,LOG!$E$2:$E$2001,B183,LOG!$D$2:$D$2001,"*BOOKED"),_xlfn.MINIFS(LOG!$G$2:$G$2001,LOG!$C$2:$C$2001,F183,LOG!$E$2:$E$2001,"",LOG!$D$2:$D$2001,"*BOOKED")))),"")</f>
        <v/>
      </c>
      <c r="AN183" s="28" t="str">
        <f t="shared" si="29"/>
        <v/>
      </c>
      <c r="AO183" s="28">
        <f>IF(AND(M183=1,AN183&lt;&gt;""),IF(AN183&lt;=SETTINGS!$B$5,1,0),0)</f>
        <v>0</v>
      </c>
      <c r="AP183" s="28">
        <f>IF(M183=1,IF(COUNTIFS(LOG!$C$2:$C$2001,F183,LOG!$E$2:$E$2001,B183,LOG!$D$2:$D$2001,"BOOKED")+COUNTIFS(LOG!$C$2:$C$2001,F183,LOG!$E$2:$E$2001,"",LOG!$D$2:$D$2001,"BOOKED")&gt;0,1,0),0)</f>
        <v>0</v>
      </c>
      <c r="AQ183" s="28" t="str">
        <f t="shared" si="30"/>
        <v>Neil</v>
      </c>
      <c r="AR183" s="28">
        <f>IF(AND(AK183=1,K183="OK"),COUNTIFS($AK$2:AK183,1,$K$2:K183,"OK"),"")</f>
        <v>164</v>
      </c>
      <c r="AS183" s="28" t="str">
        <f>IF(L183=1,IFERROR(INDEX(MESSAGES!$J$9:$J$1008,MATCH(F183,MESSAGES!$M$9:$M$1008,0))&amp;"",""),"")</f>
        <v/>
      </c>
      <c r="AT183" s="28" t="str">
        <f>IF(L183=1,IFERROR(INDEX(MESSAGES!$K$9:$K$1008,MATCH(F183,MESSAGES!$M$9:$M$1008,0))&amp;"",""),"")</f>
        <v/>
      </c>
      <c r="AU183" s="28">
        <f t="shared" ca="1" si="31"/>
        <v>0</v>
      </c>
      <c r="AV183" s="28" t="str">
        <f t="shared" si="32"/>
        <v>SEND</v>
      </c>
    </row>
    <row r="184" spans="1:48" x14ac:dyDescent="0.35">
      <c r="A184" s="28">
        <v>183</v>
      </c>
      <c r="B184" s="28" t="str">
        <f>IF(INPUT!A184="","",TRIM(INPUT!A184))</f>
        <v>Partner 001</v>
      </c>
      <c r="C184" s="28" t="str">
        <f>IF(B184="","",INPUT!C184)</f>
        <v>interviewer0@partner001.example.com</v>
      </c>
      <c r="D184" s="28" t="str">
        <f>IF(B184="","",INPUT!D184)</f>
        <v>Kavya K.</v>
      </c>
      <c r="E184" s="28" t="str">
        <f>IF(B184="","",INPUT!E184)</f>
        <v>kavya.k299@example.com</v>
      </c>
      <c r="F184" s="43" t="str">
        <f>IF(B184="","",TRIM(INPUT!F184&amp;""))</f>
        <v>9000003894</v>
      </c>
      <c r="G184" s="28" t="str">
        <f>IF(B184="","",INPUT!H184)</f>
        <v>Round1</v>
      </c>
      <c r="H184" s="46">
        <f>IF(B184="","",INPUT!I184)</f>
        <v>46308.82708333333</v>
      </c>
      <c r="I184" s="28" t="str">
        <f>IF(B184="","",IF(INPUT!J184="","None",INPUT!J184))</f>
        <v>None</v>
      </c>
      <c r="J184" s="28" t="str">
        <f t="shared" si="22"/>
        <v>kavya.k299@example.com|partner 001|Round1|interviewer0@partner001.example.com</v>
      </c>
      <c r="K184" s="28" t="str">
        <f>IF(B184="","",IF(SUMPRODUCT(($J$2:$J$601=J184)*($H$2:$H$601&lt;H184))+SUMPRODUCT(($J$2:J184=J184)*($H$2:H184=H184))-1&gt;0,"DUPLICATE",IF(AND(ISNUMBER(SEARCH("@",E184)),ISNUMBER(SEARCH(".",E184)),LEN(F184)=10,ISNUMBER(VALUE(F184))),"OK","BAD CONTACT")))</f>
        <v>OK</v>
      </c>
      <c r="L184" s="28">
        <f t="shared" si="23"/>
        <v>1</v>
      </c>
      <c r="M184" s="28">
        <f>IF(L184=1,IF(COUNTIFS(LOG!$C$2:$C$2001,F184,LOG!$E$2:$E$2001,B184,LOG!$D$2:$D$2001,"*BOOKED")+COUNTIFS(LOG!$C$2:$C$2001,F184,LOG!$E$2:$E$2001,"",LOG!$D$2:$D$2001,"*BOOKED")&gt;0,1,0),0)</f>
        <v>0</v>
      </c>
      <c r="N184" s="28">
        <f>IF(L184=1,IF(COUNTIFS(LOG!$C$2:$C$2001,F184,LOG!$E$2:$E$2001,B184,LOG!$D$2:$D$2001,"NOT_INTERESTED")+COUNTIFS(LOG!$C$2:$C$2001,F184,LOG!$E$2:$E$2001,"",LOG!$D$2:$D$2001,"NOT_INTERESTED")&gt;0,1,0),0)</f>
        <v>0</v>
      </c>
      <c r="O184" s="28">
        <f>IF(L184=1,IF(COUNTIFS(LOG!$C$2:$C$2001,F184,LOG!$D$2:$D$2001,"STOP")+COUNTIFS(LOG!$C$2:$C$2001,F184,LOG!$D$2:$D$2001,"WRONG_NUMBER")&gt;0,1,IF(ISNUMBER(SEARCH("STOP",AT184)),1,0)),0)</f>
        <v>0</v>
      </c>
      <c r="P184" s="28">
        <f>IF(L184=1,IF(IFERROR(INDEX(PARTNERS!$D$2:$D$88,MATCH(B184,PARTNERS!$A$2:$A$88,0)),"")="NO SLOTS",1,IF(AND(IFERROR(INDEX(PARTNERS!$D$2:$D$88,MATCH(B184,PARTNERS!$A$2:$A$88,0)),"")&lt;&gt;"REOPENED",COUNTIFS(LOG!$E$2:$E$2001,B184,LOG!$D$2:$D$2001,"NO_SLOTS")&gt;0),1,0)),0)</f>
        <v>0</v>
      </c>
      <c r="Q184" s="28">
        <f>IF(L184=1,COUNTIFS(LOG!$C$2:$C$2001,F184,LOG!$H$2:$H$2001,1),0)</f>
        <v>0</v>
      </c>
      <c r="R184" s="46">
        <f>IF(Q184&gt;0,_xlfn.MAXIFS(LOG!$G$2:$G$2001,LOG!$C$2:$C$2001,F184,LOG!$H$2:$H$2001,1),0)</f>
        <v>0</v>
      </c>
      <c r="S184" s="28" t="str">
        <f>IF(Q184&gt;0,IFERROR(INDEX(LOG!$D$2:$D$2001,MATCH(F184&amp;"|"&amp;Q184,LOG!$I$2:$I$2001,0)),""),"")</f>
        <v/>
      </c>
      <c r="T184" s="28">
        <f>IF(S184="",0,IFERROR(VLOOKUP(S184,LISTS!$A$2:$E$10,4,FALSE),0))</f>
        <v>0</v>
      </c>
      <c r="U184" s="46">
        <f t="shared" si="24"/>
        <v>0</v>
      </c>
      <c r="V184" s="46">
        <f>IF(L184=1,H184+SETTINGS!$B$5/24,"")</f>
        <v>46309.82708333333</v>
      </c>
      <c r="W184" s="28">
        <f ca="1">IF(L184=1,(V184-SETTINGS!$B$4)*24,"")</f>
        <v>-1.6666666720993817E-2</v>
      </c>
      <c r="X184" s="28">
        <f ca="1">IF(AND(L184=1,K184="OK",M184=0,N184=0,O184=0,P184=0,SETTINGS!$B$4&lt;V184,Q184&lt;SETTINGS!$B$6),1,0)</f>
        <v>0</v>
      </c>
      <c r="Y184" s="28">
        <f ca="1">IF(AND(X184=1,SETTINGS!$B$4&gt;=H184,SETTINGS!$B$4&gt;=U184,ROUND(MOD(SETTINGS!$B$4,1)*1440,0)&gt;=ROUND(SETTINGS!$B$7*1440,0),ROUND(MOD(SETTINGS!$B$4,1)*1440,0)&lt;ROUND(SETTINGS!$B$8*1440,0)),1,0)</f>
        <v>0</v>
      </c>
      <c r="Z184" s="28" t="str">
        <f ca="1">IF(B184="","",IF(ROUND(MOD(SETTINGS!$B$4,1)*1440,0)&lt;ROUND(SETTINGS!$B$11*1440,0),"Ram",IF(ROUND(MOD(SETTINGS!$B$4,1)*1440,0)&gt;=ROUND(SETTINGS!$B$10*1440,0),"Shyam",IF(MOD(IFERROR(VALUE(RIGHT(F184,2)),0),2)=0,"Ram","Shyam"))))</f>
        <v>Shyam</v>
      </c>
      <c r="AA184" s="28">
        <f t="shared" ca="1" si="25"/>
        <v>0</v>
      </c>
      <c r="AB184" s="28">
        <f ca="1">IF(X184=1,COUNTIFS($F$2:F184,F184,$X$2:X184,1),0)</f>
        <v>0</v>
      </c>
      <c r="AC184" s="28" t="str">
        <f>IF(L184=1,IF(IFERROR(INDEX(PARTNERS!$C$2:$C$88,MATCH(B184,PARTNERS!$A$2:$A$88,0)),"")="YES","YES","NO"),"")</f>
        <v>NO</v>
      </c>
      <c r="AD184" s="28" t="str">
        <f>IF(L184=1,IFERROR(INDEX(PARTNERS!$B$2:$B$88,MATCH(B184,PARTNERS!$A$2:$A$88,0)),""),"")</f>
        <v>https://calendly.com/partner001/interview</v>
      </c>
      <c r="AE184" s="28">
        <f ca="1">IF(X184=1,IFERROR(INDEX(SETTINGS!$B$34:$D$36,MATCH(I184,SETTINGS!$A$34:$A$36,0),MIN(Q184,2)+1),SETTINGS!$B$36),0)</f>
        <v>0</v>
      </c>
      <c r="AF184" s="28">
        <f t="shared" si="26"/>
        <v>1</v>
      </c>
      <c r="AG184" s="28">
        <f ca="1">IF(AND(Y184=1,AB184=1),ROUND(AA184*AE184*IF(AF184&gt;1,SETTINGS!$B$16,1)*IF(W184&lt;=SETTINGS!$B$14,SETTINGS!$B$15,1)*IF(AU184=1,SETTINGS!$B$21,1),6),0)</f>
        <v>0</v>
      </c>
      <c r="AH184" s="28" t="str">
        <f ca="1">IF(AG184&gt;0,COUNTIFS($Z$2:$Z$601,Z184,$AG$2:$AG$601,"&gt;"&amp;AG184)+COUNTIFS($Z$2:Z184,Z184,$AG$2:AG184,AG184),"")</f>
        <v/>
      </c>
      <c r="AI184" s="28" t="str">
        <f t="shared" ca="1" si="27"/>
        <v/>
      </c>
      <c r="AJ184" s="28" t="str">
        <f t="shared" ca="1" si="28"/>
        <v/>
      </c>
      <c r="AK184" s="28">
        <f>IF(L184=1,IF(COUNTIFS($F$2:F184,F184,$L$2:L184,1)=1,1,0),0)</f>
        <v>1</v>
      </c>
      <c r="AL184" s="28" t="str">
        <f ca="1">IF(B184="","",IF(K184="DUPLICATE","Duplicate (removed)",IF(AO184=1,"Scheduled within 24h",IF(M184=1,"Scheduled late",IF(K184="BAD CONTACT","Bad contact details",IF(O184=1,"Stopped / wrong number",IF(N184=1,"Not interested",IF(P184=1,"Partner has no slots",IF(SETTINGS!$B$4&gt;=V184,IF(Q184=0,"Missed deadline: never tried","Missed deadline: tried, not booked"),IF(Q184&gt;=SETTINGS!$B$6,"No reply after max tries","Open"))))))))))</f>
        <v>Missed deadline: never tried</v>
      </c>
      <c r="AM184" s="46" t="str">
        <f>IF(M184=1,IF(_xlfn.MINIFS(LOG!$G$2:$G$2001,LOG!$C$2:$C$2001,F184,LOG!$E$2:$E$2001,B184,LOG!$D$2:$D$2001,"*BOOKED")=0,_xlfn.MINIFS(LOG!$G$2:$G$2001,LOG!$C$2:$C$2001,F184,LOG!$E$2:$E$2001,"",LOG!$D$2:$D$2001,"*BOOKED"),IF(_xlfn.MINIFS(LOG!$G$2:$G$2001,LOG!$C$2:$C$2001,F184,LOG!$E$2:$E$2001,"",LOG!$D$2:$D$2001,"*BOOKED")=0,_xlfn.MINIFS(LOG!$G$2:$G$2001,LOG!$C$2:$C$2001,F184,LOG!$E$2:$E$2001,B184,LOG!$D$2:$D$2001,"*BOOKED"),MIN(_xlfn.MINIFS(LOG!$G$2:$G$2001,LOG!$C$2:$C$2001,F184,LOG!$E$2:$E$2001,B184,LOG!$D$2:$D$2001,"*BOOKED"),_xlfn.MINIFS(LOG!$G$2:$G$2001,LOG!$C$2:$C$2001,F184,LOG!$E$2:$E$2001,"",LOG!$D$2:$D$2001,"*BOOKED")))),"")</f>
        <v/>
      </c>
      <c r="AN184" s="28" t="str">
        <f t="shared" si="29"/>
        <v/>
      </c>
      <c r="AO184" s="28">
        <f>IF(AND(M184=1,AN184&lt;&gt;""),IF(AN184&lt;=SETTINGS!$B$5,1,0),0)</f>
        <v>0</v>
      </c>
      <c r="AP184" s="28">
        <f>IF(M184=1,IF(COUNTIFS(LOG!$C$2:$C$2001,F184,LOG!$E$2:$E$2001,B184,LOG!$D$2:$D$2001,"BOOKED")+COUNTIFS(LOG!$C$2:$C$2001,F184,LOG!$E$2:$E$2001,"",LOG!$D$2:$D$2001,"BOOKED")&gt;0,1,0),0)</f>
        <v>0</v>
      </c>
      <c r="AQ184" s="28" t="str">
        <f t="shared" si="30"/>
        <v>Kavya</v>
      </c>
      <c r="AR184" s="28">
        <f>IF(AND(AK184=1,K184="OK"),COUNTIFS($AK$2:AK184,1,$K$2:K184,"OK"),"")</f>
        <v>165</v>
      </c>
      <c r="AS184" s="28" t="str">
        <f>IF(L184=1,IFERROR(INDEX(MESSAGES!$J$9:$J$1008,MATCH(F184,MESSAGES!$M$9:$M$1008,0))&amp;"",""),"")</f>
        <v/>
      </c>
      <c r="AT184" s="28" t="str">
        <f>IF(L184=1,IFERROR(INDEX(MESSAGES!$K$9:$K$1008,MATCH(F184,MESSAGES!$M$9:$M$1008,0))&amp;"",""),"")</f>
        <v/>
      </c>
      <c r="AU184" s="28">
        <f t="shared" ca="1" si="31"/>
        <v>0</v>
      </c>
      <c r="AV184" s="28" t="str">
        <f t="shared" si="32"/>
        <v>HOLD</v>
      </c>
    </row>
    <row r="185" spans="1:48" x14ac:dyDescent="0.35">
      <c r="A185" s="28">
        <v>184</v>
      </c>
      <c r="B185" s="28" t="str">
        <f>IF(INPUT!A185="","",TRIM(INPUT!A185))</f>
        <v>Partner 029</v>
      </c>
      <c r="C185" s="28" t="str">
        <f>IF(B185="","",INPUT!C185)</f>
        <v>interviewer2@partner029.example.com</v>
      </c>
      <c r="D185" s="28" t="str">
        <f>IF(B185="","",INPUT!D185)</f>
        <v>Manav J.</v>
      </c>
      <c r="E185" s="28" t="str">
        <f>IF(B185="","",INPUT!E185)</f>
        <v>manav.j264@example.com</v>
      </c>
      <c r="F185" s="43" t="str">
        <f>IF(B185="","",TRIM(INPUT!F185&amp;""))</f>
        <v>9000003439</v>
      </c>
      <c r="G185" s="28" t="str">
        <f>IF(B185="","",INPUT!H185)</f>
        <v>Round1</v>
      </c>
      <c r="H185" s="46">
        <f>IF(B185="","",INPUT!I185)</f>
        <v>46308.82708333333</v>
      </c>
      <c r="I185" s="28" t="str">
        <f>IF(B185="","",IF(INPUT!J185="","None",INPUT!J185))</f>
        <v>None</v>
      </c>
      <c r="J185" s="28" t="str">
        <f t="shared" si="22"/>
        <v>manav.j264@example.com|partner 029|Round1|interviewer2@partner029.example.com</v>
      </c>
      <c r="K185" s="28" t="str">
        <f>IF(B185="","",IF(SUMPRODUCT(($J$2:$J$601=J185)*($H$2:$H$601&lt;H185))+SUMPRODUCT(($J$2:J185=J185)*($H$2:H185=H185))-1&gt;0,"DUPLICATE",IF(AND(ISNUMBER(SEARCH("@",E185)),ISNUMBER(SEARCH(".",E185)),LEN(F185)=10,ISNUMBER(VALUE(F185))),"OK","BAD CONTACT")))</f>
        <v>OK</v>
      </c>
      <c r="L185" s="28">
        <f t="shared" si="23"/>
        <v>1</v>
      </c>
      <c r="M185" s="28">
        <f>IF(L185=1,IF(COUNTIFS(LOG!$C$2:$C$2001,F185,LOG!$E$2:$E$2001,B185,LOG!$D$2:$D$2001,"*BOOKED")+COUNTIFS(LOG!$C$2:$C$2001,F185,LOG!$E$2:$E$2001,"",LOG!$D$2:$D$2001,"*BOOKED")&gt;0,1,0),0)</f>
        <v>0</v>
      </c>
      <c r="N185" s="28">
        <f>IF(L185=1,IF(COUNTIFS(LOG!$C$2:$C$2001,F185,LOG!$E$2:$E$2001,B185,LOG!$D$2:$D$2001,"NOT_INTERESTED")+COUNTIFS(LOG!$C$2:$C$2001,F185,LOG!$E$2:$E$2001,"",LOG!$D$2:$D$2001,"NOT_INTERESTED")&gt;0,1,0),0)</f>
        <v>0</v>
      </c>
      <c r="O185" s="28">
        <f>IF(L185=1,IF(COUNTIFS(LOG!$C$2:$C$2001,F185,LOG!$D$2:$D$2001,"STOP")+COUNTIFS(LOG!$C$2:$C$2001,F185,LOG!$D$2:$D$2001,"WRONG_NUMBER")&gt;0,1,IF(ISNUMBER(SEARCH("STOP",AT185)),1,0)),0)</f>
        <v>0</v>
      </c>
      <c r="P185" s="28">
        <f>IF(L185=1,IF(IFERROR(INDEX(PARTNERS!$D$2:$D$88,MATCH(B185,PARTNERS!$A$2:$A$88,0)),"")="NO SLOTS",1,IF(AND(IFERROR(INDEX(PARTNERS!$D$2:$D$88,MATCH(B185,PARTNERS!$A$2:$A$88,0)),"")&lt;&gt;"REOPENED",COUNTIFS(LOG!$E$2:$E$2001,B185,LOG!$D$2:$D$2001,"NO_SLOTS")&gt;0),1,0)),0)</f>
        <v>0</v>
      </c>
      <c r="Q185" s="28">
        <f>IF(L185=1,COUNTIFS(LOG!$C$2:$C$2001,F185,LOG!$H$2:$H$2001,1),0)</f>
        <v>0</v>
      </c>
      <c r="R185" s="46">
        <f>IF(Q185&gt;0,_xlfn.MAXIFS(LOG!$G$2:$G$2001,LOG!$C$2:$C$2001,F185,LOG!$H$2:$H$2001,1),0)</f>
        <v>0</v>
      </c>
      <c r="S185" s="28" t="str">
        <f>IF(Q185&gt;0,IFERROR(INDEX(LOG!$D$2:$D$2001,MATCH(F185&amp;"|"&amp;Q185,LOG!$I$2:$I$2001,0)),""),"")</f>
        <v/>
      </c>
      <c r="T185" s="28">
        <f>IF(S185="",0,IFERROR(VLOOKUP(S185,LISTS!$A$2:$E$10,4,FALSE),0))</f>
        <v>0</v>
      </c>
      <c r="U185" s="46">
        <f t="shared" si="24"/>
        <v>0</v>
      </c>
      <c r="V185" s="46">
        <f>IF(L185=1,H185+SETTINGS!$B$5/24,"")</f>
        <v>46309.82708333333</v>
      </c>
      <c r="W185" s="28">
        <f ca="1">IF(L185=1,(V185-SETTINGS!$B$4)*24,"")</f>
        <v>-1.6666666720993817E-2</v>
      </c>
      <c r="X185" s="28">
        <f ca="1">IF(AND(L185=1,K185="OK",M185=0,N185=0,O185=0,P185=0,SETTINGS!$B$4&lt;V185,Q185&lt;SETTINGS!$B$6),1,0)</f>
        <v>0</v>
      </c>
      <c r="Y185" s="28">
        <f ca="1">IF(AND(X185=1,SETTINGS!$B$4&gt;=H185,SETTINGS!$B$4&gt;=U185,ROUND(MOD(SETTINGS!$B$4,1)*1440,0)&gt;=ROUND(SETTINGS!$B$7*1440,0),ROUND(MOD(SETTINGS!$B$4,1)*1440,0)&lt;ROUND(SETTINGS!$B$8*1440,0)),1,0)</f>
        <v>0</v>
      </c>
      <c r="Z185" s="28" t="str">
        <f ca="1">IF(B185="","",IF(ROUND(MOD(SETTINGS!$B$4,1)*1440,0)&lt;ROUND(SETTINGS!$B$11*1440,0),"Ram",IF(ROUND(MOD(SETTINGS!$B$4,1)*1440,0)&gt;=ROUND(SETTINGS!$B$10*1440,0),"Shyam",IF(MOD(IFERROR(VALUE(RIGHT(F185,2)),0),2)=0,"Ram","Shyam"))))</f>
        <v>Shyam</v>
      </c>
      <c r="AA185" s="28">
        <f t="shared" ca="1" si="25"/>
        <v>0</v>
      </c>
      <c r="AB185" s="28">
        <f ca="1">IF(X185=1,COUNTIFS($F$2:F185,F185,$X$2:X185,1),0)</f>
        <v>0</v>
      </c>
      <c r="AC185" s="28" t="str">
        <f>IF(L185=1,IF(IFERROR(INDEX(PARTNERS!$C$2:$C$88,MATCH(B185,PARTNERS!$A$2:$A$88,0)),"")="YES","YES","NO"),"")</f>
        <v>YES</v>
      </c>
      <c r="AD185" s="28" t="str">
        <f>IF(L185=1,IFERROR(INDEX(PARTNERS!$B$2:$B$88,MATCH(B185,PARTNERS!$A$2:$A$88,0)),""),"")</f>
        <v>https://calendly.com/partner029/interview</v>
      </c>
      <c r="AE185" s="28">
        <f ca="1">IF(X185=1,IFERROR(INDEX(SETTINGS!$B$34:$D$36,MATCH(I185,SETTINGS!$A$34:$A$36,0),MIN(Q185,2)+1),SETTINGS!$B$36),0)</f>
        <v>0</v>
      </c>
      <c r="AF185" s="28">
        <f t="shared" si="26"/>
        <v>1</v>
      </c>
      <c r="AG185" s="28">
        <f ca="1">IF(AND(Y185=1,AB185=1),ROUND(AA185*AE185*IF(AF185&gt;1,SETTINGS!$B$16,1)*IF(W185&lt;=SETTINGS!$B$14,SETTINGS!$B$15,1)*IF(AU185=1,SETTINGS!$B$21,1),6),0)</f>
        <v>0</v>
      </c>
      <c r="AH185" s="28" t="str">
        <f ca="1">IF(AG185&gt;0,COUNTIFS($Z$2:$Z$601,Z185,$AG$2:$AG$601,"&gt;"&amp;AG185)+COUNTIFS($Z$2:Z185,Z185,$AG$2:AG185,AG185),"")</f>
        <v/>
      </c>
      <c r="AI185" s="28" t="str">
        <f t="shared" ca="1" si="27"/>
        <v/>
      </c>
      <c r="AJ185" s="28" t="str">
        <f t="shared" ca="1" si="28"/>
        <v/>
      </c>
      <c r="AK185" s="28">
        <f>IF(L185=1,IF(COUNTIFS($F$2:F185,F185,$L$2:L185,1)=1,1,0),0)</f>
        <v>1</v>
      </c>
      <c r="AL185" s="28" t="str">
        <f ca="1">IF(B185="","",IF(K185="DUPLICATE","Duplicate (removed)",IF(AO185=1,"Scheduled within 24h",IF(M185=1,"Scheduled late",IF(K185="BAD CONTACT","Bad contact details",IF(O185=1,"Stopped / wrong number",IF(N185=1,"Not interested",IF(P185=1,"Partner has no slots",IF(SETTINGS!$B$4&gt;=V185,IF(Q185=0,"Missed deadline: never tried","Missed deadline: tried, not booked"),IF(Q185&gt;=SETTINGS!$B$6,"No reply after max tries","Open"))))))))))</f>
        <v>Missed deadline: never tried</v>
      </c>
      <c r="AM185" s="46" t="str">
        <f>IF(M185=1,IF(_xlfn.MINIFS(LOG!$G$2:$G$2001,LOG!$C$2:$C$2001,F185,LOG!$E$2:$E$2001,B185,LOG!$D$2:$D$2001,"*BOOKED")=0,_xlfn.MINIFS(LOG!$G$2:$G$2001,LOG!$C$2:$C$2001,F185,LOG!$E$2:$E$2001,"",LOG!$D$2:$D$2001,"*BOOKED"),IF(_xlfn.MINIFS(LOG!$G$2:$G$2001,LOG!$C$2:$C$2001,F185,LOG!$E$2:$E$2001,"",LOG!$D$2:$D$2001,"*BOOKED")=0,_xlfn.MINIFS(LOG!$G$2:$G$2001,LOG!$C$2:$C$2001,F185,LOG!$E$2:$E$2001,B185,LOG!$D$2:$D$2001,"*BOOKED"),MIN(_xlfn.MINIFS(LOG!$G$2:$G$2001,LOG!$C$2:$C$2001,F185,LOG!$E$2:$E$2001,B185,LOG!$D$2:$D$2001,"*BOOKED"),_xlfn.MINIFS(LOG!$G$2:$G$2001,LOG!$C$2:$C$2001,F185,LOG!$E$2:$E$2001,"",LOG!$D$2:$D$2001,"*BOOKED")))),"")</f>
        <v/>
      </c>
      <c r="AN185" s="28" t="str">
        <f t="shared" si="29"/>
        <v/>
      </c>
      <c r="AO185" s="28">
        <f>IF(AND(M185=1,AN185&lt;&gt;""),IF(AN185&lt;=SETTINGS!$B$5,1,0),0)</f>
        <v>0</v>
      </c>
      <c r="AP185" s="28">
        <f>IF(M185=1,IF(COUNTIFS(LOG!$C$2:$C$2001,F185,LOG!$E$2:$E$2001,B185,LOG!$D$2:$D$2001,"BOOKED")+COUNTIFS(LOG!$C$2:$C$2001,F185,LOG!$E$2:$E$2001,"",LOG!$D$2:$D$2001,"BOOKED")&gt;0,1,0),0)</f>
        <v>0</v>
      </c>
      <c r="AQ185" s="28" t="str">
        <f t="shared" si="30"/>
        <v>Manav</v>
      </c>
      <c r="AR185" s="28">
        <f>IF(AND(AK185=1,K185="OK"),COUNTIFS($AK$2:AK185,1,$K$2:K185,"OK"),"")</f>
        <v>166</v>
      </c>
      <c r="AS185" s="28" t="str">
        <f>IF(L185=1,IFERROR(INDEX(MESSAGES!$J$9:$J$1008,MATCH(F185,MESSAGES!$M$9:$M$1008,0))&amp;"",""),"")</f>
        <v/>
      </c>
      <c r="AT185" s="28" t="str">
        <f>IF(L185=1,IFERROR(INDEX(MESSAGES!$K$9:$K$1008,MATCH(F185,MESSAGES!$M$9:$M$1008,0))&amp;"",""),"")</f>
        <v/>
      </c>
      <c r="AU185" s="28">
        <f t="shared" ca="1" si="31"/>
        <v>0</v>
      </c>
      <c r="AV185" s="28" t="str">
        <f t="shared" si="32"/>
        <v>HOLD</v>
      </c>
    </row>
    <row r="186" spans="1:48" x14ac:dyDescent="0.35">
      <c r="A186" s="28">
        <v>185</v>
      </c>
      <c r="B186" s="28" t="str">
        <f>IF(INPUT!A186="","",TRIM(INPUT!A186))</f>
        <v>Partner 013</v>
      </c>
      <c r="C186" s="28" t="str">
        <f>IF(B186="","",INPUT!C186)</f>
        <v>interviewer2@partner013.example.com</v>
      </c>
      <c r="D186" s="28" t="str">
        <f>IF(B186="","",INPUT!D186)</f>
        <v>Navya E.</v>
      </c>
      <c r="E186" s="28" t="str">
        <f>IF(B186="","",INPUT!E186)</f>
        <v>navya.e133@example.com</v>
      </c>
      <c r="F186" s="43" t="str">
        <f>IF(B186="","",TRIM(INPUT!F186&amp;""))</f>
        <v>9000001736</v>
      </c>
      <c r="G186" s="28" t="str">
        <f>IF(B186="","",INPUT!H186)</f>
        <v>Round1</v>
      </c>
      <c r="H186" s="46">
        <f>IF(B186="","",INPUT!I186)</f>
        <v>46308.82708333333</v>
      </c>
      <c r="I186" s="28" t="str">
        <f>IF(B186="","",IF(INPUT!J186="","None",INPUT!J186))</f>
        <v>Clicked</v>
      </c>
      <c r="J186" s="28" t="str">
        <f t="shared" si="22"/>
        <v>navya.e133@example.com|partner 013|Round1|interviewer2@partner013.example.com</v>
      </c>
      <c r="K186" s="28" t="str">
        <f>IF(B186="","",IF(SUMPRODUCT(($J$2:$J$601=J186)*($H$2:$H$601&lt;H186))+SUMPRODUCT(($J$2:J186=J186)*($H$2:H186=H186))-1&gt;0,"DUPLICATE",IF(AND(ISNUMBER(SEARCH("@",E186)),ISNUMBER(SEARCH(".",E186)),LEN(F186)=10,ISNUMBER(VALUE(F186))),"OK","BAD CONTACT")))</f>
        <v>OK</v>
      </c>
      <c r="L186" s="28">
        <f t="shared" si="23"/>
        <v>1</v>
      </c>
      <c r="M186" s="28">
        <f>IF(L186=1,IF(COUNTIFS(LOG!$C$2:$C$2001,F186,LOG!$E$2:$E$2001,B186,LOG!$D$2:$D$2001,"*BOOKED")+COUNTIFS(LOG!$C$2:$C$2001,F186,LOG!$E$2:$E$2001,"",LOG!$D$2:$D$2001,"*BOOKED")&gt;0,1,0),0)</f>
        <v>1</v>
      </c>
      <c r="N186" s="28">
        <f>IF(L186=1,IF(COUNTIFS(LOG!$C$2:$C$2001,F186,LOG!$E$2:$E$2001,B186,LOG!$D$2:$D$2001,"NOT_INTERESTED")+COUNTIFS(LOG!$C$2:$C$2001,F186,LOG!$E$2:$E$2001,"",LOG!$D$2:$D$2001,"NOT_INTERESTED")&gt;0,1,0),0)</f>
        <v>0</v>
      </c>
      <c r="O186" s="28">
        <f>IF(L186=1,IF(COUNTIFS(LOG!$C$2:$C$2001,F186,LOG!$D$2:$D$2001,"STOP")+COUNTIFS(LOG!$C$2:$C$2001,F186,LOG!$D$2:$D$2001,"WRONG_NUMBER")&gt;0,1,IF(ISNUMBER(SEARCH("STOP",AT186)),1,0)),0)</f>
        <v>0</v>
      </c>
      <c r="P186" s="28">
        <f>IF(L186=1,IF(IFERROR(INDEX(PARTNERS!$D$2:$D$88,MATCH(B186,PARTNERS!$A$2:$A$88,0)),"")="NO SLOTS",1,IF(AND(IFERROR(INDEX(PARTNERS!$D$2:$D$88,MATCH(B186,PARTNERS!$A$2:$A$88,0)),"")&lt;&gt;"REOPENED",COUNTIFS(LOG!$E$2:$E$2001,B186,LOG!$D$2:$D$2001,"NO_SLOTS")&gt;0),1,0)),0)</f>
        <v>0</v>
      </c>
      <c r="Q186" s="28">
        <f>IF(L186=1,COUNTIFS(LOG!$C$2:$C$2001,F186,LOG!$H$2:$H$2001,1),0)</f>
        <v>0</v>
      </c>
      <c r="R186" s="46">
        <f>IF(Q186&gt;0,_xlfn.MAXIFS(LOG!$G$2:$G$2001,LOG!$C$2:$C$2001,F186,LOG!$H$2:$H$2001,1),0)</f>
        <v>0</v>
      </c>
      <c r="S186" s="28" t="str">
        <f>IF(Q186&gt;0,IFERROR(INDEX(LOG!$D$2:$D$2001,MATCH(F186&amp;"|"&amp;Q186,LOG!$I$2:$I$2001,0)),""),"")</f>
        <v/>
      </c>
      <c r="T186" s="28">
        <f>IF(S186="",0,IFERROR(VLOOKUP(S186,LISTS!$A$2:$E$10,4,FALSE),0))</f>
        <v>0</v>
      </c>
      <c r="U186" s="46">
        <f t="shared" si="24"/>
        <v>0</v>
      </c>
      <c r="V186" s="46">
        <f>IF(L186=1,H186+SETTINGS!$B$5/24,"")</f>
        <v>46309.82708333333</v>
      </c>
      <c r="W186" s="28">
        <f ca="1">IF(L186=1,(V186-SETTINGS!$B$4)*24,"")</f>
        <v>-1.6666666720993817E-2</v>
      </c>
      <c r="X186" s="28">
        <f ca="1">IF(AND(L186=1,K186="OK",M186=0,N186=0,O186=0,P186=0,SETTINGS!$B$4&lt;V186,Q186&lt;SETTINGS!$B$6),1,0)</f>
        <v>0</v>
      </c>
      <c r="Y186" s="28">
        <f ca="1">IF(AND(X186=1,SETTINGS!$B$4&gt;=H186,SETTINGS!$B$4&gt;=U186,ROUND(MOD(SETTINGS!$B$4,1)*1440,0)&gt;=ROUND(SETTINGS!$B$7*1440,0),ROUND(MOD(SETTINGS!$B$4,1)*1440,0)&lt;ROUND(SETTINGS!$B$8*1440,0)),1,0)</f>
        <v>0</v>
      </c>
      <c r="Z186" s="28" t="str">
        <f ca="1">IF(B186="","",IF(ROUND(MOD(SETTINGS!$B$4,1)*1440,0)&lt;ROUND(SETTINGS!$B$11*1440,0),"Ram",IF(ROUND(MOD(SETTINGS!$B$4,1)*1440,0)&gt;=ROUND(SETTINGS!$B$10*1440,0),"Shyam",IF(MOD(IFERROR(VALUE(RIGHT(F186,2)),0),2)=0,"Ram","Shyam"))))</f>
        <v>Shyam</v>
      </c>
      <c r="AA186" s="28">
        <f t="shared" ca="1" si="25"/>
        <v>0</v>
      </c>
      <c r="AB186" s="28">
        <f ca="1">IF(X186=1,COUNTIFS($F$2:F186,F186,$X$2:X186,1),0)</f>
        <v>0</v>
      </c>
      <c r="AC186" s="28" t="str">
        <f>IF(L186=1,IF(IFERROR(INDEX(PARTNERS!$C$2:$C$88,MATCH(B186,PARTNERS!$A$2:$A$88,0)),"")="YES","YES","NO"),"")</f>
        <v>YES</v>
      </c>
      <c r="AD186" s="28" t="str">
        <f>IF(L186=1,IFERROR(INDEX(PARTNERS!$B$2:$B$88,MATCH(B186,PARTNERS!$A$2:$A$88,0)),""),"")</f>
        <v>https://calendly.com/partner013/interview</v>
      </c>
      <c r="AE186" s="28">
        <f ca="1">IF(X186=1,IFERROR(INDEX(SETTINGS!$B$34:$D$36,MATCH(I186,SETTINGS!$A$34:$A$36,0),MIN(Q186,2)+1),SETTINGS!$B$36),0)</f>
        <v>0</v>
      </c>
      <c r="AF186" s="28">
        <f t="shared" si="26"/>
        <v>1</v>
      </c>
      <c r="AG186" s="28">
        <f ca="1">IF(AND(Y186=1,AB186=1),ROUND(AA186*AE186*IF(AF186&gt;1,SETTINGS!$B$16,1)*IF(W186&lt;=SETTINGS!$B$14,SETTINGS!$B$15,1)*IF(AU186=1,SETTINGS!$B$21,1),6),0)</f>
        <v>0</v>
      </c>
      <c r="AH186" s="28" t="str">
        <f ca="1">IF(AG186&gt;0,COUNTIFS($Z$2:$Z$601,Z186,$AG$2:$AG$601,"&gt;"&amp;AG186)+COUNTIFS($Z$2:Z186,Z186,$AG$2:AG186,AG186),"")</f>
        <v/>
      </c>
      <c r="AI186" s="28" t="str">
        <f t="shared" ca="1" si="27"/>
        <v/>
      </c>
      <c r="AJ186" s="28" t="str">
        <f t="shared" ca="1" si="28"/>
        <v/>
      </c>
      <c r="AK186" s="28">
        <f>IF(L186=1,IF(COUNTIFS($F$2:F186,F186,$L$2:L186,1)=1,1,0),0)</f>
        <v>1</v>
      </c>
      <c r="AL186" s="28" t="str">
        <f>IF(B186="","",IF(K186="DUPLICATE","Duplicate (removed)",IF(AO186=1,"Scheduled within 24h",IF(M186=1,"Scheduled late",IF(K186="BAD CONTACT","Bad contact details",IF(O186=1,"Stopped / wrong number",IF(N186=1,"Not interested",IF(P186=1,"Partner has no slots",IF(SETTINGS!$B$4&gt;=V186,IF(Q186=0,"Missed deadline: never tried","Missed deadline: tried, not booked"),IF(Q186&gt;=SETTINGS!$B$6,"No reply after max tries","Open"))))))))))</f>
        <v>Scheduled within 24h</v>
      </c>
      <c r="AM186" s="46">
        <f>IF(M186=1,IF(_xlfn.MINIFS(LOG!$G$2:$G$2001,LOG!$C$2:$C$2001,F186,LOG!$E$2:$E$2001,B186,LOG!$D$2:$D$2001,"*BOOKED")=0,_xlfn.MINIFS(LOG!$G$2:$G$2001,LOG!$C$2:$C$2001,F186,LOG!$E$2:$E$2001,"",LOG!$D$2:$D$2001,"*BOOKED"),IF(_xlfn.MINIFS(LOG!$G$2:$G$2001,LOG!$C$2:$C$2001,F186,LOG!$E$2:$E$2001,"",LOG!$D$2:$D$2001,"*BOOKED")=0,_xlfn.MINIFS(LOG!$G$2:$G$2001,LOG!$C$2:$C$2001,F186,LOG!$E$2:$E$2001,B186,LOG!$D$2:$D$2001,"*BOOKED"),MIN(_xlfn.MINIFS(LOG!$G$2:$G$2001,LOG!$C$2:$C$2001,F186,LOG!$E$2:$E$2001,B186,LOG!$D$2:$D$2001,"*BOOKED"),_xlfn.MINIFS(LOG!$G$2:$G$2001,LOG!$C$2:$C$2001,F186,LOG!$E$2:$E$2001,"",LOG!$D$2:$D$2001,"*BOOKED")))),"")</f>
        <v>46309.368572616877</v>
      </c>
      <c r="AN186" s="28">
        <f t="shared" si="29"/>
        <v>12.99574280512752</v>
      </c>
      <c r="AO186" s="28">
        <f>IF(AND(M186=1,AN186&lt;&gt;""),IF(AN186&lt;=SETTINGS!$B$5,1,0),0)</f>
        <v>1</v>
      </c>
      <c r="AP186" s="28">
        <f>IF(M186=1,IF(COUNTIFS(LOG!$C$2:$C$2001,F186,LOG!$E$2:$E$2001,B186,LOG!$D$2:$D$2001,"BOOKED")+COUNTIFS(LOG!$C$2:$C$2001,F186,LOG!$E$2:$E$2001,"",LOG!$D$2:$D$2001,"BOOKED")&gt;0,1,0),0)</f>
        <v>0</v>
      </c>
      <c r="AQ186" s="28" t="str">
        <f t="shared" si="30"/>
        <v>Navya</v>
      </c>
      <c r="AR186" s="28">
        <f>IF(AND(AK186=1,K186="OK"),COUNTIFS($AK$2:AK186,1,$K$2:K186,"OK"),"")</f>
        <v>167</v>
      </c>
      <c r="AS186" s="28" t="str">
        <f>IF(L186=1,IFERROR(INDEX(MESSAGES!$J$9:$J$1008,MATCH(F186,MESSAGES!$M$9:$M$1008,0))&amp;"",""),"")</f>
        <v/>
      </c>
      <c r="AT186" s="28" t="str">
        <f>IF(L186=1,IFERROR(INDEX(MESSAGES!$K$9:$K$1008,MATCH(F186,MESSAGES!$M$9:$M$1008,0))&amp;"",""),"")</f>
        <v/>
      </c>
      <c r="AU186" s="28">
        <f t="shared" ca="1" si="31"/>
        <v>0</v>
      </c>
      <c r="AV186" s="28" t="str">
        <f t="shared" si="32"/>
        <v>HOLD</v>
      </c>
    </row>
    <row r="187" spans="1:48" x14ac:dyDescent="0.35">
      <c r="A187" s="28">
        <v>186</v>
      </c>
      <c r="B187" s="28" t="str">
        <f>IF(INPUT!A187="","",TRIM(INPUT!A187))</f>
        <v>Partner 027</v>
      </c>
      <c r="C187" s="28" t="str">
        <f>IF(B187="","",INPUT!C187)</f>
        <v>interviewer1@partner027.example.com</v>
      </c>
      <c r="D187" s="28" t="str">
        <f>IF(B187="","",INPUT!D187)</f>
        <v>Navya C.</v>
      </c>
      <c r="E187" s="28" t="str">
        <f>IF(B187="","",INPUT!E187)</f>
        <v>navya.c073@example.com</v>
      </c>
      <c r="F187" s="43" t="str">
        <f>IF(B187="","",TRIM(INPUT!F187&amp;""))</f>
        <v>9000000956</v>
      </c>
      <c r="G187" s="28" t="str">
        <f>IF(B187="","",INPUT!H187)</f>
        <v>Round1</v>
      </c>
      <c r="H187" s="46">
        <f>IF(B187="","",INPUT!I187)</f>
        <v>46308.82708333333</v>
      </c>
      <c r="I187" s="28" t="str">
        <f>IF(B187="","",IF(INPUT!J187="","None",INPUT!J187))</f>
        <v>Opened</v>
      </c>
      <c r="J187" s="28" t="str">
        <f t="shared" si="22"/>
        <v>navya.c073@example.com|partner 027|Round1|interviewer1@partner027.example.com</v>
      </c>
      <c r="K187" s="28" t="str">
        <f>IF(B187="","",IF(SUMPRODUCT(($J$2:$J$601=J187)*($H$2:$H$601&lt;H187))+SUMPRODUCT(($J$2:J187=J187)*($H$2:H187=H187))-1&gt;0,"DUPLICATE",IF(AND(ISNUMBER(SEARCH("@",E187)),ISNUMBER(SEARCH(".",E187)),LEN(F187)=10,ISNUMBER(VALUE(F187))),"OK","BAD CONTACT")))</f>
        <v>OK</v>
      </c>
      <c r="L187" s="28">
        <f t="shared" si="23"/>
        <v>1</v>
      </c>
      <c r="M187" s="28">
        <f>IF(L187=1,IF(COUNTIFS(LOG!$C$2:$C$2001,F187,LOG!$E$2:$E$2001,B187,LOG!$D$2:$D$2001,"*BOOKED")+COUNTIFS(LOG!$C$2:$C$2001,F187,LOG!$E$2:$E$2001,"",LOG!$D$2:$D$2001,"*BOOKED")&gt;0,1,0),0)</f>
        <v>0</v>
      </c>
      <c r="N187" s="28">
        <f>IF(L187=1,IF(COUNTIFS(LOG!$C$2:$C$2001,F187,LOG!$E$2:$E$2001,B187,LOG!$D$2:$D$2001,"NOT_INTERESTED")+COUNTIFS(LOG!$C$2:$C$2001,F187,LOG!$E$2:$E$2001,"",LOG!$D$2:$D$2001,"NOT_INTERESTED")&gt;0,1,0),0)</f>
        <v>0</v>
      </c>
      <c r="O187" s="28">
        <f>IF(L187=1,IF(COUNTIFS(LOG!$C$2:$C$2001,F187,LOG!$D$2:$D$2001,"STOP")+COUNTIFS(LOG!$C$2:$C$2001,F187,LOG!$D$2:$D$2001,"WRONG_NUMBER")&gt;0,1,IF(ISNUMBER(SEARCH("STOP",AT187)),1,0)),0)</f>
        <v>0</v>
      </c>
      <c r="P187" s="28">
        <f>IF(L187=1,IF(IFERROR(INDEX(PARTNERS!$D$2:$D$88,MATCH(B187,PARTNERS!$A$2:$A$88,0)),"")="NO SLOTS",1,IF(AND(IFERROR(INDEX(PARTNERS!$D$2:$D$88,MATCH(B187,PARTNERS!$A$2:$A$88,0)),"")&lt;&gt;"REOPENED",COUNTIFS(LOG!$E$2:$E$2001,B187,LOG!$D$2:$D$2001,"NO_SLOTS")&gt;0),1,0)),0)</f>
        <v>0</v>
      </c>
      <c r="Q187" s="28">
        <f>IF(L187=1,COUNTIFS(LOG!$C$2:$C$2001,F187,LOG!$H$2:$H$2001,1),0)</f>
        <v>0</v>
      </c>
      <c r="R187" s="46">
        <f>IF(Q187&gt;0,_xlfn.MAXIFS(LOG!$G$2:$G$2001,LOG!$C$2:$C$2001,F187,LOG!$H$2:$H$2001,1),0)</f>
        <v>0</v>
      </c>
      <c r="S187" s="28" t="str">
        <f>IF(Q187&gt;0,IFERROR(INDEX(LOG!$D$2:$D$2001,MATCH(F187&amp;"|"&amp;Q187,LOG!$I$2:$I$2001,0)),""),"")</f>
        <v/>
      </c>
      <c r="T187" s="28">
        <f>IF(S187="",0,IFERROR(VLOOKUP(S187,LISTS!$A$2:$E$10,4,FALSE),0))</f>
        <v>0</v>
      </c>
      <c r="U187" s="46">
        <f t="shared" si="24"/>
        <v>0</v>
      </c>
      <c r="V187" s="46">
        <f>IF(L187=1,H187+SETTINGS!$B$5/24,"")</f>
        <v>46309.82708333333</v>
      </c>
      <c r="W187" s="28">
        <f ca="1">IF(L187=1,(V187-SETTINGS!$B$4)*24,"")</f>
        <v>-1.6666666720993817E-2</v>
      </c>
      <c r="X187" s="28">
        <f ca="1">IF(AND(L187=1,K187="OK",M187=0,N187=0,O187=0,P187=0,SETTINGS!$B$4&lt;V187,Q187&lt;SETTINGS!$B$6),1,0)</f>
        <v>0</v>
      </c>
      <c r="Y187" s="28">
        <f ca="1">IF(AND(X187=1,SETTINGS!$B$4&gt;=H187,SETTINGS!$B$4&gt;=U187,ROUND(MOD(SETTINGS!$B$4,1)*1440,0)&gt;=ROUND(SETTINGS!$B$7*1440,0),ROUND(MOD(SETTINGS!$B$4,1)*1440,0)&lt;ROUND(SETTINGS!$B$8*1440,0)),1,0)</f>
        <v>0</v>
      </c>
      <c r="Z187" s="28" t="str">
        <f ca="1">IF(B187="","",IF(ROUND(MOD(SETTINGS!$B$4,1)*1440,0)&lt;ROUND(SETTINGS!$B$11*1440,0),"Ram",IF(ROUND(MOD(SETTINGS!$B$4,1)*1440,0)&gt;=ROUND(SETTINGS!$B$10*1440,0),"Shyam",IF(MOD(IFERROR(VALUE(RIGHT(F187,2)),0),2)=0,"Ram","Shyam"))))</f>
        <v>Shyam</v>
      </c>
      <c r="AA187" s="28">
        <f t="shared" ca="1" si="25"/>
        <v>0</v>
      </c>
      <c r="AB187" s="28">
        <f ca="1">IF(X187=1,COUNTIFS($F$2:F187,F187,$X$2:X187,1),0)</f>
        <v>0</v>
      </c>
      <c r="AC187" s="28" t="str">
        <f>IF(L187=1,IF(IFERROR(INDEX(PARTNERS!$C$2:$C$88,MATCH(B187,PARTNERS!$A$2:$A$88,0)),"")="YES","YES","NO"),"")</f>
        <v>YES</v>
      </c>
      <c r="AD187" s="28" t="str">
        <f>IF(L187=1,IFERROR(INDEX(PARTNERS!$B$2:$B$88,MATCH(B187,PARTNERS!$A$2:$A$88,0)),""),"")</f>
        <v>https://calendly.com/partner027/interview</v>
      </c>
      <c r="AE187" s="28">
        <f ca="1">IF(X187=1,IFERROR(INDEX(SETTINGS!$B$34:$D$36,MATCH(I187,SETTINGS!$A$34:$A$36,0),MIN(Q187,2)+1),SETTINGS!$B$36),0)</f>
        <v>0</v>
      </c>
      <c r="AF187" s="28">
        <f t="shared" si="26"/>
        <v>1</v>
      </c>
      <c r="AG187" s="28">
        <f ca="1">IF(AND(Y187=1,AB187=1),ROUND(AA187*AE187*IF(AF187&gt;1,SETTINGS!$B$16,1)*IF(W187&lt;=SETTINGS!$B$14,SETTINGS!$B$15,1)*IF(AU187=1,SETTINGS!$B$21,1),6),0)</f>
        <v>0</v>
      </c>
      <c r="AH187" s="28" t="str">
        <f ca="1">IF(AG187&gt;0,COUNTIFS($Z$2:$Z$601,Z187,$AG$2:$AG$601,"&gt;"&amp;AG187)+COUNTIFS($Z$2:Z187,Z187,$AG$2:AG187,AG187),"")</f>
        <v/>
      </c>
      <c r="AI187" s="28" t="str">
        <f t="shared" ca="1" si="27"/>
        <v/>
      </c>
      <c r="AJ187" s="28" t="str">
        <f t="shared" ca="1" si="28"/>
        <v/>
      </c>
      <c r="AK187" s="28">
        <f>IF(L187=1,IF(COUNTIFS($F$2:F187,F187,$L$2:L187,1)=1,1,0),0)</f>
        <v>0</v>
      </c>
      <c r="AL187" s="28" t="str">
        <f ca="1">IF(B187="","",IF(K187="DUPLICATE","Duplicate (removed)",IF(AO187=1,"Scheduled within 24h",IF(M187=1,"Scheduled late",IF(K187="BAD CONTACT","Bad contact details",IF(O187=1,"Stopped / wrong number",IF(N187=1,"Not interested",IF(P187=1,"Partner has no slots",IF(SETTINGS!$B$4&gt;=V187,IF(Q187=0,"Missed deadline: never tried","Missed deadline: tried, not booked"),IF(Q187&gt;=SETTINGS!$B$6,"No reply after max tries","Open"))))))))))</f>
        <v>Missed deadline: never tried</v>
      </c>
      <c r="AM187" s="46" t="str">
        <f>IF(M187=1,IF(_xlfn.MINIFS(LOG!$G$2:$G$2001,LOG!$C$2:$C$2001,F187,LOG!$E$2:$E$2001,B187,LOG!$D$2:$D$2001,"*BOOKED")=0,_xlfn.MINIFS(LOG!$G$2:$G$2001,LOG!$C$2:$C$2001,F187,LOG!$E$2:$E$2001,"",LOG!$D$2:$D$2001,"*BOOKED"),IF(_xlfn.MINIFS(LOG!$G$2:$G$2001,LOG!$C$2:$C$2001,F187,LOG!$E$2:$E$2001,"",LOG!$D$2:$D$2001,"*BOOKED")=0,_xlfn.MINIFS(LOG!$G$2:$G$2001,LOG!$C$2:$C$2001,F187,LOG!$E$2:$E$2001,B187,LOG!$D$2:$D$2001,"*BOOKED"),MIN(_xlfn.MINIFS(LOG!$G$2:$G$2001,LOG!$C$2:$C$2001,F187,LOG!$E$2:$E$2001,B187,LOG!$D$2:$D$2001,"*BOOKED"),_xlfn.MINIFS(LOG!$G$2:$G$2001,LOG!$C$2:$C$2001,F187,LOG!$E$2:$E$2001,"",LOG!$D$2:$D$2001,"*BOOKED")))),"")</f>
        <v/>
      </c>
      <c r="AN187" s="28" t="str">
        <f t="shared" si="29"/>
        <v/>
      </c>
      <c r="AO187" s="28">
        <f>IF(AND(M187=1,AN187&lt;&gt;""),IF(AN187&lt;=SETTINGS!$B$5,1,0),0)</f>
        <v>0</v>
      </c>
      <c r="AP187" s="28">
        <f>IF(M187=1,IF(COUNTIFS(LOG!$C$2:$C$2001,F187,LOG!$E$2:$E$2001,B187,LOG!$D$2:$D$2001,"BOOKED")+COUNTIFS(LOG!$C$2:$C$2001,F187,LOG!$E$2:$E$2001,"",LOG!$D$2:$D$2001,"BOOKED")&gt;0,1,0),0)</f>
        <v>0</v>
      </c>
      <c r="AQ187" s="28" t="str">
        <f t="shared" si="30"/>
        <v>Navya</v>
      </c>
      <c r="AR187" s="28" t="str">
        <f>IF(AND(AK187=1,K187="OK"),COUNTIFS($AK$2:AK187,1,$K$2:K187,"OK"),"")</f>
        <v/>
      </c>
      <c r="AS187" s="28" t="str">
        <f>IF(L187=1,IFERROR(INDEX(MESSAGES!$J$9:$J$1008,MATCH(F187,MESSAGES!$M$9:$M$1008,0))&amp;"",""),"")</f>
        <v/>
      </c>
      <c r="AT187" s="28" t="str">
        <f>IF(L187=1,IFERROR(INDEX(MESSAGES!$K$9:$K$1008,MATCH(F187,MESSAGES!$M$9:$M$1008,0))&amp;"",""),"")</f>
        <v/>
      </c>
      <c r="AU187" s="28">
        <f t="shared" ca="1" si="31"/>
        <v>0</v>
      </c>
      <c r="AV187" s="28" t="str">
        <f t="shared" si="32"/>
        <v>HOLD</v>
      </c>
    </row>
    <row r="188" spans="1:48" x14ac:dyDescent="0.35">
      <c r="A188" s="28">
        <v>187</v>
      </c>
      <c r="B188" s="28" t="str">
        <f>IF(INPUT!A188="","",TRIM(INPUT!A188))</f>
        <v>Partner 000</v>
      </c>
      <c r="C188" s="28" t="str">
        <f>IF(B188="","",INPUT!C188)</f>
        <v>interviewer1@partner000.example.com</v>
      </c>
      <c r="D188" s="28" t="str">
        <f>IF(B188="","",INPUT!D188)</f>
        <v>Yash K.</v>
      </c>
      <c r="E188" s="28" t="str">
        <f>IF(B188="","",INPUT!E188)</f>
        <v>yash.k286@example.com</v>
      </c>
      <c r="F188" s="43" t="str">
        <f>IF(B188="","",TRIM(INPUT!F188&amp;""))</f>
        <v>9000003725</v>
      </c>
      <c r="G188" s="28" t="str">
        <f>IF(B188="","",INPUT!H188)</f>
        <v>Round1</v>
      </c>
      <c r="H188" s="46">
        <f>IF(B188="","",INPUT!I188)</f>
        <v>46308.82708333333</v>
      </c>
      <c r="I188" s="28" t="str">
        <f>IF(B188="","",IF(INPUT!J188="","None",INPUT!J188))</f>
        <v>Clicked</v>
      </c>
      <c r="J188" s="28" t="str">
        <f t="shared" si="22"/>
        <v>yash.k286@example.com|partner 000|Round1|interviewer1@partner000.example.com</v>
      </c>
      <c r="K188" s="28" t="str">
        <f>IF(B188="","",IF(SUMPRODUCT(($J$2:$J$601=J188)*($H$2:$H$601&lt;H188))+SUMPRODUCT(($J$2:J188=J188)*($H$2:H188=H188))-1&gt;0,"DUPLICATE",IF(AND(ISNUMBER(SEARCH("@",E188)),ISNUMBER(SEARCH(".",E188)),LEN(F188)=10,ISNUMBER(VALUE(F188))),"OK","BAD CONTACT")))</f>
        <v>OK</v>
      </c>
      <c r="L188" s="28">
        <f t="shared" si="23"/>
        <v>1</v>
      </c>
      <c r="M188" s="28">
        <f>IF(L188=1,IF(COUNTIFS(LOG!$C$2:$C$2001,F188,LOG!$E$2:$E$2001,B188,LOG!$D$2:$D$2001,"*BOOKED")+COUNTIFS(LOG!$C$2:$C$2001,F188,LOG!$E$2:$E$2001,"",LOG!$D$2:$D$2001,"*BOOKED")&gt;0,1,0),0)</f>
        <v>1</v>
      </c>
      <c r="N188" s="28">
        <f>IF(L188=1,IF(COUNTIFS(LOG!$C$2:$C$2001,F188,LOG!$E$2:$E$2001,B188,LOG!$D$2:$D$2001,"NOT_INTERESTED")+COUNTIFS(LOG!$C$2:$C$2001,F188,LOG!$E$2:$E$2001,"",LOG!$D$2:$D$2001,"NOT_INTERESTED")&gt;0,1,0),0)</f>
        <v>0</v>
      </c>
      <c r="O188" s="28">
        <f>IF(L188=1,IF(COUNTIFS(LOG!$C$2:$C$2001,F188,LOG!$D$2:$D$2001,"STOP")+COUNTIFS(LOG!$C$2:$C$2001,F188,LOG!$D$2:$D$2001,"WRONG_NUMBER")&gt;0,1,IF(ISNUMBER(SEARCH("STOP",AT188)),1,0)),0)</f>
        <v>0</v>
      </c>
      <c r="P188" s="28">
        <f>IF(L188=1,IF(IFERROR(INDEX(PARTNERS!$D$2:$D$88,MATCH(B188,PARTNERS!$A$2:$A$88,0)),"")="NO SLOTS",1,IF(AND(IFERROR(INDEX(PARTNERS!$D$2:$D$88,MATCH(B188,PARTNERS!$A$2:$A$88,0)),"")&lt;&gt;"REOPENED",COUNTIFS(LOG!$E$2:$E$2001,B188,LOG!$D$2:$D$2001,"NO_SLOTS")&gt;0),1,0)),0)</f>
        <v>0</v>
      </c>
      <c r="Q188" s="28">
        <f>IF(L188=1,COUNTIFS(LOG!$C$2:$C$2001,F188,LOG!$H$2:$H$2001,1),0)</f>
        <v>1</v>
      </c>
      <c r="R188" s="46">
        <f>IF(Q188&gt;0,_xlfn.MAXIFS(LOG!$G$2:$G$2001,LOG!$C$2:$C$2001,F188,LOG!$H$2:$H$2001,1),0)</f>
        <v>46309.618657818864</v>
      </c>
      <c r="S188" s="28" t="str">
        <f>IF(Q188&gt;0,IFERROR(INDEX(LOG!$D$2:$D$2001,MATCH(F188&amp;"|"&amp;Q188,LOG!$I$2:$I$2001,0)),""),"")</f>
        <v>SENT_LINK</v>
      </c>
      <c r="T188" s="28">
        <f>IF(S188="",0,IFERROR(VLOOKUP(S188,LISTS!$A$2:$E$10,4,FALSE),0))</f>
        <v>180</v>
      </c>
      <c r="U188" s="46">
        <f t="shared" si="24"/>
        <v>46309.743657818864</v>
      </c>
      <c r="V188" s="46">
        <f>IF(L188=1,H188+SETTINGS!$B$5/24,"")</f>
        <v>46309.82708333333</v>
      </c>
      <c r="W188" s="28">
        <f ca="1">IF(L188=1,(V188-SETTINGS!$B$4)*24,"")</f>
        <v>-1.6666666720993817E-2</v>
      </c>
      <c r="X188" s="28">
        <f ca="1">IF(AND(L188=1,K188="OK",M188=0,N188=0,O188=0,P188=0,SETTINGS!$B$4&lt;V188,Q188&lt;SETTINGS!$B$6),1,0)</f>
        <v>0</v>
      </c>
      <c r="Y188" s="28">
        <f ca="1">IF(AND(X188=1,SETTINGS!$B$4&gt;=H188,SETTINGS!$B$4&gt;=U188,ROUND(MOD(SETTINGS!$B$4,1)*1440,0)&gt;=ROUND(SETTINGS!$B$7*1440,0),ROUND(MOD(SETTINGS!$B$4,1)*1440,0)&lt;ROUND(SETTINGS!$B$8*1440,0)),1,0)</f>
        <v>0</v>
      </c>
      <c r="Z188" s="28" t="str">
        <f ca="1">IF(B188="","",IF(ROUND(MOD(SETTINGS!$B$4,1)*1440,0)&lt;ROUND(SETTINGS!$B$11*1440,0),"Ram",IF(ROUND(MOD(SETTINGS!$B$4,1)*1440,0)&gt;=ROUND(SETTINGS!$B$10*1440,0),"Shyam",IF(MOD(IFERROR(VALUE(RIGHT(F188,2)),0),2)=0,"Ram","Shyam"))))</f>
        <v>Shyam</v>
      </c>
      <c r="AA188" s="28">
        <f t="shared" ca="1" si="25"/>
        <v>0</v>
      </c>
      <c r="AB188" s="28">
        <f ca="1">IF(X188=1,COUNTIFS($F$2:F188,F188,$X$2:X188,1),0)</f>
        <v>0</v>
      </c>
      <c r="AC188" s="28" t="str">
        <f>IF(L188=1,IF(IFERROR(INDEX(PARTNERS!$C$2:$C$88,MATCH(B188,PARTNERS!$A$2:$A$88,0)),"")="YES","YES","NO"),"")</f>
        <v>NO</v>
      </c>
      <c r="AD188" s="28" t="str">
        <f>IF(L188=1,IFERROR(INDEX(PARTNERS!$B$2:$B$88,MATCH(B188,PARTNERS!$A$2:$A$88,0)),""),"")</f>
        <v>https://calendly.com/partner000/interview</v>
      </c>
      <c r="AE188" s="28">
        <f ca="1">IF(X188=1,IFERROR(INDEX(SETTINGS!$B$34:$D$36,MATCH(I188,SETTINGS!$A$34:$A$36,0),MIN(Q188,2)+1),SETTINGS!$B$36),0)</f>
        <v>0</v>
      </c>
      <c r="AF188" s="28">
        <f t="shared" si="26"/>
        <v>1</v>
      </c>
      <c r="AG188" s="28">
        <f ca="1">IF(AND(Y188=1,AB188=1),ROUND(AA188*AE188*IF(AF188&gt;1,SETTINGS!$B$16,1)*IF(W188&lt;=SETTINGS!$B$14,SETTINGS!$B$15,1)*IF(AU188=1,SETTINGS!$B$21,1),6),0)</f>
        <v>0</v>
      </c>
      <c r="AH188" s="28" t="str">
        <f ca="1">IF(AG188&gt;0,COUNTIFS($Z$2:$Z$601,Z188,$AG$2:$AG$601,"&gt;"&amp;AG188)+COUNTIFS($Z$2:Z188,Z188,$AG$2:AG188,AG188),"")</f>
        <v/>
      </c>
      <c r="AI188" s="28" t="str">
        <f t="shared" ca="1" si="27"/>
        <v/>
      </c>
      <c r="AJ188" s="28" t="str">
        <f t="shared" ca="1" si="28"/>
        <v/>
      </c>
      <c r="AK188" s="28">
        <f>IF(L188=1,IF(COUNTIFS($F$2:F188,F188,$L$2:L188,1)=1,1,0),0)</f>
        <v>1</v>
      </c>
      <c r="AL188" s="28" t="str">
        <f>IF(B188="","",IF(K188="DUPLICATE","Duplicate (removed)",IF(AO188=1,"Scheduled within 24h",IF(M188=1,"Scheduled late",IF(K188="BAD CONTACT","Bad contact details",IF(O188=1,"Stopped / wrong number",IF(N188=1,"Not interested",IF(P188=1,"Partner has no slots",IF(SETTINGS!$B$4&gt;=V188,IF(Q188=0,"Missed deadline: never tried","Missed deadline: tried, not booked"),IF(Q188&gt;=SETTINGS!$B$6,"No reply after max tries","Open"))))))))))</f>
        <v>Scheduled within 24h</v>
      </c>
      <c r="AM188" s="46">
        <f>IF(M188=1,IF(_xlfn.MINIFS(LOG!$G$2:$G$2001,LOG!$C$2:$C$2001,F188,LOG!$E$2:$E$2001,B188,LOG!$D$2:$D$2001,"*BOOKED")=0,_xlfn.MINIFS(LOG!$G$2:$G$2001,LOG!$C$2:$C$2001,F188,LOG!$E$2:$E$2001,"",LOG!$D$2:$D$2001,"*BOOKED"),IF(_xlfn.MINIFS(LOG!$G$2:$G$2001,LOG!$C$2:$C$2001,F188,LOG!$E$2:$E$2001,"",LOG!$D$2:$D$2001,"*BOOKED")=0,_xlfn.MINIFS(LOG!$G$2:$G$2001,LOG!$C$2:$C$2001,F188,LOG!$E$2:$E$2001,B188,LOG!$D$2:$D$2001,"*BOOKED"),MIN(_xlfn.MINIFS(LOG!$G$2:$G$2001,LOG!$C$2:$C$2001,F188,LOG!$E$2:$E$2001,B188,LOG!$D$2:$D$2001,"*BOOKED"),_xlfn.MINIFS(LOG!$G$2:$G$2001,LOG!$C$2:$C$2001,F188,LOG!$E$2:$E$2001,"",LOG!$D$2:$D$2001,"*BOOKED")))),"")</f>
        <v>46309.63084731689</v>
      </c>
      <c r="AN188" s="28">
        <f t="shared" si="29"/>
        <v>19.290335605444852</v>
      </c>
      <c r="AO188" s="28">
        <f>IF(AND(M188=1,AN188&lt;&gt;""),IF(AN188&lt;=SETTINGS!$B$5,1,0),0)</f>
        <v>1</v>
      </c>
      <c r="AP188" s="28">
        <f>IF(M188=1,IF(COUNTIFS(LOG!$C$2:$C$2001,F188,LOG!$E$2:$E$2001,B188,LOG!$D$2:$D$2001,"BOOKED")+COUNTIFS(LOG!$C$2:$C$2001,F188,LOG!$E$2:$E$2001,"",LOG!$D$2:$D$2001,"BOOKED")&gt;0,1,0),0)</f>
        <v>0</v>
      </c>
      <c r="AQ188" s="28" t="str">
        <f t="shared" si="30"/>
        <v>Yash</v>
      </c>
      <c r="AR188" s="28">
        <f>IF(AND(AK188=1,K188="OK"),COUNTIFS($AK$2:AK188,1,$K$2:K188,"OK"),"")</f>
        <v>168</v>
      </c>
      <c r="AS188" s="28" t="str">
        <f>IF(L188=1,IFERROR(INDEX(MESSAGES!$J$9:$J$1008,MATCH(F188,MESSAGES!$M$9:$M$1008,0))&amp;"",""),"")</f>
        <v/>
      </c>
      <c r="AT188" s="28" t="str">
        <f>IF(L188=1,IFERROR(INDEX(MESSAGES!$K$9:$K$1008,MATCH(F188,MESSAGES!$M$9:$M$1008,0))&amp;"",""),"")</f>
        <v/>
      </c>
      <c r="AU188" s="28">
        <f t="shared" ca="1" si="31"/>
        <v>0</v>
      </c>
      <c r="AV188" s="28" t="str">
        <f t="shared" si="32"/>
        <v>SEND</v>
      </c>
    </row>
    <row r="189" spans="1:48" x14ac:dyDescent="0.35">
      <c r="A189" s="28">
        <v>188</v>
      </c>
      <c r="B189" s="28" t="str">
        <f>IF(INPUT!A189="","",TRIM(INPUT!A189))</f>
        <v>Partner 022</v>
      </c>
      <c r="C189" s="28" t="str">
        <f>IF(B189="","",INPUT!C189)</f>
        <v>interviewer2@partner022.example.com</v>
      </c>
      <c r="D189" s="28" t="str">
        <f>IF(B189="","",INPUT!D189)</f>
        <v>Aditya H.</v>
      </c>
      <c r="E189" s="28" t="str">
        <f>IF(B189="","",INPUT!E189)</f>
        <v>aditya.h232@example.com</v>
      </c>
      <c r="F189" s="43" t="str">
        <f>IF(B189="","",TRIM(INPUT!F189&amp;""))</f>
        <v>9000003023</v>
      </c>
      <c r="G189" s="28" t="str">
        <f>IF(B189="","",INPUT!H189)</f>
        <v>Round1</v>
      </c>
      <c r="H189" s="46">
        <f>IF(B189="","",INPUT!I189)</f>
        <v>46308.82708333333</v>
      </c>
      <c r="I189" s="28" t="str">
        <f>IF(B189="","",IF(INPUT!J189="","None",INPUT!J189))</f>
        <v>None</v>
      </c>
      <c r="J189" s="28" t="str">
        <f t="shared" si="22"/>
        <v>aditya.h232@example.com|partner 022|Round1|interviewer2@partner022.example.com</v>
      </c>
      <c r="K189" s="28" t="str">
        <f>IF(B189="","",IF(SUMPRODUCT(($J$2:$J$601=J189)*($H$2:$H$601&lt;H189))+SUMPRODUCT(($J$2:J189=J189)*($H$2:H189=H189))-1&gt;0,"DUPLICATE",IF(AND(ISNUMBER(SEARCH("@",E189)),ISNUMBER(SEARCH(".",E189)),LEN(F189)=10,ISNUMBER(VALUE(F189))),"OK","BAD CONTACT")))</f>
        <v>OK</v>
      </c>
      <c r="L189" s="28">
        <f t="shared" si="23"/>
        <v>1</v>
      </c>
      <c r="M189" s="28">
        <f>IF(L189=1,IF(COUNTIFS(LOG!$C$2:$C$2001,F189,LOG!$E$2:$E$2001,B189,LOG!$D$2:$D$2001,"*BOOKED")+COUNTIFS(LOG!$C$2:$C$2001,F189,LOG!$E$2:$E$2001,"",LOG!$D$2:$D$2001,"*BOOKED")&gt;0,1,0),0)</f>
        <v>0</v>
      </c>
      <c r="N189" s="28">
        <f>IF(L189=1,IF(COUNTIFS(LOG!$C$2:$C$2001,F189,LOG!$E$2:$E$2001,B189,LOG!$D$2:$D$2001,"NOT_INTERESTED")+COUNTIFS(LOG!$C$2:$C$2001,F189,LOG!$E$2:$E$2001,"",LOG!$D$2:$D$2001,"NOT_INTERESTED")&gt;0,1,0),0)</f>
        <v>0</v>
      </c>
      <c r="O189" s="28">
        <f>IF(L189=1,IF(COUNTIFS(LOG!$C$2:$C$2001,F189,LOG!$D$2:$D$2001,"STOP")+COUNTIFS(LOG!$C$2:$C$2001,F189,LOG!$D$2:$D$2001,"WRONG_NUMBER")&gt;0,1,IF(ISNUMBER(SEARCH("STOP",AT189)),1,0)),0)</f>
        <v>0</v>
      </c>
      <c r="P189" s="28">
        <f>IF(L189=1,IF(IFERROR(INDEX(PARTNERS!$D$2:$D$88,MATCH(B189,PARTNERS!$A$2:$A$88,0)),"")="NO SLOTS",1,IF(AND(IFERROR(INDEX(PARTNERS!$D$2:$D$88,MATCH(B189,PARTNERS!$A$2:$A$88,0)),"")&lt;&gt;"REOPENED",COUNTIFS(LOG!$E$2:$E$2001,B189,LOG!$D$2:$D$2001,"NO_SLOTS")&gt;0),1,0)),0)</f>
        <v>0</v>
      </c>
      <c r="Q189" s="28">
        <f>IF(L189=1,COUNTIFS(LOG!$C$2:$C$2001,F189,LOG!$H$2:$H$2001,1),0)</f>
        <v>1</v>
      </c>
      <c r="R189" s="46">
        <f>IF(Q189&gt;0,_xlfn.MAXIFS(LOG!$G$2:$G$2001,LOG!$C$2:$C$2001,F189,LOG!$H$2:$H$2001,1),0)</f>
        <v>46309.817069146658</v>
      </c>
      <c r="S189" s="28" t="str">
        <f>IF(Q189&gt;0,IFERROR(INDEX(LOG!$D$2:$D$2001,MATCH(F189&amp;"|"&amp;Q189,LOG!$I$2:$I$2001,0)),""),"")</f>
        <v>NO_ANSWER</v>
      </c>
      <c r="T189" s="28">
        <f>IF(S189="",0,IFERROR(VLOOKUP(S189,LISTS!$A$2:$E$10,4,FALSE),0))</f>
        <v>120</v>
      </c>
      <c r="U189" s="46">
        <f t="shared" si="24"/>
        <v>46309.900402479994</v>
      </c>
      <c r="V189" s="46">
        <f>IF(L189=1,H189+SETTINGS!$B$5/24,"")</f>
        <v>46309.82708333333</v>
      </c>
      <c r="W189" s="28">
        <f ca="1">IF(L189=1,(V189-SETTINGS!$B$4)*24,"")</f>
        <v>-1.6666666720993817E-2</v>
      </c>
      <c r="X189" s="28">
        <f ca="1">IF(AND(L189=1,K189="OK",M189=0,N189=0,O189=0,P189=0,SETTINGS!$B$4&lt;V189,Q189&lt;SETTINGS!$B$6),1,0)</f>
        <v>0</v>
      </c>
      <c r="Y189" s="28">
        <f ca="1">IF(AND(X189=1,SETTINGS!$B$4&gt;=H189,SETTINGS!$B$4&gt;=U189,ROUND(MOD(SETTINGS!$B$4,1)*1440,0)&gt;=ROUND(SETTINGS!$B$7*1440,0),ROUND(MOD(SETTINGS!$B$4,1)*1440,0)&lt;ROUND(SETTINGS!$B$8*1440,0)),1,0)</f>
        <v>0</v>
      </c>
      <c r="Z189" s="28" t="str">
        <f ca="1">IF(B189="","",IF(ROUND(MOD(SETTINGS!$B$4,1)*1440,0)&lt;ROUND(SETTINGS!$B$11*1440,0),"Ram",IF(ROUND(MOD(SETTINGS!$B$4,1)*1440,0)&gt;=ROUND(SETTINGS!$B$10*1440,0),"Shyam",IF(MOD(IFERROR(VALUE(RIGHT(F189,2)),0),2)=0,"Ram","Shyam"))))</f>
        <v>Shyam</v>
      </c>
      <c r="AA189" s="28">
        <f t="shared" ca="1" si="25"/>
        <v>0</v>
      </c>
      <c r="AB189" s="28">
        <f ca="1">IF(X189=1,COUNTIFS($F$2:F189,F189,$X$2:X189,1),0)</f>
        <v>0</v>
      </c>
      <c r="AC189" s="28" t="str">
        <f>IF(L189=1,IF(IFERROR(INDEX(PARTNERS!$C$2:$C$88,MATCH(B189,PARTNERS!$A$2:$A$88,0)),"")="YES","YES","NO"),"")</f>
        <v>YES</v>
      </c>
      <c r="AD189" s="28" t="str">
        <f>IF(L189=1,IFERROR(INDEX(PARTNERS!$B$2:$B$88,MATCH(B189,PARTNERS!$A$2:$A$88,0)),""),"")</f>
        <v>https://calendly.com/partner022/interview</v>
      </c>
      <c r="AE189" s="28">
        <f ca="1">IF(X189=1,IFERROR(INDEX(SETTINGS!$B$34:$D$36,MATCH(I189,SETTINGS!$A$34:$A$36,0),MIN(Q189,2)+1),SETTINGS!$B$36),0)</f>
        <v>0</v>
      </c>
      <c r="AF189" s="28">
        <f t="shared" si="26"/>
        <v>1</v>
      </c>
      <c r="AG189" s="28">
        <f ca="1">IF(AND(Y189=1,AB189=1),ROUND(AA189*AE189*IF(AF189&gt;1,SETTINGS!$B$16,1)*IF(W189&lt;=SETTINGS!$B$14,SETTINGS!$B$15,1)*IF(AU189=1,SETTINGS!$B$21,1),6),0)</f>
        <v>0</v>
      </c>
      <c r="AH189" s="28" t="str">
        <f ca="1">IF(AG189&gt;0,COUNTIFS($Z$2:$Z$601,Z189,$AG$2:$AG$601,"&gt;"&amp;AG189)+COUNTIFS($Z$2:Z189,Z189,$AG$2:AG189,AG189),"")</f>
        <v/>
      </c>
      <c r="AI189" s="28" t="str">
        <f t="shared" ca="1" si="27"/>
        <v/>
      </c>
      <c r="AJ189" s="28" t="str">
        <f t="shared" ca="1" si="28"/>
        <v/>
      </c>
      <c r="AK189" s="28">
        <f>IF(L189=1,IF(COUNTIFS($F$2:F189,F189,$L$2:L189,1)=1,1,0),0)</f>
        <v>0</v>
      </c>
      <c r="AL189" s="28" t="str">
        <f ca="1">IF(B189="","",IF(K189="DUPLICATE","Duplicate (removed)",IF(AO189=1,"Scheduled within 24h",IF(M189=1,"Scheduled late",IF(K189="BAD CONTACT","Bad contact details",IF(O189=1,"Stopped / wrong number",IF(N189=1,"Not interested",IF(P189=1,"Partner has no slots",IF(SETTINGS!$B$4&gt;=V189,IF(Q189=0,"Missed deadline: never tried","Missed deadline: tried, not booked"),IF(Q189&gt;=SETTINGS!$B$6,"No reply after max tries","Open"))))))))))</f>
        <v>Missed deadline: tried, not booked</v>
      </c>
      <c r="AM189" s="46" t="str">
        <f>IF(M189=1,IF(_xlfn.MINIFS(LOG!$G$2:$G$2001,LOG!$C$2:$C$2001,F189,LOG!$E$2:$E$2001,B189,LOG!$D$2:$D$2001,"*BOOKED")=0,_xlfn.MINIFS(LOG!$G$2:$G$2001,LOG!$C$2:$C$2001,F189,LOG!$E$2:$E$2001,"",LOG!$D$2:$D$2001,"*BOOKED"),IF(_xlfn.MINIFS(LOG!$G$2:$G$2001,LOG!$C$2:$C$2001,F189,LOG!$E$2:$E$2001,"",LOG!$D$2:$D$2001,"*BOOKED")=0,_xlfn.MINIFS(LOG!$G$2:$G$2001,LOG!$C$2:$C$2001,F189,LOG!$E$2:$E$2001,B189,LOG!$D$2:$D$2001,"*BOOKED"),MIN(_xlfn.MINIFS(LOG!$G$2:$G$2001,LOG!$C$2:$C$2001,F189,LOG!$E$2:$E$2001,B189,LOG!$D$2:$D$2001,"*BOOKED"),_xlfn.MINIFS(LOG!$G$2:$G$2001,LOG!$C$2:$C$2001,F189,LOG!$E$2:$E$2001,"",LOG!$D$2:$D$2001,"*BOOKED")))),"")</f>
        <v/>
      </c>
      <c r="AN189" s="28" t="str">
        <f t="shared" si="29"/>
        <v/>
      </c>
      <c r="AO189" s="28">
        <f>IF(AND(M189=1,AN189&lt;&gt;""),IF(AN189&lt;=SETTINGS!$B$5,1,0),0)</f>
        <v>0</v>
      </c>
      <c r="AP189" s="28">
        <f>IF(M189=1,IF(COUNTIFS(LOG!$C$2:$C$2001,F189,LOG!$E$2:$E$2001,B189,LOG!$D$2:$D$2001,"BOOKED")+COUNTIFS(LOG!$C$2:$C$2001,F189,LOG!$E$2:$E$2001,"",LOG!$D$2:$D$2001,"BOOKED")&gt;0,1,0),0)</f>
        <v>0</v>
      </c>
      <c r="AQ189" s="28" t="str">
        <f t="shared" si="30"/>
        <v>Aditya</v>
      </c>
      <c r="AR189" s="28" t="str">
        <f>IF(AND(AK189=1,K189="OK"),COUNTIFS($AK$2:AK189,1,$K$2:K189,"OK"),"")</f>
        <v/>
      </c>
      <c r="AS189" s="28" t="str">
        <f>IF(L189=1,IFERROR(INDEX(MESSAGES!$J$9:$J$1008,MATCH(F189,MESSAGES!$M$9:$M$1008,0))&amp;"",""),"")</f>
        <v/>
      </c>
      <c r="AT189" s="28" t="str">
        <f>IF(L189=1,IFERROR(INDEX(MESSAGES!$K$9:$K$1008,MATCH(F189,MESSAGES!$M$9:$M$1008,0))&amp;"",""),"")</f>
        <v/>
      </c>
      <c r="AU189" s="28">
        <f t="shared" ca="1" si="31"/>
        <v>0</v>
      </c>
      <c r="AV189" s="28" t="str">
        <f t="shared" si="32"/>
        <v>SEND</v>
      </c>
    </row>
    <row r="190" spans="1:48" x14ac:dyDescent="0.35">
      <c r="A190" s="28">
        <v>189</v>
      </c>
      <c r="B190" s="28" t="str">
        <f>IF(INPUT!A190="","",TRIM(INPUT!A190))</f>
        <v>Partner 001</v>
      </c>
      <c r="C190" s="28" t="str">
        <f>IF(B190="","",INPUT!C190)</f>
        <v>interviewer0@partner001.example.com</v>
      </c>
      <c r="D190" s="28" t="str">
        <f>IF(B190="","",INPUT!D190)</f>
        <v>Kavya L.</v>
      </c>
      <c r="E190" s="28" t="str">
        <f>IF(B190="","",INPUT!E190)</f>
        <v>kavya.l329@example.com</v>
      </c>
      <c r="F190" s="43" t="str">
        <f>IF(B190="","",TRIM(INPUT!F190&amp;""))</f>
        <v>9000004284</v>
      </c>
      <c r="G190" s="28" t="str">
        <f>IF(B190="","",INPUT!H190)</f>
        <v>Round1</v>
      </c>
      <c r="H190" s="46">
        <f>IF(B190="","",INPUT!I190)</f>
        <v>46308.82708333333</v>
      </c>
      <c r="I190" s="28" t="str">
        <f>IF(B190="","",IF(INPUT!J190="","None",INPUT!J190))</f>
        <v>None</v>
      </c>
      <c r="J190" s="28" t="str">
        <f t="shared" si="22"/>
        <v>kavya.l329@example.com|partner 001|Round1|interviewer0@partner001.example.com</v>
      </c>
      <c r="K190" s="28" t="str">
        <f>IF(B190="","",IF(SUMPRODUCT(($J$2:$J$601=J190)*($H$2:$H$601&lt;H190))+SUMPRODUCT(($J$2:J190=J190)*($H$2:H190=H190))-1&gt;0,"DUPLICATE",IF(AND(ISNUMBER(SEARCH("@",E190)),ISNUMBER(SEARCH(".",E190)),LEN(F190)=10,ISNUMBER(VALUE(F190))),"OK","BAD CONTACT")))</f>
        <v>OK</v>
      </c>
      <c r="L190" s="28">
        <f t="shared" si="23"/>
        <v>1</v>
      </c>
      <c r="M190" s="28">
        <f>IF(L190=1,IF(COUNTIFS(LOG!$C$2:$C$2001,F190,LOG!$E$2:$E$2001,B190,LOG!$D$2:$D$2001,"*BOOKED")+COUNTIFS(LOG!$C$2:$C$2001,F190,LOG!$E$2:$E$2001,"",LOG!$D$2:$D$2001,"*BOOKED")&gt;0,1,0),0)</f>
        <v>1</v>
      </c>
      <c r="N190" s="28">
        <f>IF(L190=1,IF(COUNTIFS(LOG!$C$2:$C$2001,F190,LOG!$E$2:$E$2001,B190,LOG!$D$2:$D$2001,"NOT_INTERESTED")+COUNTIFS(LOG!$C$2:$C$2001,F190,LOG!$E$2:$E$2001,"",LOG!$D$2:$D$2001,"NOT_INTERESTED")&gt;0,1,0),0)</f>
        <v>0</v>
      </c>
      <c r="O190" s="28">
        <f>IF(L190=1,IF(COUNTIFS(LOG!$C$2:$C$2001,F190,LOG!$D$2:$D$2001,"STOP")+COUNTIFS(LOG!$C$2:$C$2001,F190,LOG!$D$2:$D$2001,"WRONG_NUMBER")&gt;0,1,IF(ISNUMBER(SEARCH("STOP",AT190)),1,0)),0)</f>
        <v>0</v>
      </c>
      <c r="P190" s="28">
        <f>IF(L190=1,IF(IFERROR(INDEX(PARTNERS!$D$2:$D$88,MATCH(B190,PARTNERS!$A$2:$A$88,0)),"")="NO SLOTS",1,IF(AND(IFERROR(INDEX(PARTNERS!$D$2:$D$88,MATCH(B190,PARTNERS!$A$2:$A$88,0)),"")&lt;&gt;"REOPENED",COUNTIFS(LOG!$E$2:$E$2001,B190,LOG!$D$2:$D$2001,"NO_SLOTS")&gt;0),1,0)),0)</f>
        <v>0</v>
      </c>
      <c r="Q190" s="28">
        <f>IF(L190=1,COUNTIFS(LOG!$C$2:$C$2001,F190,LOG!$H$2:$H$2001,1),0)</f>
        <v>0</v>
      </c>
      <c r="R190" s="46">
        <f>IF(Q190&gt;0,_xlfn.MAXIFS(LOG!$G$2:$G$2001,LOG!$C$2:$C$2001,F190,LOG!$H$2:$H$2001,1),0)</f>
        <v>0</v>
      </c>
      <c r="S190" s="28" t="str">
        <f>IF(Q190&gt;0,IFERROR(INDEX(LOG!$D$2:$D$2001,MATCH(F190&amp;"|"&amp;Q190,LOG!$I$2:$I$2001,0)),""),"")</f>
        <v/>
      </c>
      <c r="T190" s="28">
        <f>IF(S190="",0,IFERROR(VLOOKUP(S190,LISTS!$A$2:$E$10,4,FALSE),0))</f>
        <v>0</v>
      </c>
      <c r="U190" s="46">
        <f t="shared" si="24"/>
        <v>0</v>
      </c>
      <c r="V190" s="46">
        <f>IF(L190=1,H190+SETTINGS!$B$5/24,"")</f>
        <v>46309.82708333333</v>
      </c>
      <c r="W190" s="28">
        <f ca="1">IF(L190=1,(V190-SETTINGS!$B$4)*24,"")</f>
        <v>-1.6666666720993817E-2</v>
      </c>
      <c r="X190" s="28">
        <f ca="1">IF(AND(L190=1,K190="OK",M190=0,N190=0,O190=0,P190=0,SETTINGS!$B$4&lt;V190,Q190&lt;SETTINGS!$B$6),1,0)</f>
        <v>0</v>
      </c>
      <c r="Y190" s="28">
        <f ca="1">IF(AND(X190=1,SETTINGS!$B$4&gt;=H190,SETTINGS!$B$4&gt;=U190,ROUND(MOD(SETTINGS!$B$4,1)*1440,0)&gt;=ROUND(SETTINGS!$B$7*1440,0),ROUND(MOD(SETTINGS!$B$4,1)*1440,0)&lt;ROUND(SETTINGS!$B$8*1440,0)),1,0)</f>
        <v>0</v>
      </c>
      <c r="Z190" s="28" t="str">
        <f ca="1">IF(B190="","",IF(ROUND(MOD(SETTINGS!$B$4,1)*1440,0)&lt;ROUND(SETTINGS!$B$11*1440,0),"Ram",IF(ROUND(MOD(SETTINGS!$B$4,1)*1440,0)&gt;=ROUND(SETTINGS!$B$10*1440,0),"Shyam",IF(MOD(IFERROR(VALUE(RIGHT(F190,2)),0),2)=0,"Ram","Shyam"))))</f>
        <v>Shyam</v>
      </c>
      <c r="AA190" s="28">
        <f t="shared" ca="1" si="25"/>
        <v>0</v>
      </c>
      <c r="AB190" s="28">
        <f ca="1">IF(X190=1,COUNTIFS($F$2:F190,F190,$X$2:X190,1),0)</f>
        <v>0</v>
      </c>
      <c r="AC190" s="28" t="str">
        <f>IF(L190=1,IF(IFERROR(INDEX(PARTNERS!$C$2:$C$88,MATCH(B190,PARTNERS!$A$2:$A$88,0)),"")="YES","YES","NO"),"")</f>
        <v>NO</v>
      </c>
      <c r="AD190" s="28" t="str">
        <f>IF(L190=1,IFERROR(INDEX(PARTNERS!$B$2:$B$88,MATCH(B190,PARTNERS!$A$2:$A$88,0)),""),"")</f>
        <v>https://calendly.com/partner001/interview</v>
      </c>
      <c r="AE190" s="28">
        <f ca="1">IF(X190=1,IFERROR(INDEX(SETTINGS!$B$34:$D$36,MATCH(I190,SETTINGS!$A$34:$A$36,0),MIN(Q190,2)+1),SETTINGS!$B$36),0)</f>
        <v>0</v>
      </c>
      <c r="AF190" s="28">
        <f t="shared" si="26"/>
        <v>1</v>
      </c>
      <c r="AG190" s="28">
        <f ca="1">IF(AND(Y190=1,AB190=1),ROUND(AA190*AE190*IF(AF190&gt;1,SETTINGS!$B$16,1)*IF(W190&lt;=SETTINGS!$B$14,SETTINGS!$B$15,1)*IF(AU190=1,SETTINGS!$B$21,1),6),0)</f>
        <v>0</v>
      </c>
      <c r="AH190" s="28" t="str">
        <f ca="1">IF(AG190&gt;0,COUNTIFS($Z$2:$Z$601,Z190,$AG$2:$AG$601,"&gt;"&amp;AG190)+COUNTIFS($Z$2:Z190,Z190,$AG$2:AG190,AG190),"")</f>
        <v/>
      </c>
      <c r="AI190" s="28" t="str">
        <f t="shared" ca="1" si="27"/>
        <v/>
      </c>
      <c r="AJ190" s="28" t="str">
        <f t="shared" ca="1" si="28"/>
        <v/>
      </c>
      <c r="AK190" s="28">
        <f>IF(L190=1,IF(COUNTIFS($F$2:F190,F190,$L$2:L190,1)=1,1,0),0)</f>
        <v>1</v>
      </c>
      <c r="AL190" s="28" t="str">
        <f>IF(B190="","",IF(K190="DUPLICATE","Duplicate (removed)",IF(AO190=1,"Scheduled within 24h",IF(M190=1,"Scheduled late",IF(K190="BAD CONTACT","Bad contact details",IF(O190=1,"Stopped / wrong number",IF(N190=1,"Not interested",IF(P190=1,"Partner has no slots",IF(SETTINGS!$B$4&gt;=V190,IF(Q190=0,"Missed deadline: never tried","Missed deadline: tried, not booked"),IF(Q190&gt;=SETTINGS!$B$6,"No reply after max tries","Open"))))))))))</f>
        <v>Scheduled within 24h</v>
      </c>
      <c r="AM190" s="46">
        <f>IF(M190=1,IF(_xlfn.MINIFS(LOG!$G$2:$G$2001,LOG!$C$2:$C$2001,F190,LOG!$E$2:$E$2001,B190,LOG!$D$2:$D$2001,"*BOOKED")=0,_xlfn.MINIFS(LOG!$G$2:$G$2001,LOG!$C$2:$C$2001,F190,LOG!$E$2:$E$2001,"",LOG!$D$2:$D$2001,"*BOOKED"),IF(_xlfn.MINIFS(LOG!$G$2:$G$2001,LOG!$C$2:$C$2001,F190,LOG!$E$2:$E$2001,"",LOG!$D$2:$D$2001,"*BOOKED")=0,_xlfn.MINIFS(LOG!$G$2:$G$2001,LOG!$C$2:$C$2001,F190,LOG!$E$2:$E$2001,B190,LOG!$D$2:$D$2001,"*BOOKED"),MIN(_xlfn.MINIFS(LOG!$G$2:$G$2001,LOG!$C$2:$C$2001,F190,LOG!$E$2:$E$2001,B190,LOG!$D$2:$D$2001,"*BOOKED"),_xlfn.MINIFS(LOG!$G$2:$G$2001,LOG!$C$2:$C$2001,F190,LOG!$E$2:$E$2001,"",LOG!$D$2:$D$2001,"*BOOKED")))),"")</f>
        <v>46309.338666769872</v>
      </c>
      <c r="AN190" s="28">
        <f t="shared" si="29"/>
        <v>12.278002477018163</v>
      </c>
      <c r="AO190" s="28">
        <f>IF(AND(M190=1,AN190&lt;&gt;""),IF(AN190&lt;=SETTINGS!$B$5,1,0),0)</f>
        <v>1</v>
      </c>
      <c r="AP190" s="28">
        <f>IF(M190=1,IF(COUNTIFS(LOG!$C$2:$C$2001,F190,LOG!$E$2:$E$2001,B190,LOG!$D$2:$D$2001,"BOOKED")+COUNTIFS(LOG!$C$2:$C$2001,F190,LOG!$E$2:$E$2001,"",LOG!$D$2:$D$2001,"BOOKED")&gt;0,1,0),0)</f>
        <v>0</v>
      </c>
      <c r="AQ190" s="28" t="str">
        <f t="shared" si="30"/>
        <v>Kavya</v>
      </c>
      <c r="AR190" s="28">
        <f>IF(AND(AK190=1,K190="OK"),COUNTIFS($AK$2:AK190,1,$K$2:K190,"OK"),"")</f>
        <v>169</v>
      </c>
      <c r="AS190" s="28" t="str">
        <f>IF(L190=1,IFERROR(INDEX(MESSAGES!$J$9:$J$1008,MATCH(F190,MESSAGES!$M$9:$M$1008,0))&amp;"",""),"")</f>
        <v/>
      </c>
      <c r="AT190" s="28" t="str">
        <f>IF(L190=1,IFERROR(INDEX(MESSAGES!$K$9:$K$1008,MATCH(F190,MESSAGES!$M$9:$M$1008,0))&amp;"",""),"")</f>
        <v/>
      </c>
      <c r="AU190" s="28">
        <f t="shared" ca="1" si="31"/>
        <v>0</v>
      </c>
      <c r="AV190" s="28" t="str">
        <f t="shared" si="32"/>
        <v>SEND</v>
      </c>
    </row>
    <row r="191" spans="1:48" x14ac:dyDescent="0.35">
      <c r="A191" s="28">
        <v>190</v>
      </c>
      <c r="B191" s="28" t="str">
        <f>IF(INPUT!A191="","",TRIM(INPUT!A191))</f>
        <v>Partner 009</v>
      </c>
      <c r="C191" s="28" t="str">
        <f>IF(B191="","",INPUT!C191)</f>
        <v>interviewer2@partner009.example.com</v>
      </c>
      <c r="D191" s="28" t="str">
        <f>IF(B191="","",INPUT!D191)</f>
        <v>Kiara N.</v>
      </c>
      <c r="E191" s="28" t="str">
        <f>IF(B191="","",INPUT!E191)</f>
        <v>kiara.n371@example.com</v>
      </c>
      <c r="F191" s="43" t="str">
        <f>IF(B191="","",TRIM(INPUT!F191&amp;""))</f>
        <v>9000004830</v>
      </c>
      <c r="G191" s="28" t="str">
        <f>IF(B191="","",INPUT!H191)</f>
        <v>Round1</v>
      </c>
      <c r="H191" s="46">
        <f>IF(B191="","",INPUT!I191)</f>
        <v>46308.830555555563</v>
      </c>
      <c r="I191" s="28" t="str">
        <f>IF(B191="","",IF(INPUT!J191="","None",INPUT!J191))</f>
        <v>None</v>
      </c>
      <c r="J191" s="28" t="str">
        <f t="shared" si="22"/>
        <v>kiara.n371@example.com|partner 009|Round1|interviewer2@partner009.example.com</v>
      </c>
      <c r="K191" s="28" t="str">
        <f>IF(B191="","",IF(SUMPRODUCT(($J$2:$J$601=J191)*($H$2:$H$601&lt;H191))+SUMPRODUCT(($J$2:J191=J191)*($H$2:H191=H191))-1&gt;0,"DUPLICATE",IF(AND(ISNUMBER(SEARCH("@",E191)),ISNUMBER(SEARCH(".",E191)),LEN(F191)=10,ISNUMBER(VALUE(F191))),"OK","BAD CONTACT")))</f>
        <v>DUPLICATE</v>
      </c>
      <c r="L191" s="28">
        <f t="shared" si="23"/>
        <v>0</v>
      </c>
      <c r="M191" s="28">
        <f>IF(L191=1,IF(COUNTIFS(LOG!$C$2:$C$2001,F191,LOG!$E$2:$E$2001,B191,LOG!$D$2:$D$2001,"*BOOKED")+COUNTIFS(LOG!$C$2:$C$2001,F191,LOG!$E$2:$E$2001,"",LOG!$D$2:$D$2001,"*BOOKED")&gt;0,1,0),0)</f>
        <v>0</v>
      </c>
      <c r="N191" s="28">
        <f>IF(L191=1,IF(COUNTIFS(LOG!$C$2:$C$2001,F191,LOG!$E$2:$E$2001,B191,LOG!$D$2:$D$2001,"NOT_INTERESTED")+COUNTIFS(LOG!$C$2:$C$2001,F191,LOG!$E$2:$E$2001,"",LOG!$D$2:$D$2001,"NOT_INTERESTED")&gt;0,1,0),0)</f>
        <v>0</v>
      </c>
      <c r="O191" s="28">
        <f>IF(L191=1,IF(COUNTIFS(LOG!$C$2:$C$2001,F191,LOG!$D$2:$D$2001,"STOP")+COUNTIFS(LOG!$C$2:$C$2001,F191,LOG!$D$2:$D$2001,"WRONG_NUMBER")&gt;0,1,IF(ISNUMBER(SEARCH("STOP",AT191)),1,0)),0)</f>
        <v>0</v>
      </c>
      <c r="P191" s="28">
        <f>IF(L191=1,IF(IFERROR(INDEX(PARTNERS!$D$2:$D$88,MATCH(B191,PARTNERS!$A$2:$A$88,0)),"")="NO SLOTS",1,IF(AND(IFERROR(INDEX(PARTNERS!$D$2:$D$88,MATCH(B191,PARTNERS!$A$2:$A$88,0)),"")&lt;&gt;"REOPENED",COUNTIFS(LOG!$E$2:$E$2001,B191,LOG!$D$2:$D$2001,"NO_SLOTS")&gt;0),1,0)),0)</f>
        <v>0</v>
      </c>
      <c r="Q191" s="28">
        <f>IF(L191=1,COUNTIFS(LOG!$C$2:$C$2001,F191,LOG!$H$2:$H$2001,1),0)</f>
        <v>0</v>
      </c>
      <c r="R191" s="46">
        <f>IF(Q191&gt;0,_xlfn.MAXIFS(LOG!$G$2:$G$2001,LOG!$C$2:$C$2001,F191,LOG!$H$2:$H$2001,1),0)</f>
        <v>0</v>
      </c>
      <c r="S191" s="28" t="str">
        <f>IF(Q191&gt;0,IFERROR(INDEX(LOG!$D$2:$D$2001,MATCH(F191&amp;"|"&amp;Q191,LOG!$I$2:$I$2001,0)),""),"")</f>
        <v/>
      </c>
      <c r="T191" s="28">
        <f>IF(S191="",0,IFERROR(VLOOKUP(S191,LISTS!$A$2:$E$10,4,FALSE),0))</f>
        <v>0</v>
      </c>
      <c r="U191" s="46">
        <f t="shared" si="24"/>
        <v>0</v>
      </c>
      <c r="V191" s="46" t="str">
        <f>IF(L191=1,H191+SETTINGS!$B$5/24,"")</f>
        <v/>
      </c>
      <c r="W191" s="28" t="str">
        <f>IF(L191=1,(V191-SETTINGS!$B$4)*24,"")</f>
        <v/>
      </c>
      <c r="X191" s="28">
        <f ca="1">IF(AND(L191=1,K191="OK",M191=0,N191=0,O191=0,P191=0,SETTINGS!$B$4&lt;V191,Q191&lt;SETTINGS!$B$6),1,0)</f>
        <v>0</v>
      </c>
      <c r="Y191" s="28">
        <f ca="1">IF(AND(X191=1,SETTINGS!$B$4&gt;=H191,SETTINGS!$B$4&gt;=U191,ROUND(MOD(SETTINGS!$B$4,1)*1440,0)&gt;=ROUND(SETTINGS!$B$7*1440,0),ROUND(MOD(SETTINGS!$B$4,1)*1440,0)&lt;ROUND(SETTINGS!$B$8*1440,0)),1,0)</f>
        <v>0</v>
      </c>
      <c r="Z191" s="28" t="str">
        <f ca="1">IF(B191="","",IF(ROUND(MOD(SETTINGS!$B$4,1)*1440,0)&lt;ROUND(SETTINGS!$B$11*1440,0),"Ram",IF(ROUND(MOD(SETTINGS!$B$4,1)*1440,0)&gt;=ROUND(SETTINGS!$B$10*1440,0),"Shyam",IF(MOD(IFERROR(VALUE(RIGHT(F191,2)),0),2)=0,"Ram","Shyam"))))</f>
        <v>Shyam</v>
      </c>
      <c r="AA191" s="28">
        <f t="shared" ca="1" si="25"/>
        <v>0</v>
      </c>
      <c r="AB191" s="28">
        <f ca="1">IF(X191=1,COUNTIFS($F$2:F191,F191,$X$2:X191,1),0)</f>
        <v>0</v>
      </c>
      <c r="AC191" s="28" t="str">
        <f>IF(L191=1,IF(IFERROR(INDEX(PARTNERS!$C$2:$C$88,MATCH(B191,PARTNERS!$A$2:$A$88,0)),"")="YES","YES","NO"),"")</f>
        <v/>
      </c>
      <c r="AD191" s="28" t="str">
        <f>IF(L191=1,IFERROR(INDEX(PARTNERS!$B$2:$B$88,MATCH(B191,PARTNERS!$A$2:$A$88,0)),""),"")</f>
        <v/>
      </c>
      <c r="AE191" s="28">
        <f ca="1">IF(X191=1,IFERROR(INDEX(SETTINGS!$B$34:$D$36,MATCH(I191,SETTINGS!$A$34:$A$36,0),MIN(Q191,2)+1),SETTINGS!$B$36),0)</f>
        <v>0</v>
      </c>
      <c r="AF191" s="28">
        <f t="shared" si="26"/>
        <v>0</v>
      </c>
      <c r="AG191" s="28">
        <f ca="1">IF(AND(Y191=1,AB191=1),ROUND(AA191*AE191*IF(AF191&gt;1,SETTINGS!$B$16,1)*IF(W191&lt;=SETTINGS!$B$14,SETTINGS!$B$15,1)*IF(AU191=1,SETTINGS!$B$21,1),6),0)</f>
        <v>0</v>
      </c>
      <c r="AH191" s="28" t="str">
        <f ca="1">IF(AG191&gt;0,COUNTIFS($Z$2:$Z$601,Z191,$AG$2:$AG$601,"&gt;"&amp;AG191)+COUNTIFS($Z$2:Z191,Z191,$AG$2:AG191,AG191),"")</f>
        <v/>
      </c>
      <c r="AI191" s="28" t="str">
        <f t="shared" ca="1" si="27"/>
        <v/>
      </c>
      <c r="AJ191" s="28" t="str">
        <f t="shared" ca="1" si="28"/>
        <v/>
      </c>
      <c r="AK191" s="28">
        <f>IF(L191=1,IF(COUNTIFS($F$2:F191,F191,$L$2:L191,1)=1,1,0),0)</f>
        <v>0</v>
      </c>
      <c r="AL191" s="28" t="str">
        <f>IF(B191="","",IF(K191="DUPLICATE","Duplicate (removed)",IF(AO191=1,"Scheduled within 24h",IF(M191=1,"Scheduled late",IF(K191="BAD CONTACT","Bad contact details",IF(O191=1,"Stopped / wrong number",IF(N191=1,"Not interested",IF(P191=1,"Partner has no slots",IF(SETTINGS!$B$4&gt;=V191,IF(Q191=0,"Missed deadline: never tried","Missed deadline: tried, not booked"),IF(Q191&gt;=SETTINGS!$B$6,"No reply after max tries","Open"))))))))))</f>
        <v>Duplicate (removed)</v>
      </c>
      <c r="AM191" s="46" t="str">
        <f>IF(M191=1,IF(_xlfn.MINIFS(LOG!$G$2:$G$2001,LOG!$C$2:$C$2001,F191,LOG!$E$2:$E$2001,B191,LOG!$D$2:$D$2001,"*BOOKED")=0,_xlfn.MINIFS(LOG!$G$2:$G$2001,LOG!$C$2:$C$2001,F191,LOG!$E$2:$E$2001,"",LOG!$D$2:$D$2001,"*BOOKED"),IF(_xlfn.MINIFS(LOG!$G$2:$G$2001,LOG!$C$2:$C$2001,F191,LOG!$E$2:$E$2001,"",LOG!$D$2:$D$2001,"*BOOKED")=0,_xlfn.MINIFS(LOG!$G$2:$G$2001,LOG!$C$2:$C$2001,F191,LOG!$E$2:$E$2001,B191,LOG!$D$2:$D$2001,"*BOOKED"),MIN(_xlfn.MINIFS(LOG!$G$2:$G$2001,LOG!$C$2:$C$2001,F191,LOG!$E$2:$E$2001,B191,LOG!$D$2:$D$2001,"*BOOKED"),_xlfn.MINIFS(LOG!$G$2:$G$2001,LOG!$C$2:$C$2001,F191,LOG!$E$2:$E$2001,"",LOG!$D$2:$D$2001,"*BOOKED")))),"")</f>
        <v/>
      </c>
      <c r="AN191" s="28" t="str">
        <f t="shared" si="29"/>
        <v/>
      </c>
      <c r="AO191" s="28">
        <f>IF(AND(M191=1,AN191&lt;&gt;""),IF(AN191&lt;=SETTINGS!$B$5,1,0),0)</f>
        <v>0</v>
      </c>
      <c r="AP191" s="28">
        <f>IF(M191=1,IF(COUNTIFS(LOG!$C$2:$C$2001,F191,LOG!$E$2:$E$2001,B191,LOG!$D$2:$D$2001,"BOOKED")+COUNTIFS(LOG!$C$2:$C$2001,F191,LOG!$E$2:$E$2001,"",LOG!$D$2:$D$2001,"BOOKED")&gt;0,1,0),0)</f>
        <v>0</v>
      </c>
      <c r="AQ191" s="28" t="str">
        <f t="shared" si="30"/>
        <v>Kiara</v>
      </c>
      <c r="AR191" s="28" t="str">
        <f>IF(AND(AK191=1,K191="OK"),COUNTIFS($AK$2:AK191,1,$K$2:K191,"OK"),"")</f>
        <v/>
      </c>
      <c r="AS191" s="28" t="str">
        <f>IF(L191=1,IFERROR(INDEX(MESSAGES!$J$9:$J$1008,MATCH(F191,MESSAGES!$M$9:$M$1008,0))&amp;"",""),"")</f>
        <v/>
      </c>
      <c r="AT191" s="28" t="str">
        <f>IF(L191=1,IFERROR(INDEX(MESSAGES!$K$9:$K$1008,MATCH(F191,MESSAGES!$M$9:$M$1008,0))&amp;"",""),"")</f>
        <v/>
      </c>
      <c r="AU191" s="28">
        <f t="shared" ca="1" si="31"/>
        <v>0</v>
      </c>
      <c r="AV191" s="28" t="str">
        <f t="shared" si="32"/>
        <v/>
      </c>
    </row>
    <row r="192" spans="1:48" x14ac:dyDescent="0.35">
      <c r="A192" s="28">
        <v>191</v>
      </c>
      <c r="B192" s="28" t="str">
        <f>IF(INPUT!A192="","",TRIM(INPUT!A192))</f>
        <v>Partner 009</v>
      </c>
      <c r="C192" s="28" t="str">
        <f>IF(B192="","",INPUT!C192)</f>
        <v>interviewer2@partner009.example.com</v>
      </c>
      <c r="D192" s="28" t="str">
        <f>IF(B192="","",INPUT!D192)</f>
        <v>Ishaan M.</v>
      </c>
      <c r="E192" s="28" t="str">
        <f>IF(B192="","",INPUT!E192)</f>
        <v>ishaan.m344@example.com</v>
      </c>
      <c r="F192" s="43" t="str">
        <f>IF(B192="","",TRIM(INPUT!F192&amp;""))</f>
        <v>9000004479</v>
      </c>
      <c r="G192" s="28" t="str">
        <f>IF(B192="","",INPUT!H192)</f>
        <v>Round1</v>
      </c>
      <c r="H192" s="46">
        <f>IF(B192="","",INPUT!I192)</f>
        <v>46308.82708333333</v>
      </c>
      <c r="I192" s="28" t="str">
        <f>IF(B192="","",IF(INPUT!J192="","None",INPUT!J192))</f>
        <v>Opened</v>
      </c>
      <c r="J192" s="28" t="str">
        <f t="shared" si="22"/>
        <v>ishaan.m344@example.com|partner 009|Round1|interviewer2@partner009.example.com</v>
      </c>
      <c r="K192" s="28" t="str">
        <f>IF(B192="","",IF(SUMPRODUCT(($J$2:$J$601=J192)*($H$2:$H$601&lt;H192))+SUMPRODUCT(($J$2:J192=J192)*($H$2:H192=H192))-1&gt;0,"DUPLICATE",IF(AND(ISNUMBER(SEARCH("@",E192)),ISNUMBER(SEARCH(".",E192)),LEN(F192)=10,ISNUMBER(VALUE(F192))),"OK","BAD CONTACT")))</f>
        <v>OK</v>
      </c>
      <c r="L192" s="28">
        <f t="shared" si="23"/>
        <v>1</v>
      </c>
      <c r="M192" s="28">
        <f>IF(L192=1,IF(COUNTIFS(LOG!$C$2:$C$2001,F192,LOG!$E$2:$E$2001,B192,LOG!$D$2:$D$2001,"*BOOKED")+COUNTIFS(LOG!$C$2:$C$2001,F192,LOG!$E$2:$E$2001,"",LOG!$D$2:$D$2001,"*BOOKED")&gt;0,1,0),0)</f>
        <v>0</v>
      </c>
      <c r="N192" s="28">
        <f>IF(L192=1,IF(COUNTIFS(LOG!$C$2:$C$2001,F192,LOG!$E$2:$E$2001,B192,LOG!$D$2:$D$2001,"NOT_INTERESTED")+COUNTIFS(LOG!$C$2:$C$2001,F192,LOG!$E$2:$E$2001,"",LOG!$D$2:$D$2001,"NOT_INTERESTED")&gt;0,1,0),0)</f>
        <v>0</v>
      </c>
      <c r="O192" s="28">
        <f>IF(L192=1,IF(COUNTIFS(LOG!$C$2:$C$2001,F192,LOG!$D$2:$D$2001,"STOP")+COUNTIFS(LOG!$C$2:$C$2001,F192,LOG!$D$2:$D$2001,"WRONG_NUMBER")&gt;0,1,IF(ISNUMBER(SEARCH("STOP",AT192)),1,0)),0)</f>
        <v>0</v>
      </c>
      <c r="P192" s="28">
        <f>IF(L192=1,IF(IFERROR(INDEX(PARTNERS!$D$2:$D$88,MATCH(B192,PARTNERS!$A$2:$A$88,0)),"")="NO SLOTS",1,IF(AND(IFERROR(INDEX(PARTNERS!$D$2:$D$88,MATCH(B192,PARTNERS!$A$2:$A$88,0)),"")&lt;&gt;"REOPENED",COUNTIFS(LOG!$E$2:$E$2001,B192,LOG!$D$2:$D$2001,"NO_SLOTS")&gt;0),1,0)),0)</f>
        <v>0</v>
      </c>
      <c r="Q192" s="28">
        <f>IF(L192=1,COUNTIFS(LOG!$C$2:$C$2001,F192,LOG!$H$2:$H$2001,1),0)</f>
        <v>0</v>
      </c>
      <c r="R192" s="46">
        <f>IF(Q192&gt;0,_xlfn.MAXIFS(LOG!$G$2:$G$2001,LOG!$C$2:$C$2001,F192,LOG!$H$2:$H$2001,1),0)</f>
        <v>0</v>
      </c>
      <c r="S192" s="28" t="str">
        <f>IF(Q192&gt;0,IFERROR(INDEX(LOG!$D$2:$D$2001,MATCH(F192&amp;"|"&amp;Q192,LOG!$I$2:$I$2001,0)),""),"")</f>
        <v/>
      </c>
      <c r="T192" s="28">
        <f>IF(S192="",0,IFERROR(VLOOKUP(S192,LISTS!$A$2:$E$10,4,FALSE),0))</f>
        <v>0</v>
      </c>
      <c r="U192" s="46">
        <f t="shared" si="24"/>
        <v>0</v>
      </c>
      <c r="V192" s="46">
        <f>IF(L192=1,H192+SETTINGS!$B$5/24,"")</f>
        <v>46309.82708333333</v>
      </c>
      <c r="W192" s="28">
        <f ca="1">IF(L192=1,(V192-SETTINGS!$B$4)*24,"")</f>
        <v>-1.6666666720993817E-2</v>
      </c>
      <c r="X192" s="28">
        <f ca="1">IF(AND(L192=1,K192="OK",M192=0,N192=0,O192=0,P192=0,SETTINGS!$B$4&lt;V192,Q192&lt;SETTINGS!$B$6),1,0)</f>
        <v>0</v>
      </c>
      <c r="Y192" s="28">
        <f ca="1">IF(AND(X192=1,SETTINGS!$B$4&gt;=H192,SETTINGS!$B$4&gt;=U192,ROUND(MOD(SETTINGS!$B$4,1)*1440,0)&gt;=ROUND(SETTINGS!$B$7*1440,0),ROUND(MOD(SETTINGS!$B$4,1)*1440,0)&lt;ROUND(SETTINGS!$B$8*1440,0)),1,0)</f>
        <v>0</v>
      </c>
      <c r="Z192" s="28" t="str">
        <f ca="1">IF(B192="","",IF(ROUND(MOD(SETTINGS!$B$4,1)*1440,0)&lt;ROUND(SETTINGS!$B$11*1440,0),"Ram",IF(ROUND(MOD(SETTINGS!$B$4,1)*1440,0)&gt;=ROUND(SETTINGS!$B$10*1440,0),"Shyam",IF(MOD(IFERROR(VALUE(RIGHT(F192,2)),0),2)=0,"Ram","Shyam"))))</f>
        <v>Shyam</v>
      </c>
      <c r="AA192" s="28">
        <f t="shared" ca="1" si="25"/>
        <v>0</v>
      </c>
      <c r="AB192" s="28">
        <f ca="1">IF(X192=1,COUNTIFS($F$2:F192,F192,$X$2:X192,1),0)</f>
        <v>0</v>
      </c>
      <c r="AC192" s="28" t="str">
        <f>IF(L192=1,IF(IFERROR(INDEX(PARTNERS!$C$2:$C$88,MATCH(B192,PARTNERS!$A$2:$A$88,0)),"")="YES","YES","NO"),"")</f>
        <v>YES</v>
      </c>
      <c r="AD192" s="28" t="str">
        <f>IF(L192=1,IFERROR(INDEX(PARTNERS!$B$2:$B$88,MATCH(B192,PARTNERS!$A$2:$A$88,0)),""),"")</f>
        <v>https://calendly.com/partner009/interview</v>
      </c>
      <c r="AE192" s="28">
        <f ca="1">IF(X192=1,IFERROR(INDEX(SETTINGS!$B$34:$D$36,MATCH(I192,SETTINGS!$A$34:$A$36,0),MIN(Q192,2)+1),SETTINGS!$B$36),0)</f>
        <v>0</v>
      </c>
      <c r="AF192" s="28">
        <f t="shared" si="26"/>
        <v>1</v>
      </c>
      <c r="AG192" s="28">
        <f ca="1">IF(AND(Y192=1,AB192=1),ROUND(AA192*AE192*IF(AF192&gt;1,SETTINGS!$B$16,1)*IF(W192&lt;=SETTINGS!$B$14,SETTINGS!$B$15,1)*IF(AU192=1,SETTINGS!$B$21,1),6),0)</f>
        <v>0</v>
      </c>
      <c r="AH192" s="28" t="str">
        <f ca="1">IF(AG192&gt;0,COUNTIFS($Z$2:$Z$601,Z192,$AG$2:$AG$601,"&gt;"&amp;AG192)+COUNTIFS($Z$2:Z192,Z192,$AG$2:AG192,AG192),"")</f>
        <v/>
      </c>
      <c r="AI192" s="28" t="str">
        <f t="shared" ca="1" si="27"/>
        <v/>
      </c>
      <c r="AJ192" s="28" t="str">
        <f t="shared" ca="1" si="28"/>
        <v/>
      </c>
      <c r="AK192" s="28">
        <f>IF(L192=1,IF(COUNTIFS($F$2:F192,F192,$L$2:L192,1)=1,1,0),0)</f>
        <v>1</v>
      </c>
      <c r="AL192" s="28" t="str">
        <f ca="1">IF(B192="","",IF(K192="DUPLICATE","Duplicate (removed)",IF(AO192=1,"Scheduled within 24h",IF(M192=1,"Scheduled late",IF(K192="BAD CONTACT","Bad contact details",IF(O192=1,"Stopped / wrong number",IF(N192=1,"Not interested",IF(P192=1,"Partner has no slots",IF(SETTINGS!$B$4&gt;=V192,IF(Q192=0,"Missed deadline: never tried","Missed deadline: tried, not booked"),IF(Q192&gt;=SETTINGS!$B$6,"No reply after max tries","Open"))))))))))</f>
        <v>Missed deadline: never tried</v>
      </c>
      <c r="AM192" s="46" t="str">
        <f>IF(M192=1,IF(_xlfn.MINIFS(LOG!$G$2:$G$2001,LOG!$C$2:$C$2001,F192,LOG!$E$2:$E$2001,B192,LOG!$D$2:$D$2001,"*BOOKED")=0,_xlfn.MINIFS(LOG!$G$2:$G$2001,LOG!$C$2:$C$2001,F192,LOG!$E$2:$E$2001,"",LOG!$D$2:$D$2001,"*BOOKED"),IF(_xlfn.MINIFS(LOG!$G$2:$G$2001,LOG!$C$2:$C$2001,F192,LOG!$E$2:$E$2001,"",LOG!$D$2:$D$2001,"*BOOKED")=0,_xlfn.MINIFS(LOG!$G$2:$G$2001,LOG!$C$2:$C$2001,F192,LOG!$E$2:$E$2001,B192,LOG!$D$2:$D$2001,"*BOOKED"),MIN(_xlfn.MINIFS(LOG!$G$2:$G$2001,LOG!$C$2:$C$2001,F192,LOG!$E$2:$E$2001,B192,LOG!$D$2:$D$2001,"*BOOKED"),_xlfn.MINIFS(LOG!$G$2:$G$2001,LOG!$C$2:$C$2001,F192,LOG!$E$2:$E$2001,"",LOG!$D$2:$D$2001,"*BOOKED")))),"")</f>
        <v/>
      </c>
      <c r="AN192" s="28" t="str">
        <f t="shared" si="29"/>
        <v/>
      </c>
      <c r="AO192" s="28">
        <f>IF(AND(M192=1,AN192&lt;&gt;""),IF(AN192&lt;=SETTINGS!$B$5,1,0),0)</f>
        <v>0</v>
      </c>
      <c r="AP192" s="28">
        <f>IF(M192=1,IF(COUNTIFS(LOG!$C$2:$C$2001,F192,LOG!$E$2:$E$2001,B192,LOG!$D$2:$D$2001,"BOOKED")+COUNTIFS(LOG!$C$2:$C$2001,F192,LOG!$E$2:$E$2001,"",LOG!$D$2:$D$2001,"BOOKED")&gt;0,1,0),0)</f>
        <v>0</v>
      </c>
      <c r="AQ192" s="28" t="str">
        <f t="shared" si="30"/>
        <v>Ishaan</v>
      </c>
      <c r="AR192" s="28">
        <f>IF(AND(AK192=1,K192="OK"),COUNTIFS($AK$2:AK192,1,$K$2:K192,"OK"),"")</f>
        <v>170</v>
      </c>
      <c r="AS192" s="28" t="str">
        <f>IF(L192=1,IFERROR(INDEX(MESSAGES!$J$9:$J$1008,MATCH(F192,MESSAGES!$M$9:$M$1008,0))&amp;"",""),"")</f>
        <v/>
      </c>
      <c r="AT192" s="28" t="str">
        <f>IF(L192=1,IFERROR(INDEX(MESSAGES!$K$9:$K$1008,MATCH(F192,MESSAGES!$M$9:$M$1008,0))&amp;"",""),"")</f>
        <v/>
      </c>
      <c r="AU192" s="28">
        <f t="shared" ca="1" si="31"/>
        <v>0</v>
      </c>
      <c r="AV192" s="28" t="str">
        <f t="shared" si="32"/>
        <v>HOLD</v>
      </c>
    </row>
    <row r="193" spans="1:48" x14ac:dyDescent="0.35">
      <c r="A193" s="28">
        <v>192</v>
      </c>
      <c r="B193" s="28" t="str">
        <f>IF(INPUT!A193="","",TRIM(INPUT!A193))</f>
        <v>Partner 013</v>
      </c>
      <c r="C193" s="28" t="str">
        <f>IF(B193="","",INPUT!C193)</f>
        <v>interviewer1@partner013.example.com</v>
      </c>
      <c r="D193" s="28" t="str">
        <f>IF(B193="","",INPUT!D193)</f>
        <v>Manav G.</v>
      </c>
      <c r="E193" s="28" t="str">
        <f>IF(B193="","",INPUT!E193)</f>
        <v>manav.g204@example.com</v>
      </c>
      <c r="F193" s="43" t="str">
        <f>IF(B193="","",TRIM(INPUT!F193&amp;""))</f>
        <v>9000002659</v>
      </c>
      <c r="G193" s="28" t="str">
        <f>IF(B193="","",INPUT!H193)</f>
        <v>Round1</v>
      </c>
      <c r="H193" s="46">
        <f>IF(B193="","",INPUT!I193)</f>
        <v>46308.82708333333</v>
      </c>
      <c r="I193" s="28" t="str">
        <f>IF(B193="","",IF(INPUT!J193="","None",INPUT!J193))</f>
        <v>Opened</v>
      </c>
      <c r="J193" s="28" t="str">
        <f t="shared" si="22"/>
        <v>manav.g204@example.com|partner 013|Round1|interviewer1@partner013.example.com</v>
      </c>
      <c r="K193" s="28" t="str">
        <f>IF(B193="","",IF(SUMPRODUCT(($J$2:$J$601=J193)*($H$2:$H$601&lt;H193))+SUMPRODUCT(($J$2:J193=J193)*($H$2:H193=H193))-1&gt;0,"DUPLICATE",IF(AND(ISNUMBER(SEARCH("@",E193)),ISNUMBER(SEARCH(".",E193)),LEN(F193)=10,ISNUMBER(VALUE(F193))),"OK","BAD CONTACT")))</f>
        <v>OK</v>
      </c>
      <c r="L193" s="28">
        <f t="shared" si="23"/>
        <v>1</v>
      </c>
      <c r="M193" s="28">
        <f>IF(L193=1,IF(COUNTIFS(LOG!$C$2:$C$2001,F193,LOG!$E$2:$E$2001,B193,LOG!$D$2:$D$2001,"*BOOKED")+COUNTIFS(LOG!$C$2:$C$2001,F193,LOG!$E$2:$E$2001,"",LOG!$D$2:$D$2001,"*BOOKED")&gt;0,1,0),0)</f>
        <v>1</v>
      </c>
      <c r="N193" s="28">
        <f>IF(L193=1,IF(COUNTIFS(LOG!$C$2:$C$2001,F193,LOG!$E$2:$E$2001,B193,LOG!$D$2:$D$2001,"NOT_INTERESTED")+COUNTIFS(LOG!$C$2:$C$2001,F193,LOG!$E$2:$E$2001,"",LOG!$D$2:$D$2001,"NOT_INTERESTED")&gt;0,1,0),0)</f>
        <v>0</v>
      </c>
      <c r="O193" s="28">
        <f>IF(L193=1,IF(COUNTIFS(LOG!$C$2:$C$2001,F193,LOG!$D$2:$D$2001,"STOP")+COUNTIFS(LOG!$C$2:$C$2001,F193,LOG!$D$2:$D$2001,"WRONG_NUMBER")&gt;0,1,IF(ISNUMBER(SEARCH("STOP",AT193)),1,0)),0)</f>
        <v>0</v>
      </c>
      <c r="P193" s="28">
        <f>IF(L193=1,IF(IFERROR(INDEX(PARTNERS!$D$2:$D$88,MATCH(B193,PARTNERS!$A$2:$A$88,0)),"")="NO SLOTS",1,IF(AND(IFERROR(INDEX(PARTNERS!$D$2:$D$88,MATCH(B193,PARTNERS!$A$2:$A$88,0)),"")&lt;&gt;"REOPENED",COUNTIFS(LOG!$E$2:$E$2001,B193,LOG!$D$2:$D$2001,"NO_SLOTS")&gt;0),1,0)),0)</f>
        <v>0</v>
      </c>
      <c r="Q193" s="28">
        <f>IF(L193=1,COUNTIFS(LOG!$C$2:$C$2001,F193,LOG!$H$2:$H$2001,1),0)</f>
        <v>0</v>
      </c>
      <c r="R193" s="46">
        <f>IF(Q193&gt;0,_xlfn.MAXIFS(LOG!$G$2:$G$2001,LOG!$C$2:$C$2001,F193,LOG!$H$2:$H$2001,1),0)</f>
        <v>0</v>
      </c>
      <c r="S193" s="28" t="str">
        <f>IF(Q193&gt;0,IFERROR(INDEX(LOG!$D$2:$D$2001,MATCH(F193&amp;"|"&amp;Q193,LOG!$I$2:$I$2001,0)),""),"")</f>
        <v/>
      </c>
      <c r="T193" s="28">
        <f>IF(S193="",0,IFERROR(VLOOKUP(S193,LISTS!$A$2:$E$10,4,FALSE),0))</f>
        <v>0</v>
      </c>
      <c r="U193" s="46">
        <f t="shared" si="24"/>
        <v>0</v>
      </c>
      <c r="V193" s="46">
        <f>IF(L193=1,H193+SETTINGS!$B$5/24,"")</f>
        <v>46309.82708333333</v>
      </c>
      <c r="W193" s="28">
        <f ca="1">IF(L193=1,(V193-SETTINGS!$B$4)*24,"")</f>
        <v>-1.6666666720993817E-2</v>
      </c>
      <c r="X193" s="28">
        <f ca="1">IF(AND(L193=1,K193="OK",M193=0,N193=0,O193=0,P193=0,SETTINGS!$B$4&lt;V193,Q193&lt;SETTINGS!$B$6),1,0)</f>
        <v>0</v>
      </c>
      <c r="Y193" s="28">
        <f ca="1">IF(AND(X193=1,SETTINGS!$B$4&gt;=H193,SETTINGS!$B$4&gt;=U193,ROUND(MOD(SETTINGS!$B$4,1)*1440,0)&gt;=ROUND(SETTINGS!$B$7*1440,0),ROUND(MOD(SETTINGS!$B$4,1)*1440,0)&lt;ROUND(SETTINGS!$B$8*1440,0)),1,0)</f>
        <v>0</v>
      </c>
      <c r="Z193" s="28" t="str">
        <f ca="1">IF(B193="","",IF(ROUND(MOD(SETTINGS!$B$4,1)*1440,0)&lt;ROUND(SETTINGS!$B$11*1440,0),"Ram",IF(ROUND(MOD(SETTINGS!$B$4,1)*1440,0)&gt;=ROUND(SETTINGS!$B$10*1440,0),"Shyam",IF(MOD(IFERROR(VALUE(RIGHT(F193,2)),0),2)=0,"Ram","Shyam"))))</f>
        <v>Shyam</v>
      </c>
      <c r="AA193" s="28">
        <f t="shared" ca="1" si="25"/>
        <v>0</v>
      </c>
      <c r="AB193" s="28">
        <f ca="1">IF(X193=1,COUNTIFS($F$2:F193,F193,$X$2:X193,1),0)</f>
        <v>0</v>
      </c>
      <c r="AC193" s="28" t="str">
        <f>IF(L193=1,IF(IFERROR(INDEX(PARTNERS!$C$2:$C$88,MATCH(B193,PARTNERS!$A$2:$A$88,0)),"")="YES","YES","NO"),"")</f>
        <v>YES</v>
      </c>
      <c r="AD193" s="28" t="str">
        <f>IF(L193=1,IFERROR(INDEX(PARTNERS!$B$2:$B$88,MATCH(B193,PARTNERS!$A$2:$A$88,0)),""),"")</f>
        <v>https://calendly.com/partner013/interview</v>
      </c>
      <c r="AE193" s="28">
        <f ca="1">IF(X193=1,IFERROR(INDEX(SETTINGS!$B$34:$D$36,MATCH(I193,SETTINGS!$A$34:$A$36,0),MIN(Q193,2)+1),SETTINGS!$B$36),0)</f>
        <v>0</v>
      </c>
      <c r="AF193" s="28">
        <f t="shared" si="26"/>
        <v>1</v>
      </c>
      <c r="AG193" s="28">
        <f ca="1">IF(AND(Y193=1,AB193=1),ROUND(AA193*AE193*IF(AF193&gt;1,SETTINGS!$B$16,1)*IF(W193&lt;=SETTINGS!$B$14,SETTINGS!$B$15,1)*IF(AU193=1,SETTINGS!$B$21,1),6),0)</f>
        <v>0</v>
      </c>
      <c r="AH193" s="28" t="str">
        <f ca="1">IF(AG193&gt;0,COUNTIFS($Z$2:$Z$601,Z193,$AG$2:$AG$601,"&gt;"&amp;AG193)+COUNTIFS($Z$2:Z193,Z193,$AG$2:AG193,AG193),"")</f>
        <v/>
      </c>
      <c r="AI193" s="28" t="str">
        <f t="shared" ca="1" si="27"/>
        <v/>
      </c>
      <c r="AJ193" s="28" t="str">
        <f t="shared" ca="1" si="28"/>
        <v/>
      </c>
      <c r="AK193" s="28">
        <f>IF(L193=1,IF(COUNTIFS($F$2:F193,F193,$L$2:L193,1)=1,1,0),0)</f>
        <v>1</v>
      </c>
      <c r="AL193" s="28" t="str">
        <f>IF(B193="","",IF(K193="DUPLICATE","Duplicate (removed)",IF(AO193=1,"Scheduled within 24h",IF(M193=1,"Scheduled late",IF(K193="BAD CONTACT","Bad contact details",IF(O193=1,"Stopped / wrong number",IF(N193=1,"Not interested",IF(P193=1,"Partner has no slots",IF(SETTINGS!$B$4&gt;=V193,IF(Q193=0,"Missed deadline: never tried","Missed deadline: tried, not booked"),IF(Q193&gt;=SETTINGS!$B$6,"No reply after max tries","Open"))))))))))</f>
        <v>Scheduled within 24h</v>
      </c>
      <c r="AM193" s="46">
        <f>IF(M193=1,IF(_xlfn.MINIFS(LOG!$G$2:$G$2001,LOG!$C$2:$C$2001,F193,LOG!$E$2:$E$2001,B193,LOG!$D$2:$D$2001,"*BOOKED")=0,_xlfn.MINIFS(LOG!$G$2:$G$2001,LOG!$C$2:$C$2001,F193,LOG!$E$2:$E$2001,"",LOG!$D$2:$D$2001,"*BOOKED"),IF(_xlfn.MINIFS(LOG!$G$2:$G$2001,LOG!$C$2:$C$2001,F193,LOG!$E$2:$E$2001,"",LOG!$D$2:$D$2001,"*BOOKED")=0,_xlfn.MINIFS(LOG!$G$2:$G$2001,LOG!$C$2:$C$2001,F193,LOG!$E$2:$E$2001,B193,LOG!$D$2:$D$2001,"*BOOKED"),MIN(_xlfn.MINIFS(LOG!$G$2:$G$2001,LOG!$C$2:$C$2001,F193,LOG!$E$2:$E$2001,B193,LOG!$D$2:$D$2001,"*BOOKED"),_xlfn.MINIFS(LOG!$G$2:$G$2001,LOG!$C$2:$C$2001,F193,LOG!$E$2:$E$2001,"",LOG!$D$2:$D$2001,"*BOOKED")))),"")</f>
        <v>46309.406357890221</v>
      </c>
      <c r="AN193" s="28">
        <f t="shared" si="29"/>
        <v>13.902589365374297</v>
      </c>
      <c r="AO193" s="28">
        <f>IF(AND(M193=1,AN193&lt;&gt;""),IF(AN193&lt;=SETTINGS!$B$5,1,0),0)</f>
        <v>1</v>
      </c>
      <c r="AP193" s="28">
        <f>IF(M193=1,IF(COUNTIFS(LOG!$C$2:$C$2001,F193,LOG!$E$2:$E$2001,B193,LOG!$D$2:$D$2001,"BOOKED")+COUNTIFS(LOG!$C$2:$C$2001,F193,LOG!$E$2:$E$2001,"",LOG!$D$2:$D$2001,"BOOKED")&gt;0,1,0),0)</f>
        <v>0</v>
      </c>
      <c r="AQ193" s="28" t="str">
        <f t="shared" si="30"/>
        <v>Manav</v>
      </c>
      <c r="AR193" s="28">
        <f>IF(AND(AK193=1,K193="OK"),COUNTIFS($AK$2:AK193,1,$K$2:K193,"OK"),"")</f>
        <v>171</v>
      </c>
      <c r="AS193" s="28" t="str">
        <f>IF(L193=1,IFERROR(INDEX(MESSAGES!$J$9:$J$1008,MATCH(F193,MESSAGES!$M$9:$M$1008,0))&amp;"",""),"")</f>
        <v/>
      </c>
      <c r="AT193" s="28" t="str">
        <f>IF(L193=1,IFERROR(INDEX(MESSAGES!$K$9:$K$1008,MATCH(F193,MESSAGES!$M$9:$M$1008,0))&amp;"",""),"")</f>
        <v/>
      </c>
      <c r="AU193" s="28">
        <f t="shared" ca="1" si="31"/>
        <v>0</v>
      </c>
      <c r="AV193" s="28" t="str">
        <f t="shared" si="32"/>
        <v>HOLD</v>
      </c>
    </row>
    <row r="194" spans="1:48" x14ac:dyDescent="0.35">
      <c r="A194" s="28">
        <v>193</v>
      </c>
      <c r="B194" s="28" t="str">
        <f>IF(INPUT!A194="","",TRIM(INPUT!A194))</f>
        <v>Partner 008</v>
      </c>
      <c r="C194" s="28" t="str">
        <f>IF(B194="","",INPUT!C194)</f>
        <v>interviewer2@partner008.example.com</v>
      </c>
      <c r="D194" s="28" t="str">
        <f>IF(B194="","",INPUT!D194)</f>
        <v>Dev H.</v>
      </c>
      <c r="E194" s="28" t="str">
        <f>IF(B194="","",INPUT!E194)</f>
        <v>dev.h222@example.com</v>
      </c>
      <c r="F194" s="43" t="str">
        <f>IF(B194="","",TRIM(INPUT!F194&amp;""))</f>
        <v>9000002893</v>
      </c>
      <c r="G194" s="28" t="str">
        <f>IF(B194="","",INPUT!H194)</f>
        <v>Round1</v>
      </c>
      <c r="H194" s="46">
        <f>IF(B194="","",INPUT!I194)</f>
        <v>46308.82708333333</v>
      </c>
      <c r="I194" s="28" t="str">
        <f>IF(B194="","",IF(INPUT!J194="","None",INPUT!J194))</f>
        <v>Clicked</v>
      </c>
      <c r="J194" s="28" t="str">
        <f t="shared" ref="J194:J257" si="33">IF(B194="","",LOWER(E194)&amp;"|"&amp;LOWER(B194)&amp;"|"&amp;G194&amp;"|"&amp;LOWER(C194))</f>
        <v>dev.h222@example.com|partner 008|Round1|interviewer2@partner008.example.com</v>
      </c>
      <c r="K194" s="28" t="str">
        <f>IF(B194="","",IF(SUMPRODUCT(($J$2:$J$601=J194)*($H$2:$H$601&lt;H194))+SUMPRODUCT(($J$2:J194=J194)*($H$2:H194=H194))-1&gt;0,"DUPLICATE",IF(AND(ISNUMBER(SEARCH("@",E194)),ISNUMBER(SEARCH(".",E194)),LEN(F194)=10,ISNUMBER(VALUE(F194))),"OK","BAD CONTACT")))</f>
        <v>OK</v>
      </c>
      <c r="L194" s="28">
        <f t="shared" ref="L194:L257" si="34">IF(B194="",0,IF(K194="DUPLICATE",0,1))</f>
        <v>1</v>
      </c>
      <c r="M194" s="28">
        <f>IF(L194=1,IF(COUNTIFS(LOG!$C$2:$C$2001,F194,LOG!$E$2:$E$2001,B194,LOG!$D$2:$D$2001,"*BOOKED")+COUNTIFS(LOG!$C$2:$C$2001,F194,LOG!$E$2:$E$2001,"",LOG!$D$2:$D$2001,"*BOOKED")&gt;0,1,0),0)</f>
        <v>1</v>
      </c>
      <c r="N194" s="28">
        <f>IF(L194=1,IF(COUNTIFS(LOG!$C$2:$C$2001,F194,LOG!$E$2:$E$2001,B194,LOG!$D$2:$D$2001,"NOT_INTERESTED")+COUNTIFS(LOG!$C$2:$C$2001,F194,LOG!$E$2:$E$2001,"",LOG!$D$2:$D$2001,"NOT_INTERESTED")&gt;0,1,0),0)</f>
        <v>0</v>
      </c>
      <c r="O194" s="28">
        <f>IF(L194=1,IF(COUNTIFS(LOG!$C$2:$C$2001,F194,LOG!$D$2:$D$2001,"STOP")+COUNTIFS(LOG!$C$2:$C$2001,F194,LOG!$D$2:$D$2001,"WRONG_NUMBER")&gt;0,1,IF(ISNUMBER(SEARCH("STOP",AT194)),1,0)),0)</f>
        <v>0</v>
      </c>
      <c r="P194" s="28">
        <f>IF(L194=1,IF(IFERROR(INDEX(PARTNERS!$D$2:$D$88,MATCH(B194,PARTNERS!$A$2:$A$88,0)),"")="NO SLOTS",1,IF(AND(IFERROR(INDEX(PARTNERS!$D$2:$D$88,MATCH(B194,PARTNERS!$A$2:$A$88,0)),"")&lt;&gt;"REOPENED",COUNTIFS(LOG!$E$2:$E$2001,B194,LOG!$D$2:$D$2001,"NO_SLOTS")&gt;0),1,0)),0)</f>
        <v>0</v>
      </c>
      <c r="Q194" s="28">
        <f>IF(L194=1,COUNTIFS(LOG!$C$2:$C$2001,F194,LOG!$H$2:$H$2001,1),0)</f>
        <v>2</v>
      </c>
      <c r="R194" s="46">
        <f>IF(Q194&gt;0,_xlfn.MAXIFS(LOG!$G$2:$G$2001,LOG!$C$2:$C$2001,F194,LOG!$H$2:$H$2001,1),0)</f>
        <v>46309.737605139213</v>
      </c>
      <c r="S194" s="28" t="str">
        <f>IF(Q194&gt;0,IFERROR(INDEX(LOG!$D$2:$D$2001,MATCH(F194&amp;"|"&amp;Q194,LOG!$I$2:$I$2001,0)),""),"")</f>
        <v>BOOKED</v>
      </c>
      <c r="T194" s="28">
        <f>IF(S194="",0,IFERROR(VLOOKUP(S194,LISTS!$A$2:$E$10,4,FALSE),0))</f>
        <v>0</v>
      </c>
      <c r="U194" s="46">
        <f t="shared" ref="U194:U257" si="35">IF(Q194=0,0,R194+T194/1440)</f>
        <v>46309.737605139213</v>
      </c>
      <c r="V194" s="46">
        <f>IF(L194=1,H194+SETTINGS!$B$5/24,"")</f>
        <v>46309.82708333333</v>
      </c>
      <c r="W194" s="28">
        <f ca="1">IF(L194=1,(V194-SETTINGS!$B$4)*24,"")</f>
        <v>-1.6666666720993817E-2</v>
      </c>
      <c r="X194" s="28">
        <f ca="1">IF(AND(L194=1,K194="OK",M194=0,N194=0,O194=0,P194=0,SETTINGS!$B$4&lt;V194,Q194&lt;SETTINGS!$B$6),1,0)</f>
        <v>0</v>
      </c>
      <c r="Y194" s="28">
        <f ca="1">IF(AND(X194=1,SETTINGS!$B$4&gt;=H194,SETTINGS!$B$4&gt;=U194,ROUND(MOD(SETTINGS!$B$4,1)*1440,0)&gt;=ROUND(SETTINGS!$B$7*1440,0),ROUND(MOD(SETTINGS!$B$4,1)*1440,0)&lt;ROUND(SETTINGS!$B$8*1440,0)),1,0)</f>
        <v>0</v>
      </c>
      <c r="Z194" s="28" t="str">
        <f ca="1">IF(B194="","",IF(ROUND(MOD(SETTINGS!$B$4,1)*1440,0)&lt;ROUND(SETTINGS!$B$11*1440,0),"Ram",IF(ROUND(MOD(SETTINGS!$B$4,1)*1440,0)&gt;=ROUND(SETTINGS!$B$10*1440,0),"Shyam",IF(MOD(IFERROR(VALUE(RIGHT(F194,2)),0),2)=0,"Ram","Shyam"))))</f>
        <v>Shyam</v>
      </c>
      <c r="AA194" s="28">
        <f t="shared" ref="AA194:AA257" ca="1" si="36">IF(X194=1,COUNTIFS($F$2:$F$601,F194,$X$2:$X$601,1),0)</f>
        <v>0</v>
      </c>
      <c r="AB194" s="28">
        <f ca="1">IF(X194=1,COUNTIFS($F$2:F194,F194,$X$2:X194,1),0)</f>
        <v>0</v>
      </c>
      <c r="AC194" s="28" t="str">
        <f>IF(L194=1,IF(IFERROR(INDEX(PARTNERS!$C$2:$C$88,MATCH(B194,PARTNERS!$A$2:$A$88,0)),"")="YES","YES","NO"),"")</f>
        <v>YES</v>
      </c>
      <c r="AD194" s="28" t="str">
        <f>IF(L194=1,IFERROR(INDEX(PARTNERS!$B$2:$B$88,MATCH(B194,PARTNERS!$A$2:$A$88,0)),""),"")</f>
        <v>https://calendly.com/partner008/interview</v>
      </c>
      <c r="AE194" s="28">
        <f ca="1">IF(X194=1,IFERROR(INDEX(SETTINGS!$B$34:$D$36,MATCH(I194,SETTINGS!$A$34:$A$36,0),MIN(Q194,2)+1),SETTINGS!$B$36),0)</f>
        <v>0</v>
      </c>
      <c r="AF194" s="28">
        <f t="shared" ref="AF194:AF257" si="37">IF(L194=1,IFERROR(VALUE(RIGHT(G194,1)),1),0)</f>
        <v>1</v>
      </c>
      <c r="AG194" s="28">
        <f ca="1">IF(AND(Y194=1,AB194=1),ROUND(AA194*AE194*IF(AF194&gt;1,SETTINGS!$B$16,1)*IF(W194&lt;=SETTINGS!$B$14,SETTINGS!$B$15,1)*IF(AU194=1,SETTINGS!$B$21,1),6),0)</f>
        <v>0</v>
      </c>
      <c r="AH194" s="28" t="str">
        <f ca="1">IF(AG194&gt;0,COUNTIFS($Z$2:$Z$601,Z194,$AG$2:$AG$601,"&gt;"&amp;AG194)+COUNTIFS($Z$2:Z194,Z194,$AG$2:AG194,AG194),"")</f>
        <v/>
      </c>
      <c r="AI194" s="28" t="str">
        <f t="shared" ref="AI194:AI257" ca="1" si="38">IF(AH194&lt;&gt;"",Z194&amp;"|"&amp;AH194,"")</f>
        <v/>
      </c>
      <c r="AJ194" s="28" t="str">
        <f t="shared" ref="AJ194:AJ257" ca="1" si="39">IF(X194=1,F194&amp;"|"&amp;AB194,"")</f>
        <v/>
      </c>
      <c r="AK194" s="28">
        <f>IF(L194=1,IF(COUNTIFS($F$2:F194,F194,$L$2:L194,1)=1,1,0),0)</f>
        <v>1</v>
      </c>
      <c r="AL194" s="28" t="str">
        <f>IF(B194="","",IF(K194="DUPLICATE","Duplicate (removed)",IF(AO194=1,"Scheduled within 24h",IF(M194=1,"Scheduled late",IF(K194="BAD CONTACT","Bad contact details",IF(O194=1,"Stopped / wrong number",IF(N194=1,"Not interested",IF(P194=1,"Partner has no slots",IF(SETTINGS!$B$4&gt;=V194,IF(Q194=0,"Missed deadline: never tried","Missed deadline: tried, not booked"),IF(Q194&gt;=SETTINGS!$B$6,"No reply after max tries","Open"))))))))))</f>
        <v>Scheduled within 24h</v>
      </c>
      <c r="AM194" s="46">
        <f>IF(M194=1,IF(_xlfn.MINIFS(LOG!$G$2:$G$2001,LOG!$C$2:$C$2001,F194,LOG!$E$2:$E$2001,B194,LOG!$D$2:$D$2001,"*BOOKED")=0,_xlfn.MINIFS(LOG!$G$2:$G$2001,LOG!$C$2:$C$2001,F194,LOG!$E$2:$E$2001,"",LOG!$D$2:$D$2001,"*BOOKED"),IF(_xlfn.MINIFS(LOG!$G$2:$G$2001,LOG!$C$2:$C$2001,F194,LOG!$E$2:$E$2001,"",LOG!$D$2:$D$2001,"*BOOKED")=0,_xlfn.MINIFS(LOG!$G$2:$G$2001,LOG!$C$2:$C$2001,F194,LOG!$E$2:$E$2001,B194,LOG!$D$2:$D$2001,"*BOOKED"),MIN(_xlfn.MINIFS(LOG!$G$2:$G$2001,LOG!$C$2:$C$2001,F194,LOG!$E$2:$E$2001,B194,LOG!$D$2:$D$2001,"*BOOKED"),_xlfn.MINIFS(LOG!$G$2:$G$2001,LOG!$C$2:$C$2001,F194,LOG!$E$2:$E$2001,"",LOG!$D$2:$D$2001,"*BOOKED")))),"")</f>
        <v>46309.737605139213</v>
      </c>
      <c r="AN194" s="28">
        <f t="shared" ref="AN194:AN257" si="40">IF(M194=1,(AM194-H194)*24,"")</f>
        <v>21.852523341192864</v>
      </c>
      <c r="AO194" s="28">
        <f>IF(AND(M194=1,AN194&lt;&gt;""),IF(AN194&lt;=SETTINGS!$B$5,1,0),0)</f>
        <v>1</v>
      </c>
      <c r="AP194" s="28">
        <f>IF(M194=1,IF(COUNTIFS(LOG!$C$2:$C$2001,F194,LOG!$E$2:$E$2001,B194,LOG!$D$2:$D$2001,"BOOKED")+COUNTIFS(LOG!$C$2:$C$2001,F194,LOG!$E$2:$E$2001,"",LOG!$D$2:$D$2001,"BOOKED")&gt;0,1,0),0)</f>
        <v>1</v>
      </c>
      <c r="AQ194" s="28" t="str">
        <f t="shared" ref="AQ194:AQ257" si="41">IF(B194="","",LEFT(D194,FIND(" ",D194&amp;" ")-1))</f>
        <v>Dev</v>
      </c>
      <c r="AR194" s="28">
        <f>IF(AND(AK194=1,K194="OK"),COUNTIFS($AK$2:AK194,1,$K$2:K194,"OK"),"")</f>
        <v>172</v>
      </c>
      <c r="AS194" s="28" t="str">
        <f>IF(L194=1,IFERROR(INDEX(MESSAGES!$J$9:$J$1008,MATCH(F194,MESSAGES!$M$9:$M$1008,0))&amp;"",""),"")</f>
        <v/>
      </c>
      <c r="AT194" s="28" t="str">
        <f>IF(L194=1,IFERROR(INDEX(MESSAGES!$K$9:$K$1008,MATCH(F194,MESSAGES!$M$9:$M$1008,0))&amp;"",""),"")</f>
        <v/>
      </c>
      <c r="AU194" s="28">
        <f t="shared" ref="AU194:AU257" ca="1" si="42">IF(AND(X194=1,ISNUMBER(SEARCH("YES",AT194))),1,0)</f>
        <v>0</v>
      </c>
      <c r="AV194" s="28" t="str">
        <f t="shared" ref="AV194:AV257" si="43">IF(L194=1,IF(MOD(IFERROR(VALUE(MID(F194,9,1)),0),2)=0,"SEND","HOLD"),"")</f>
        <v>HOLD</v>
      </c>
    </row>
    <row r="195" spans="1:48" x14ac:dyDescent="0.35">
      <c r="A195" s="28">
        <v>194</v>
      </c>
      <c r="B195" s="28" t="str">
        <f>IF(INPUT!A195="","",TRIM(INPUT!A195))</f>
        <v>Partner 017</v>
      </c>
      <c r="C195" s="28" t="str">
        <f>IF(B195="","",INPUT!C195)</f>
        <v>interviewer2@partner017.example.com</v>
      </c>
      <c r="D195" s="28" t="str">
        <f>IF(B195="","",INPUT!D195)</f>
        <v>Reyansh D.</v>
      </c>
      <c r="E195" s="28" t="str">
        <f>IF(B195="","",INPUT!E195)</f>
        <v>reyansh.d096@example.com</v>
      </c>
      <c r="F195" s="43" t="str">
        <f>IF(B195="","",TRIM(INPUT!F195&amp;""))</f>
        <v>9000001255</v>
      </c>
      <c r="G195" s="28" t="str">
        <f>IF(B195="","",INPUT!H195)</f>
        <v>Round1</v>
      </c>
      <c r="H195" s="46">
        <f>IF(B195="","",INPUT!I195)</f>
        <v>46308.82708333333</v>
      </c>
      <c r="I195" s="28" t="str">
        <f>IF(B195="","",IF(INPUT!J195="","None",INPUT!J195))</f>
        <v>Opened</v>
      </c>
      <c r="J195" s="28" t="str">
        <f t="shared" si="33"/>
        <v>reyansh.d096@example.com|partner 017|Round1|interviewer2@partner017.example.com</v>
      </c>
      <c r="K195" s="28" t="str">
        <f>IF(B195="","",IF(SUMPRODUCT(($J$2:$J$601=J195)*($H$2:$H$601&lt;H195))+SUMPRODUCT(($J$2:J195=J195)*($H$2:H195=H195))-1&gt;0,"DUPLICATE",IF(AND(ISNUMBER(SEARCH("@",E195)),ISNUMBER(SEARCH(".",E195)),LEN(F195)=10,ISNUMBER(VALUE(F195))),"OK","BAD CONTACT")))</f>
        <v>OK</v>
      </c>
      <c r="L195" s="28">
        <f t="shared" si="34"/>
        <v>1</v>
      </c>
      <c r="M195" s="28">
        <f>IF(L195=1,IF(COUNTIFS(LOG!$C$2:$C$2001,F195,LOG!$E$2:$E$2001,B195,LOG!$D$2:$D$2001,"*BOOKED")+COUNTIFS(LOG!$C$2:$C$2001,F195,LOG!$E$2:$E$2001,"",LOG!$D$2:$D$2001,"*BOOKED")&gt;0,1,0),0)</f>
        <v>1</v>
      </c>
      <c r="N195" s="28">
        <f>IF(L195=1,IF(COUNTIFS(LOG!$C$2:$C$2001,F195,LOG!$E$2:$E$2001,B195,LOG!$D$2:$D$2001,"NOT_INTERESTED")+COUNTIFS(LOG!$C$2:$C$2001,F195,LOG!$E$2:$E$2001,"",LOG!$D$2:$D$2001,"NOT_INTERESTED")&gt;0,1,0),0)</f>
        <v>0</v>
      </c>
      <c r="O195" s="28">
        <f>IF(L195=1,IF(COUNTIFS(LOG!$C$2:$C$2001,F195,LOG!$D$2:$D$2001,"STOP")+COUNTIFS(LOG!$C$2:$C$2001,F195,LOG!$D$2:$D$2001,"WRONG_NUMBER")&gt;0,1,IF(ISNUMBER(SEARCH("STOP",AT195)),1,0)),0)</f>
        <v>0</v>
      </c>
      <c r="P195" s="28">
        <f>IF(L195=1,IF(IFERROR(INDEX(PARTNERS!$D$2:$D$88,MATCH(B195,PARTNERS!$A$2:$A$88,0)),"")="NO SLOTS",1,IF(AND(IFERROR(INDEX(PARTNERS!$D$2:$D$88,MATCH(B195,PARTNERS!$A$2:$A$88,0)),"")&lt;&gt;"REOPENED",COUNTIFS(LOG!$E$2:$E$2001,B195,LOG!$D$2:$D$2001,"NO_SLOTS")&gt;0),1,0)),0)</f>
        <v>0</v>
      </c>
      <c r="Q195" s="28">
        <f>IF(L195=1,COUNTIFS(LOG!$C$2:$C$2001,F195,LOG!$H$2:$H$2001,1),0)</f>
        <v>0</v>
      </c>
      <c r="R195" s="46">
        <f>IF(Q195&gt;0,_xlfn.MAXIFS(LOG!$G$2:$G$2001,LOG!$C$2:$C$2001,F195,LOG!$H$2:$H$2001,1),0)</f>
        <v>0</v>
      </c>
      <c r="S195" s="28" t="str">
        <f>IF(Q195&gt;0,IFERROR(INDEX(LOG!$D$2:$D$2001,MATCH(F195&amp;"|"&amp;Q195,LOG!$I$2:$I$2001,0)),""),"")</f>
        <v/>
      </c>
      <c r="T195" s="28">
        <f>IF(S195="",0,IFERROR(VLOOKUP(S195,LISTS!$A$2:$E$10,4,FALSE),0))</f>
        <v>0</v>
      </c>
      <c r="U195" s="46">
        <f t="shared" si="35"/>
        <v>0</v>
      </c>
      <c r="V195" s="46">
        <f>IF(L195=1,H195+SETTINGS!$B$5/24,"")</f>
        <v>46309.82708333333</v>
      </c>
      <c r="W195" s="28">
        <f ca="1">IF(L195=1,(V195-SETTINGS!$B$4)*24,"")</f>
        <v>-1.6666666720993817E-2</v>
      </c>
      <c r="X195" s="28">
        <f ca="1">IF(AND(L195=1,K195="OK",M195=0,N195=0,O195=0,P195=0,SETTINGS!$B$4&lt;V195,Q195&lt;SETTINGS!$B$6),1,0)</f>
        <v>0</v>
      </c>
      <c r="Y195" s="28">
        <f ca="1">IF(AND(X195=1,SETTINGS!$B$4&gt;=H195,SETTINGS!$B$4&gt;=U195,ROUND(MOD(SETTINGS!$B$4,1)*1440,0)&gt;=ROUND(SETTINGS!$B$7*1440,0),ROUND(MOD(SETTINGS!$B$4,1)*1440,0)&lt;ROUND(SETTINGS!$B$8*1440,0)),1,0)</f>
        <v>0</v>
      </c>
      <c r="Z195" s="28" t="str">
        <f ca="1">IF(B195="","",IF(ROUND(MOD(SETTINGS!$B$4,1)*1440,0)&lt;ROUND(SETTINGS!$B$11*1440,0),"Ram",IF(ROUND(MOD(SETTINGS!$B$4,1)*1440,0)&gt;=ROUND(SETTINGS!$B$10*1440,0),"Shyam",IF(MOD(IFERROR(VALUE(RIGHT(F195,2)),0),2)=0,"Ram","Shyam"))))</f>
        <v>Shyam</v>
      </c>
      <c r="AA195" s="28">
        <f t="shared" ca="1" si="36"/>
        <v>0</v>
      </c>
      <c r="AB195" s="28">
        <f ca="1">IF(X195=1,COUNTIFS($F$2:F195,F195,$X$2:X195,1),0)</f>
        <v>0</v>
      </c>
      <c r="AC195" s="28" t="str">
        <f>IF(L195=1,IF(IFERROR(INDEX(PARTNERS!$C$2:$C$88,MATCH(B195,PARTNERS!$A$2:$A$88,0)),"")="YES","YES","NO"),"")</f>
        <v>YES</v>
      </c>
      <c r="AD195" s="28" t="str">
        <f>IF(L195=1,IFERROR(INDEX(PARTNERS!$B$2:$B$88,MATCH(B195,PARTNERS!$A$2:$A$88,0)),""),"")</f>
        <v>https://calendly.com/partner017/interview</v>
      </c>
      <c r="AE195" s="28">
        <f ca="1">IF(X195=1,IFERROR(INDEX(SETTINGS!$B$34:$D$36,MATCH(I195,SETTINGS!$A$34:$A$36,0),MIN(Q195,2)+1),SETTINGS!$B$36),0)</f>
        <v>0</v>
      </c>
      <c r="AF195" s="28">
        <f t="shared" si="37"/>
        <v>1</v>
      </c>
      <c r="AG195" s="28">
        <f ca="1">IF(AND(Y195=1,AB195=1),ROUND(AA195*AE195*IF(AF195&gt;1,SETTINGS!$B$16,1)*IF(W195&lt;=SETTINGS!$B$14,SETTINGS!$B$15,1)*IF(AU195=1,SETTINGS!$B$21,1),6),0)</f>
        <v>0</v>
      </c>
      <c r="AH195" s="28" t="str">
        <f ca="1">IF(AG195&gt;0,COUNTIFS($Z$2:$Z$601,Z195,$AG$2:$AG$601,"&gt;"&amp;AG195)+COUNTIFS($Z$2:Z195,Z195,$AG$2:AG195,AG195),"")</f>
        <v/>
      </c>
      <c r="AI195" s="28" t="str">
        <f t="shared" ca="1" si="38"/>
        <v/>
      </c>
      <c r="AJ195" s="28" t="str">
        <f t="shared" ca="1" si="39"/>
        <v/>
      </c>
      <c r="AK195" s="28">
        <f>IF(L195=1,IF(COUNTIFS($F$2:F195,F195,$L$2:L195,1)=1,1,0),0)</f>
        <v>1</v>
      </c>
      <c r="AL195" s="28" t="str">
        <f>IF(B195="","",IF(K195="DUPLICATE","Duplicate (removed)",IF(AO195=1,"Scheduled within 24h",IF(M195=1,"Scheduled late",IF(K195="BAD CONTACT","Bad contact details",IF(O195=1,"Stopped / wrong number",IF(N195=1,"Not interested",IF(P195=1,"Partner has no slots",IF(SETTINGS!$B$4&gt;=V195,IF(Q195=0,"Missed deadline: never tried","Missed deadline: tried, not booked"),IF(Q195&gt;=SETTINGS!$B$6,"No reply after max tries","Open"))))))))))</f>
        <v>Scheduled within 24h</v>
      </c>
      <c r="AM195" s="46">
        <f>IF(M195=1,IF(_xlfn.MINIFS(LOG!$G$2:$G$2001,LOG!$C$2:$C$2001,F195,LOG!$E$2:$E$2001,B195,LOG!$D$2:$D$2001,"*BOOKED")=0,_xlfn.MINIFS(LOG!$G$2:$G$2001,LOG!$C$2:$C$2001,F195,LOG!$E$2:$E$2001,"",LOG!$D$2:$D$2001,"*BOOKED"),IF(_xlfn.MINIFS(LOG!$G$2:$G$2001,LOG!$C$2:$C$2001,F195,LOG!$E$2:$E$2001,"",LOG!$D$2:$D$2001,"*BOOKED")=0,_xlfn.MINIFS(LOG!$G$2:$G$2001,LOG!$C$2:$C$2001,F195,LOG!$E$2:$E$2001,B195,LOG!$D$2:$D$2001,"*BOOKED"),MIN(_xlfn.MINIFS(LOG!$G$2:$G$2001,LOG!$C$2:$C$2001,F195,LOG!$E$2:$E$2001,B195,LOG!$D$2:$D$2001,"*BOOKED"),_xlfn.MINIFS(LOG!$G$2:$G$2001,LOG!$C$2:$C$2001,F195,LOG!$E$2:$E$2001,"",LOG!$D$2:$D$2001,"*BOOKED")))),"")</f>
        <v>46308.910405479335</v>
      </c>
      <c r="AN195" s="28">
        <f t="shared" si="40"/>
        <v>1.9997315041255206</v>
      </c>
      <c r="AO195" s="28">
        <f>IF(AND(M195=1,AN195&lt;&gt;""),IF(AN195&lt;=SETTINGS!$B$5,1,0),0)</f>
        <v>1</v>
      </c>
      <c r="AP195" s="28">
        <f>IF(M195=1,IF(COUNTIFS(LOG!$C$2:$C$2001,F195,LOG!$E$2:$E$2001,B195,LOG!$D$2:$D$2001,"BOOKED")+COUNTIFS(LOG!$C$2:$C$2001,F195,LOG!$E$2:$E$2001,"",LOG!$D$2:$D$2001,"BOOKED")&gt;0,1,0),0)</f>
        <v>0</v>
      </c>
      <c r="AQ195" s="28" t="str">
        <f t="shared" si="41"/>
        <v>Reyansh</v>
      </c>
      <c r="AR195" s="28">
        <f>IF(AND(AK195=1,K195="OK"),COUNTIFS($AK$2:AK195,1,$K$2:K195,"OK"),"")</f>
        <v>173</v>
      </c>
      <c r="AS195" s="28" t="str">
        <f>IF(L195=1,IFERROR(INDEX(MESSAGES!$J$9:$J$1008,MATCH(F195,MESSAGES!$M$9:$M$1008,0))&amp;"",""),"")</f>
        <v/>
      </c>
      <c r="AT195" s="28" t="str">
        <f>IF(L195=1,IFERROR(INDEX(MESSAGES!$K$9:$K$1008,MATCH(F195,MESSAGES!$M$9:$M$1008,0))&amp;"",""),"")</f>
        <v/>
      </c>
      <c r="AU195" s="28">
        <f t="shared" ca="1" si="42"/>
        <v>0</v>
      </c>
      <c r="AV195" s="28" t="str">
        <f t="shared" si="43"/>
        <v>HOLD</v>
      </c>
    </row>
    <row r="196" spans="1:48" x14ac:dyDescent="0.35">
      <c r="A196" s="28">
        <v>195</v>
      </c>
      <c r="B196" s="28" t="str">
        <f>IF(INPUT!A196="","",TRIM(INPUT!A196))</f>
        <v>Partner 019</v>
      </c>
      <c r="C196" s="28" t="str">
        <f>IF(B196="","",INPUT!C196)</f>
        <v>interviewer2@partner019.example.com</v>
      </c>
      <c r="D196" s="28" t="str">
        <f>IF(B196="","",INPUT!D196)</f>
        <v>Aditya K.</v>
      </c>
      <c r="E196" s="28" t="str">
        <f>IF(B196="","",INPUT!E196)</f>
        <v>aditya.k292@example.com</v>
      </c>
      <c r="F196" s="43" t="str">
        <f>IF(B196="","",TRIM(INPUT!F196&amp;""))</f>
        <v>9000003803</v>
      </c>
      <c r="G196" s="28" t="str">
        <f>IF(B196="","",INPUT!H196)</f>
        <v>Round1</v>
      </c>
      <c r="H196" s="46">
        <f>IF(B196="","",INPUT!I196)</f>
        <v>46308.82708333333</v>
      </c>
      <c r="I196" s="28" t="str">
        <f>IF(B196="","",IF(INPUT!J196="","None",INPUT!J196))</f>
        <v>Opened</v>
      </c>
      <c r="J196" s="28" t="str">
        <f t="shared" si="33"/>
        <v>aditya.k292@example.com|partner 019|Round1|interviewer2@partner019.example.com</v>
      </c>
      <c r="K196" s="28" t="str">
        <f>IF(B196="","",IF(SUMPRODUCT(($J$2:$J$601=J196)*($H$2:$H$601&lt;H196))+SUMPRODUCT(($J$2:J196=J196)*($H$2:H196=H196))-1&gt;0,"DUPLICATE",IF(AND(ISNUMBER(SEARCH("@",E196)),ISNUMBER(SEARCH(".",E196)),LEN(F196)=10,ISNUMBER(VALUE(F196))),"OK","BAD CONTACT")))</f>
        <v>OK</v>
      </c>
      <c r="L196" s="28">
        <f t="shared" si="34"/>
        <v>1</v>
      </c>
      <c r="M196" s="28">
        <f>IF(L196=1,IF(COUNTIFS(LOG!$C$2:$C$2001,F196,LOG!$E$2:$E$2001,B196,LOG!$D$2:$D$2001,"*BOOKED")+COUNTIFS(LOG!$C$2:$C$2001,F196,LOG!$E$2:$E$2001,"",LOG!$D$2:$D$2001,"*BOOKED")&gt;0,1,0),0)</f>
        <v>1</v>
      </c>
      <c r="N196" s="28">
        <f>IF(L196=1,IF(COUNTIFS(LOG!$C$2:$C$2001,F196,LOG!$E$2:$E$2001,B196,LOG!$D$2:$D$2001,"NOT_INTERESTED")+COUNTIFS(LOG!$C$2:$C$2001,F196,LOG!$E$2:$E$2001,"",LOG!$D$2:$D$2001,"NOT_INTERESTED")&gt;0,1,0),0)</f>
        <v>0</v>
      </c>
      <c r="O196" s="28">
        <f>IF(L196=1,IF(COUNTIFS(LOG!$C$2:$C$2001,F196,LOG!$D$2:$D$2001,"STOP")+COUNTIFS(LOG!$C$2:$C$2001,F196,LOG!$D$2:$D$2001,"WRONG_NUMBER")&gt;0,1,IF(ISNUMBER(SEARCH("STOP",AT196)),1,0)),0)</f>
        <v>0</v>
      </c>
      <c r="P196" s="28">
        <f>IF(L196=1,IF(IFERROR(INDEX(PARTNERS!$D$2:$D$88,MATCH(B196,PARTNERS!$A$2:$A$88,0)),"")="NO SLOTS",1,IF(AND(IFERROR(INDEX(PARTNERS!$D$2:$D$88,MATCH(B196,PARTNERS!$A$2:$A$88,0)),"")&lt;&gt;"REOPENED",COUNTIFS(LOG!$E$2:$E$2001,B196,LOG!$D$2:$D$2001,"NO_SLOTS")&gt;0),1,0)),0)</f>
        <v>0</v>
      </c>
      <c r="Q196" s="28">
        <f>IF(L196=1,COUNTIFS(LOG!$C$2:$C$2001,F196,LOG!$H$2:$H$2001,1),0)</f>
        <v>1</v>
      </c>
      <c r="R196" s="46">
        <f>IF(Q196&gt;0,_xlfn.MAXIFS(LOG!$G$2:$G$2001,LOG!$C$2:$C$2001,F196,LOG!$H$2:$H$2001,1),0)</f>
        <v>46309.503856786425</v>
      </c>
      <c r="S196" s="28" t="str">
        <f>IF(Q196&gt;0,IFERROR(INDEX(LOG!$D$2:$D$2001,MATCH(F196&amp;"|"&amp;Q196,LOG!$I$2:$I$2001,0)),""),"")</f>
        <v>SENT_LINK</v>
      </c>
      <c r="T196" s="28">
        <f>IF(S196="",0,IFERROR(VLOOKUP(S196,LISTS!$A$2:$E$10,4,FALSE),0))</f>
        <v>180</v>
      </c>
      <c r="U196" s="46">
        <f t="shared" si="35"/>
        <v>46309.628856786425</v>
      </c>
      <c r="V196" s="46">
        <f>IF(L196=1,H196+SETTINGS!$B$5/24,"")</f>
        <v>46309.82708333333</v>
      </c>
      <c r="W196" s="28">
        <f ca="1">IF(L196=1,(V196-SETTINGS!$B$4)*24,"")</f>
        <v>-1.6666666720993817E-2</v>
      </c>
      <c r="X196" s="28">
        <f ca="1">IF(AND(L196=1,K196="OK",M196=0,N196=0,O196=0,P196=0,SETTINGS!$B$4&lt;V196,Q196&lt;SETTINGS!$B$6),1,0)</f>
        <v>0</v>
      </c>
      <c r="Y196" s="28">
        <f ca="1">IF(AND(X196=1,SETTINGS!$B$4&gt;=H196,SETTINGS!$B$4&gt;=U196,ROUND(MOD(SETTINGS!$B$4,1)*1440,0)&gt;=ROUND(SETTINGS!$B$7*1440,0),ROUND(MOD(SETTINGS!$B$4,1)*1440,0)&lt;ROUND(SETTINGS!$B$8*1440,0)),1,0)</f>
        <v>0</v>
      </c>
      <c r="Z196" s="28" t="str">
        <f ca="1">IF(B196="","",IF(ROUND(MOD(SETTINGS!$B$4,1)*1440,0)&lt;ROUND(SETTINGS!$B$11*1440,0),"Ram",IF(ROUND(MOD(SETTINGS!$B$4,1)*1440,0)&gt;=ROUND(SETTINGS!$B$10*1440,0),"Shyam",IF(MOD(IFERROR(VALUE(RIGHT(F196,2)),0),2)=0,"Ram","Shyam"))))</f>
        <v>Shyam</v>
      </c>
      <c r="AA196" s="28">
        <f t="shared" ca="1" si="36"/>
        <v>0</v>
      </c>
      <c r="AB196" s="28">
        <f ca="1">IF(X196=1,COUNTIFS($F$2:F196,F196,$X$2:X196,1),0)</f>
        <v>0</v>
      </c>
      <c r="AC196" s="28" t="str">
        <f>IF(L196=1,IF(IFERROR(INDEX(PARTNERS!$C$2:$C$88,MATCH(B196,PARTNERS!$A$2:$A$88,0)),"")="YES","YES","NO"),"")</f>
        <v>NO</v>
      </c>
      <c r="AD196" s="28" t="str">
        <f>IF(L196=1,IFERROR(INDEX(PARTNERS!$B$2:$B$88,MATCH(B196,PARTNERS!$A$2:$A$88,0)),""),"")</f>
        <v>https://calendly.com/partner019/interview</v>
      </c>
      <c r="AE196" s="28">
        <f ca="1">IF(X196=1,IFERROR(INDEX(SETTINGS!$B$34:$D$36,MATCH(I196,SETTINGS!$A$34:$A$36,0),MIN(Q196,2)+1),SETTINGS!$B$36),0)</f>
        <v>0</v>
      </c>
      <c r="AF196" s="28">
        <f t="shared" si="37"/>
        <v>1</v>
      </c>
      <c r="AG196" s="28">
        <f ca="1">IF(AND(Y196=1,AB196=1),ROUND(AA196*AE196*IF(AF196&gt;1,SETTINGS!$B$16,1)*IF(W196&lt;=SETTINGS!$B$14,SETTINGS!$B$15,1)*IF(AU196=1,SETTINGS!$B$21,1),6),0)</f>
        <v>0</v>
      </c>
      <c r="AH196" s="28" t="str">
        <f ca="1">IF(AG196&gt;0,COUNTIFS($Z$2:$Z$601,Z196,$AG$2:$AG$601,"&gt;"&amp;AG196)+COUNTIFS($Z$2:Z196,Z196,$AG$2:AG196,AG196),"")</f>
        <v/>
      </c>
      <c r="AI196" s="28" t="str">
        <f t="shared" ca="1" si="38"/>
        <v/>
      </c>
      <c r="AJ196" s="28" t="str">
        <f t="shared" ca="1" si="39"/>
        <v/>
      </c>
      <c r="AK196" s="28">
        <f>IF(L196=1,IF(COUNTIFS($F$2:F196,F196,$L$2:L196,1)=1,1,0),0)</f>
        <v>1</v>
      </c>
      <c r="AL196" s="28" t="str">
        <f>IF(B196="","",IF(K196="DUPLICATE","Duplicate (removed)",IF(AO196=1,"Scheduled within 24h",IF(M196=1,"Scheduled late",IF(K196="BAD CONTACT","Bad contact details",IF(O196=1,"Stopped / wrong number",IF(N196=1,"Not interested",IF(P196=1,"Partner has no slots",IF(SETTINGS!$B$4&gt;=V196,IF(Q196=0,"Missed deadline: never tried","Missed deadline: tried, not booked"),IF(Q196&gt;=SETTINGS!$B$6,"No reply after max tries","Open"))))))))))</f>
        <v>Scheduled within 24h</v>
      </c>
      <c r="AM196" s="46">
        <f>IF(M196=1,IF(_xlfn.MINIFS(LOG!$G$2:$G$2001,LOG!$C$2:$C$2001,F196,LOG!$E$2:$E$2001,B196,LOG!$D$2:$D$2001,"*BOOKED")=0,_xlfn.MINIFS(LOG!$G$2:$G$2001,LOG!$C$2:$C$2001,F196,LOG!$E$2:$E$2001,"",LOG!$D$2:$D$2001,"*BOOKED"),IF(_xlfn.MINIFS(LOG!$G$2:$G$2001,LOG!$C$2:$C$2001,F196,LOG!$E$2:$E$2001,"",LOG!$D$2:$D$2001,"*BOOKED")=0,_xlfn.MINIFS(LOG!$G$2:$G$2001,LOG!$C$2:$C$2001,F196,LOG!$E$2:$E$2001,B196,LOG!$D$2:$D$2001,"*BOOKED"),MIN(_xlfn.MINIFS(LOG!$G$2:$G$2001,LOG!$C$2:$C$2001,F196,LOG!$E$2:$E$2001,B196,LOG!$D$2:$D$2001,"*BOOKED"),_xlfn.MINIFS(LOG!$G$2:$G$2001,LOG!$C$2:$C$2001,F196,LOG!$E$2:$E$2001,"",LOG!$D$2:$D$2001,"*BOOKED")))),"")</f>
        <v>46309.57944899796</v>
      </c>
      <c r="AN196" s="28">
        <f t="shared" si="40"/>
        <v>18.056775951117743</v>
      </c>
      <c r="AO196" s="28">
        <f>IF(AND(M196=1,AN196&lt;&gt;""),IF(AN196&lt;=SETTINGS!$B$5,1,0),0)</f>
        <v>1</v>
      </c>
      <c r="AP196" s="28">
        <f>IF(M196=1,IF(COUNTIFS(LOG!$C$2:$C$2001,F196,LOG!$E$2:$E$2001,B196,LOG!$D$2:$D$2001,"BOOKED")+COUNTIFS(LOG!$C$2:$C$2001,F196,LOG!$E$2:$E$2001,"",LOG!$D$2:$D$2001,"BOOKED")&gt;0,1,0),0)</f>
        <v>0</v>
      </c>
      <c r="AQ196" s="28" t="str">
        <f t="shared" si="41"/>
        <v>Aditya</v>
      </c>
      <c r="AR196" s="28">
        <f>IF(AND(AK196=1,K196="OK"),COUNTIFS($AK$2:AK196,1,$K$2:K196,"OK"),"")</f>
        <v>174</v>
      </c>
      <c r="AS196" s="28" t="str">
        <f>IF(L196=1,IFERROR(INDEX(MESSAGES!$J$9:$J$1008,MATCH(F196,MESSAGES!$M$9:$M$1008,0))&amp;"",""),"")</f>
        <v/>
      </c>
      <c r="AT196" s="28" t="str">
        <f>IF(L196=1,IFERROR(INDEX(MESSAGES!$K$9:$K$1008,MATCH(F196,MESSAGES!$M$9:$M$1008,0))&amp;"",""),"")</f>
        <v/>
      </c>
      <c r="AU196" s="28">
        <f t="shared" ca="1" si="42"/>
        <v>0</v>
      </c>
      <c r="AV196" s="28" t="str">
        <f t="shared" si="43"/>
        <v>SEND</v>
      </c>
    </row>
    <row r="197" spans="1:48" x14ac:dyDescent="0.35">
      <c r="A197" s="28">
        <v>196</v>
      </c>
      <c r="B197" s="28" t="str">
        <f>IF(INPUT!A197="","",TRIM(INPUT!A197))</f>
        <v>Partner 004</v>
      </c>
      <c r="C197" s="28" t="str">
        <f>IF(B197="","",INPUT!C197)</f>
        <v>interviewer2@partner004.example.com</v>
      </c>
      <c r="D197" s="28" t="str">
        <f>IF(B197="","",INPUT!D197)</f>
        <v>Rohan H.</v>
      </c>
      <c r="E197" s="28" t="str">
        <f>IF(B197="","",INPUT!E197)</f>
        <v>rohan.h220@example.com</v>
      </c>
      <c r="F197" s="43" t="str">
        <f>IF(B197="","",TRIM(INPUT!F197&amp;""))</f>
        <v>9000002867</v>
      </c>
      <c r="G197" s="28" t="str">
        <f>IF(B197="","",INPUT!H197)</f>
        <v>Round1</v>
      </c>
      <c r="H197" s="46">
        <f>IF(B197="","",INPUT!I197)</f>
        <v>46308.829861111109</v>
      </c>
      <c r="I197" s="28" t="str">
        <f>IF(B197="","",IF(INPUT!J197="","None",INPUT!J197))</f>
        <v>Clicked</v>
      </c>
      <c r="J197" s="28" t="str">
        <f t="shared" si="33"/>
        <v>rohan.h220@example.com|partner 004|Round1|interviewer2@partner004.example.com</v>
      </c>
      <c r="K197" s="28" t="str">
        <f>IF(B197="","",IF(SUMPRODUCT(($J$2:$J$601=J197)*($H$2:$H$601&lt;H197))+SUMPRODUCT(($J$2:J197=J197)*($H$2:H197=H197))-1&gt;0,"DUPLICATE",IF(AND(ISNUMBER(SEARCH("@",E197)),ISNUMBER(SEARCH(".",E197)),LEN(F197)=10,ISNUMBER(VALUE(F197))),"OK","BAD CONTACT")))</f>
        <v>DUPLICATE</v>
      </c>
      <c r="L197" s="28">
        <f t="shared" si="34"/>
        <v>0</v>
      </c>
      <c r="M197" s="28">
        <f>IF(L197=1,IF(COUNTIFS(LOG!$C$2:$C$2001,F197,LOG!$E$2:$E$2001,B197,LOG!$D$2:$D$2001,"*BOOKED")+COUNTIFS(LOG!$C$2:$C$2001,F197,LOG!$E$2:$E$2001,"",LOG!$D$2:$D$2001,"*BOOKED")&gt;0,1,0),0)</f>
        <v>0</v>
      </c>
      <c r="N197" s="28">
        <f>IF(L197=1,IF(COUNTIFS(LOG!$C$2:$C$2001,F197,LOG!$E$2:$E$2001,B197,LOG!$D$2:$D$2001,"NOT_INTERESTED")+COUNTIFS(LOG!$C$2:$C$2001,F197,LOG!$E$2:$E$2001,"",LOG!$D$2:$D$2001,"NOT_INTERESTED")&gt;0,1,0),0)</f>
        <v>0</v>
      </c>
      <c r="O197" s="28">
        <f>IF(L197=1,IF(COUNTIFS(LOG!$C$2:$C$2001,F197,LOG!$D$2:$D$2001,"STOP")+COUNTIFS(LOG!$C$2:$C$2001,F197,LOG!$D$2:$D$2001,"WRONG_NUMBER")&gt;0,1,IF(ISNUMBER(SEARCH("STOP",AT197)),1,0)),0)</f>
        <v>0</v>
      </c>
      <c r="P197" s="28">
        <f>IF(L197=1,IF(IFERROR(INDEX(PARTNERS!$D$2:$D$88,MATCH(B197,PARTNERS!$A$2:$A$88,0)),"")="NO SLOTS",1,IF(AND(IFERROR(INDEX(PARTNERS!$D$2:$D$88,MATCH(B197,PARTNERS!$A$2:$A$88,0)),"")&lt;&gt;"REOPENED",COUNTIFS(LOG!$E$2:$E$2001,B197,LOG!$D$2:$D$2001,"NO_SLOTS")&gt;0),1,0)),0)</f>
        <v>0</v>
      </c>
      <c r="Q197" s="28">
        <f>IF(L197=1,COUNTIFS(LOG!$C$2:$C$2001,F197,LOG!$H$2:$H$2001,1),0)</f>
        <v>0</v>
      </c>
      <c r="R197" s="46">
        <f>IF(Q197&gt;0,_xlfn.MAXIFS(LOG!$G$2:$G$2001,LOG!$C$2:$C$2001,F197,LOG!$H$2:$H$2001,1),0)</f>
        <v>0</v>
      </c>
      <c r="S197" s="28" t="str">
        <f>IF(Q197&gt;0,IFERROR(INDEX(LOG!$D$2:$D$2001,MATCH(F197&amp;"|"&amp;Q197,LOG!$I$2:$I$2001,0)),""),"")</f>
        <v/>
      </c>
      <c r="T197" s="28">
        <f>IF(S197="",0,IFERROR(VLOOKUP(S197,LISTS!$A$2:$E$10,4,FALSE),0))</f>
        <v>0</v>
      </c>
      <c r="U197" s="46">
        <f t="shared" si="35"/>
        <v>0</v>
      </c>
      <c r="V197" s="46" t="str">
        <f>IF(L197=1,H197+SETTINGS!$B$5/24,"")</f>
        <v/>
      </c>
      <c r="W197" s="28" t="str">
        <f>IF(L197=1,(V197-SETTINGS!$B$4)*24,"")</f>
        <v/>
      </c>
      <c r="X197" s="28">
        <f ca="1">IF(AND(L197=1,K197="OK",M197=0,N197=0,O197=0,P197=0,SETTINGS!$B$4&lt;V197,Q197&lt;SETTINGS!$B$6),1,0)</f>
        <v>0</v>
      </c>
      <c r="Y197" s="28">
        <f ca="1">IF(AND(X197=1,SETTINGS!$B$4&gt;=H197,SETTINGS!$B$4&gt;=U197,ROUND(MOD(SETTINGS!$B$4,1)*1440,0)&gt;=ROUND(SETTINGS!$B$7*1440,0),ROUND(MOD(SETTINGS!$B$4,1)*1440,0)&lt;ROUND(SETTINGS!$B$8*1440,0)),1,0)</f>
        <v>0</v>
      </c>
      <c r="Z197" s="28" t="str">
        <f ca="1">IF(B197="","",IF(ROUND(MOD(SETTINGS!$B$4,1)*1440,0)&lt;ROUND(SETTINGS!$B$11*1440,0),"Ram",IF(ROUND(MOD(SETTINGS!$B$4,1)*1440,0)&gt;=ROUND(SETTINGS!$B$10*1440,0),"Shyam",IF(MOD(IFERROR(VALUE(RIGHT(F197,2)),0),2)=0,"Ram","Shyam"))))</f>
        <v>Shyam</v>
      </c>
      <c r="AA197" s="28">
        <f t="shared" ca="1" si="36"/>
        <v>0</v>
      </c>
      <c r="AB197" s="28">
        <f ca="1">IF(X197=1,COUNTIFS($F$2:F197,F197,$X$2:X197,1),0)</f>
        <v>0</v>
      </c>
      <c r="AC197" s="28" t="str">
        <f>IF(L197=1,IF(IFERROR(INDEX(PARTNERS!$C$2:$C$88,MATCH(B197,PARTNERS!$A$2:$A$88,0)),"")="YES","YES","NO"),"")</f>
        <v/>
      </c>
      <c r="AD197" s="28" t="str">
        <f>IF(L197=1,IFERROR(INDEX(PARTNERS!$B$2:$B$88,MATCH(B197,PARTNERS!$A$2:$A$88,0)),""),"")</f>
        <v/>
      </c>
      <c r="AE197" s="28">
        <f ca="1">IF(X197=1,IFERROR(INDEX(SETTINGS!$B$34:$D$36,MATCH(I197,SETTINGS!$A$34:$A$36,0),MIN(Q197,2)+1),SETTINGS!$B$36),0)</f>
        <v>0</v>
      </c>
      <c r="AF197" s="28">
        <f t="shared" si="37"/>
        <v>0</v>
      </c>
      <c r="AG197" s="28">
        <f ca="1">IF(AND(Y197=1,AB197=1),ROUND(AA197*AE197*IF(AF197&gt;1,SETTINGS!$B$16,1)*IF(W197&lt;=SETTINGS!$B$14,SETTINGS!$B$15,1)*IF(AU197=1,SETTINGS!$B$21,1),6),0)</f>
        <v>0</v>
      </c>
      <c r="AH197" s="28" t="str">
        <f ca="1">IF(AG197&gt;0,COUNTIFS($Z$2:$Z$601,Z197,$AG$2:$AG$601,"&gt;"&amp;AG197)+COUNTIFS($Z$2:Z197,Z197,$AG$2:AG197,AG197),"")</f>
        <v/>
      </c>
      <c r="AI197" s="28" t="str">
        <f t="shared" ca="1" si="38"/>
        <v/>
      </c>
      <c r="AJ197" s="28" t="str">
        <f t="shared" ca="1" si="39"/>
        <v/>
      </c>
      <c r="AK197" s="28">
        <f>IF(L197=1,IF(COUNTIFS($F$2:F197,F197,$L$2:L197,1)=1,1,0),0)</f>
        <v>0</v>
      </c>
      <c r="AL197" s="28" t="str">
        <f>IF(B197="","",IF(K197="DUPLICATE","Duplicate (removed)",IF(AO197=1,"Scheduled within 24h",IF(M197=1,"Scheduled late",IF(K197="BAD CONTACT","Bad contact details",IF(O197=1,"Stopped / wrong number",IF(N197=1,"Not interested",IF(P197=1,"Partner has no slots",IF(SETTINGS!$B$4&gt;=V197,IF(Q197=0,"Missed deadline: never tried","Missed deadline: tried, not booked"),IF(Q197&gt;=SETTINGS!$B$6,"No reply after max tries","Open"))))))))))</f>
        <v>Duplicate (removed)</v>
      </c>
      <c r="AM197" s="46" t="str">
        <f>IF(M197=1,IF(_xlfn.MINIFS(LOG!$G$2:$G$2001,LOG!$C$2:$C$2001,F197,LOG!$E$2:$E$2001,B197,LOG!$D$2:$D$2001,"*BOOKED")=0,_xlfn.MINIFS(LOG!$G$2:$G$2001,LOG!$C$2:$C$2001,F197,LOG!$E$2:$E$2001,"",LOG!$D$2:$D$2001,"*BOOKED"),IF(_xlfn.MINIFS(LOG!$G$2:$G$2001,LOG!$C$2:$C$2001,F197,LOG!$E$2:$E$2001,"",LOG!$D$2:$D$2001,"*BOOKED")=0,_xlfn.MINIFS(LOG!$G$2:$G$2001,LOG!$C$2:$C$2001,F197,LOG!$E$2:$E$2001,B197,LOG!$D$2:$D$2001,"*BOOKED"),MIN(_xlfn.MINIFS(LOG!$G$2:$G$2001,LOG!$C$2:$C$2001,F197,LOG!$E$2:$E$2001,B197,LOG!$D$2:$D$2001,"*BOOKED"),_xlfn.MINIFS(LOG!$G$2:$G$2001,LOG!$C$2:$C$2001,F197,LOG!$E$2:$E$2001,"",LOG!$D$2:$D$2001,"*BOOKED")))),"")</f>
        <v/>
      </c>
      <c r="AN197" s="28" t="str">
        <f t="shared" si="40"/>
        <v/>
      </c>
      <c r="AO197" s="28">
        <f>IF(AND(M197=1,AN197&lt;&gt;""),IF(AN197&lt;=SETTINGS!$B$5,1,0),0)</f>
        <v>0</v>
      </c>
      <c r="AP197" s="28">
        <f>IF(M197=1,IF(COUNTIFS(LOG!$C$2:$C$2001,F197,LOG!$E$2:$E$2001,B197,LOG!$D$2:$D$2001,"BOOKED")+COUNTIFS(LOG!$C$2:$C$2001,F197,LOG!$E$2:$E$2001,"",LOG!$D$2:$D$2001,"BOOKED")&gt;0,1,0),0)</f>
        <v>0</v>
      </c>
      <c r="AQ197" s="28" t="str">
        <f t="shared" si="41"/>
        <v>Rohan</v>
      </c>
      <c r="AR197" s="28" t="str">
        <f>IF(AND(AK197=1,K197="OK"),COUNTIFS($AK$2:AK197,1,$K$2:K197,"OK"),"")</f>
        <v/>
      </c>
      <c r="AS197" s="28" t="str">
        <f>IF(L197=1,IFERROR(INDEX(MESSAGES!$J$9:$J$1008,MATCH(F197,MESSAGES!$M$9:$M$1008,0))&amp;"",""),"")</f>
        <v/>
      </c>
      <c r="AT197" s="28" t="str">
        <f>IF(L197=1,IFERROR(INDEX(MESSAGES!$K$9:$K$1008,MATCH(F197,MESSAGES!$M$9:$M$1008,0))&amp;"",""),"")</f>
        <v/>
      </c>
      <c r="AU197" s="28">
        <f t="shared" ca="1" si="42"/>
        <v>0</v>
      </c>
      <c r="AV197" s="28" t="str">
        <f t="shared" si="43"/>
        <v/>
      </c>
    </row>
    <row r="198" spans="1:48" x14ac:dyDescent="0.35">
      <c r="A198" s="28">
        <v>197</v>
      </c>
      <c r="B198" s="28" t="str">
        <f>IF(INPUT!A198="","",TRIM(INPUT!A198))</f>
        <v>Partner 035</v>
      </c>
      <c r="C198" s="28" t="str">
        <f>IF(B198="","",INPUT!C198)</f>
        <v>interviewer0@partner035.example.com</v>
      </c>
      <c r="D198" s="28" t="str">
        <f>IF(B198="","",INPUT!D198)</f>
        <v>Meera K.</v>
      </c>
      <c r="E198" s="28" t="str">
        <f>IF(B198="","",INPUT!E198)</f>
        <v>meera.k277@example.com</v>
      </c>
      <c r="F198" s="43" t="str">
        <f>IF(B198="","",TRIM(INPUT!F198&amp;""))</f>
        <v>9000003608</v>
      </c>
      <c r="G198" s="28" t="str">
        <f>IF(B198="","",INPUT!H198)</f>
        <v>Round1</v>
      </c>
      <c r="H198" s="46">
        <f>IF(B198="","",INPUT!I198)</f>
        <v>46308.82708333333</v>
      </c>
      <c r="I198" s="28" t="str">
        <f>IF(B198="","",IF(INPUT!J198="","None",INPUT!J198))</f>
        <v>Clicked</v>
      </c>
      <c r="J198" s="28" t="str">
        <f t="shared" si="33"/>
        <v>meera.k277@example.com|partner 035|Round1|interviewer0@partner035.example.com</v>
      </c>
      <c r="K198" s="28" t="str">
        <f>IF(B198="","",IF(SUMPRODUCT(($J$2:$J$601=J198)*($H$2:$H$601&lt;H198))+SUMPRODUCT(($J$2:J198=J198)*($H$2:H198=H198))-1&gt;0,"DUPLICATE",IF(AND(ISNUMBER(SEARCH("@",E198)),ISNUMBER(SEARCH(".",E198)),LEN(F198)=10,ISNUMBER(VALUE(F198))),"OK","BAD CONTACT")))</f>
        <v>OK</v>
      </c>
      <c r="L198" s="28">
        <f t="shared" si="34"/>
        <v>1</v>
      </c>
      <c r="M198" s="28">
        <f>IF(L198=1,IF(COUNTIFS(LOG!$C$2:$C$2001,F198,LOG!$E$2:$E$2001,B198,LOG!$D$2:$D$2001,"*BOOKED")+COUNTIFS(LOG!$C$2:$C$2001,F198,LOG!$E$2:$E$2001,"",LOG!$D$2:$D$2001,"*BOOKED")&gt;0,1,0),0)</f>
        <v>1</v>
      </c>
      <c r="N198" s="28">
        <f>IF(L198=1,IF(COUNTIFS(LOG!$C$2:$C$2001,F198,LOG!$E$2:$E$2001,B198,LOG!$D$2:$D$2001,"NOT_INTERESTED")+COUNTIFS(LOG!$C$2:$C$2001,F198,LOG!$E$2:$E$2001,"",LOG!$D$2:$D$2001,"NOT_INTERESTED")&gt;0,1,0),0)</f>
        <v>0</v>
      </c>
      <c r="O198" s="28">
        <f>IF(L198=1,IF(COUNTIFS(LOG!$C$2:$C$2001,F198,LOG!$D$2:$D$2001,"STOP")+COUNTIFS(LOG!$C$2:$C$2001,F198,LOG!$D$2:$D$2001,"WRONG_NUMBER")&gt;0,1,IF(ISNUMBER(SEARCH("STOP",AT198)),1,0)),0)</f>
        <v>0</v>
      </c>
      <c r="P198" s="28">
        <f>IF(L198=1,IF(IFERROR(INDEX(PARTNERS!$D$2:$D$88,MATCH(B198,PARTNERS!$A$2:$A$88,0)),"")="NO SLOTS",1,IF(AND(IFERROR(INDEX(PARTNERS!$D$2:$D$88,MATCH(B198,PARTNERS!$A$2:$A$88,0)),"")&lt;&gt;"REOPENED",COUNTIFS(LOG!$E$2:$E$2001,B198,LOG!$D$2:$D$2001,"NO_SLOTS")&gt;0),1,0)),0)</f>
        <v>0</v>
      </c>
      <c r="Q198" s="28">
        <f>IF(L198=1,COUNTIFS(LOG!$C$2:$C$2001,F198,LOG!$H$2:$H$2001,1),0)</f>
        <v>0</v>
      </c>
      <c r="R198" s="46">
        <f>IF(Q198&gt;0,_xlfn.MAXIFS(LOG!$G$2:$G$2001,LOG!$C$2:$C$2001,F198,LOG!$H$2:$H$2001,1),0)</f>
        <v>0</v>
      </c>
      <c r="S198" s="28" t="str">
        <f>IF(Q198&gt;0,IFERROR(INDEX(LOG!$D$2:$D$2001,MATCH(F198&amp;"|"&amp;Q198,LOG!$I$2:$I$2001,0)),""),"")</f>
        <v/>
      </c>
      <c r="T198" s="28">
        <f>IF(S198="",0,IFERROR(VLOOKUP(S198,LISTS!$A$2:$E$10,4,FALSE),0))</f>
        <v>0</v>
      </c>
      <c r="U198" s="46">
        <f t="shared" si="35"/>
        <v>0</v>
      </c>
      <c r="V198" s="46">
        <f>IF(L198=1,H198+SETTINGS!$B$5/24,"")</f>
        <v>46309.82708333333</v>
      </c>
      <c r="W198" s="28">
        <f ca="1">IF(L198=1,(V198-SETTINGS!$B$4)*24,"")</f>
        <v>-1.6666666720993817E-2</v>
      </c>
      <c r="X198" s="28">
        <f ca="1">IF(AND(L198=1,K198="OK",M198=0,N198=0,O198=0,P198=0,SETTINGS!$B$4&lt;V198,Q198&lt;SETTINGS!$B$6),1,0)</f>
        <v>0</v>
      </c>
      <c r="Y198" s="28">
        <f ca="1">IF(AND(X198=1,SETTINGS!$B$4&gt;=H198,SETTINGS!$B$4&gt;=U198,ROUND(MOD(SETTINGS!$B$4,1)*1440,0)&gt;=ROUND(SETTINGS!$B$7*1440,0),ROUND(MOD(SETTINGS!$B$4,1)*1440,0)&lt;ROUND(SETTINGS!$B$8*1440,0)),1,0)</f>
        <v>0</v>
      </c>
      <c r="Z198" s="28" t="str">
        <f ca="1">IF(B198="","",IF(ROUND(MOD(SETTINGS!$B$4,1)*1440,0)&lt;ROUND(SETTINGS!$B$11*1440,0),"Ram",IF(ROUND(MOD(SETTINGS!$B$4,1)*1440,0)&gt;=ROUND(SETTINGS!$B$10*1440,0),"Shyam",IF(MOD(IFERROR(VALUE(RIGHT(F198,2)),0),2)=0,"Ram","Shyam"))))</f>
        <v>Shyam</v>
      </c>
      <c r="AA198" s="28">
        <f t="shared" ca="1" si="36"/>
        <v>0</v>
      </c>
      <c r="AB198" s="28">
        <f ca="1">IF(X198=1,COUNTIFS($F$2:F198,F198,$X$2:X198,1),0)</f>
        <v>0</v>
      </c>
      <c r="AC198" s="28" t="str">
        <f>IF(L198=1,IF(IFERROR(INDEX(PARTNERS!$C$2:$C$88,MATCH(B198,PARTNERS!$A$2:$A$88,0)),"")="YES","YES","NO"),"")</f>
        <v>NO</v>
      </c>
      <c r="AD198" s="28" t="str">
        <f>IF(L198=1,IFERROR(INDEX(PARTNERS!$B$2:$B$88,MATCH(B198,PARTNERS!$A$2:$A$88,0)),""),"")</f>
        <v>https://calendly.com/partner035/interview</v>
      </c>
      <c r="AE198" s="28">
        <f ca="1">IF(X198=1,IFERROR(INDEX(SETTINGS!$B$34:$D$36,MATCH(I198,SETTINGS!$A$34:$A$36,0),MIN(Q198,2)+1),SETTINGS!$B$36),0)</f>
        <v>0</v>
      </c>
      <c r="AF198" s="28">
        <f t="shared" si="37"/>
        <v>1</v>
      </c>
      <c r="AG198" s="28">
        <f ca="1">IF(AND(Y198=1,AB198=1),ROUND(AA198*AE198*IF(AF198&gt;1,SETTINGS!$B$16,1)*IF(W198&lt;=SETTINGS!$B$14,SETTINGS!$B$15,1)*IF(AU198=1,SETTINGS!$B$21,1),6),0)</f>
        <v>0</v>
      </c>
      <c r="AH198" s="28" t="str">
        <f ca="1">IF(AG198&gt;0,COUNTIFS($Z$2:$Z$601,Z198,$AG$2:$AG$601,"&gt;"&amp;AG198)+COUNTIFS($Z$2:Z198,Z198,$AG$2:AG198,AG198),"")</f>
        <v/>
      </c>
      <c r="AI198" s="28" t="str">
        <f t="shared" ca="1" si="38"/>
        <v/>
      </c>
      <c r="AJ198" s="28" t="str">
        <f t="shared" ca="1" si="39"/>
        <v/>
      </c>
      <c r="AK198" s="28">
        <f>IF(L198=1,IF(COUNTIFS($F$2:F198,F198,$L$2:L198,1)=1,1,0),0)</f>
        <v>1</v>
      </c>
      <c r="AL198" s="28" t="str">
        <f>IF(B198="","",IF(K198="DUPLICATE","Duplicate (removed)",IF(AO198=1,"Scheduled within 24h",IF(M198=1,"Scheduled late",IF(K198="BAD CONTACT","Bad contact details",IF(O198=1,"Stopped / wrong number",IF(N198=1,"Not interested",IF(P198=1,"Partner has no slots",IF(SETTINGS!$B$4&gt;=V198,IF(Q198=0,"Missed deadline: never tried","Missed deadline: tried, not booked"),IF(Q198&gt;=SETTINGS!$B$6,"No reply after max tries","Open"))))))))))</f>
        <v>Scheduled within 24h</v>
      </c>
      <c r="AM198" s="46">
        <f>IF(M198=1,IF(_xlfn.MINIFS(LOG!$G$2:$G$2001,LOG!$C$2:$C$2001,F198,LOG!$E$2:$E$2001,B198,LOG!$D$2:$D$2001,"*BOOKED")=0,_xlfn.MINIFS(LOG!$G$2:$G$2001,LOG!$C$2:$C$2001,F198,LOG!$E$2:$E$2001,"",LOG!$D$2:$D$2001,"*BOOKED"),IF(_xlfn.MINIFS(LOG!$G$2:$G$2001,LOG!$C$2:$C$2001,F198,LOG!$E$2:$E$2001,"",LOG!$D$2:$D$2001,"*BOOKED")=0,_xlfn.MINIFS(LOG!$G$2:$G$2001,LOG!$C$2:$C$2001,F198,LOG!$E$2:$E$2001,B198,LOG!$D$2:$D$2001,"*BOOKED"),MIN(_xlfn.MINIFS(LOG!$G$2:$G$2001,LOG!$C$2:$C$2001,F198,LOG!$E$2:$E$2001,B198,LOG!$D$2:$D$2001,"*BOOKED"),_xlfn.MINIFS(LOG!$G$2:$G$2001,LOG!$C$2:$C$2001,F198,LOG!$E$2:$E$2001,"",LOG!$D$2:$D$2001,"*BOOKED")))),"")</f>
        <v>46308.864745542371</v>
      </c>
      <c r="AN198" s="28">
        <f t="shared" si="40"/>
        <v>0.90389301697723567</v>
      </c>
      <c r="AO198" s="28">
        <f>IF(AND(M198=1,AN198&lt;&gt;""),IF(AN198&lt;=SETTINGS!$B$5,1,0),0)</f>
        <v>1</v>
      </c>
      <c r="AP198" s="28">
        <f>IF(M198=1,IF(COUNTIFS(LOG!$C$2:$C$2001,F198,LOG!$E$2:$E$2001,B198,LOG!$D$2:$D$2001,"BOOKED")+COUNTIFS(LOG!$C$2:$C$2001,F198,LOG!$E$2:$E$2001,"",LOG!$D$2:$D$2001,"BOOKED")&gt;0,1,0),0)</f>
        <v>0</v>
      </c>
      <c r="AQ198" s="28" t="str">
        <f t="shared" si="41"/>
        <v>Meera</v>
      </c>
      <c r="AR198" s="28">
        <f>IF(AND(AK198=1,K198="OK"),COUNTIFS($AK$2:AK198,1,$K$2:K198,"OK"),"")</f>
        <v>175</v>
      </c>
      <c r="AS198" s="28" t="str">
        <f>IF(L198=1,IFERROR(INDEX(MESSAGES!$J$9:$J$1008,MATCH(F198,MESSAGES!$M$9:$M$1008,0))&amp;"",""),"")</f>
        <v/>
      </c>
      <c r="AT198" s="28" t="str">
        <f>IF(L198=1,IFERROR(INDEX(MESSAGES!$K$9:$K$1008,MATCH(F198,MESSAGES!$M$9:$M$1008,0))&amp;"",""),"")</f>
        <v/>
      </c>
      <c r="AU198" s="28">
        <f t="shared" ca="1" si="42"/>
        <v>0</v>
      </c>
      <c r="AV198" s="28" t="str">
        <f t="shared" si="43"/>
        <v>SEND</v>
      </c>
    </row>
    <row r="199" spans="1:48" x14ac:dyDescent="0.35">
      <c r="A199" s="28">
        <v>198</v>
      </c>
      <c r="B199" s="28" t="str">
        <f>IF(INPUT!A199="","",TRIM(INPUT!A199))</f>
        <v>Partner 039</v>
      </c>
      <c r="C199" s="28" t="str">
        <f>IF(B199="","",INPUT!C199)</f>
        <v>interviewer0@partner039.example.com</v>
      </c>
      <c r="D199" s="28" t="str">
        <f>IF(B199="","",INPUT!D199)</f>
        <v>Aarav P.</v>
      </c>
      <c r="E199" s="28" t="str">
        <f>IF(B199="","",INPUT!E199)</f>
        <v>aarav.p390@example.com</v>
      </c>
      <c r="F199" s="43" t="str">
        <f>IF(B199="","",TRIM(INPUT!F199&amp;""))</f>
        <v>9000005077</v>
      </c>
      <c r="G199" s="28" t="str">
        <f>IF(B199="","",INPUT!H199)</f>
        <v>Round1</v>
      </c>
      <c r="H199" s="46">
        <f>IF(B199="","",INPUT!I199)</f>
        <v>46308.82708333333</v>
      </c>
      <c r="I199" s="28" t="str">
        <f>IF(B199="","",IF(INPUT!J199="","None",INPUT!J199))</f>
        <v>Opened</v>
      </c>
      <c r="J199" s="28" t="str">
        <f t="shared" si="33"/>
        <v>aarav.p390@example.com|partner 039|Round1|interviewer0@partner039.example.com</v>
      </c>
      <c r="K199" s="28" t="str">
        <f>IF(B199="","",IF(SUMPRODUCT(($J$2:$J$601=J199)*($H$2:$H$601&lt;H199))+SUMPRODUCT(($J$2:J199=J199)*($H$2:H199=H199))-1&gt;0,"DUPLICATE",IF(AND(ISNUMBER(SEARCH("@",E199)),ISNUMBER(SEARCH(".",E199)),LEN(F199)=10,ISNUMBER(VALUE(F199))),"OK","BAD CONTACT")))</f>
        <v>OK</v>
      </c>
      <c r="L199" s="28">
        <f t="shared" si="34"/>
        <v>1</v>
      </c>
      <c r="M199" s="28">
        <f>IF(L199=1,IF(COUNTIFS(LOG!$C$2:$C$2001,F199,LOG!$E$2:$E$2001,B199,LOG!$D$2:$D$2001,"*BOOKED")+COUNTIFS(LOG!$C$2:$C$2001,F199,LOG!$E$2:$E$2001,"",LOG!$D$2:$D$2001,"*BOOKED")&gt;0,1,0),0)</f>
        <v>1</v>
      </c>
      <c r="N199" s="28">
        <f>IF(L199=1,IF(COUNTIFS(LOG!$C$2:$C$2001,F199,LOG!$E$2:$E$2001,B199,LOG!$D$2:$D$2001,"NOT_INTERESTED")+COUNTIFS(LOG!$C$2:$C$2001,F199,LOG!$E$2:$E$2001,"",LOG!$D$2:$D$2001,"NOT_INTERESTED")&gt;0,1,0),0)</f>
        <v>0</v>
      </c>
      <c r="O199" s="28">
        <f>IF(L199=1,IF(COUNTIFS(LOG!$C$2:$C$2001,F199,LOG!$D$2:$D$2001,"STOP")+COUNTIFS(LOG!$C$2:$C$2001,F199,LOG!$D$2:$D$2001,"WRONG_NUMBER")&gt;0,1,IF(ISNUMBER(SEARCH("STOP",AT199)),1,0)),0)</f>
        <v>0</v>
      </c>
      <c r="P199" s="28">
        <f>IF(L199=1,IF(IFERROR(INDEX(PARTNERS!$D$2:$D$88,MATCH(B199,PARTNERS!$A$2:$A$88,0)),"")="NO SLOTS",1,IF(AND(IFERROR(INDEX(PARTNERS!$D$2:$D$88,MATCH(B199,PARTNERS!$A$2:$A$88,0)),"")&lt;&gt;"REOPENED",COUNTIFS(LOG!$E$2:$E$2001,B199,LOG!$D$2:$D$2001,"NO_SLOTS")&gt;0),1,0)),0)</f>
        <v>0</v>
      </c>
      <c r="Q199" s="28">
        <f>IF(L199=1,COUNTIFS(LOG!$C$2:$C$2001,F199,LOG!$H$2:$H$2001,1),0)</f>
        <v>0</v>
      </c>
      <c r="R199" s="46">
        <f>IF(Q199&gt;0,_xlfn.MAXIFS(LOG!$G$2:$G$2001,LOG!$C$2:$C$2001,F199,LOG!$H$2:$H$2001,1),0)</f>
        <v>0</v>
      </c>
      <c r="S199" s="28" t="str">
        <f>IF(Q199&gt;0,IFERROR(INDEX(LOG!$D$2:$D$2001,MATCH(F199&amp;"|"&amp;Q199,LOG!$I$2:$I$2001,0)),""),"")</f>
        <v/>
      </c>
      <c r="T199" s="28">
        <f>IF(S199="",0,IFERROR(VLOOKUP(S199,LISTS!$A$2:$E$10,4,FALSE),0))</f>
        <v>0</v>
      </c>
      <c r="U199" s="46">
        <f t="shared" si="35"/>
        <v>0</v>
      </c>
      <c r="V199" s="46">
        <f>IF(L199=1,H199+SETTINGS!$B$5/24,"")</f>
        <v>46309.82708333333</v>
      </c>
      <c r="W199" s="28">
        <f ca="1">IF(L199=1,(V199-SETTINGS!$B$4)*24,"")</f>
        <v>-1.6666666720993817E-2</v>
      </c>
      <c r="X199" s="28">
        <f ca="1">IF(AND(L199=1,K199="OK",M199=0,N199=0,O199=0,P199=0,SETTINGS!$B$4&lt;V199,Q199&lt;SETTINGS!$B$6),1,0)</f>
        <v>0</v>
      </c>
      <c r="Y199" s="28">
        <f ca="1">IF(AND(X199=1,SETTINGS!$B$4&gt;=H199,SETTINGS!$B$4&gt;=U199,ROUND(MOD(SETTINGS!$B$4,1)*1440,0)&gt;=ROUND(SETTINGS!$B$7*1440,0),ROUND(MOD(SETTINGS!$B$4,1)*1440,0)&lt;ROUND(SETTINGS!$B$8*1440,0)),1,0)</f>
        <v>0</v>
      </c>
      <c r="Z199" s="28" t="str">
        <f ca="1">IF(B199="","",IF(ROUND(MOD(SETTINGS!$B$4,1)*1440,0)&lt;ROUND(SETTINGS!$B$11*1440,0),"Ram",IF(ROUND(MOD(SETTINGS!$B$4,1)*1440,0)&gt;=ROUND(SETTINGS!$B$10*1440,0),"Shyam",IF(MOD(IFERROR(VALUE(RIGHT(F199,2)),0),2)=0,"Ram","Shyam"))))</f>
        <v>Shyam</v>
      </c>
      <c r="AA199" s="28">
        <f t="shared" ca="1" si="36"/>
        <v>0</v>
      </c>
      <c r="AB199" s="28">
        <f ca="1">IF(X199=1,COUNTIFS($F$2:F199,F199,$X$2:X199,1),0)</f>
        <v>0</v>
      </c>
      <c r="AC199" s="28" t="str">
        <f>IF(L199=1,IF(IFERROR(INDEX(PARTNERS!$C$2:$C$88,MATCH(B199,PARTNERS!$A$2:$A$88,0)),"")="YES","YES","NO"),"")</f>
        <v>NO</v>
      </c>
      <c r="AD199" s="28" t="str">
        <f>IF(L199=1,IFERROR(INDEX(PARTNERS!$B$2:$B$88,MATCH(B199,PARTNERS!$A$2:$A$88,0)),""),"")</f>
        <v>https://calendly.com/partner039/interview</v>
      </c>
      <c r="AE199" s="28">
        <f ca="1">IF(X199=1,IFERROR(INDEX(SETTINGS!$B$34:$D$36,MATCH(I199,SETTINGS!$A$34:$A$36,0),MIN(Q199,2)+1),SETTINGS!$B$36),0)</f>
        <v>0</v>
      </c>
      <c r="AF199" s="28">
        <f t="shared" si="37"/>
        <v>1</v>
      </c>
      <c r="AG199" s="28">
        <f ca="1">IF(AND(Y199=1,AB199=1),ROUND(AA199*AE199*IF(AF199&gt;1,SETTINGS!$B$16,1)*IF(W199&lt;=SETTINGS!$B$14,SETTINGS!$B$15,1)*IF(AU199=1,SETTINGS!$B$21,1),6),0)</f>
        <v>0</v>
      </c>
      <c r="AH199" s="28" t="str">
        <f ca="1">IF(AG199&gt;0,COUNTIFS($Z$2:$Z$601,Z199,$AG$2:$AG$601,"&gt;"&amp;AG199)+COUNTIFS($Z$2:Z199,Z199,$AG$2:AG199,AG199),"")</f>
        <v/>
      </c>
      <c r="AI199" s="28" t="str">
        <f t="shared" ca="1" si="38"/>
        <v/>
      </c>
      <c r="AJ199" s="28" t="str">
        <f t="shared" ca="1" si="39"/>
        <v/>
      </c>
      <c r="AK199" s="28">
        <f>IF(L199=1,IF(COUNTIFS($F$2:F199,F199,$L$2:L199,1)=1,1,0),0)</f>
        <v>1</v>
      </c>
      <c r="AL199" s="28" t="str">
        <f>IF(B199="","",IF(K199="DUPLICATE","Duplicate (removed)",IF(AO199=1,"Scheduled within 24h",IF(M199=1,"Scheduled late",IF(K199="BAD CONTACT","Bad contact details",IF(O199=1,"Stopped / wrong number",IF(N199=1,"Not interested",IF(P199=1,"Partner has no slots",IF(SETTINGS!$B$4&gt;=V199,IF(Q199=0,"Missed deadline: never tried","Missed deadline: tried, not booked"),IF(Q199&gt;=SETTINGS!$B$6,"No reply after max tries","Open"))))))))))</f>
        <v>Scheduled within 24h</v>
      </c>
      <c r="AM199" s="46">
        <f>IF(M199=1,IF(_xlfn.MINIFS(LOG!$G$2:$G$2001,LOG!$C$2:$C$2001,F199,LOG!$E$2:$E$2001,B199,LOG!$D$2:$D$2001,"*BOOKED")=0,_xlfn.MINIFS(LOG!$G$2:$G$2001,LOG!$C$2:$C$2001,F199,LOG!$E$2:$E$2001,"",LOG!$D$2:$D$2001,"*BOOKED"),IF(_xlfn.MINIFS(LOG!$G$2:$G$2001,LOG!$C$2:$C$2001,F199,LOG!$E$2:$E$2001,"",LOG!$D$2:$D$2001,"*BOOKED")=0,_xlfn.MINIFS(LOG!$G$2:$G$2001,LOG!$C$2:$C$2001,F199,LOG!$E$2:$E$2001,B199,LOG!$D$2:$D$2001,"*BOOKED"),MIN(_xlfn.MINIFS(LOG!$G$2:$G$2001,LOG!$C$2:$C$2001,F199,LOG!$E$2:$E$2001,B199,LOG!$D$2:$D$2001,"*BOOKED"),_xlfn.MINIFS(LOG!$G$2:$G$2001,LOG!$C$2:$C$2001,F199,LOG!$E$2:$E$2001,"",LOG!$D$2:$D$2001,"*BOOKED")))),"")</f>
        <v>46309.49749448472</v>
      </c>
      <c r="AN199" s="28">
        <f t="shared" si="40"/>
        <v>16.089867633359972</v>
      </c>
      <c r="AO199" s="28">
        <f>IF(AND(M199=1,AN199&lt;&gt;""),IF(AN199&lt;=SETTINGS!$B$5,1,0),0)</f>
        <v>1</v>
      </c>
      <c r="AP199" s="28">
        <f>IF(M199=1,IF(COUNTIFS(LOG!$C$2:$C$2001,F199,LOG!$E$2:$E$2001,B199,LOG!$D$2:$D$2001,"BOOKED")+COUNTIFS(LOG!$C$2:$C$2001,F199,LOG!$E$2:$E$2001,"",LOG!$D$2:$D$2001,"BOOKED")&gt;0,1,0),0)</f>
        <v>0</v>
      </c>
      <c r="AQ199" s="28" t="str">
        <f t="shared" si="41"/>
        <v>Aarav</v>
      </c>
      <c r="AR199" s="28">
        <f>IF(AND(AK199=1,K199="OK"),COUNTIFS($AK$2:AK199,1,$K$2:K199,"OK"),"")</f>
        <v>176</v>
      </c>
      <c r="AS199" s="28" t="str">
        <f>IF(L199=1,IFERROR(INDEX(MESSAGES!$J$9:$J$1008,MATCH(F199,MESSAGES!$M$9:$M$1008,0))&amp;"",""),"")</f>
        <v/>
      </c>
      <c r="AT199" s="28" t="str">
        <f>IF(L199=1,IFERROR(INDEX(MESSAGES!$K$9:$K$1008,MATCH(F199,MESSAGES!$M$9:$M$1008,0))&amp;"",""),"")</f>
        <v/>
      </c>
      <c r="AU199" s="28">
        <f t="shared" ca="1" si="42"/>
        <v>0</v>
      </c>
      <c r="AV199" s="28" t="str">
        <f t="shared" si="43"/>
        <v>HOLD</v>
      </c>
    </row>
    <row r="200" spans="1:48" x14ac:dyDescent="0.35">
      <c r="A200" s="28">
        <v>199</v>
      </c>
      <c r="B200" s="28" t="str">
        <f>IF(INPUT!A200="","",TRIM(INPUT!A200))</f>
        <v>Partner 002</v>
      </c>
      <c r="C200" s="28" t="str">
        <f>IF(B200="","",INPUT!C200)</f>
        <v>interviewer2@partner002.example.com</v>
      </c>
      <c r="D200" s="28" t="str">
        <f>IF(B200="","",INPUT!D200)</f>
        <v>Saanvi P.</v>
      </c>
      <c r="E200" s="28" t="str">
        <f>IF(B200="","",INPUT!E200)</f>
        <v>saanvi.p399@example.com</v>
      </c>
      <c r="F200" s="43" t="str">
        <f>IF(B200="","",TRIM(INPUT!F200&amp;""))</f>
        <v>9000005194</v>
      </c>
      <c r="G200" s="28" t="str">
        <f>IF(B200="","",INPUT!H200)</f>
        <v>Round1</v>
      </c>
      <c r="H200" s="46">
        <f>IF(B200="","",INPUT!I200)</f>
        <v>46308.82708333333</v>
      </c>
      <c r="I200" s="28" t="str">
        <f>IF(B200="","",IF(INPUT!J200="","None",INPUT!J200))</f>
        <v>Opened</v>
      </c>
      <c r="J200" s="28" t="str">
        <f t="shared" si="33"/>
        <v>saanvi.p399@example.com|partner 002|Round1|interviewer2@partner002.example.com</v>
      </c>
      <c r="K200" s="28" t="str">
        <f>IF(B200="","",IF(SUMPRODUCT(($J$2:$J$601=J200)*($H$2:$H$601&lt;H200))+SUMPRODUCT(($J$2:J200=J200)*($H$2:H200=H200))-1&gt;0,"DUPLICATE",IF(AND(ISNUMBER(SEARCH("@",E200)),ISNUMBER(SEARCH(".",E200)),LEN(F200)=10,ISNUMBER(VALUE(F200))),"OK","BAD CONTACT")))</f>
        <v>OK</v>
      </c>
      <c r="L200" s="28">
        <f t="shared" si="34"/>
        <v>1</v>
      </c>
      <c r="M200" s="28">
        <f>IF(L200=1,IF(COUNTIFS(LOG!$C$2:$C$2001,F200,LOG!$E$2:$E$2001,B200,LOG!$D$2:$D$2001,"*BOOKED")+COUNTIFS(LOG!$C$2:$C$2001,F200,LOG!$E$2:$E$2001,"",LOG!$D$2:$D$2001,"*BOOKED")&gt;0,1,0),0)</f>
        <v>0</v>
      </c>
      <c r="N200" s="28">
        <f>IF(L200=1,IF(COUNTIFS(LOG!$C$2:$C$2001,F200,LOG!$E$2:$E$2001,B200,LOG!$D$2:$D$2001,"NOT_INTERESTED")+COUNTIFS(LOG!$C$2:$C$2001,F200,LOG!$E$2:$E$2001,"",LOG!$D$2:$D$2001,"NOT_INTERESTED")&gt;0,1,0),0)</f>
        <v>0</v>
      </c>
      <c r="O200" s="28">
        <f>IF(L200=1,IF(COUNTIFS(LOG!$C$2:$C$2001,F200,LOG!$D$2:$D$2001,"STOP")+COUNTIFS(LOG!$C$2:$C$2001,F200,LOG!$D$2:$D$2001,"WRONG_NUMBER")&gt;0,1,IF(ISNUMBER(SEARCH("STOP",AT200)),1,0)),0)</f>
        <v>0</v>
      </c>
      <c r="P200" s="28">
        <f>IF(L200=1,IF(IFERROR(INDEX(PARTNERS!$D$2:$D$88,MATCH(B200,PARTNERS!$A$2:$A$88,0)),"")="NO SLOTS",1,IF(AND(IFERROR(INDEX(PARTNERS!$D$2:$D$88,MATCH(B200,PARTNERS!$A$2:$A$88,0)),"")&lt;&gt;"REOPENED",COUNTIFS(LOG!$E$2:$E$2001,B200,LOG!$D$2:$D$2001,"NO_SLOTS")&gt;0),1,0)),0)</f>
        <v>0</v>
      </c>
      <c r="Q200" s="28">
        <f>IF(L200=1,COUNTIFS(LOG!$C$2:$C$2001,F200,LOG!$H$2:$H$2001,1),0)</f>
        <v>0</v>
      </c>
      <c r="R200" s="46">
        <f>IF(Q200&gt;0,_xlfn.MAXIFS(LOG!$G$2:$G$2001,LOG!$C$2:$C$2001,F200,LOG!$H$2:$H$2001,1),0)</f>
        <v>0</v>
      </c>
      <c r="S200" s="28" t="str">
        <f>IF(Q200&gt;0,IFERROR(INDEX(LOG!$D$2:$D$2001,MATCH(F200&amp;"|"&amp;Q200,LOG!$I$2:$I$2001,0)),""),"")</f>
        <v/>
      </c>
      <c r="T200" s="28">
        <f>IF(S200="",0,IFERROR(VLOOKUP(S200,LISTS!$A$2:$E$10,4,FALSE),0))</f>
        <v>0</v>
      </c>
      <c r="U200" s="46">
        <f t="shared" si="35"/>
        <v>0</v>
      </c>
      <c r="V200" s="46">
        <f>IF(L200=1,H200+SETTINGS!$B$5/24,"")</f>
        <v>46309.82708333333</v>
      </c>
      <c r="W200" s="28">
        <f ca="1">IF(L200=1,(V200-SETTINGS!$B$4)*24,"")</f>
        <v>-1.6666666720993817E-2</v>
      </c>
      <c r="X200" s="28">
        <f ca="1">IF(AND(L200=1,K200="OK",M200=0,N200=0,O200=0,P200=0,SETTINGS!$B$4&lt;V200,Q200&lt;SETTINGS!$B$6),1,0)</f>
        <v>0</v>
      </c>
      <c r="Y200" s="28">
        <f ca="1">IF(AND(X200=1,SETTINGS!$B$4&gt;=H200,SETTINGS!$B$4&gt;=U200,ROUND(MOD(SETTINGS!$B$4,1)*1440,0)&gt;=ROUND(SETTINGS!$B$7*1440,0),ROUND(MOD(SETTINGS!$B$4,1)*1440,0)&lt;ROUND(SETTINGS!$B$8*1440,0)),1,0)</f>
        <v>0</v>
      </c>
      <c r="Z200" s="28" t="str">
        <f ca="1">IF(B200="","",IF(ROUND(MOD(SETTINGS!$B$4,1)*1440,0)&lt;ROUND(SETTINGS!$B$11*1440,0),"Ram",IF(ROUND(MOD(SETTINGS!$B$4,1)*1440,0)&gt;=ROUND(SETTINGS!$B$10*1440,0),"Shyam",IF(MOD(IFERROR(VALUE(RIGHT(F200,2)),0),2)=0,"Ram","Shyam"))))</f>
        <v>Shyam</v>
      </c>
      <c r="AA200" s="28">
        <f t="shared" ca="1" si="36"/>
        <v>0</v>
      </c>
      <c r="AB200" s="28">
        <f ca="1">IF(X200=1,COUNTIFS($F$2:F200,F200,$X$2:X200,1),0)</f>
        <v>0</v>
      </c>
      <c r="AC200" s="28" t="str">
        <f>IF(L200=1,IF(IFERROR(INDEX(PARTNERS!$C$2:$C$88,MATCH(B200,PARTNERS!$A$2:$A$88,0)),"")="YES","YES","NO"),"")</f>
        <v>YES</v>
      </c>
      <c r="AD200" s="28" t="str">
        <f>IF(L200=1,IFERROR(INDEX(PARTNERS!$B$2:$B$88,MATCH(B200,PARTNERS!$A$2:$A$88,0)),""),"")</f>
        <v>https://calendly.com/partner002/interview</v>
      </c>
      <c r="AE200" s="28">
        <f ca="1">IF(X200=1,IFERROR(INDEX(SETTINGS!$B$34:$D$36,MATCH(I200,SETTINGS!$A$34:$A$36,0),MIN(Q200,2)+1),SETTINGS!$B$36),0)</f>
        <v>0</v>
      </c>
      <c r="AF200" s="28">
        <f t="shared" si="37"/>
        <v>1</v>
      </c>
      <c r="AG200" s="28">
        <f ca="1">IF(AND(Y200=1,AB200=1),ROUND(AA200*AE200*IF(AF200&gt;1,SETTINGS!$B$16,1)*IF(W200&lt;=SETTINGS!$B$14,SETTINGS!$B$15,1)*IF(AU200=1,SETTINGS!$B$21,1),6),0)</f>
        <v>0</v>
      </c>
      <c r="AH200" s="28" t="str">
        <f ca="1">IF(AG200&gt;0,COUNTIFS($Z$2:$Z$601,Z200,$AG$2:$AG$601,"&gt;"&amp;AG200)+COUNTIFS($Z$2:Z200,Z200,$AG$2:AG200,AG200),"")</f>
        <v/>
      </c>
      <c r="AI200" s="28" t="str">
        <f t="shared" ca="1" si="38"/>
        <v/>
      </c>
      <c r="AJ200" s="28" t="str">
        <f t="shared" ca="1" si="39"/>
        <v/>
      </c>
      <c r="AK200" s="28">
        <f>IF(L200=1,IF(COUNTIFS($F$2:F200,F200,$L$2:L200,1)=1,1,0),0)</f>
        <v>1</v>
      </c>
      <c r="AL200" s="28" t="str">
        <f ca="1">IF(B200="","",IF(K200="DUPLICATE","Duplicate (removed)",IF(AO200=1,"Scheduled within 24h",IF(M200=1,"Scheduled late",IF(K200="BAD CONTACT","Bad contact details",IF(O200=1,"Stopped / wrong number",IF(N200=1,"Not interested",IF(P200=1,"Partner has no slots",IF(SETTINGS!$B$4&gt;=V200,IF(Q200=0,"Missed deadline: never tried","Missed deadline: tried, not booked"),IF(Q200&gt;=SETTINGS!$B$6,"No reply after max tries","Open"))))))))))</f>
        <v>Missed deadline: never tried</v>
      </c>
      <c r="AM200" s="46" t="str">
        <f>IF(M200=1,IF(_xlfn.MINIFS(LOG!$G$2:$G$2001,LOG!$C$2:$C$2001,F200,LOG!$E$2:$E$2001,B200,LOG!$D$2:$D$2001,"*BOOKED")=0,_xlfn.MINIFS(LOG!$G$2:$G$2001,LOG!$C$2:$C$2001,F200,LOG!$E$2:$E$2001,"",LOG!$D$2:$D$2001,"*BOOKED"),IF(_xlfn.MINIFS(LOG!$G$2:$G$2001,LOG!$C$2:$C$2001,F200,LOG!$E$2:$E$2001,"",LOG!$D$2:$D$2001,"*BOOKED")=0,_xlfn.MINIFS(LOG!$G$2:$G$2001,LOG!$C$2:$C$2001,F200,LOG!$E$2:$E$2001,B200,LOG!$D$2:$D$2001,"*BOOKED"),MIN(_xlfn.MINIFS(LOG!$G$2:$G$2001,LOG!$C$2:$C$2001,F200,LOG!$E$2:$E$2001,B200,LOG!$D$2:$D$2001,"*BOOKED"),_xlfn.MINIFS(LOG!$G$2:$G$2001,LOG!$C$2:$C$2001,F200,LOG!$E$2:$E$2001,"",LOG!$D$2:$D$2001,"*BOOKED")))),"")</f>
        <v/>
      </c>
      <c r="AN200" s="28" t="str">
        <f t="shared" si="40"/>
        <v/>
      </c>
      <c r="AO200" s="28">
        <f>IF(AND(M200=1,AN200&lt;&gt;""),IF(AN200&lt;=SETTINGS!$B$5,1,0),0)</f>
        <v>0</v>
      </c>
      <c r="AP200" s="28">
        <f>IF(M200=1,IF(COUNTIFS(LOG!$C$2:$C$2001,F200,LOG!$E$2:$E$2001,B200,LOG!$D$2:$D$2001,"BOOKED")+COUNTIFS(LOG!$C$2:$C$2001,F200,LOG!$E$2:$E$2001,"",LOG!$D$2:$D$2001,"BOOKED")&gt;0,1,0),0)</f>
        <v>0</v>
      </c>
      <c r="AQ200" s="28" t="str">
        <f t="shared" si="41"/>
        <v>Saanvi</v>
      </c>
      <c r="AR200" s="28">
        <f>IF(AND(AK200=1,K200="OK"),COUNTIFS($AK$2:AK200,1,$K$2:K200,"OK"),"")</f>
        <v>177</v>
      </c>
      <c r="AS200" s="28" t="str">
        <f>IF(L200=1,IFERROR(INDEX(MESSAGES!$J$9:$J$1008,MATCH(F200,MESSAGES!$M$9:$M$1008,0))&amp;"",""),"")</f>
        <v/>
      </c>
      <c r="AT200" s="28" t="str">
        <f>IF(L200=1,IFERROR(INDEX(MESSAGES!$K$9:$K$1008,MATCH(F200,MESSAGES!$M$9:$M$1008,0))&amp;"",""),"")</f>
        <v/>
      </c>
      <c r="AU200" s="28">
        <f t="shared" ca="1" si="42"/>
        <v>0</v>
      </c>
      <c r="AV200" s="28" t="str">
        <f t="shared" si="43"/>
        <v>HOLD</v>
      </c>
    </row>
    <row r="201" spans="1:48" x14ac:dyDescent="0.35">
      <c r="A201" s="28">
        <v>200</v>
      </c>
      <c r="B201" s="28" t="str">
        <f>IF(INPUT!A201="","",TRIM(INPUT!A201))</f>
        <v>Partner 022</v>
      </c>
      <c r="C201" s="28" t="str">
        <f>IF(B201="","",INPUT!C201)</f>
        <v>interviewer0@partner022.example.com</v>
      </c>
      <c r="D201" s="28" t="str">
        <f>IF(B201="","",INPUT!D201)</f>
        <v>Kiara D.</v>
      </c>
      <c r="E201" s="28" t="str">
        <f>IF(B201="","",INPUT!E201)</f>
        <v>kiara.d101@example.com</v>
      </c>
      <c r="F201" s="43" t="str">
        <f>IF(B201="","",TRIM(INPUT!F201&amp;""))</f>
        <v>9000001320</v>
      </c>
      <c r="G201" s="28" t="str">
        <f>IF(B201="","",INPUT!H201)</f>
        <v>Round1</v>
      </c>
      <c r="H201" s="46">
        <f>IF(B201="","",INPUT!I201)</f>
        <v>46308.82708333333</v>
      </c>
      <c r="I201" s="28" t="str">
        <f>IF(B201="","",IF(INPUT!J201="","None",INPUT!J201))</f>
        <v>Opened</v>
      </c>
      <c r="J201" s="28" t="str">
        <f t="shared" si="33"/>
        <v>kiara.d101@example.com|partner 022|Round1|interviewer0@partner022.example.com</v>
      </c>
      <c r="K201" s="28" t="str">
        <f>IF(B201="","",IF(SUMPRODUCT(($J$2:$J$601=J201)*($H$2:$H$601&lt;H201))+SUMPRODUCT(($J$2:J201=J201)*($H$2:H201=H201))-1&gt;0,"DUPLICATE",IF(AND(ISNUMBER(SEARCH("@",E201)),ISNUMBER(SEARCH(".",E201)),LEN(F201)=10,ISNUMBER(VALUE(F201))),"OK","BAD CONTACT")))</f>
        <v>OK</v>
      </c>
      <c r="L201" s="28">
        <f t="shared" si="34"/>
        <v>1</v>
      </c>
      <c r="M201" s="28">
        <f>IF(L201=1,IF(COUNTIFS(LOG!$C$2:$C$2001,F201,LOG!$E$2:$E$2001,B201,LOG!$D$2:$D$2001,"*BOOKED")+COUNTIFS(LOG!$C$2:$C$2001,F201,LOG!$E$2:$E$2001,"",LOG!$D$2:$D$2001,"*BOOKED")&gt;0,1,0),0)</f>
        <v>0</v>
      </c>
      <c r="N201" s="28">
        <f>IF(L201=1,IF(COUNTIFS(LOG!$C$2:$C$2001,F201,LOG!$E$2:$E$2001,B201,LOG!$D$2:$D$2001,"NOT_INTERESTED")+COUNTIFS(LOG!$C$2:$C$2001,F201,LOG!$E$2:$E$2001,"",LOG!$D$2:$D$2001,"NOT_INTERESTED")&gt;0,1,0),0)</f>
        <v>0</v>
      </c>
      <c r="O201" s="28">
        <f>IF(L201=1,IF(COUNTIFS(LOG!$C$2:$C$2001,F201,LOG!$D$2:$D$2001,"STOP")+COUNTIFS(LOG!$C$2:$C$2001,F201,LOG!$D$2:$D$2001,"WRONG_NUMBER")&gt;0,1,IF(ISNUMBER(SEARCH("STOP",AT201)),1,0)),0)</f>
        <v>0</v>
      </c>
      <c r="P201" s="28">
        <f>IF(L201=1,IF(IFERROR(INDEX(PARTNERS!$D$2:$D$88,MATCH(B201,PARTNERS!$A$2:$A$88,0)),"")="NO SLOTS",1,IF(AND(IFERROR(INDEX(PARTNERS!$D$2:$D$88,MATCH(B201,PARTNERS!$A$2:$A$88,0)),"")&lt;&gt;"REOPENED",COUNTIFS(LOG!$E$2:$E$2001,B201,LOG!$D$2:$D$2001,"NO_SLOTS")&gt;0),1,0)),0)</f>
        <v>0</v>
      </c>
      <c r="Q201" s="28">
        <f>IF(L201=1,COUNTIFS(LOG!$C$2:$C$2001,F201,LOG!$H$2:$H$2001,1),0)</f>
        <v>0</v>
      </c>
      <c r="R201" s="46">
        <f>IF(Q201&gt;0,_xlfn.MAXIFS(LOG!$G$2:$G$2001,LOG!$C$2:$C$2001,F201,LOG!$H$2:$H$2001,1),0)</f>
        <v>0</v>
      </c>
      <c r="S201" s="28" t="str">
        <f>IF(Q201&gt;0,IFERROR(INDEX(LOG!$D$2:$D$2001,MATCH(F201&amp;"|"&amp;Q201,LOG!$I$2:$I$2001,0)),""),"")</f>
        <v/>
      </c>
      <c r="T201" s="28">
        <f>IF(S201="",0,IFERROR(VLOOKUP(S201,LISTS!$A$2:$E$10,4,FALSE),0))</f>
        <v>0</v>
      </c>
      <c r="U201" s="46">
        <f t="shared" si="35"/>
        <v>0</v>
      </c>
      <c r="V201" s="46">
        <f>IF(L201=1,H201+SETTINGS!$B$5/24,"")</f>
        <v>46309.82708333333</v>
      </c>
      <c r="W201" s="28">
        <f ca="1">IF(L201=1,(V201-SETTINGS!$B$4)*24,"")</f>
        <v>-1.6666666720993817E-2</v>
      </c>
      <c r="X201" s="28">
        <f ca="1">IF(AND(L201=1,K201="OK",M201=0,N201=0,O201=0,P201=0,SETTINGS!$B$4&lt;V201,Q201&lt;SETTINGS!$B$6),1,0)</f>
        <v>0</v>
      </c>
      <c r="Y201" s="28">
        <f ca="1">IF(AND(X201=1,SETTINGS!$B$4&gt;=H201,SETTINGS!$B$4&gt;=U201,ROUND(MOD(SETTINGS!$B$4,1)*1440,0)&gt;=ROUND(SETTINGS!$B$7*1440,0),ROUND(MOD(SETTINGS!$B$4,1)*1440,0)&lt;ROUND(SETTINGS!$B$8*1440,0)),1,0)</f>
        <v>0</v>
      </c>
      <c r="Z201" s="28" t="str">
        <f ca="1">IF(B201="","",IF(ROUND(MOD(SETTINGS!$B$4,1)*1440,0)&lt;ROUND(SETTINGS!$B$11*1440,0),"Ram",IF(ROUND(MOD(SETTINGS!$B$4,1)*1440,0)&gt;=ROUND(SETTINGS!$B$10*1440,0),"Shyam",IF(MOD(IFERROR(VALUE(RIGHT(F201,2)),0),2)=0,"Ram","Shyam"))))</f>
        <v>Shyam</v>
      </c>
      <c r="AA201" s="28">
        <f t="shared" ca="1" si="36"/>
        <v>0</v>
      </c>
      <c r="AB201" s="28">
        <f ca="1">IF(X201=1,COUNTIFS($F$2:F201,F201,$X$2:X201,1),0)</f>
        <v>0</v>
      </c>
      <c r="AC201" s="28" t="str">
        <f>IF(L201=1,IF(IFERROR(INDEX(PARTNERS!$C$2:$C$88,MATCH(B201,PARTNERS!$A$2:$A$88,0)),"")="YES","YES","NO"),"")</f>
        <v>YES</v>
      </c>
      <c r="AD201" s="28" t="str">
        <f>IF(L201=1,IFERROR(INDEX(PARTNERS!$B$2:$B$88,MATCH(B201,PARTNERS!$A$2:$A$88,0)),""),"")</f>
        <v>https://calendly.com/partner022/interview</v>
      </c>
      <c r="AE201" s="28">
        <f ca="1">IF(X201=1,IFERROR(INDEX(SETTINGS!$B$34:$D$36,MATCH(I201,SETTINGS!$A$34:$A$36,0),MIN(Q201,2)+1),SETTINGS!$B$36),0)</f>
        <v>0</v>
      </c>
      <c r="AF201" s="28">
        <f t="shared" si="37"/>
        <v>1</v>
      </c>
      <c r="AG201" s="28">
        <f ca="1">IF(AND(Y201=1,AB201=1),ROUND(AA201*AE201*IF(AF201&gt;1,SETTINGS!$B$16,1)*IF(W201&lt;=SETTINGS!$B$14,SETTINGS!$B$15,1)*IF(AU201=1,SETTINGS!$B$21,1),6),0)</f>
        <v>0</v>
      </c>
      <c r="AH201" s="28" t="str">
        <f ca="1">IF(AG201&gt;0,COUNTIFS($Z$2:$Z$601,Z201,$AG$2:$AG$601,"&gt;"&amp;AG201)+COUNTIFS($Z$2:Z201,Z201,$AG$2:AG201,AG201),"")</f>
        <v/>
      </c>
      <c r="AI201" s="28" t="str">
        <f t="shared" ca="1" si="38"/>
        <v/>
      </c>
      <c r="AJ201" s="28" t="str">
        <f t="shared" ca="1" si="39"/>
        <v/>
      </c>
      <c r="AK201" s="28">
        <f>IF(L201=1,IF(COUNTIFS($F$2:F201,F201,$L$2:L201,1)=1,1,0),0)</f>
        <v>1</v>
      </c>
      <c r="AL201" s="28" t="str">
        <f ca="1">IF(B201="","",IF(K201="DUPLICATE","Duplicate (removed)",IF(AO201=1,"Scheduled within 24h",IF(M201=1,"Scheduled late",IF(K201="BAD CONTACT","Bad contact details",IF(O201=1,"Stopped / wrong number",IF(N201=1,"Not interested",IF(P201=1,"Partner has no slots",IF(SETTINGS!$B$4&gt;=V201,IF(Q201=0,"Missed deadline: never tried","Missed deadline: tried, not booked"),IF(Q201&gt;=SETTINGS!$B$6,"No reply after max tries","Open"))))))))))</f>
        <v>Missed deadline: never tried</v>
      </c>
      <c r="AM201" s="46" t="str">
        <f>IF(M201=1,IF(_xlfn.MINIFS(LOG!$G$2:$G$2001,LOG!$C$2:$C$2001,F201,LOG!$E$2:$E$2001,B201,LOG!$D$2:$D$2001,"*BOOKED")=0,_xlfn.MINIFS(LOG!$G$2:$G$2001,LOG!$C$2:$C$2001,F201,LOG!$E$2:$E$2001,"",LOG!$D$2:$D$2001,"*BOOKED"),IF(_xlfn.MINIFS(LOG!$G$2:$G$2001,LOG!$C$2:$C$2001,F201,LOG!$E$2:$E$2001,"",LOG!$D$2:$D$2001,"*BOOKED")=0,_xlfn.MINIFS(LOG!$G$2:$G$2001,LOG!$C$2:$C$2001,F201,LOG!$E$2:$E$2001,B201,LOG!$D$2:$D$2001,"*BOOKED"),MIN(_xlfn.MINIFS(LOG!$G$2:$G$2001,LOG!$C$2:$C$2001,F201,LOG!$E$2:$E$2001,B201,LOG!$D$2:$D$2001,"*BOOKED"),_xlfn.MINIFS(LOG!$G$2:$G$2001,LOG!$C$2:$C$2001,F201,LOG!$E$2:$E$2001,"",LOG!$D$2:$D$2001,"*BOOKED")))),"")</f>
        <v/>
      </c>
      <c r="AN201" s="28" t="str">
        <f t="shared" si="40"/>
        <v/>
      </c>
      <c r="AO201" s="28">
        <f>IF(AND(M201=1,AN201&lt;&gt;""),IF(AN201&lt;=SETTINGS!$B$5,1,0),0)</f>
        <v>0</v>
      </c>
      <c r="AP201" s="28">
        <f>IF(M201=1,IF(COUNTIFS(LOG!$C$2:$C$2001,F201,LOG!$E$2:$E$2001,B201,LOG!$D$2:$D$2001,"BOOKED")+COUNTIFS(LOG!$C$2:$C$2001,F201,LOG!$E$2:$E$2001,"",LOG!$D$2:$D$2001,"BOOKED")&gt;0,1,0),0)</f>
        <v>0</v>
      </c>
      <c r="AQ201" s="28" t="str">
        <f t="shared" si="41"/>
        <v>Kiara</v>
      </c>
      <c r="AR201" s="28">
        <f>IF(AND(AK201=1,K201="OK"),COUNTIFS($AK$2:AK201,1,$K$2:K201,"OK"),"")</f>
        <v>178</v>
      </c>
      <c r="AS201" s="28" t="str">
        <f>IF(L201=1,IFERROR(INDEX(MESSAGES!$J$9:$J$1008,MATCH(F201,MESSAGES!$M$9:$M$1008,0))&amp;"",""),"")</f>
        <v/>
      </c>
      <c r="AT201" s="28" t="str">
        <f>IF(L201=1,IFERROR(INDEX(MESSAGES!$K$9:$K$1008,MATCH(F201,MESSAGES!$M$9:$M$1008,0))&amp;"",""),"")</f>
        <v/>
      </c>
      <c r="AU201" s="28">
        <f t="shared" ca="1" si="42"/>
        <v>0</v>
      </c>
      <c r="AV201" s="28" t="str">
        <f t="shared" si="43"/>
        <v>SEND</v>
      </c>
    </row>
    <row r="202" spans="1:48" x14ac:dyDescent="0.35">
      <c r="A202" s="28">
        <v>201</v>
      </c>
      <c r="B202" s="28" t="str">
        <f>IF(INPUT!A202="","",TRIM(INPUT!A202))</f>
        <v>Partner 010</v>
      </c>
      <c r="C202" s="28" t="str">
        <f>IF(B202="","",INPUT!C202)</f>
        <v>interviewer2@partner010.example.com</v>
      </c>
      <c r="D202" s="28" t="str">
        <f>IF(B202="","",INPUT!D202)</f>
        <v>Meera P.</v>
      </c>
      <c r="E202" s="28" t="str">
        <f>IF(B202="","",INPUT!E202)</f>
        <v>meera.p397@example.com</v>
      </c>
      <c r="F202" s="43" t="str">
        <f>IF(B202="","",TRIM(INPUT!F202&amp;""))</f>
        <v>9000005168</v>
      </c>
      <c r="G202" s="28" t="str">
        <f>IF(B202="","",INPUT!H202)</f>
        <v>Round1</v>
      </c>
      <c r="H202" s="46">
        <f>IF(B202="","",INPUT!I202)</f>
        <v>46308.82708333333</v>
      </c>
      <c r="I202" s="28" t="str">
        <f>IF(B202="","",IF(INPUT!J202="","None",INPUT!J202))</f>
        <v>None</v>
      </c>
      <c r="J202" s="28" t="str">
        <f t="shared" si="33"/>
        <v>meera.p397@example.com|partner 010|Round1|interviewer2@partner010.example.com</v>
      </c>
      <c r="K202" s="28" t="str">
        <f>IF(B202="","",IF(SUMPRODUCT(($J$2:$J$601=J202)*($H$2:$H$601&lt;H202))+SUMPRODUCT(($J$2:J202=J202)*($H$2:H202=H202))-1&gt;0,"DUPLICATE",IF(AND(ISNUMBER(SEARCH("@",E202)),ISNUMBER(SEARCH(".",E202)),LEN(F202)=10,ISNUMBER(VALUE(F202))),"OK","BAD CONTACT")))</f>
        <v>OK</v>
      </c>
      <c r="L202" s="28">
        <f t="shared" si="34"/>
        <v>1</v>
      </c>
      <c r="M202" s="28">
        <f>IF(L202=1,IF(COUNTIFS(LOG!$C$2:$C$2001,F202,LOG!$E$2:$E$2001,B202,LOG!$D$2:$D$2001,"*BOOKED")+COUNTIFS(LOG!$C$2:$C$2001,F202,LOG!$E$2:$E$2001,"",LOG!$D$2:$D$2001,"*BOOKED")&gt;0,1,0),0)</f>
        <v>0</v>
      </c>
      <c r="N202" s="28">
        <f>IF(L202=1,IF(COUNTIFS(LOG!$C$2:$C$2001,F202,LOG!$E$2:$E$2001,B202,LOG!$D$2:$D$2001,"NOT_INTERESTED")+COUNTIFS(LOG!$C$2:$C$2001,F202,LOG!$E$2:$E$2001,"",LOG!$D$2:$D$2001,"NOT_INTERESTED")&gt;0,1,0),0)</f>
        <v>0</v>
      </c>
      <c r="O202" s="28">
        <f>IF(L202=1,IF(COUNTIFS(LOG!$C$2:$C$2001,F202,LOG!$D$2:$D$2001,"STOP")+COUNTIFS(LOG!$C$2:$C$2001,F202,LOG!$D$2:$D$2001,"WRONG_NUMBER")&gt;0,1,IF(ISNUMBER(SEARCH("STOP",AT202)),1,0)),0)</f>
        <v>0</v>
      </c>
      <c r="P202" s="28">
        <f>IF(L202=1,IF(IFERROR(INDEX(PARTNERS!$D$2:$D$88,MATCH(B202,PARTNERS!$A$2:$A$88,0)),"")="NO SLOTS",1,IF(AND(IFERROR(INDEX(PARTNERS!$D$2:$D$88,MATCH(B202,PARTNERS!$A$2:$A$88,0)),"")&lt;&gt;"REOPENED",COUNTIFS(LOG!$E$2:$E$2001,B202,LOG!$D$2:$D$2001,"NO_SLOTS")&gt;0),1,0)),0)</f>
        <v>0</v>
      </c>
      <c r="Q202" s="28">
        <f>IF(L202=1,COUNTIFS(LOG!$C$2:$C$2001,F202,LOG!$H$2:$H$2001,1),0)</f>
        <v>0</v>
      </c>
      <c r="R202" s="46">
        <f>IF(Q202&gt;0,_xlfn.MAXIFS(LOG!$G$2:$G$2001,LOG!$C$2:$C$2001,F202,LOG!$H$2:$H$2001,1),0)</f>
        <v>0</v>
      </c>
      <c r="S202" s="28" t="str">
        <f>IF(Q202&gt;0,IFERROR(INDEX(LOG!$D$2:$D$2001,MATCH(F202&amp;"|"&amp;Q202,LOG!$I$2:$I$2001,0)),""),"")</f>
        <v/>
      </c>
      <c r="T202" s="28">
        <f>IF(S202="",0,IFERROR(VLOOKUP(S202,LISTS!$A$2:$E$10,4,FALSE),0))</f>
        <v>0</v>
      </c>
      <c r="U202" s="46">
        <f t="shared" si="35"/>
        <v>0</v>
      </c>
      <c r="V202" s="46">
        <f>IF(L202=1,H202+SETTINGS!$B$5/24,"")</f>
        <v>46309.82708333333</v>
      </c>
      <c r="W202" s="28">
        <f ca="1">IF(L202=1,(V202-SETTINGS!$B$4)*24,"")</f>
        <v>-1.6666666720993817E-2</v>
      </c>
      <c r="X202" s="28">
        <f ca="1">IF(AND(L202=1,K202="OK",M202=0,N202=0,O202=0,P202=0,SETTINGS!$B$4&lt;V202,Q202&lt;SETTINGS!$B$6),1,0)</f>
        <v>0</v>
      </c>
      <c r="Y202" s="28">
        <f ca="1">IF(AND(X202=1,SETTINGS!$B$4&gt;=H202,SETTINGS!$B$4&gt;=U202,ROUND(MOD(SETTINGS!$B$4,1)*1440,0)&gt;=ROUND(SETTINGS!$B$7*1440,0),ROUND(MOD(SETTINGS!$B$4,1)*1440,0)&lt;ROUND(SETTINGS!$B$8*1440,0)),1,0)</f>
        <v>0</v>
      </c>
      <c r="Z202" s="28" t="str">
        <f ca="1">IF(B202="","",IF(ROUND(MOD(SETTINGS!$B$4,1)*1440,0)&lt;ROUND(SETTINGS!$B$11*1440,0),"Ram",IF(ROUND(MOD(SETTINGS!$B$4,1)*1440,0)&gt;=ROUND(SETTINGS!$B$10*1440,0),"Shyam",IF(MOD(IFERROR(VALUE(RIGHT(F202,2)),0),2)=0,"Ram","Shyam"))))</f>
        <v>Shyam</v>
      </c>
      <c r="AA202" s="28">
        <f t="shared" ca="1" si="36"/>
        <v>0</v>
      </c>
      <c r="AB202" s="28">
        <f ca="1">IF(X202=1,COUNTIFS($F$2:F202,F202,$X$2:X202,1),0)</f>
        <v>0</v>
      </c>
      <c r="AC202" s="28" t="str">
        <f>IF(L202=1,IF(IFERROR(INDEX(PARTNERS!$C$2:$C$88,MATCH(B202,PARTNERS!$A$2:$A$88,0)),"")="YES","YES","NO"),"")</f>
        <v>YES</v>
      </c>
      <c r="AD202" s="28" t="str">
        <f>IF(L202=1,IFERROR(INDEX(PARTNERS!$B$2:$B$88,MATCH(B202,PARTNERS!$A$2:$A$88,0)),""),"")</f>
        <v>https://calendly.com/partner010/interview</v>
      </c>
      <c r="AE202" s="28">
        <f ca="1">IF(X202=1,IFERROR(INDEX(SETTINGS!$B$34:$D$36,MATCH(I202,SETTINGS!$A$34:$A$36,0),MIN(Q202,2)+1),SETTINGS!$B$36),0)</f>
        <v>0</v>
      </c>
      <c r="AF202" s="28">
        <f t="shared" si="37"/>
        <v>1</v>
      </c>
      <c r="AG202" s="28">
        <f ca="1">IF(AND(Y202=1,AB202=1),ROUND(AA202*AE202*IF(AF202&gt;1,SETTINGS!$B$16,1)*IF(W202&lt;=SETTINGS!$B$14,SETTINGS!$B$15,1)*IF(AU202=1,SETTINGS!$B$21,1),6),0)</f>
        <v>0</v>
      </c>
      <c r="AH202" s="28" t="str">
        <f ca="1">IF(AG202&gt;0,COUNTIFS($Z$2:$Z$601,Z202,$AG$2:$AG$601,"&gt;"&amp;AG202)+COUNTIFS($Z$2:Z202,Z202,$AG$2:AG202,AG202),"")</f>
        <v/>
      </c>
      <c r="AI202" s="28" t="str">
        <f t="shared" ca="1" si="38"/>
        <v/>
      </c>
      <c r="AJ202" s="28" t="str">
        <f t="shared" ca="1" si="39"/>
        <v/>
      </c>
      <c r="AK202" s="28">
        <f>IF(L202=1,IF(COUNTIFS($F$2:F202,F202,$L$2:L202,1)=1,1,0),0)</f>
        <v>1</v>
      </c>
      <c r="AL202" s="28" t="str">
        <f ca="1">IF(B202="","",IF(K202="DUPLICATE","Duplicate (removed)",IF(AO202=1,"Scheduled within 24h",IF(M202=1,"Scheduled late",IF(K202="BAD CONTACT","Bad contact details",IF(O202=1,"Stopped / wrong number",IF(N202=1,"Not interested",IF(P202=1,"Partner has no slots",IF(SETTINGS!$B$4&gt;=V202,IF(Q202=0,"Missed deadline: never tried","Missed deadline: tried, not booked"),IF(Q202&gt;=SETTINGS!$B$6,"No reply after max tries","Open"))))))))))</f>
        <v>Missed deadline: never tried</v>
      </c>
      <c r="AM202" s="46" t="str">
        <f>IF(M202=1,IF(_xlfn.MINIFS(LOG!$G$2:$G$2001,LOG!$C$2:$C$2001,F202,LOG!$E$2:$E$2001,B202,LOG!$D$2:$D$2001,"*BOOKED")=0,_xlfn.MINIFS(LOG!$G$2:$G$2001,LOG!$C$2:$C$2001,F202,LOG!$E$2:$E$2001,"",LOG!$D$2:$D$2001,"*BOOKED"),IF(_xlfn.MINIFS(LOG!$G$2:$G$2001,LOG!$C$2:$C$2001,F202,LOG!$E$2:$E$2001,"",LOG!$D$2:$D$2001,"*BOOKED")=0,_xlfn.MINIFS(LOG!$G$2:$G$2001,LOG!$C$2:$C$2001,F202,LOG!$E$2:$E$2001,B202,LOG!$D$2:$D$2001,"*BOOKED"),MIN(_xlfn.MINIFS(LOG!$G$2:$G$2001,LOG!$C$2:$C$2001,F202,LOG!$E$2:$E$2001,B202,LOG!$D$2:$D$2001,"*BOOKED"),_xlfn.MINIFS(LOG!$G$2:$G$2001,LOG!$C$2:$C$2001,F202,LOG!$E$2:$E$2001,"",LOG!$D$2:$D$2001,"*BOOKED")))),"")</f>
        <v/>
      </c>
      <c r="AN202" s="28" t="str">
        <f t="shared" si="40"/>
        <v/>
      </c>
      <c r="AO202" s="28">
        <f>IF(AND(M202=1,AN202&lt;&gt;""),IF(AN202&lt;=SETTINGS!$B$5,1,0),0)</f>
        <v>0</v>
      </c>
      <c r="AP202" s="28">
        <f>IF(M202=1,IF(COUNTIFS(LOG!$C$2:$C$2001,F202,LOG!$E$2:$E$2001,B202,LOG!$D$2:$D$2001,"BOOKED")+COUNTIFS(LOG!$C$2:$C$2001,F202,LOG!$E$2:$E$2001,"",LOG!$D$2:$D$2001,"BOOKED")&gt;0,1,0),0)</f>
        <v>0</v>
      </c>
      <c r="AQ202" s="28" t="str">
        <f t="shared" si="41"/>
        <v>Meera</v>
      </c>
      <c r="AR202" s="28">
        <f>IF(AND(AK202=1,K202="OK"),COUNTIFS($AK$2:AK202,1,$K$2:K202,"OK"),"")</f>
        <v>179</v>
      </c>
      <c r="AS202" s="28" t="str">
        <f>IF(L202=1,IFERROR(INDEX(MESSAGES!$J$9:$J$1008,MATCH(F202,MESSAGES!$M$9:$M$1008,0))&amp;"",""),"")</f>
        <v/>
      </c>
      <c r="AT202" s="28" t="str">
        <f>IF(L202=1,IFERROR(INDEX(MESSAGES!$K$9:$K$1008,MATCH(F202,MESSAGES!$M$9:$M$1008,0))&amp;"",""),"")</f>
        <v/>
      </c>
      <c r="AU202" s="28">
        <f t="shared" ca="1" si="42"/>
        <v>0</v>
      </c>
      <c r="AV202" s="28" t="str">
        <f t="shared" si="43"/>
        <v>SEND</v>
      </c>
    </row>
    <row r="203" spans="1:48" x14ac:dyDescent="0.35">
      <c r="A203" s="28">
        <v>202</v>
      </c>
      <c r="B203" s="28" t="str">
        <f>IF(INPUT!A203="","",TRIM(INPUT!A203))</f>
        <v>Partner 072</v>
      </c>
      <c r="C203" s="28" t="str">
        <f>IF(B203="","",INPUT!C203)</f>
        <v>interviewer0@partner072.example.com</v>
      </c>
      <c r="D203" s="28" t="str">
        <f>IF(B203="","",INPUT!D203)</f>
        <v>Saanvi M.</v>
      </c>
      <c r="E203" s="28" t="str">
        <f>IF(B203="","",INPUT!E203)</f>
        <v>saanvi.m339@example.com</v>
      </c>
      <c r="F203" s="43" t="str">
        <f>IF(B203="","",TRIM(INPUT!F203&amp;""))</f>
        <v>9000004414</v>
      </c>
      <c r="G203" s="28" t="str">
        <f>IF(B203="","",INPUT!H203)</f>
        <v>Round1</v>
      </c>
      <c r="H203" s="46">
        <f>IF(B203="","",INPUT!I203)</f>
        <v>46308.82708333333</v>
      </c>
      <c r="I203" s="28" t="str">
        <f>IF(B203="","",IF(INPUT!J203="","None",INPUT!J203))</f>
        <v>Opened</v>
      </c>
      <c r="J203" s="28" t="str">
        <f t="shared" si="33"/>
        <v>saanvi.m339@example.com|partner 072|Round1|interviewer0@partner072.example.com</v>
      </c>
      <c r="K203" s="28" t="str">
        <f>IF(B203="","",IF(SUMPRODUCT(($J$2:$J$601=J203)*($H$2:$H$601&lt;H203))+SUMPRODUCT(($J$2:J203=J203)*($H$2:H203=H203))-1&gt;0,"DUPLICATE",IF(AND(ISNUMBER(SEARCH("@",E203)),ISNUMBER(SEARCH(".",E203)),LEN(F203)=10,ISNUMBER(VALUE(F203))),"OK","BAD CONTACT")))</f>
        <v>OK</v>
      </c>
      <c r="L203" s="28">
        <f t="shared" si="34"/>
        <v>1</v>
      </c>
      <c r="M203" s="28">
        <f>IF(L203=1,IF(COUNTIFS(LOG!$C$2:$C$2001,F203,LOG!$E$2:$E$2001,B203,LOG!$D$2:$D$2001,"*BOOKED")+COUNTIFS(LOG!$C$2:$C$2001,F203,LOG!$E$2:$E$2001,"",LOG!$D$2:$D$2001,"*BOOKED")&gt;0,1,0),0)</f>
        <v>1</v>
      </c>
      <c r="N203" s="28">
        <f>IF(L203=1,IF(COUNTIFS(LOG!$C$2:$C$2001,F203,LOG!$E$2:$E$2001,B203,LOG!$D$2:$D$2001,"NOT_INTERESTED")+COUNTIFS(LOG!$C$2:$C$2001,F203,LOG!$E$2:$E$2001,"",LOG!$D$2:$D$2001,"NOT_INTERESTED")&gt;0,1,0),0)</f>
        <v>0</v>
      </c>
      <c r="O203" s="28">
        <f>IF(L203=1,IF(COUNTIFS(LOG!$C$2:$C$2001,F203,LOG!$D$2:$D$2001,"STOP")+COUNTIFS(LOG!$C$2:$C$2001,F203,LOG!$D$2:$D$2001,"WRONG_NUMBER")&gt;0,1,IF(ISNUMBER(SEARCH("STOP",AT203)),1,0)),0)</f>
        <v>0</v>
      </c>
      <c r="P203" s="28">
        <f>IF(L203=1,IF(IFERROR(INDEX(PARTNERS!$D$2:$D$88,MATCH(B203,PARTNERS!$A$2:$A$88,0)),"")="NO SLOTS",1,IF(AND(IFERROR(INDEX(PARTNERS!$D$2:$D$88,MATCH(B203,PARTNERS!$A$2:$A$88,0)),"")&lt;&gt;"REOPENED",COUNTIFS(LOG!$E$2:$E$2001,B203,LOG!$D$2:$D$2001,"NO_SLOTS")&gt;0),1,0)),0)</f>
        <v>0</v>
      </c>
      <c r="Q203" s="28">
        <f>IF(L203=1,COUNTIFS(LOG!$C$2:$C$2001,F203,LOG!$H$2:$H$2001,1),0)</f>
        <v>0</v>
      </c>
      <c r="R203" s="46">
        <f>IF(Q203&gt;0,_xlfn.MAXIFS(LOG!$G$2:$G$2001,LOG!$C$2:$C$2001,F203,LOG!$H$2:$H$2001,1),0)</f>
        <v>0</v>
      </c>
      <c r="S203" s="28" t="str">
        <f>IF(Q203&gt;0,IFERROR(INDEX(LOG!$D$2:$D$2001,MATCH(F203&amp;"|"&amp;Q203,LOG!$I$2:$I$2001,0)),""),"")</f>
        <v/>
      </c>
      <c r="T203" s="28">
        <f>IF(S203="",0,IFERROR(VLOOKUP(S203,LISTS!$A$2:$E$10,4,FALSE),0))</f>
        <v>0</v>
      </c>
      <c r="U203" s="46">
        <f t="shared" si="35"/>
        <v>0</v>
      </c>
      <c r="V203" s="46">
        <f>IF(L203=1,H203+SETTINGS!$B$5/24,"")</f>
        <v>46309.82708333333</v>
      </c>
      <c r="W203" s="28">
        <f ca="1">IF(L203=1,(V203-SETTINGS!$B$4)*24,"")</f>
        <v>-1.6666666720993817E-2</v>
      </c>
      <c r="X203" s="28">
        <f ca="1">IF(AND(L203=1,K203="OK",M203=0,N203=0,O203=0,P203=0,SETTINGS!$B$4&lt;V203,Q203&lt;SETTINGS!$B$6),1,0)</f>
        <v>0</v>
      </c>
      <c r="Y203" s="28">
        <f ca="1">IF(AND(X203=1,SETTINGS!$B$4&gt;=H203,SETTINGS!$B$4&gt;=U203,ROUND(MOD(SETTINGS!$B$4,1)*1440,0)&gt;=ROUND(SETTINGS!$B$7*1440,0),ROUND(MOD(SETTINGS!$B$4,1)*1440,0)&lt;ROUND(SETTINGS!$B$8*1440,0)),1,0)</f>
        <v>0</v>
      </c>
      <c r="Z203" s="28" t="str">
        <f ca="1">IF(B203="","",IF(ROUND(MOD(SETTINGS!$B$4,1)*1440,0)&lt;ROUND(SETTINGS!$B$11*1440,0),"Ram",IF(ROUND(MOD(SETTINGS!$B$4,1)*1440,0)&gt;=ROUND(SETTINGS!$B$10*1440,0),"Shyam",IF(MOD(IFERROR(VALUE(RIGHT(F203,2)),0),2)=0,"Ram","Shyam"))))</f>
        <v>Shyam</v>
      </c>
      <c r="AA203" s="28">
        <f t="shared" ca="1" si="36"/>
        <v>0</v>
      </c>
      <c r="AB203" s="28">
        <f ca="1">IF(X203=1,COUNTIFS($F$2:F203,F203,$X$2:X203,1),0)</f>
        <v>0</v>
      </c>
      <c r="AC203" s="28" t="str">
        <f>IF(L203=1,IF(IFERROR(INDEX(PARTNERS!$C$2:$C$88,MATCH(B203,PARTNERS!$A$2:$A$88,0)),"")="YES","YES","NO"),"")</f>
        <v>YES</v>
      </c>
      <c r="AD203" s="28" t="str">
        <f>IF(L203=1,IFERROR(INDEX(PARTNERS!$B$2:$B$88,MATCH(B203,PARTNERS!$A$2:$A$88,0)),""),"")</f>
        <v>https://calendly.com/partner072/interview</v>
      </c>
      <c r="AE203" s="28">
        <f ca="1">IF(X203=1,IFERROR(INDEX(SETTINGS!$B$34:$D$36,MATCH(I203,SETTINGS!$A$34:$A$36,0),MIN(Q203,2)+1),SETTINGS!$B$36),0)</f>
        <v>0</v>
      </c>
      <c r="AF203" s="28">
        <f t="shared" si="37"/>
        <v>1</v>
      </c>
      <c r="AG203" s="28">
        <f ca="1">IF(AND(Y203=1,AB203=1),ROUND(AA203*AE203*IF(AF203&gt;1,SETTINGS!$B$16,1)*IF(W203&lt;=SETTINGS!$B$14,SETTINGS!$B$15,1)*IF(AU203=1,SETTINGS!$B$21,1),6),0)</f>
        <v>0</v>
      </c>
      <c r="AH203" s="28" t="str">
        <f ca="1">IF(AG203&gt;0,COUNTIFS($Z$2:$Z$601,Z203,$AG$2:$AG$601,"&gt;"&amp;AG203)+COUNTIFS($Z$2:Z203,Z203,$AG$2:AG203,AG203),"")</f>
        <v/>
      </c>
      <c r="AI203" s="28" t="str">
        <f t="shared" ca="1" si="38"/>
        <v/>
      </c>
      <c r="AJ203" s="28" t="str">
        <f t="shared" ca="1" si="39"/>
        <v/>
      </c>
      <c r="AK203" s="28">
        <f>IF(L203=1,IF(COUNTIFS($F$2:F203,F203,$L$2:L203,1)=1,1,0),0)</f>
        <v>0</v>
      </c>
      <c r="AL203" s="28" t="str">
        <f>IF(B203="","",IF(K203="DUPLICATE","Duplicate (removed)",IF(AO203=1,"Scheduled within 24h",IF(M203=1,"Scheduled late",IF(K203="BAD CONTACT","Bad contact details",IF(O203=1,"Stopped / wrong number",IF(N203=1,"Not interested",IF(P203=1,"Partner has no slots",IF(SETTINGS!$B$4&gt;=V203,IF(Q203=0,"Missed deadline: never tried","Missed deadline: tried, not booked"),IF(Q203&gt;=SETTINGS!$B$6,"No reply after max tries","Open"))))))))))</f>
        <v>Scheduled within 24h</v>
      </c>
      <c r="AM203" s="46">
        <f>IF(M203=1,IF(_xlfn.MINIFS(LOG!$G$2:$G$2001,LOG!$C$2:$C$2001,F203,LOG!$E$2:$E$2001,B203,LOG!$D$2:$D$2001,"*BOOKED")=0,_xlfn.MINIFS(LOG!$G$2:$G$2001,LOG!$C$2:$C$2001,F203,LOG!$E$2:$E$2001,"",LOG!$D$2:$D$2001,"*BOOKED"),IF(_xlfn.MINIFS(LOG!$G$2:$G$2001,LOG!$C$2:$C$2001,F203,LOG!$E$2:$E$2001,"",LOG!$D$2:$D$2001,"*BOOKED")=0,_xlfn.MINIFS(LOG!$G$2:$G$2001,LOG!$C$2:$C$2001,F203,LOG!$E$2:$E$2001,B203,LOG!$D$2:$D$2001,"*BOOKED"),MIN(_xlfn.MINIFS(LOG!$G$2:$G$2001,LOG!$C$2:$C$2001,F203,LOG!$E$2:$E$2001,B203,LOG!$D$2:$D$2001,"*BOOKED"),_xlfn.MINIFS(LOG!$G$2:$G$2001,LOG!$C$2:$C$2001,F203,LOG!$E$2:$E$2001,"",LOG!$D$2:$D$2001,"*BOOKED")))),"")</f>
        <v>46308.933189356605</v>
      </c>
      <c r="AN203" s="28">
        <f t="shared" si="40"/>
        <v>2.5465445586014539</v>
      </c>
      <c r="AO203" s="28">
        <f>IF(AND(M203=1,AN203&lt;&gt;""),IF(AN203&lt;=SETTINGS!$B$5,1,0),0)</f>
        <v>1</v>
      </c>
      <c r="AP203" s="28">
        <f>IF(M203=1,IF(COUNTIFS(LOG!$C$2:$C$2001,F203,LOG!$E$2:$E$2001,B203,LOG!$D$2:$D$2001,"BOOKED")+COUNTIFS(LOG!$C$2:$C$2001,F203,LOG!$E$2:$E$2001,"",LOG!$D$2:$D$2001,"BOOKED")&gt;0,1,0),0)</f>
        <v>0</v>
      </c>
      <c r="AQ203" s="28" t="str">
        <f t="shared" si="41"/>
        <v>Saanvi</v>
      </c>
      <c r="AR203" s="28" t="str">
        <f>IF(AND(AK203=1,K203="OK"),COUNTIFS($AK$2:AK203,1,$K$2:K203,"OK"),"")</f>
        <v/>
      </c>
      <c r="AS203" s="28" t="str">
        <f>IF(L203=1,IFERROR(INDEX(MESSAGES!$J$9:$J$1008,MATCH(F203,MESSAGES!$M$9:$M$1008,0))&amp;"",""),"")</f>
        <v/>
      </c>
      <c r="AT203" s="28" t="str">
        <f>IF(L203=1,IFERROR(INDEX(MESSAGES!$K$9:$K$1008,MATCH(F203,MESSAGES!$M$9:$M$1008,0))&amp;"",""),"")</f>
        <v/>
      </c>
      <c r="AU203" s="28">
        <f t="shared" ca="1" si="42"/>
        <v>0</v>
      </c>
      <c r="AV203" s="28" t="str">
        <f t="shared" si="43"/>
        <v>HOLD</v>
      </c>
    </row>
    <row r="204" spans="1:48" x14ac:dyDescent="0.35">
      <c r="A204" s="28">
        <v>203</v>
      </c>
      <c r="B204" s="28" t="str">
        <f>IF(INPUT!A204="","",TRIM(INPUT!A204))</f>
        <v>Partner 006</v>
      </c>
      <c r="C204" s="28" t="str">
        <f>IF(B204="","",INPUT!C204)</f>
        <v>interviewer0@partner006.example.com</v>
      </c>
      <c r="D204" s="28" t="str">
        <f>IF(B204="","",INPUT!D204)</f>
        <v>Dev D.</v>
      </c>
      <c r="E204" s="28" t="str">
        <f>IF(B204="","",INPUT!E204)</f>
        <v>dev.d102@example.com</v>
      </c>
      <c r="F204" s="43" t="str">
        <f>IF(B204="","",TRIM(INPUT!F204&amp;""))</f>
        <v>9000001333</v>
      </c>
      <c r="G204" s="28" t="str">
        <f>IF(B204="","",INPUT!H204)</f>
        <v>Round1</v>
      </c>
      <c r="H204" s="46">
        <f>IF(B204="","",INPUT!I204)</f>
        <v>46308.82708333333</v>
      </c>
      <c r="I204" s="28" t="str">
        <f>IF(B204="","",IF(INPUT!J204="","None",INPUT!J204))</f>
        <v>Opened</v>
      </c>
      <c r="J204" s="28" t="str">
        <f t="shared" si="33"/>
        <v>dev.d102@example.com|partner 006|Round1|interviewer0@partner006.example.com</v>
      </c>
      <c r="K204" s="28" t="str">
        <f>IF(B204="","",IF(SUMPRODUCT(($J$2:$J$601=J204)*($H$2:$H$601&lt;H204))+SUMPRODUCT(($J$2:J204=J204)*($H$2:H204=H204))-1&gt;0,"DUPLICATE",IF(AND(ISNUMBER(SEARCH("@",E204)),ISNUMBER(SEARCH(".",E204)),LEN(F204)=10,ISNUMBER(VALUE(F204))),"OK","BAD CONTACT")))</f>
        <v>OK</v>
      </c>
      <c r="L204" s="28">
        <f t="shared" si="34"/>
        <v>1</v>
      </c>
      <c r="M204" s="28">
        <f>IF(L204=1,IF(COUNTIFS(LOG!$C$2:$C$2001,F204,LOG!$E$2:$E$2001,B204,LOG!$D$2:$D$2001,"*BOOKED")+COUNTIFS(LOG!$C$2:$C$2001,F204,LOG!$E$2:$E$2001,"",LOG!$D$2:$D$2001,"*BOOKED")&gt;0,1,0),0)</f>
        <v>0</v>
      </c>
      <c r="N204" s="28">
        <f>IF(L204=1,IF(COUNTIFS(LOG!$C$2:$C$2001,F204,LOG!$E$2:$E$2001,B204,LOG!$D$2:$D$2001,"NOT_INTERESTED")+COUNTIFS(LOG!$C$2:$C$2001,F204,LOG!$E$2:$E$2001,"",LOG!$D$2:$D$2001,"NOT_INTERESTED")&gt;0,1,0),0)</f>
        <v>0</v>
      </c>
      <c r="O204" s="28">
        <f>IF(L204=1,IF(COUNTIFS(LOG!$C$2:$C$2001,F204,LOG!$D$2:$D$2001,"STOP")+COUNTIFS(LOG!$C$2:$C$2001,F204,LOG!$D$2:$D$2001,"WRONG_NUMBER")&gt;0,1,IF(ISNUMBER(SEARCH("STOP",AT204)),1,0)),0)</f>
        <v>0</v>
      </c>
      <c r="P204" s="28">
        <f>IF(L204=1,IF(IFERROR(INDEX(PARTNERS!$D$2:$D$88,MATCH(B204,PARTNERS!$A$2:$A$88,0)),"")="NO SLOTS",1,IF(AND(IFERROR(INDEX(PARTNERS!$D$2:$D$88,MATCH(B204,PARTNERS!$A$2:$A$88,0)),"")&lt;&gt;"REOPENED",COUNTIFS(LOG!$E$2:$E$2001,B204,LOG!$D$2:$D$2001,"NO_SLOTS")&gt;0),1,0)),0)</f>
        <v>0</v>
      </c>
      <c r="Q204" s="28">
        <f>IF(L204=1,COUNTIFS(LOG!$C$2:$C$2001,F204,LOG!$H$2:$H$2001,1),0)</f>
        <v>0</v>
      </c>
      <c r="R204" s="46">
        <f>IF(Q204&gt;0,_xlfn.MAXIFS(LOG!$G$2:$G$2001,LOG!$C$2:$C$2001,F204,LOG!$H$2:$H$2001,1),0)</f>
        <v>0</v>
      </c>
      <c r="S204" s="28" t="str">
        <f>IF(Q204&gt;0,IFERROR(INDEX(LOG!$D$2:$D$2001,MATCH(F204&amp;"|"&amp;Q204,LOG!$I$2:$I$2001,0)),""),"")</f>
        <v/>
      </c>
      <c r="T204" s="28">
        <f>IF(S204="",0,IFERROR(VLOOKUP(S204,LISTS!$A$2:$E$10,4,FALSE),0))</f>
        <v>0</v>
      </c>
      <c r="U204" s="46">
        <f t="shared" si="35"/>
        <v>0</v>
      </c>
      <c r="V204" s="46">
        <f>IF(L204=1,H204+SETTINGS!$B$5/24,"")</f>
        <v>46309.82708333333</v>
      </c>
      <c r="W204" s="28">
        <f ca="1">IF(L204=1,(V204-SETTINGS!$B$4)*24,"")</f>
        <v>-1.6666666720993817E-2</v>
      </c>
      <c r="X204" s="28">
        <f ca="1">IF(AND(L204=1,K204="OK",M204=0,N204=0,O204=0,P204=0,SETTINGS!$B$4&lt;V204,Q204&lt;SETTINGS!$B$6),1,0)</f>
        <v>0</v>
      </c>
      <c r="Y204" s="28">
        <f ca="1">IF(AND(X204=1,SETTINGS!$B$4&gt;=H204,SETTINGS!$B$4&gt;=U204,ROUND(MOD(SETTINGS!$B$4,1)*1440,0)&gt;=ROUND(SETTINGS!$B$7*1440,0),ROUND(MOD(SETTINGS!$B$4,1)*1440,0)&lt;ROUND(SETTINGS!$B$8*1440,0)),1,0)</f>
        <v>0</v>
      </c>
      <c r="Z204" s="28" t="str">
        <f ca="1">IF(B204="","",IF(ROUND(MOD(SETTINGS!$B$4,1)*1440,0)&lt;ROUND(SETTINGS!$B$11*1440,0),"Ram",IF(ROUND(MOD(SETTINGS!$B$4,1)*1440,0)&gt;=ROUND(SETTINGS!$B$10*1440,0),"Shyam",IF(MOD(IFERROR(VALUE(RIGHT(F204,2)),0),2)=0,"Ram","Shyam"))))</f>
        <v>Shyam</v>
      </c>
      <c r="AA204" s="28">
        <f t="shared" ca="1" si="36"/>
        <v>0</v>
      </c>
      <c r="AB204" s="28">
        <f ca="1">IF(X204=1,COUNTIFS($F$2:F204,F204,$X$2:X204,1),0)</f>
        <v>0</v>
      </c>
      <c r="AC204" s="28" t="str">
        <f>IF(L204=1,IF(IFERROR(INDEX(PARTNERS!$C$2:$C$88,MATCH(B204,PARTNERS!$A$2:$A$88,0)),"")="YES","YES","NO"),"")</f>
        <v>YES</v>
      </c>
      <c r="AD204" s="28" t="str">
        <f>IF(L204=1,IFERROR(INDEX(PARTNERS!$B$2:$B$88,MATCH(B204,PARTNERS!$A$2:$A$88,0)),""),"")</f>
        <v>https://calendly.com/partner006/interview</v>
      </c>
      <c r="AE204" s="28">
        <f ca="1">IF(X204=1,IFERROR(INDEX(SETTINGS!$B$34:$D$36,MATCH(I204,SETTINGS!$A$34:$A$36,0),MIN(Q204,2)+1),SETTINGS!$B$36),0)</f>
        <v>0</v>
      </c>
      <c r="AF204" s="28">
        <f t="shared" si="37"/>
        <v>1</v>
      </c>
      <c r="AG204" s="28">
        <f ca="1">IF(AND(Y204=1,AB204=1),ROUND(AA204*AE204*IF(AF204&gt;1,SETTINGS!$B$16,1)*IF(W204&lt;=SETTINGS!$B$14,SETTINGS!$B$15,1)*IF(AU204=1,SETTINGS!$B$21,1),6),0)</f>
        <v>0</v>
      </c>
      <c r="AH204" s="28" t="str">
        <f ca="1">IF(AG204&gt;0,COUNTIFS($Z$2:$Z$601,Z204,$AG$2:$AG$601,"&gt;"&amp;AG204)+COUNTIFS($Z$2:Z204,Z204,$AG$2:AG204,AG204),"")</f>
        <v/>
      </c>
      <c r="AI204" s="28" t="str">
        <f t="shared" ca="1" si="38"/>
        <v/>
      </c>
      <c r="AJ204" s="28" t="str">
        <f t="shared" ca="1" si="39"/>
        <v/>
      </c>
      <c r="AK204" s="28">
        <f>IF(L204=1,IF(COUNTIFS($F$2:F204,F204,$L$2:L204,1)=1,1,0),0)</f>
        <v>1</v>
      </c>
      <c r="AL204" s="28" t="str">
        <f ca="1">IF(B204="","",IF(K204="DUPLICATE","Duplicate (removed)",IF(AO204=1,"Scheduled within 24h",IF(M204=1,"Scheduled late",IF(K204="BAD CONTACT","Bad contact details",IF(O204=1,"Stopped / wrong number",IF(N204=1,"Not interested",IF(P204=1,"Partner has no slots",IF(SETTINGS!$B$4&gt;=V204,IF(Q204=0,"Missed deadline: never tried","Missed deadline: tried, not booked"),IF(Q204&gt;=SETTINGS!$B$6,"No reply after max tries","Open"))))))))))</f>
        <v>Missed deadline: never tried</v>
      </c>
      <c r="AM204" s="46" t="str">
        <f>IF(M204=1,IF(_xlfn.MINIFS(LOG!$G$2:$G$2001,LOG!$C$2:$C$2001,F204,LOG!$E$2:$E$2001,B204,LOG!$D$2:$D$2001,"*BOOKED")=0,_xlfn.MINIFS(LOG!$G$2:$G$2001,LOG!$C$2:$C$2001,F204,LOG!$E$2:$E$2001,"",LOG!$D$2:$D$2001,"*BOOKED"),IF(_xlfn.MINIFS(LOG!$G$2:$G$2001,LOG!$C$2:$C$2001,F204,LOG!$E$2:$E$2001,"",LOG!$D$2:$D$2001,"*BOOKED")=0,_xlfn.MINIFS(LOG!$G$2:$G$2001,LOG!$C$2:$C$2001,F204,LOG!$E$2:$E$2001,B204,LOG!$D$2:$D$2001,"*BOOKED"),MIN(_xlfn.MINIFS(LOG!$G$2:$G$2001,LOG!$C$2:$C$2001,F204,LOG!$E$2:$E$2001,B204,LOG!$D$2:$D$2001,"*BOOKED"),_xlfn.MINIFS(LOG!$G$2:$G$2001,LOG!$C$2:$C$2001,F204,LOG!$E$2:$E$2001,"",LOG!$D$2:$D$2001,"*BOOKED")))),"")</f>
        <v/>
      </c>
      <c r="AN204" s="28" t="str">
        <f t="shared" si="40"/>
        <v/>
      </c>
      <c r="AO204" s="28">
        <f>IF(AND(M204=1,AN204&lt;&gt;""),IF(AN204&lt;=SETTINGS!$B$5,1,0),0)</f>
        <v>0</v>
      </c>
      <c r="AP204" s="28">
        <f>IF(M204=1,IF(COUNTIFS(LOG!$C$2:$C$2001,F204,LOG!$E$2:$E$2001,B204,LOG!$D$2:$D$2001,"BOOKED")+COUNTIFS(LOG!$C$2:$C$2001,F204,LOG!$E$2:$E$2001,"",LOG!$D$2:$D$2001,"BOOKED")&gt;0,1,0),0)</f>
        <v>0</v>
      </c>
      <c r="AQ204" s="28" t="str">
        <f t="shared" si="41"/>
        <v>Dev</v>
      </c>
      <c r="AR204" s="28">
        <f>IF(AND(AK204=1,K204="OK"),COUNTIFS($AK$2:AK204,1,$K$2:K204,"OK"),"")</f>
        <v>180</v>
      </c>
      <c r="AS204" s="28" t="str">
        <f>IF(L204=1,IFERROR(INDEX(MESSAGES!$J$9:$J$1008,MATCH(F204,MESSAGES!$M$9:$M$1008,0))&amp;"",""),"")</f>
        <v/>
      </c>
      <c r="AT204" s="28" t="str">
        <f>IF(L204=1,IFERROR(INDEX(MESSAGES!$K$9:$K$1008,MATCH(F204,MESSAGES!$M$9:$M$1008,0))&amp;"",""),"")</f>
        <v/>
      </c>
      <c r="AU204" s="28">
        <f t="shared" ca="1" si="42"/>
        <v>0</v>
      </c>
      <c r="AV204" s="28" t="str">
        <f t="shared" si="43"/>
        <v>HOLD</v>
      </c>
    </row>
    <row r="205" spans="1:48" x14ac:dyDescent="0.35">
      <c r="A205" s="28">
        <v>204</v>
      </c>
      <c r="B205" s="28" t="str">
        <f>IF(INPUT!A205="","",TRIM(INPUT!A205))</f>
        <v>Partner 015</v>
      </c>
      <c r="C205" s="28" t="str">
        <f>IF(B205="","",INPUT!C205)</f>
        <v>interviewer2@partner015.example.com</v>
      </c>
      <c r="D205" s="28" t="str">
        <f>IF(B205="","",INPUT!D205)</f>
        <v>Kiara A.</v>
      </c>
      <c r="E205" s="28" t="str">
        <f>IF(B205="","",INPUT!E205)</f>
        <v>kiara.a011@example.com</v>
      </c>
      <c r="F205" s="43" t="str">
        <f>IF(B205="","",TRIM(INPUT!F205&amp;""))</f>
        <v>9000000150</v>
      </c>
      <c r="G205" s="28" t="str">
        <f>IF(B205="","",INPUT!H205)</f>
        <v>Round1</v>
      </c>
      <c r="H205" s="46">
        <f>IF(B205="","",INPUT!I205)</f>
        <v>46308.82708333333</v>
      </c>
      <c r="I205" s="28" t="str">
        <f>IF(B205="","",IF(INPUT!J205="","None",INPUT!J205))</f>
        <v>None</v>
      </c>
      <c r="J205" s="28" t="str">
        <f t="shared" si="33"/>
        <v>kiara.a011@example.com|partner 015|Round1|interviewer2@partner015.example.com</v>
      </c>
      <c r="K205" s="28" t="str">
        <f>IF(B205="","",IF(SUMPRODUCT(($J$2:$J$601=J205)*($H$2:$H$601&lt;H205))+SUMPRODUCT(($J$2:J205=J205)*($H$2:H205=H205))-1&gt;0,"DUPLICATE",IF(AND(ISNUMBER(SEARCH("@",E205)),ISNUMBER(SEARCH(".",E205)),LEN(F205)=10,ISNUMBER(VALUE(F205))),"OK","BAD CONTACT")))</f>
        <v>OK</v>
      </c>
      <c r="L205" s="28">
        <f t="shared" si="34"/>
        <v>1</v>
      </c>
      <c r="M205" s="28">
        <f>IF(L205=1,IF(COUNTIFS(LOG!$C$2:$C$2001,F205,LOG!$E$2:$E$2001,B205,LOG!$D$2:$D$2001,"*BOOKED")+COUNTIFS(LOG!$C$2:$C$2001,F205,LOG!$E$2:$E$2001,"",LOG!$D$2:$D$2001,"*BOOKED")&gt;0,1,0),0)</f>
        <v>0</v>
      </c>
      <c r="N205" s="28">
        <f>IF(L205=1,IF(COUNTIFS(LOG!$C$2:$C$2001,F205,LOG!$E$2:$E$2001,B205,LOG!$D$2:$D$2001,"NOT_INTERESTED")+COUNTIFS(LOG!$C$2:$C$2001,F205,LOG!$E$2:$E$2001,"",LOG!$D$2:$D$2001,"NOT_INTERESTED")&gt;0,1,0),0)</f>
        <v>0</v>
      </c>
      <c r="O205" s="28">
        <f>IF(L205=1,IF(COUNTIFS(LOG!$C$2:$C$2001,F205,LOG!$D$2:$D$2001,"STOP")+COUNTIFS(LOG!$C$2:$C$2001,F205,LOG!$D$2:$D$2001,"WRONG_NUMBER")&gt;0,1,IF(ISNUMBER(SEARCH("STOP",AT205)),1,0)),0)</f>
        <v>0</v>
      </c>
      <c r="P205" s="28">
        <f>IF(L205=1,IF(IFERROR(INDEX(PARTNERS!$D$2:$D$88,MATCH(B205,PARTNERS!$A$2:$A$88,0)),"")="NO SLOTS",1,IF(AND(IFERROR(INDEX(PARTNERS!$D$2:$D$88,MATCH(B205,PARTNERS!$A$2:$A$88,0)),"")&lt;&gt;"REOPENED",COUNTIFS(LOG!$E$2:$E$2001,B205,LOG!$D$2:$D$2001,"NO_SLOTS")&gt;0),1,0)),0)</f>
        <v>0</v>
      </c>
      <c r="Q205" s="28">
        <f>IF(L205=1,COUNTIFS(LOG!$C$2:$C$2001,F205,LOG!$H$2:$H$2001,1),0)</f>
        <v>1</v>
      </c>
      <c r="R205" s="46">
        <f>IF(Q205&gt;0,_xlfn.MAXIFS(LOG!$G$2:$G$2001,LOG!$C$2:$C$2001,F205,LOG!$H$2:$H$2001,1),0)</f>
        <v>46309.829854660056</v>
      </c>
      <c r="S205" s="28" t="str">
        <f>IF(Q205&gt;0,IFERROR(INDEX(LOG!$D$2:$D$2001,MATCH(F205&amp;"|"&amp;Q205,LOG!$I$2:$I$2001,0)),""),"")</f>
        <v>NO_ANSWER</v>
      </c>
      <c r="T205" s="28">
        <f>IF(S205="",0,IFERROR(VLOOKUP(S205,LISTS!$A$2:$E$10,4,FALSE),0))</f>
        <v>120</v>
      </c>
      <c r="U205" s="46">
        <f t="shared" si="35"/>
        <v>46309.913187993392</v>
      </c>
      <c r="V205" s="46">
        <f>IF(L205=1,H205+SETTINGS!$B$5/24,"")</f>
        <v>46309.82708333333</v>
      </c>
      <c r="W205" s="28">
        <f ca="1">IF(L205=1,(V205-SETTINGS!$B$4)*24,"")</f>
        <v>-1.6666666720993817E-2</v>
      </c>
      <c r="X205" s="28">
        <f ca="1">IF(AND(L205=1,K205="OK",M205=0,N205=0,O205=0,P205=0,SETTINGS!$B$4&lt;V205,Q205&lt;SETTINGS!$B$6),1,0)</f>
        <v>0</v>
      </c>
      <c r="Y205" s="28">
        <f ca="1">IF(AND(X205=1,SETTINGS!$B$4&gt;=H205,SETTINGS!$B$4&gt;=U205,ROUND(MOD(SETTINGS!$B$4,1)*1440,0)&gt;=ROUND(SETTINGS!$B$7*1440,0),ROUND(MOD(SETTINGS!$B$4,1)*1440,0)&lt;ROUND(SETTINGS!$B$8*1440,0)),1,0)</f>
        <v>0</v>
      </c>
      <c r="Z205" s="28" t="str">
        <f ca="1">IF(B205="","",IF(ROUND(MOD(SETTINGS!$B$4,1)*1440,0)&lt;ROUND(SETTINGS!$B$11*1440,0),"Ram",IF(ROUND(MOD(SETTINGS!$B$4,1)*1440,0)&gt;=ROUND(SETTINGS!$B$10*1440,0),"Shyam",IF(MOD(IFERROR(VALUE(RIGHT(F205,2)),0),2)=0,"Ram","Shyam"))))</f>
        <v>Shyam</v>
      </c>
      <c r="AA205" s="28">
        <f t="shared" ca="1" si="36"/>
        <v>0</v>
      </c>
      <c r="AB205" s="28">
        <f ca="1">IF(X205=1,COUNTIFS($F$2:F205,F205,$X$2:X205,1),0)</f>
        <v>0</v>
      </c>
      <c r="AC205" s="28" t="str">
        <f>IF(L205=1,IF(IFERROR(INDEX(PARTNERS!$C$2:$C$88,MATCH(B205,PARTNERS!$A$2:$A$88,0)),"")="YES","YES","NO"),"")</f>
        <v>YES</v>
      </c>
      <c r="AD205" s="28" t="str">
        <f>IF(L205=1,IFERROR(INDEX(PARTNERS!$B$2:$B$88,MATCH(B205,PARTNERS!$A$2:$A$88,0)),""),"")</f>
        <v>https://calendly.com/partner015/interview</v>
      </c>
      <c r="AE205" s="28">
        <f ca="1">IF(X205=1,IFERROR(INDEX(SETTINGS!$B$34:$D$36,MATCH(I205,SETTINGS!$A$34:$A$36,0),MIN(Q205,2)+1),SETTINGS!$B$36),0)</f>
        <v>0</v>
      </c>
      <c r="AF205" s="28">
        <f t="shared" si="37"/>
        <v>1</v>
      </c>
      <c r="AG205" s="28">
        <f ca="1">IF(AND(Y205=1,AB205=1),ROUND(AA205*AE205*IF(AF205&gt;1,SETTINGS!$B$16,1)*IF(W205&lt;=SETTINGS!$B$14,SETTINGS!$B$15,1)*IF(AU205=1,SETTINGS!$B$21,1),6),0)</f>
        <v>0</v>
      </c>
      <c r="AH205" s="28" t="str">
        <f ca="1">IF(AG205&gt;0,COUNTIFS($Z$2:$Z$601,Z205,$AG$2:$AG$601,"&gt;"&amp;AG205)+COUNTIFS($Z$2:Z205,Z205,$AG$2:AG205,AG205),"")</f>
        <v/>
      </c>
      <c r="AI205" s="28" t="str">
        <f t="shared" ca="1" si="38"/>
        <v/>
      </c>
      <c r="AJ205" s="28" t="str">
        <f t="shared" ca="1" si="39"/>
        <v/>
      </c>
      <c r="AK205" s="28">
        <f>IF(L205=1,IF(COUNTIFS($F$2:F205,F205,$L$2:L205,1)=1,1,0),0)</f>
        <v>1</v>
      </c>
      <c r="AL205" s="28" t="str">
        <f ca="1">IF(B205="","",IF(K205="DUPLICATE","Duplicate (removed)",IF(AO205=1,"Scheduled within 24h",IF(M205=1,"Scheduled late",IF(K205="BAD CONTACT","Bad contact details",IF(O205=1,"Stopped / wrong number",IF(N205=1,"Not interested",IF(P205=1,"Partner has no slots",IF(SETTINGS!$B$4&gt;=V205,IF(Q205=0,"Missed deadline: never tried","Missed deadline: tried, not booked"),IF(Q205&gt;=SETTINGS!$B$6,"No reply after max tries","Open"))))))))))</f>
        <v>Missed deadline: tried, not booked</v>
      </c>
      <c r="AM205" s="46" t="str">
        <f>IF(M205=1,IF(_xlfn.MINIFS(LOG!$G$2:$G$2001,LOG!$C$2:$C$2001,F205,LOG!$E$2:$E$2001,B205,LOG!$D$2:$D$2001,"*BOOKED")=0,_xlfn.MINIFS(LOG!$G$2:$G$2001,LOG!$C$2:$C$2001,F205,LOG!$E$2:$E$2001,"",LOG!$D$2:$D$2001,"*BOOKED"),IF(_xlfn.MINIFS(LOG!$G$2:$G$2001,LOG!$C$2:$C$2001,F205,LOG!$E$2:$E$2001,"",LOG!$D$2:$D$2001,"*BOOKED")=0,_xlfn.MINIFS(LOG!$G$2:$G$2001,LOG!$C$2:$C$2001,F205,LOG!$E$2:$E$2001,B205,LOG!$D$2:$D$2001,"*BOOKED"),MIN(_xlfn.MINIFS(LOG!$G$2:$G$2001,LOG!$C$2:$C$2001,F205,LOG!$E$2:$E$2001,B205,LOG!$D$2:$D$2001,"*BOOKED"),_xlfn.MINIFS(LOG!$G$2:$G$2001,LOG!$C$2:$C$2001,F205,LOG!$E$2:$E$2001,"",LOG!$D$2:$D$2001,"*BOOKED")))),"")</f>
        <v/>
      </c>
      <c r="AN205" s="28" t="str">
        <f t="shared" si="40"/>
        <v/>
      </c>
      <c r="AO205" s="28">
        <f>IF(AND(M205=1,AN205&lt;&gt;""),IF(AN205&lt;=SETTINGS!$B$5,1,0),0)</f>
        <v>0</v>
      </c>
      <c r="AP205" s="28">
        <f>IF(M205=1,IF(COUNTIFS(LOG!$C$2:$C$2001,F205,LOG!$E$2:$E$2001,B205,LOG!$D$2:$D$2001,"BOOKED")+COUNTIFS(LOG!$C$2:$C$2001,F205,LOG!$E$2:$E$2001,"",LOG!$D$2:$D$2001,"BOOKED")&gt;0,1,0),0)</f>
        <v>0</v>
      </c>
      <c r="AQ205" s="28" t="str">
        <f t="shared" si="41"/>
        <v>Kiara</v>
      </c>
      <c r="AR205" s="28">
        <f>IF(AND(AK205=1,K205="OK"),COUNTIFS($AK$2:AK205,1,$K$2:K205,"OK"),"")</f>
        <v>181</v>
      </c>
      <c r="AS205" s="28" t="str">
        <f>IF(L205=1,IFERROR(INDEX(MESSAGES!$J$9:$J$1008,MATCH(F205,MESSAGES!$M$9:$M$1008,0))&amp;"",""),"")</f>
        <v/>
      </c>
      <c r="AT205" s="28" t="str">
        <f>IF(L205=1,IFERROR(INDEX(MESSAGES!$K$9:$K$1008,MATCH(F205,MESSAGES!$M$9:$M$1008,0))&amp;"",""),"")</f>
        <v/>
      </c>
      <c r="AU205" s="28">
        <f t="shared" ca="1" si="42"/>
        <v>0</v>
      </c>
      <c r="AV205" s="28" t="str">
        <f t="shared" si="43"/>
        <v>HOLD</v>
      </c>
    </row>
    <row r="206" spans="1:48" x14ac:dyDescent="0.35">
      <c r="A206" s="28">
        <v>205</v>
      </c>
      <c r="B206" s="28" t="str">
        <f>IF(INPUT!A206="","",TRIM(INPUT!A206))</f>
        <v>Partner 014</v>
      </c>
      <c r="C206" s="28" t="str">
        <f>IF(B206="","",INPUT!C206)</f>
        <v>interviewer1@partner014.example.com</v>
      </c>
      <c r="D206" s="28" t="str">
        <f>IF(B206="","",INPUT!D206)</f>
        <v>Kabir K.</v>
      </c>
      <c r="E206" s="28" t="str">
        <f>IF(B206="","",INPUT!E206)</f>
        <v>kabir.k272@example.com</v>
      </c>
      <c r="F206" s="43" t="str">
        <f>IF(B206="","",TRIM(INPUT!F206&amp;""))</f>
        <v>9000003543</v>
      </c>
      <c r="G206" s="28" t="str">
        <f>IF(B206="","",INPUT!H206)</f>
        <v>Round1</v>
      </c>
      <c r="H206" s="46">
        <f>IF(B206="","",INPUT!I206)</f>
        <v>46308.82708333333</v>
      </c>
      <c r="I206" s="28" t="str">
        <f>IF(B206="","",IF(INPUT!J206="","None",INPUT!J206))</f>
        <v>Opened</v>
      </c>
      <c r="J206" s="28" t="str">
        <f t="shared" si="33"/>
        <v>kabir.k272@example.com|partner 014|Round1|interviewer1@partner014.example.com</v>
      </c>
      <c r="K206" s="28" t="str">
        <f>IF(B206="","",IF(SUMPRODUCT(($J$2:$J$601=J206)*($H$2:$H$601&lt;H206))+SUMPRODUCT(($J$2:J206=J206)*($H$2:H206=H206))-1&gt;0,"DUPLICATE",IF(AND(ISNUMBER(SEARCH("@",E206)),ISNUMBER(SEARCH(".",E206)),LEN(F206)=10,ISNUMBER(VALUE(F206))),"OK","BAD CONTACT")))</f>
        <v>OK</v>
      </c>
      <c r="L206" s="28">
        <f t="shared" si="34"/>
        <v>1</v>
      </c>
      <c r="M206" s="28">
        <f>IF(L206=1,IF(COUNTIFS(LOG!$C$2:$C$2001,F206,LOG!$E$2:$E$2001,B206,LOG!$D$2:$D$2001,"*BOOKED")+COUNTIFS(LOG!$C$2:$C$2001,F206,LOG!$E$2:$E$2001,"",LOG!$D$2:$D$2001,"*BOOKED")&gt;0,1,0),0)</f>
        <v>1</v>
      </c>
      <c r="N206" s="28">
        <f>IF(L206=1,IF(COUNTIFS(LOG!$C$2:$C$2001,F206,LOG!$E$2:$E$2001,B206,LOG!$D$2:$D$2001,"NOT_INTERESTED")+COUNTIFS(LOG!$C$2:$C$2001,F206,LOG!$E$2:$E$2001,"",LOG!$D$2:$D$2001,"NOT_INTERESTED")&gt;0,1,0),0)</f>
        <v>0</v>
      </c>
      <c r="O206" s="28">
        <f>IF(L206=1,IF(COUNTIFS(LOG!$C$2:$C$2001,F206,LOG!$D$2:$D$2001,"STOP")+COUNTIFS(LOG!$C$2:$C$2001,F206,LOG!$D$2:$D$2001,"WRONG_NUMBER")&gt;0,1,IF(ISNUMBER(SEARCH("STOP",AT206)),1,0)),0)</f>
        <v>0</v>
      </c>
      <c r="P206" s="28">
        <f>IF(L206=1,IF(IFERROR(INDEX(PARTNERS!$D$2:$D$88,MATCH(B206,PARTNERS!$A$2:$A$88,0)),"")="NO SLOTS",1,IF(AND(IFERROR(INDEX(PARTNERS!$D$2:$D$88,MATCH(B206,PARTNERS!$A$2:$A$88,0)),"")&lt;&gt;"REOPENED",COUNTIFS(LOG!$E$2:$E$2001,B206,LOG!$D$2:$D$2001,"NO_SLOTS")&gt;0),1,0)),0)</f>
        <v>0</v>
      </c>
      <c r="Q206" s="28">
        <f>IF(L206=1,COUNTIFS(LOG!$C$2:$C$2001,F206,LOG!$H$2:$H$2001,1),0)</f>
        <v>2</v>
      </c>
      <c r="R206" s="46">
        <f>IF(Q206&gt;0,_xlfn.MAXIFS(LOG!$G$2:$G$2001,LOG!$C$2:$C$2001,F206,LOG!$H$2:$H$2001,1),0)</f>
        <v>46309.535009124564</v>
      </c>
      <c r="S206" s="28" t="str">
        <f>IF(Q206&gt;0,IFERROR(INDEX(LOG!$D$2:$D$2001,MATCH(F206&amp;"|"&amp;Q206,LOG!$I$2:$I$2001,0)),""),"")</f>
        <v>SENT_LINK</v>
      </c>
      <c r="T206" s="28">
        <f>IF(S206="",0,IFERROR(VLOOKUP(S206,LISTS!$A$2:$E$10,4,FALSE),0))</f>
        <v>180</v>
      </c>
      <c r="U206" s="46">
        <f t="shared" si="35"/>
        <v>46309.660009124564</v>
      </c>
      <c r="V206" s="46">
        <f>IF(L206=1,H206+SETTINGS!$B$5/24,"")</f>
        <v>46309.82708333333</v>
      </c>
      <c r="W206" s="28">
        <f ca="1">IF(L206=1,(V206-SETTINGS!$B$4)*24,"")</f>
        <v>-1.6666666720993817E-2</v>
      </c>
      <c r="X206" s="28">
        <f ca="1">IF(AND(L206=1,K206="OK",M206=0,N206=0,O206=0,P206=0,SETTINGS!$B$4&lt;V206,Q206&lt;SETTINGS!$B$6),1,0)</f>
        <v>0</v>
      </c>
      <c r="Y206" s="28">
        <f ca="1">IF(AND(X206=1,SETTINGS!$B$4&gt;=H206,SETTINGS!$B$4&gt;=U206,ROUND(MOD(SETTINGS!$B$4,1)*1440,0)&gt;=ROUND(SETTINGS!$B$7*1440,0),ROUND(MOD(SETTINGS!$B$4,1)*1440,0)&lt;ROUND(SETTINGS!$B$8*1440,0)),1,0)</f>
        <v>0</v>
      </c>
      <c r="Z206" s="28" t="str">
        <f ca="1">IF(B206="","",IF(ROUND(MOD(SETTINGS!$B$4,1)*1440,0)&lt;ROUND(SETTINGS!$B$11*1440,0),"Ram",IF(ROUND(MOD(SETTINGS!$B$4,1)*1440,0)&gt;=ROUND(SETTINGS!$B$10*1440,0),"Shyam",IF(MOD(IFERROR(VALUE(RIGHT(F206,2)),0),2)=0,"Ram","Shyam"))))</f>
        <v>Shyam</v>
      </c>
      <c r="AA206" s="28">
        <f t="shared" ca="1" si="36"/>
        <v>0</v>
      </c>
      <c r="AB206" s="28">
        <f ca="1">IF(X206=1,COUNTIFS($F$2:F206,F206,$X$2:X206,1),0)</f>
        <v>0</v>
      </c>
      <c r="AC206" s="28" t="str">
        <f>IF(L206=1,IF(IFERROR(INDEX(PARTNERS!$C$2:$C$88,MATCH(B206,PARTNERS!$A$2:$A$88,0)),"")="YES","YES","NO"),"")</f>
        <v>NO</v>
      </c>
      <c r="AD206" s="28" t="str">
        <f>IF(L206=1,IFERROR(INDEX(PARTNERS!$B$2:$B$88,MATCH(B206,PARTNERS!$A$2:$A$88,0)),""),"")</f>
        <v>https://calendly.com/partner014/interview</v>
      </c>
      <c r="AE206" s="28">
        <f ca="1">IF(X206=1,IFERROR(INDEX(SETTINGS!$B$34:$D$36,MATCH(I206,SETTINGS!$A$34:$A$36,0),MIN(Q206,2)+1),SETTINGS!$B$36),0)</f>
        <v>0</v>
      </c>
      <c r="AF206" s="28">
        <f t="shared" si="37"/>
        <v>1</v>
      </c>
      <c r="AG206" s="28">
        <f ca="1">IF(AND(Y206=1,AB206=1),ROUND(AA206*AE206*IF(AF206&gt;1,SETTINGS!$B$16,1)*IF(W206&lt;=SETTINGS!$B$14,SETTINGS!$B$15,1)*IF(AU206=1,SETTINGS!$B$21,1),6),0)</f>
        <v>0</v>
      </c>
      <c r="AH206" s="28" t="str">
        <f ca="1">IF(AG206&gt;0,COUNTIFS($Z$2:$Z$601,Z206,$AG$2:$AG$601,"&gt;"&amp;AG206)+COUNTIFS($Z$2:Z206,Z206,$AG$2:AG206,AG206),"")</f>
        <v/>
      </c>
      <c r="AI206" s="28" t="str">
        <f t="shared" ca="1" si="38"/>
        <v/>
      </c>
      <c r="AJ206" s="28" t="str">
        <f t="shared" ca="1" si="39"/>
        <v/>
      </c>
      <c r="AK206" s="28">
        <f>IF(L206=1,IF(COUNTIFS($F$2:F206,F206,$L$2:L206,1)=1,1,0),0)</f>
        <v>0</v>
      </c>
      <c r="AL206" s="28" t="str">
        <f>IF(B206="","",IF(K206="DUPLICATE","Duplicate (removed)",IF(AO206=1,"Scheduled within 24h",IF(M206=1,"Scheduled late",IF(K206="BAD CONTACT","Bad contact details",IF(O206=1,"Stopped / wrong number",IF(N206=1,"Not interested",IF(P206=1,"Partner has no slots",IF(SETTINGS!$B$4&gt;=V206,IF(Q206=0,"Missed deadline: never tried","Missed deadline: tried, not booked"),IF(Q206&gt;=SETTINGS!$B$6,"No reply after max tries","Open"))))))))))</f>
        <v>Scheduled within 24h</v>
      </c>
      <c r="AM206" s="46">
        <f>IF(M206=1,IF(_xlfn.MINIFS(LOG!$G$2:$G$2001,LOG!$C$2:$C$2001,F206,LOG!$E$2:$E$2001,B206,LOG!$D$2:$D$2001,"*BOOKED")=0,_xlfn.MINIFS(LOG!$G$2:$G$2001,LOG!$C$2:$C$2001,F206,LOG!$E$2:$E$2001,"",LOG!$D$2:$D$2001,"*BOOKED"),IF(_xlfn.MINIFS(LOG!$G$2:$G$2001,LOG!$C$2:$C$2001,F206,LOG!$E$2:$E$2001,"",LOG!$D$2:$D$2001,"*BOOKED")=0,_xlfn.MINIFS(LOG!$G$2:$G$2001,LOG!$C$2:$C$2001,F206,LOG!$E$2:$E$2001,B206,LOG!$D$2:$D$2001,"*BOOKED"),MIN(_xlfn.MINIFS(LOG!$G$2:$G$2001,LOG!$C$2:$C$2001,F206,LOG!$E$2:$E$2001,B206,LOG!$D$2:$D$2001,"*BOOKED"),_xlfn.MINIFS(LOG!$G$2:$G$2001,LOG!$C$2:$C$2001,F206,LOG!$E$2:$E$2001,"",LOG!$D$2:$D$2001,"*BOOKED")))),"")</f>
        <v>46308.946537519572</v>
      </c>
      <c r="AN206" s="28">
        <f t="shared" si="40"/>
        <v>2.8669004698167555</v>
      </c>
      <c r="AO206" s="28">
        <f>IF(AND(M206=1,AN206&lt;&gt;""),IF(AN206&lt;=SETTINGS!$B$5,1,0),0)</f>
        <v>1</v>
      </c>
      <c r="AP206" s="28">
        <f>IF(M206=1,IF(COUNTIFS(LOG!$C$2:$C$2001,F206,LOG!$E$2:$E$2001,B206,LOG!$D$2:$D$2001,"BOOKED")+COUNTIFS(LOG!$C$2:$C$2001,F206,LOG!$E$2:$E$2001,"",LOG!$D$2:$D$2001,"BOOKED")&gt;0,1,0),0)</f>
        <v>0</v>
      </c>
      <c r="AQ206" s="28" t="str">
        <f t="shared" si="41"/>
        <v>Kabir</v>
      </c>
      <c r="AR206" s="28" t="str">
        <f>IF(AND(AK206=1,K206="OK"),COUNTIFS($AK$2:AK206,1,$K$2:K206,"OK"),"")</f>
        <v/>
      </c>
      <c r="AS206" s="28" t="str">
        <f>IF(L206=1,IFERROR(INDEX(MESSAGES!$J$9:$J$1008,MATCH(F206,MESSAGES!$M$9:$M$1008,0))&amp;"",""),"")</f>
        <v/>
      </c>
      <c r="AT206" s="28" t="str">
        <f>IF(L206=1,IFERROR(INDEX(MESSAGES!$K$9:$K$1008,MATCH(F206,MESSAGES!$M$9:$M$1008,0))&amp;"",""),"")</f>
        <v/>
      </c>
      <c r="AU206" s="28">
        <f t="shared" ca="1" si="42"/>
        <v>0</v>
      </c>
      <c r="AV206" s="28" t="str">
        <f t="shared" si="43"/>
        <v>SEND</v>
      </c>
    </row>
    <row r="207" spans="1:48" x14ac:dyDescent="0.35">
      <c r="A207" s="28">
        <v>206</v>
      </c>
      <c r="B207" s="28" t="str">
        <f>IF(INPUT!A207="","",TRIM(INPUT!A207))</f>
        <v>Partner 000</v>
      </c>
      <c r="C207" s="28" t="str">
        <f>IF(B207="","",INPUT!C207)</f>
        <v>interviewer0@partner000.example.com</v>
      </c>
      <c r="D207" s="28" t="str">
        <f>IF(B207="","",INPUT!D207)</f>
        <v>Reyansh J.</v>
      </c>
      <c r="E207" s="28" t="str">
        <f>IF(B207="","",INPUT!E207)</f>
        <v>reyansh.j246@example.com</v>
      </c>
      <c r="F207" s="43" t="str">
        <f>IF(B207="","",TRIM(INPUT!F207&amp;""))</f>
        <v>9000003205</v>
      </c>
      <c r="G207" s="28" t="str">
        <f>IF(B207="","",INPUT!H207)</f>
        <v>Round1</v>
      </c>
      <c r="H207" s="46">
        <f>IF(B207="","",INPUT!I207)</f>
        <v>46308.82708333333</v>
      </c>
      <c r="I207" s="28" t="str">
        <f>IF(B207="","",IF(INPUT!J207="","None",INPUT!J207))</f>
        <v>Opened</v>
      </c>
      <c r="J207" s="28" t="str">
        <f t="shared" si="33"/>
        <v>reyansh.j246@example.com|partner 000|Round1|interviewer0@partner000.example.com</v>
      </c>
      <c r="K207" s="28" t="str">
        <f>IF(B207="","",IF(SUMPRODUCT(($J$2:$J$601=J207)*($H$2:$H$601&lt;H207))+SUMPRODUCT(($J$2:J207=J207)*($H$2:H207=H207))-1&gt;0,"DUPLICATE",IF(AND(ISNUMBER(SEARCH("@",E207)),ISNUMBER(SEARCH(".",E207)),LEN(F207)=10,ISNUMBER(VALUE(F207))),"OK","BAD CONTACT")))</f>
        <v>OK</v>
      </c>
      <c r="L207" s="28">
        <f t="shared" si="34"/>
        <v>1</v>
      </c>
      <c r="M207" s="28">
        <f>IF(L207=1,IF(COUNTIFS(LOG!$C$2:$C$2001,F207,LOG!$E$2:$E$2001,B207,LOG!$D$2:$D$2001,"*BOOKED")+COUNTIFS(LOG!$C$2:$C$2001,F207,LOG!$E$2:$E$2001,"",LOG!$D$2:$D$2001,"*BOOKED")&gt;0,1,0),0)</f>
        <v>0</v>
      </c>
      <c r="N207" s="28">
        <f>IF(L207=1,IF(COUNTIFS(LOG!$C$2:$C$2001,F207,LOG!$E$2:$E$2001,B207,LOG!$D$2:$D$2001,"NOT_INTERESTED")+COUNTIFS(LOG!$C$2:$C$2001,F207,LOG!$E$2:$E$2001,"",LOG!$D$2:$D$2001,"NOT_INTERESTED")&gt;0,1,0),0)</f>
        <v>0</v>
      </c>
      <c r="O207" s="28">
        <f>IF(L207=1,IF(COUNTIFS(LOG!$C$2:$C$2001,F207,LOG!$D$2:$D$2001,"STOP")+COUNTIFS(LOG!$C$2:$C$2001,F207,LOG!$D$2:$D$2001,"WRONG_NUMBER")&gt;0,1,IF(ISNUMBER(SEARCH("STOP",AT207)),1,0)),0)</f>
        <v>0</v>
      </c>
      <c r="P207" s="28">
        <f>IF(L207=1,IF(IFERROR(INDEX(PARTNERS!$D$2:$D$88,MATCH(B207,PARTNERS!$A$2:$A$88,0)),"")="NO SLOTS",1,IF(AND(IFERROR(INDEX(PARTNERS!$D$2:$D$88,MATCH(B207,PARTNERS!$A$2:$A$88,0)),"")&lt;&gt;"REOPENED",COUNTIFS(LOG!$E$2:$E$2001,B207,LOG!$D$2:$D$2001,"NO_SLOTS")&gt;0),1,0)),0)</f>
        <v>0</v>
      </c>
      <c r="Q207" s="28">
        <f>IF(L207=1,COUNTIFS(LOG!$C$2:$C$2001,F207,LOG!$H$2:$H$2001,1),0)</f>
        <v>0</v>
      </c>
      <c r="R207" s="46">
        <f>IF(Q207&gt;0,_xlfn.MAXIFS(LOG!$G$2:$G$2001,LOG!$C$2:$C$2001,F207,LOG!$H$2:$H$2001,1),0)</f>
        <v>0</v>
      </c>
      <c r="S207" s="28" t="str">
        <f>IF(Q207&gt;0,IFERROR(INDEX(LOG!$D$2:$D$2001,MATCH(F207&amp;"|"&amp;Q207,LOG!$I$2:$I$2001,0)),""),"")</f>
        <v/>
      </c>
      <c r="T207" s="28">
        <f>IF(S207="",0,IFERROR(VLOOKUP(S207,LISTS!$A$2:$E$10,4,FALSE),0))</f>
        <v>0</v>
      </c>
      <c r="U207" s="46">
        <f t="shared" si="35"/>
        <v>0</v>
      </c>
      <c r="V207" s="46">
        <f>IF(L207=1,H207+SETTINGS!$B$5/24,"")</f>
        <v>46309.82708333333</v>
      </c>
      <c r="W207" s="28">
        <f ca="1">IF(L207=1,(V207-SETTINGS!$B$4)*24,"")</f>
        <v>-1.6666666720993817E-2</v>
      </c>
      <c r="X207" s="28">
        <f ca="1">IF(AND(L207=1,K207="OK",M207=0,N207=0,O207=0,P207=0,SETTINGS!$B$4&lt;V207,Q207&lt;SETTINGS!$B$6),1,0)</f>
        <v>0</v>
      </c>
      <c r="Y207" s="28">
        <f ca="1">IF(AND(X207=1,SETTINGS!$B$4&gt;=H207,SETTINGS!$B$4&gt;=U207,ROUND(MOD(SETTINGS!$B$4,1)*1440,0)&gt;=ROUND(SETTINGS!$B$7*1440,0),ROUND(MOD(SETTINGS!$B$4,1)*1440,0)&lt;ROUND(SETTINGS!$B$8*1440,0)),1,0)</f>
        <v>0</v>
      </c>
      <c r="Z207" s="28" t="str">
        <f ca="1">IF(B207="","",IF(ROUND(MOD(SETTINGS!$B$4,1)*1440,0)&lt;ROUND(SETTINGS!$B$11*1440,0),"Ram",IF(ROUND(MOD(SETTINGS!$B$4,1)*1440,0)&gt;=ROUND(SETTINGS!$B$10*1440,0),"Shyam",IF(MOD(IFERROR(VALUE(RIGHT(F207,2)),0),2)=0,"Ram","Shyam"))))</f>
        <v>Shyam</v>
      </c>
      <c r="AA207" s="28">
        <f t="shared" ca="1" si="36"/>
        <v>0</v>
      </c>
      <c r="AB207" s="28">
        <f ca="1">IF(X207=1,COUNTIFS($F$2:F207,F207,$X$2:X207,1),0)</f>
        <v>0</v>
      </c>
      <c r="AC207" s="28" t="str">
        <f>IF(L207=1,IF(IFERROR(INDEX(PARTNERS!$C$2:$C$88,MATCH(B207,PARTNERS!$A$2:$A$88,0)),"")="YES","YES","NO"),"")</f>
        <v>NO</v>
      </c>
      <c r="AD207" s="28" t="str">
        <f>IF(L207=1,IFERROR(INDEX(PARTNERS!$B$2:$B$88,MATCH(B207,PARTNERS!$A$2:$A$88,0)),""),"")</f>
        <v>https://calendly.com/partner000/interview</v>
      </c>
      <c r="AE207" s="28">
        <f ca="1">IF(X207=1,IFERROR(INDEX(SETTINGS!$B$34:$D$36,MATCH(I207,SETTINGS!$A$34:$A$36,0),MIN(Q207,2)+1),SETTINGS!$B$36),0)</f>
        <v>0</v>
      </c>
      <c r="AF207" s="28">
        <f t="shared" si="37"/>
        <v>1</v>
      </c>
      <c r="AG207" s="28">
        <f ca="1">IF(AND(Y207=1,AB207=1),ROUND(AA207*AE207*IF(AF207&gt;1,SETTINGS!$B$16,1)*IF(W207&lt;=SETTINGS!$B$14,SETTINGS!$B$15,1)*IF(AU207=1,SETTINGS!$B$21,1),6),0)</f>
        <v>0</v>
      </c>
      <c r="AH207" s="28" t="str">
        <f ca="1">IF(AG207&gt;0,COUNTIFS($Z$2:$Z$601,Z207,$AG$2:$AG$601,"&gt;"&amp;AG207)+COUNTIFS($Z$2:Z207,Z207,$AG$2:AG207,AG207),"")</f>
        <v/>
      </c>
      <c r="AI207" s="28" t="str">
        <f t="shared" ca="1" si="38"/>
        <v/>
      </c>
      <c r="AJ207" s="28" t="str">
        <f t="shared" ca="1" si="39"/>
        <v/>
      </c>
      <c r="AK207" s="28">
        <f>IF(L207=1,IF(COUNTIFS($F$2:F207,F207,$L$2:L207,1)=1,1,0),0)</f>
        <v>1</v>
      </c>
      <c r="AL207" s="28" t="str">
        <f ca="1">IF(B207="","",IF(K207="DUPLICATE","Duplicate (removed)",IF(AO207=1,"Scheduled within 24h",IF(M207=1,"Scheduled late",IF(K207="BAD CONTACT","Bad contact details",IF(O207=1,"Stopped / wrong number",IF(N207=1,"Not interested",IF(P207=1,"Partner has no slots",IF(SETTINGS!$B$4&gt;=V207,IF(Q207=0,"Missed deadline: never tried","Missed deadline: tried, not booked"),IF(Q207&gt;=SETTINGS!$B$6,"No reply after max tries","Open"))))))))))</f>
        <v>Missed deadline: never tried</v>
      </c>
      <c r="AM207" s="46" t="str">
        <f>IF(M207=1,IF(_xlfn.MINIFS(LOG!$G$2:$G$2001,LOG!$C$2:$C$2001,F207,LOG!$E$2:$E$2001,B207,LOG!$D$2:$D$2001,"*BOOKED")=0,_xlfn.MINIFS(LOG!$G$2:$G$2001,LOG!$C$2:$C$2001,F207,LOG!$E$2:$E$2001,"",LOG!$D$2:$D$2001,"*BOOKED"),IF(_xlfn.MINIFS(LOG!$G$2:$G$2001,LOG!$C$2:$C$2001,F207,LOG!$E$2:$E$2001,"",LOG!$D$2:$D$2001,"*BOOKED")=0,_xlfn.MINIFS(LOG!$G$2:$G$2001,LOG!$C$2:$C$2001,F207,LOG!$E$2:$E$2001,B207,LOG!$D$2:$D$2001,"*BOOKED"),MIN(_xlfn.MINIFS(LOG!$G$2:$G$2001,LOG!$C$2:$C$2001,F207,LOG!$E$2:$E$2001,B207,LOG!$D$2:$D$2001,"*BOOKED"),_xlfn.MINIFS(LOG!$G$2:$G$2001,LOG!$C$2:$C$2001,F207,LOG!$E$2:$E$2001,"",LOG!$D$2:$D$2001,"*BOOKED")))),"")</f>
        <v/>
      </c>
      <c r="AN207" s="28" t="str">
        <f t="shared" si="40"/>
        <v/>
      </c>
      <c r="AO207" s="28">
        <f>IF(AND(M207=1,AN207&lt;&gt;""),IF(AN207&lt;=SETTINGS!$B$5,1,0),0)</f>
        <v>0</v>
      </c>
      <c r="AP207" s="28">
        <f>IF(M207=1,IF(COUNTIFS(LOG!$C$2:$C$2001,F207,LOG!$E$2:$E$2001,B207,LOG!$D$2:$D$2001,"BOOKED")+COUNTIFS(LOG!$C$2:$C$2001,F207,LOG!$E$2:$E$2001,"",LOG!$D$2:$D$2001,"BOOKED")&gt;0,1,0),0)</f>
        <v>0</v>
      </c>
      <c r="AQ207" s="28" t="str">
        <f t="shared" si="41"/>
        <v>Reyansh</v>
      </c>
      <c r="AR207" s="28">
        <f>IF(AND(AK207=1,K207="OK"),COUNTIFS($AK$2:AK207,1,$K$2:K207,"OK"),"")</f>
        <v>182</v>
      </c>
      <c r="AS207" s="28" t="str">
        <f>IF(L207=1,IFERROR(INDEX(MESSAGES!$J$9:$J$1008,MATCH(F207,MESSAGES!$M$9:$M$1008,0))&amp;"",""),"")</f>
        <v/>
      </c>
      <c r="AT207" s="28" t="str">
        <f>IF(L207=1,IFERROR(INDEX(MESSAGES!$K$9:$K$1008,MATCH(F207,MESSAGES!$M$9:$M$1008,0))&amp;"",""),"")</f>
        <v/>
      </c>
      <c r="AU207" s="28">
        <f t="shared" ca="1" si="42"/>
        <v>0</v>
      </c>
      <c r="AV207" s="28" t="str">
        <f t="shared" si="43"/>
        <v>SEND</v>
      </c>
    </row>
    <row r="208" spans="1:48" x14ac:dyDescent="0.35">
      <c r="A208" s="28">
        <v>207</v>
      </c>
      <c r="B208" s="28" t="str">
        <f>IF(INPUT!A208="","",TRIM(INPUT!A208))</f>
        <v>Partner 000</v>
      </c>
      <c r="C208" s="28" t="str">
        <f>IF(B208="","",INPUT!C208)</f>
        <v>interviewer0@partner000.example.com</v>
      </c>
      <c r="D208" s="28" t="str">
        <f>IF(B208="","",INPUT!D208)</f>
        <v>Dev M.</v>
      </c>
      <c r="E208" s="28" t="str">
        <f>IF(B208="","",INPUT!E208)</f>
        <v>dev.m342@example.com</v>
      </c>
      <c r="F208" s="43" t="str">
        <f>IF(B208="","",TRIM(INPUT!F208&amp;""))</f>
        <v>9000004453</v>
      </c>
      <c r="G208" s="28" t="str">
        <f>IF(B208="","",INPUT!H208)</f>
        <v>Round1</v>
      </c>
      <c r="H208" s="46">
        <f>IF(B208="","",INPUT!I208)</f>
        <v>46308.82708333333</v>
      </c>
      <c r="I208" s="28" t="str">
        <f>IF(B208="","",IF(INPUT!J208="","None",INPUT!J208))</f>
        <v>Opened</v>
      </c>
      <c r="J208" s="28" t="str">
        <f t="shared" si="33"/>
        <v>dev.m342@example.com|partner 000|Round1|interviewer0@partner000.example.com</v>
      </c>
      <c r="K208" s="28" t="str">
        <f>IF(B208="","",IF(SUMPRODUCT(($J$2:$J$601=J208)*($H$2:$H$601&lt;H208))+SUMPRODUCT(($J$2:J208=J208)*($H$2:H208=H208))-1&gt;0,"DUPLICATE",IF(AND(ISNUMBER(SEARCH("@",E208)),ISNUMBER(SEARCH(".",E208)),LEN(F208)=10,ISNUMBER(VALUE(F208))),"OK","BAD CONTACT")))</f>
        <v>OK</v>
      </c>
      <c r="L208" s="28">
        <f t="shared" si="34"/>
        <v>1</v>
      </c>
      <c r="M208" s="28">
        <f>IF(L208=1,IF(COUNTIFS(LOG!$C$2:$C$2001,F208,LOG!$E$2:$E$2001,B208,LOG!$D$2:$D$2001,"*BOOKED")+COUNTIFS(LOG!$C$2:$C$2001,F208,LOG!$E$2:$E$2001,"",LOG!$D$2:$D$2001,"*BOOKED")&gt;0,1,0),0)</f>
        <v>0</v>
      </c>
      <c r="N208" s="28">
        <f>IF(L208=1,IF(COUNTIFS(LOG!$C$2:$C$2001,F208,LOG!$E$2:$E$2001,B208,LOG!$D$2:$D$2001,"NOT_INTERESTED")+COUNTIFS(LOG!$C$2:$C$2001,F208,LOG!$E$2:$E$2001,"",LOG!$D$2:$D$2001,"NOT_INTERESTED")&gt;0,1,0),0)</f>
        <v>0</v>
      </c>
      <c r="O208" s="28">
        <f>IF(L208=1,IF(COUNTIFS(LOG!$C$2:$C$2001,F208,LOG!$D$2:$D$2001,"STOP")+COUNTIFS(LOG!$C$2:$C$2001,F208,LOG!$D$2:$D$2001,"WRONG_NUMBER")&gt;0,1,IF(ISNUMBER(SEARCH("STOP",AT208)),1,0)),0)</f>
        <v>0</v>
      </c>
      <c r="P208" s="28">
        <f>IF(L208=1,IF(IFERROR(INDEX(PARTNERS!$D$2:$D$88,MATCH(B208,PARTNERS!$A$2:$A$88,0)),"")="NO SLOTS",1,IF(AND(IFERROR(INDEX(PARTNERS!$D$2:$D$88,MATCH(B208,PARTNERS!$A$2:$A$88,0)),"")&lt;&gt;"REOPENED",COUNTIFS(LOG!$E$2:$E$2001,B208,LOG!$D$2:$D$2001,"NO_SLOTS")&gt;0),1,0)),0)</f>
        <v>0</v>
      </c>
      <c r="Q208" s="28">
        <f>IF(L208=1,COUNTIFS(LOG!$C$2:$C$2001,F208,LOG!$H$2:$H$2001,1),0)</f>
        <v>0</v>
      </c>
      <c r="R208" s="46">
        <f>IF(Q208&gt;0,_xlfn.MAXIFS(LOG!$G$2:$G$2001,LOG!$C$2:$C$2001,F208,LOG!$H$2:$H$2001,1),0)</f>
        <v>0</v>
      </c>
      <c r="S208" s="28" t="str">
        <f>IF(Q208&gt;0,IFERROR(INDEX(LOG!$D$2:$D$2001,MATCH(F208&amp;"|"&amp;Q208,LOG!$I$2:$I$2001,0)),""),"")</f>
        <v/>
      </c>
      <c r="T208" s="28">
        <f>IF(S208="",0,IFERROR(VLOOKUP(S208,LISTS!$A$2:$E$10,4,FALSE),0))</f>
        <v>0</v>
      </c>
      <c r="U208" s="46">
        <f t="shared" si="35"/>
        <v>0</v>
      </c>
      <c r="V208" s="46">
        <f>IF(L208=1,H208+SETTINGS!$B$5/24,"")</f>
        <v>46309.82708333333</v>
      </c>
      <c r="W208" s="28">
        <f ca="1">IF(L208=1,(V208-SETTINGS!$B$4)*24,"")</f>
        <v>-1.6666666720993817E-2</v>
      </c>
      <c r="X208" s="28">
        <f ca="1">IF(AND(L208=1,K208="OK",M208=0,N208=0,O208=0,P208=0,SETTINGS!$B$4&lt;V208,Q208&lt;SETTINGS!$B$6),1,0)</f>
        <v>0</v>
      </c>
      <c r="Y208" s="28">
        <f ca="1">IF(AND(X208=1,SETTINGS!$B$4&gt;=H208,SETTINGS!$B$4&gt;=U208,ROUND(MOD(SETTINGS!$B$4,1)*1440,0)&gt;=ROUND(SETTINGS!$B$7*1440,0),ROUND(MOD(SETTINGS!$B$4,1)*1440,0)&lt;ROUND(SETTINGS!$B$8*1440,0)),1,0)</f>
        <v>0</v>
      </c>
      <c r="Z208" s="28" t="str">
        <f ca="1">IF(B208="","",IF(ROUND(MOD(SETTINGS!$B$4,1)*1440,0)&lt;ROUND(SETTINGS!$B$11*1440,0),"Ram",IF(ROUND(MOD(SETTINGS!$B$4,1)*1440,0)&gt;=ROUND(SETTINGS!$B$10*1440,0),"Shyam",IF(MOD(IFERROR(VALUE(RIGHT(F208,2)),0),2)=0,"Ram","Shyam"))))</f>
        <v>Shyam</v>
      </c>
      <c r="AA208" s="28">
        <f t="shared" ca="1" si="36"/>
        <v>0</v>
      </c>
      <c r="AB208" s="28">
        <f ca="1">IF(X208=1,COUNTIFS($F$2:F208,F208,$X$2:X208,1),0)</f>
        <v>0</v>
      </c>
      <c r="AC208" s="28" t="str">
        <f>IF(L208=1,IF(IFERROR(INDEX(PARTNERS!$C$2:$C$88,MATCH(B208,PARTNERS!$A$2:$A$88,0)),"")="YES","YES","NO"),"")</f>
        <v>NO</v>
      </c>
      <c r="AD208" s="28" t="str">
        <f>IF(L208=1,IFERROR(INDEX(PARTNERS!$B$2:$B$88,MATCH(B208,PARTNERS!$A$2:$A$88,0)),""),"")</f>
        <v>https://calendly.com/partner000/interview</v>
      </c>
      <c r="AE208" s="28">
        <f ca="1">IF(X208=1,IFERROR(INDEX(SETTINGS!$B$34:$D$36,MATCH(I208,SETTINGS!$A$34:$A$36,0),MIN(Q208,2)+1),SETTINGS!$B$36),0)</f>
        <v>0</v>
      </c>
      <c r="AF208" s="28">
        <f t="shared" si="37"/>
        <v>1</v>
      </c>
      <c r="AG208" s="28">
        <f ca="1">IF(AND(Y208=1,AB208=1),ROUND(AA208*AE208*IF(AF208&gt;1,SETTINGS!$B$16,1)*IF(W208&lt;=SETTINGS!$B$14,SETTINGS!$B$15,1)*IF(AU208=1,SETTINGS!$B$21,1),6),0)</f>
        <v>0</v>
      </c>
      <c r="AH208" s="28" t="str">
        <f ca="1">IF(AG208&gt;0,COUNTIFS($Z$2:$Z$601,Z208,$AG$2:$AG$601,"&gt;"&amp;AG208)+COUNTIFS($Z$2:Z208,Z208,$AG$2:AG208,AG208),"")</f>
        <v/>
      </c>
      <c r="AI208" s="28" t="str">
        <f t="shared" ca="1" si="38"/>
        <v/>
      </c>
      <c r="AJ208" s="28" t="str">
        <f t="shared" ca="1" si="39"/>
        <v/>
      </c>
      <c r="AK208" s="28">
        <f>IF(L208=1,IF(COUNTIFS($F$2:F208,F208,$L$2:L208,1)=1,1,0),0)</f>
        <v>1</v>
      </c>
      <c r="AL208" s="28" t="str">
        <f ca="1">IF(B208="","",IF(K208="DUPLICATE","Duplicate (removed)",IF(AO208=1,"Scheduled within 24h",IF(M208=1,"Scheduled late",IF(K208="BAD CONTACT","Bad contact details",IF(O208=1,"Stopped / wrong number",IF(N208=1,"Not interested",IF(P208=1,"Partner has no slots",IF(SETTINGS!$B$4&gt;=V208,IF(Q208=0,"Missed deadline: never tried","Missed deadline: tried, not booked"),IF(Q208&gt;=SETTINGS!$B$6,"No reply after max tries","Open"))))))))))</f>
        <v>Missed deadline: never tried</v>
      </c>
      <c r="AM208" s="46" t="str">
        <f>IF(M208=1,IF(_xlfn.MINIFS(LOG!$G$2:$G$2001,LOG!$C$2:$C$2001,F208,LOG!$E$2:$E$2001,B208,LOG!$D$2:$D$2001,"*BOOKED")=0,_xlfn.MINIFS(LOG!$G$2:$G$2001,LOG!$C$2:$C$2001,F208,LOG!$E$2:$E$2001,"",LOG!$D$2:$D$2001,"*BOOKED"),IF(_xlfn.MINIFS(LOG!$G$2:$G$2001,LOG!$C$2:$C$2001,F208,LOG!$E$2:$E$2001,"",LOG!$D$2:$D$2001,"*BOOKED")=0,_xlfn.MINIFS(LOG!$G$2:$G$2001,LOG!$C$2:$C$2001,F208,LOG!$E$2:$E$2001,B208,LOG!$D$2:$D$2001,"*BOOKED"),MIN(_xlfn.MINIFS(LOG!$G$2:$G$2001,LOG!$C$2:$C$2001,F208,LOG!$E$2:$E$2001,B208,LOG!$D$2:$D$2001,"*BOOKED"),_xlfn.MINIFS(LOG!$G$2:$G$2001,LOG!$C$2:$C$2001,F208,LOG!$E$2:$E$2001,"",LOG!$D$2:$D$2001,"*BOOKED")))),"")</f>
        <v/>
      </c>
      <c r="AN208" s="28" t="str">
        <f t="shared" si="40"/>
        <v/>
      </c>
      <c r="AO208" s="28">
        <f>IF(AND(M208=1,AN208&lt;&gt;""),IF(AN208&lt;=SETTINGS!$B$5,1,0),0)</f>
        <v>0</v>
      </c>
      <c r="AP208" s="28">
        <f>IF(M208=1,IF(COUNTIFS(LOG!$C$2:$C$2001,F208,LOG!$E$2:$E$2001,B208,LOG!$D$2:$D$2001,"BOOKED")+COUNTIFS(LOG!$C$2:$C$2001,F208,LOG!$E$2:$E$2001,"",LOG!$D$2:$D$2001,"BOOKED")&gt;0,1,0),0)</f>
        <v>0</v>
      </c>
      <c r="AQ208" s="28" t="str">
        <f t="shared" si="41"/>
        <v>Dev</v>
      </c>
      <c r="AR208" s="28">
        <f>IF(AND(AK208=1,K208="OK"),COUNTIFS($AK$2:AK208,1,$K$2:K208,"OK"),"")</f>
        <v>183</v>
      </c>
      <c r="AS208" s="28" t="str">
        <f>IF(L208=1,IFERROR(INDEX(MESSAGES!$J$9:$J$1008,MATCH(F208,MESSAGES!$M$9:$M$1008,0))&amp;"",""),"")</f>
        <v/>
      </c>
      <c r="AT208" s="28" t="str">
        <f>IF(L208=1,IFERROR(INDEX(MESSAGES!$K$9:$K$1008,MATCH(F208,MESSAGES!$M$9:$M$1008,0))&amp;"",""),"")</f>
        <v/>
      </c>
      <c r="AU208" s="28">
        <f t="shared" ca="1" si="42"/>
        <v>0</v>
      </c>
      <c r="AV208" s="28" t="str">
        <f t="shared" si="43"/>
        <v>HOLD</v>
      </c>
    </row>
    <row r="209" spans="1:48" x14ac:dyDescent="0.35">
      <c r="A209" s="28">
        <v>208</v>
      </c>
      <c r="B209" s="28" t="str">
        <f>IF(INPUT!A209="","",TRIM(INPUT!A209))</f>
        <v>Partner 005</v>
      </c>
      <c r="C209" s="28" t="str">
        <f>IF(B209="","",INPUT!C209)</f>
        <v>interviewer2@partner005.example.com</v>
      </c>
      <c r="D209" s="28" t="str">
        <f>IF(B209="","",INPUT!D209)</f>
        <v>Ananya F.</v>
      </c>
      <c r="E209" s="28" t="str">
        <f>IF(B209="","",INPUT!E209)</f>
        <v>ananya.f153@example.com</v>
      </c>
      <c r="F209" s="43" t="str">
        <f>IF(B209="","",TRIM(INPUT!F209&amp;""))</f>
        <v>9000001996</v>
      </c>
      <c r="G209" s="28" t="str">
        <f>IF(B209="","",INPUT!H209)</f>
        <v>Round1</v>
      </c>
      <c r="H209" s="46">
        <f>IF(B209="","",INPUT!I209)</f>
        <v>46308.82708333333</v>
      </c>
      <c r="I209" s="28" t="str">
        <f>IF(B209="","",IF(INPUT!J209="","None",INPUT!J209))</f>
        <v>None</v>
      </c>
      <c r="J209" s="28" t="str">
        <f t="shared" si="33"/>
        <v>ananya.f153@example.com|partner 005|Round1|interviewer2@partner005.example.com</v>
      </c>
      <c r="K209" s="28" t="str">
        <f>IF(B209="","",IF(SUMPRODUCT(($J$2:$J$601=J209)*($H$2:$H$601&lt;H209))+SUMPRODUCT(($J$2:J209=J209)*($H$2:H209=H209))-1&gt;0,"DUPLICATE",IF(AND(ISNUMBER(SEARCH("@",E209)),ISNUMBER(SEARCH(".",E209)),LEN(F209)=10,ISNUMBER(VALUE(F209))),"OK","BAD CONTACT")))</f>
        <v>OK</v>
      </c>
      <c r="L209" s="28">
        <f t="shared" si="34"/>
        <v>1</v>
      </c>
      <c r="M209" s="28">
        <f>IF(L209=1,IF(COUNTIFS(LOG!$C$2:$C$2001,F209,LOG!$E$2:$E$2001,B209,LOG!$D$2:$D$2001,"*BOOKED")+COUNTIFS(LOG!$C$2:$C$2001,F209,LOG!$E$2:$E$2001,"",LOG!$D$2:$D$2001,"*BOOKED")&gt;0,1,0),0)</f>
        <v>0</v>
      </c>
      <c r="N209" s="28">
        <f>IF(L209=1,IF(COUNTIFS(LOG!$C$2:$C$2001,F209,LOG!$E$2:$E$2001,B209,LOG!$D$2:$D$2001,"NOT_INTERESTED")+COUNTIFS(LOG!$C$2:$C$2001,F209,LOG!$E$2:$E$2001,"",LOG!$D$2:$D$2001,"NOT_INTERESTED")&gt;0,1,0),0)</f>
        <v>0</v>
      </c>
      <c r="O209" s="28">
        <f>IF(L209=1,IF(COUNTIFS(LOG!$C$2:$C$2001,F209,LOG!$D$2:$D$2001,"STOP")+COUNTIFS(LOG!$C$2:$C$2001,F209,LOG!$D$2:$D$2001,"WRONG_NUMBER")&gt;0,1,IF(ISNUMBER(SEARCH("STOP",AT209)),1,0)),0)</f>
        <v>0</v>
      </c>
      <c r="P209" s="28">
        <f>IF(L209=1,IF(IFERROR(INDEX(PARTNERS!$D$2:$D$88,MATCH(B209,PARTNERS!$A$2:$A$88,0)),"")="NO SLOTS",1,IF(AND(IFERROR(INDEX(PARTNERS!$D$2:$D$88,MATCH(B209,PARTNERS!$A$2:$A$88,0)),"")&lt;&gt;"REOPENED",COUNTIFS(LOG!$E$2:$E$2001,B209,LOG!$D$2:$D$2001,"NO_SLOTS")&gt;0),1,0)),0)</f>
        <v>0</v>
      </c>
      <c r="Q209" s="28">
        <f>IF(L209=1,COUNTIFS(LOG!$C$2:$C$2001,F209,LOG!$H$2:$H$2001,1),0)</f>
        <v>0</v>
      </c>
      <c r="R209" s="46">
        <f>IF(Q209&gt;0,_xlfn.MAXIFS(LOG!$G$2:$G$2001,LOG!$C$2:$C$2001,F209,LOG!$H$2:$H$2001,1),0)</f>
        <v>0</v>
      </c>
      <c r="S209" s="28" t="str">
        <f>IF(Q209&gt;0,IFERROR(INDEX(LOG!$D$2:$D$2001,MATCH(F209&amp;"|"&amp;Q209,LOG!$I$2:$I$2001,0)),""),"")</f>
        <v/>
      </c>
      <c r="T209" s="28">
        <f>IF(S209="",0,IFERROR(VLOOKUP(S209,LISTS!$A$2:$E$10,4,FALSE),0))</f>
        <v>0</v>
      </c>
      <c r="U209" s="46">
        <f t="shared" si="35"/>
        <v>0</v>
      </c>
      <c r="V209" s="46">
        <f>IF(L209=1,H209+SETTINGS!$B$5/24,"")</f>
        <v>46309.82708333333</v>
      </c>
      <c r="W209" s="28">
        <f ca="1">IF(L209=1,(V209-SETTINGS!$B$4)*24,"")</f>
        <v>-1.6666666720993817E-2</v>
      </c>
      <c r="X209" s="28">
        <f ca="1">IF(AND(L209=1,K209="OK",M209=0,N209=0,O209=0,P209=0,SETTINGS!$B$4&lt;V209,Q209&lt;SETTINGS!$B$6),1,0)</f>
        <v>0</v>
      </c>
      <c r="Y209" s="28">
        <f ca="1">IF(AND(X209=1,SETTINGS!$B$4&gt;=H209,SETTINGS!$B$4&gt;=U209,ROUND(MOD(SETTINGS!$B$4,1)*1440,0)&gt;=ROUND(SETTINGS!$B$7*1440,0),ROUND(MOD(SETTINGS!$B$4,1)*1440,0)&lt;ROUND(SETTINGS!$B$8*1440,0)),1,0)</f>
        <v>0</v>
      </c>
      <c r="Z209" s="28" t="str">
        <f ca="1">IF(B209="","",IF(ROUND(MOD(SETTINGS!$B$4,1)*1440,0)&lt;ROUND(SETTINGS!$B$11*1440,0),"Ram",IF(ROUND(MOD(SETTINGS!$B$4,1)*1440,0)&gt;=ROUND(SETTINGS!$B$10*1440,0),"Shyam",IF(MOD(IFERROR(VALUE(RIGHT(F209,2)),0),2)=0,"Ram","Shyam"))))</f>
        <v>Shyam</v>
      </c>
      <c r="AA209" s="28">
        <f t="shared" ca="1" si="36"/>
        <v>0</v>
      </c>
      <c r="AB209" s="28">
        <f ca="1">IF(X209=1,COUNTIFS($F$2:F209,F209,$X$2:X209,1),0)</f>
        <v>0</v>
      </c>
      <c r="AC209" s="28" t="str">
        <f>IF(L209=1,IF(IFERROR(INDEX(PARTNERS!$C$2:$C$88,MATCH(B209,PARTNERS!$A$2:$A$88,0)),"")="YES","YES","NO"),"")</f>
        <v>YES</v>
      </c>
      <c r="AD209" s="28" t="str">
        <f>IF(L209=1,IFERROR(INDEX(PARTNERS!$B$2:$B$88,MATCH(B209,PARTNERS!$A$2:$A$88,0)),""),"")</f>
        <v>https://calendly.com/partner005/interview</v>
      </c>
      <c r="AE209" s="28">
        <f ca="1">IF(X209=1,IFERROR(INDEX(SETTINGS!$B$34:$D$36,MATCH(I209,SETTINGS!$A$34:$A$36,0),MIN(Q209,2)+1),SETTINGS!$B$36),0)</f>
        <v>0</v>
      </c>
      <c r="AF209" s="28">
        <f t="shared" si="37"/>
        <v>1</v>
      </c>
      <c r="AG209" s="28">
        <f ca="1">IF(AND(Y209=1,AB209=1),ROUND(AA209*AE209*IF(AF209&gt;1,SETTINGS!$B$16,1)*IF(W209&lt;=SETTINGS!$B$14,SETTINGS!$B$15,1)*IF(AU209=1,SETTINGS!$B$21,1),6),0)</f>
        <v>0</v>
      </c>
      <c r="AH209" s="28" t="str">
        <f ca="1">IF(AG209&gt;0,COUNTIFS($Z$2:$Z$601,Z209,$AG$2:$AG$601,"&gt;"&amp;AG209)+COUNTIFS($Z$2:Z209,Z209,$AG$2:AG209,AG209),"")</f>
        <v/>
      </c>
      <c r="AI209" s="28" t="str">
        <f t="shared" ca="1" si="38"/>
        <v/>
      </c>
      <c r="AJ209" s="28" t="str">
        <f t="shared" ca="1" si="39"/>
        <v/>
      </c>
      <c r="AK209" s="28">
        <f>IF(L209=1,IF(COUNTIFS($F$2:F209,F209,$L$2:L209,1)=1,1,0),0)</f>
        <v>1</v>
      </c>
      <c r="AL209" s="28" t="str">
        <f ca="1">IF(B209="","",IF(K209="DUPLICATE","Duplicate (removed)",IF(AO209=1,"Scheduled within 24h",IF(M209=1,"Scheduled late",IF(K209="BAD CONTACT","Bad contact details",IF(O209=1,"Stopped / wrong number",IF(N209=1,"Not interested",IF(P209=1,"Partner has no slots",IF(SETTINGS!$B$4&gt;=V209,IF(Q209=0,"Missed deadline: never tried","Missed deadline: tried, not booked"),IF(Q209&gt;=SETTINGS!$B$6,"No reply after max tries","Open"))))))))))</f>
        <v>Missed deadline: never tried</v>
      </c>
      <c r="AM209" s="46" t="str">
        <f>IF(M209=1,IF(_xlfn.MINIFS(LOG!$G$2:$G$2001,LOG!$C$2:$C$2001,F209,LOG!$E$2:$E$2001,B209,LOG!$D$2:$D$2001,"*BOOKED")=0,_xlfn.MINIFS(LOG!$G$2:$G$2001,LOG!$C$2:$C$2001,F209,LOG!$E$2:$E$2001,"",LOG!$D$2:$D$2001,"*BOOKED"),IF(_xlfn.MINIFS(LOG!$G$2:$G$2001,LOG!$C$2:$C$2001,F209,LOG!$E$2:$E$2001,"",LOG!$D$2:$D$2001,"*BOOKED")=0,_xlfn.MINIFS(LOG!$G$2:$G$2001,LOG!$C$2:$C$2001,F209,LOG!$E$2:$E$2001,B209,LOG!$D$2:$D$2001,"*BOOKED"),MIN(_xlfn.MINIFS(LOG!$G$2:$G$2001,LOG!$C$2:$C$2001,F209,LOG!$E$2:$E$2001,B209,LOG!$D$2:$D$2001,"*BOOKED"),_xlfn.MINIFS(LOG!$G$2:$G$2001,LOG!$C$2:$C$2001,F209,LOG!$E$2:$E$2001,"",LOG!$D$2:$D$2001,"*BOOKED")))),"")</f>
        <v/>
      </c>
      <c r="AN209" s="28" t="str">
        <f t="shared" si="40"/>
        <v/>
      </c>
      <c r="AO209" s="28">
        <f>IF(AND(M209=1,AN209&lt;&gt;""),IF(AN209&lt;=SETTINGS!$B$5,1,0),0)</f>
        <v>0</v>
      </c>
      <c r="AP209" s="28">
        <f>IF(M209=1,IF(COUNTIFS(LOG!$C$2:$C$2001,F209,LOG!$E$2:$E$2001,B209,LOG!$D$2:$D$2001,"BOOKED")+COUNTIFS(LOG!$C$2:$C$2001,F209,LOG!$E$2:$E$2001,"",LOG!$D$2:$D$2001,"BOOKED")&gt;0,1,0),0)</f>
        <v>0</v>
      </c>
      <c r="AQ209" s="28" t="str">
        <f t="shared" si="41"/>
        <v>Ananya</v>
      </c>
      <c r="AR209" s="28">
        <f>IF(AND(AK209=1,K209="OK"),COUNTIFS($AK$2:AK209,1,$K$2:K209,"OK"),"")</f>
        <v>184</v>
      </c>
      <c r="AS209" s="28" t="str">
        <f>IF(L209=1,IFERROR(INDEX(MESSAGES!$J$9:$J$1008,MATCH(F209,MESSAGES!$M$9:$M$1008,0))&amp;"",""),"")</f>
        <v/>
      </c>
      <c r="AT209" s="28" t="str">
        <f>IF(L209=1,IFERROR(INDEX(MESSAGES!$K$9:$K$1008,MATCH(F209,MESSAGES!$M$9:$M$1008,0))&amp;"",""),"")</f>
        <v/>
      </c>
      <c r="AU209" s="28">
        <f t="shared" ca="1" si="42"/>
        <v>0</v>
      </c>
      <c r="AV209" s="28" t="str">
        <f t="shared" si="43"/>
        <v>HOLD</v>
      </c>
    </row>
    <row r="210" spans="1:48" x14ac:dyDescent="0.35">
      <c r="A210" s="28">
        <v>209</v>
      </c>
      <c r="B210" s="28" t="str">
        <f>IF(INPUT!A210="","",TRIM(INPUT!A210))</f>
        <v>Partner 001</v>
      </c>
      <c r="C210" s="28" t="str">
        <f>IF(B210="","",INPUT!C210)</f>
        <v>interviewer0@partner001.example.com</v>
      </c>
      <c r="D210" s="28" t="str">
        <f>IF(B210="","",INPUT!D210)</f>
        <v>Ira R.</v>
      </c>
      <c r="E210" s="28" t="str">
        <f>IF(B210="","",INPUT!E210)</f>
        <v>ira.r425@example.com</v>
      </c>
      <c r="F210" s="43" t="str">
        <f>IF(B210="","",TRIM(INPUT!F210&amp;""))</f>
        <v>9000005532</v>
      </c>
      <c r="G210" s="28" t="str">
        <f>IF(B210="","",INPUT!H210)</f>
        <v>Round1</v>
      </c>
      <c r="H210" s="46">
        <f>IF(B210="","",INPUT!I210)</f>
        <v>46308.82708333333</v>
      </c>
      <c r="I210" s="28" t="str">
        <f>IF(B210="","",IF(INPUT!J210="","None",INPUT!J210))</f>
        <v>Clicked</v>
      </c>
      <c r="J210" s="28" t="str">
        <f t="shared" si="33"/>
        <v>ira.r425@example.com|partner 001|Round1|interviewer0@partner001.example.com</v>
      </c>
      <c r="K210" s="28" t="str">
        <f>IF(B210="","",IF(SUMPRODUCT(($J$2:$J$601=J210)*($H$2:$H$601&lt;H210))+SUMPRODUCT(($J$2:J210=J210)*($H$2:H210=H210))-1&gt;0,"DUPLICATE",IF(AND(ISNUMBER(SEARCH("@",E210)),ISNUMBER(SEARCH(".",E210)),LEN(F210)=10,ISNUMBER(VALUE(F210))),"OK","BAD CONTACT")))</f>
        <v>OK</v>
      </c>
      <c r="L210" s="28">
        <f t="shared" si="34"/>
        <v>1</v>
      </c>
      <c r="M210" s="28">
        <f>IF(L210=1,IF(COUNTIFS(LOG!$C$2:$C$2001,F210,LOG!$E$2:$E$2001,B210,LOG!$D$2:$D$2001,"*BOOKED")+COUNTIFS(LOG!$C$2:$C$2001,F210,LOG!$E$2:$E$2001,"",LOG!$D$2:$D$2001,"*BOOKED")&gt;0,1,0),0)</f>
        <v>0</v>
      </c>
      <c r="N210" s="28">
        <f>IF(L210=1,IF(COUNTIFS(LOG!$C$2:$C$2001,F210,LOG!$E$2:$E$2001,B210,LOG!$D$2:$D$2001,"NOT_INTERESTED")+COUNTIFS(LOG!$C$2:$C$2001,F210,LOG!$E$2:$E$2001,"",LOG!$D$2:$D$2001,"NOT_INTERESTED")&gt;0,1,0),0)</f>
        <v>0</v>
      </c>
      <c r="O210" s="28">
        <f>IF(L210=1,IF(COUNTIFS(LOG!$C$2:$C$2001,F210,LOG!$D$2:$D$2001,"STOP")+COUNTIFS(LOG!$C$2:$C$2001,F210,LOG!$D$2:$D$2001,"WRONG_NUMBER")&gt;0,1,IF(ISNUMBER(SEARCH("STOP",AT210)),1,0)),0)</f>
        <v>0</v>
      </c>
      <c r="P210" s="28">
        <f>IF(L210=1,IF(IFERROR(INDEX(PARTNERS!$D$2:$D$88,MATCH(B210,PARTNERS!$A$2:$A$88,0)),"")="NO SLOTS",1,IF(AND(IFERROR(INDEX(PARTNERS!$D$2:$D$88,MATCH(B210,PARTNERS!$A$2:$A$88,0)),"")&lt;&gt;"REOPENED",COUNTIFS(LOG!$E$2:$E$2001,B210,LOG!$D$2:$D$2001,"NO_SLOTS")&gt;0),1,0)),0)</f>
        <v>0</v>
      </c>
      <c r="Q210" s="28">
        <f>IF(L210=1,COUNTIFS(LOG!$C$2:$C$2001,F210,LOG!$H$2:$H$2001,1),0)</f>
        <v>2</v>
      </c>
      <c r="R210" s="46">
        <f>IF(Q210&gt;0,_xlfn.MAXIFS(LOG!$G$2:$G$2001,LOG!$C$2:$C$2001,F210,LOG!$H$2:$H$2001,1),0)</f>
        <v>46309.735671540417</v>
      </c>
      <c r="S210" s="28" t="str">
        <f>IF(Q210&gt;0,IFERROR(INDEX(LOG!$D$2:$D$2001,MATCH(F210&amp;"|"&amp;Q210,LOG!$I$2:$I$2001,0)),""),"")</f>
        <v>SENT_LINK</v>
      </c>
      <c r="T210" s="28">
        <f>IF(S210="",0,IFERROR(VLOOKUP(S210,LISTS!$A$2:$E$10,4,FALSE),0))</f>
        <v>180</v>
      </c>
      <c r="U210" s="46">
        <f t="shared" si="35"/>
        <v>46309.860671540417</v>
      </c>
      <c r="V210" s="46">
        <f>IF(L210=1,H210+SETTINGS!$B$5/24,"")</f>
        <v>46309.82708333333</v>
      </c>
      <c r="W210" s="28">
        <f ca="1">IF(L210=1,(V210-SETTINGS!$B$4)*24,"")</f>
        <v>-1.6666666720993817E-2</v>
      </c>
      <c r="X210" s="28">
        <f ca="1">IF(AND(L210=1,K210="OK",M210=0,N210=0,O210=0,P210=0,SETTINGS!$B$4&lt;V210,Q210&lt;SETTINGS!$B$6),1,0)</f>
        <v>0</v>
      </c>
      <c r="Y210" s="28">
        <f ca="1">IF(AND(X210=1,SETTINGS!$B$4&gt;=H210,SETTINGS!$B$4&gt;=U210,ROUND(MOD(SETTINGS!$B$4,1)*1440,0)&gt;=ROUND(SETTINGS!$B$7*1440,0),ROUND(MOD(SETTINGS!$B$4,1)*1440,0)&lt;ROUND(SETTINGS!$B$8*1440,0)),1,0)</f>
        <v>0</v>
      </c>
      <c r="Z210" s="28" t="str">
        <f ca="1">IF(B210="","",IF(ROUND(MOD(SETTINGS!$B$4,1)*1440,0)&lt;ROUND(SETTINGS!$B$11*1440,0),"Ram",IF(ROUND(MOD(SETTINGS!$B$4,1)*1440,0)&gt;=ROUND(SETTINGS!$B$10*1440,0),"Shyam",IF(MOD(IFERROR(VALUE(RIGHT(F210,2)),0),2)=0,"Ram","Shyam"))))</f>
        <v>Shyam</v>
      </c>
      <c r="AA210" s="28">
        <f t="shared" ca="1" si="36"/>
        <v>0</v>
      </c>
      <c r="AB210" s="28">
        <f ca="1">IF(X210=1,COUNTIFS($F$2:F210,F210,$X$2:X210,1),0)</f>
        <v>0</v>
      </c>
      <c r="AC210" s="28" t="str">
        <f>IF(L210=1,IF(IFERROR(INDEX(PARTNERS!$C$2:$C$88,MATCH(B210,PARTNERS!$A$2:$A$88,0)),"")="YES","YES","NO"),"")</f>
        <v>NO</v>
      </c>
      <c r="AD210" s="28" t="str">
        <f>IF(L210=1,IFERROR(INDEX(PARTNERS!$B$2:$B$88,MATCH(B210,PARTNERS!$A$2:$A$88,0)),""),"")</f>
        <v>https://calendly.com/partner001/interview</v>
      </c>
      <c r="AE210" s="28">
        <f ca="1">IF(X210=1,IFERROR(INDEX(SETTINGS!$B$34:$D$36,MATCH(I210,SETTINGS!$A$34:$A$36,0),MIN(Q210,2)+1),SETTINGS!$B$36),0)</f>
        <v>0</v>
      </c>
      <c r="AF210" s="28">
        <f t="shared" si="37"/>
        <v>1</v>
      </c>
      <c r="AG210" s="28">
        <f ca="1">IF(AND(Y210=1,AB210=1),ROUND(AA210*AE210*IF(AF210&gt;1,SETTINGS!$B$16,1)*IF(W210&lt;=SETTINGS!$B$14,SETTINGS!$B$15,1)*IF(AU210=1,SETTINGS!$B$21,1),6),0)</f>
        <v>0</v>
      </c>
      <c r="AH210" s="28" t="str">
        <f ca="1">IF(AG210&gt;0,COUNTIFS($Z$2:$Z$601,Z210,$AG$2:$AG$601,"&gt;"&amp;AG210)+COUNTIFS($Z$2:Z210,Z210,$AG$2:AG210,AG210),"")</f>
        <v/>
      </c>
      <c r="AI210" s="28" t="str">
        <f t="shared" ca="1" si="38"/>
        <v/>
      </c>
      <c r="AJ210" s="28" t="str">
        <f t="shared" ca="1" si="39"/>
        <v/>
      </c>
      <c r="AK210" s="28">
        <f>IF(L210=1,IF(COUNTIFS($F$2:F210,F210,$L$2:L210,1)=1,1,0),0)</f>
        <v>1</v>
      </c>
      <c r="AL210" s="28" t="str">
        <f ca="1">IF(B210="","",IF(K210="DUPLICATE","Duplicate (removed)",IF(AO210=1,"Scheduled within 24h",IF(M210=1,"Scheduled late",IF(K210="BAD CONTACT","Bad contact details",IF(O210=1,"Stopped / wrong number",IF(N210=1,"Not interested",IF(P210=1,"Partner has no slots",IF(SETTINGS!$B$4&gt;=V210,IF(Q210=0,"Missed deadline: never tried","Missed deadline: tried, not booked"),IF(Q210&gt;=SETTINGS!$B$6,"No reply after max tries","Open"))))))))))</f>
        <v>Missed deadline: tried, not booked</v>
      </c>
      <c r="AM210" s="46" t="str">
        <f>IF(M210=1,IF(_xlfn.MINIFS(LOG!$G$2:$G$2001,LOG!$C$2:$C$2001,F210,LOG!$E$2:$E$2001,B210,LOG!$D$2:$D$2001,"*BOOKED")=0,_xlfn.MINIFS(LOG!$G$2:$G$2001,LOG!$C$2:$C$2001,F210,LOG!$E$2:$E$2001,"",LOG!$D$2:$D$2001,"*BOOKED"),IF(_xlfn.MINIFS(LOG!$G$2:$G$2001,LOG!$C$2:$C$2001,F210,LOG!$E$2:$E$2001,"",LOG!$D$2:$D$2001,"*BOOKED")=0,_xlfn.MINIFS(LOG!$G$2:$G$2001,LOG!$C$2:$C$2001,F210,LOG!$E$2:$E$2001,B210,LOG!$D$2:$D$2001,"*BOOKED"),MIN(_xlfn.MINIFS(LOG!$G$2:$G$2001,LOG!$C$2:$C$2001,F210,LOG!$E$2:$E$2001,B210,LOG!$D$2:$D$2001,"*BOOKED"),_xlfn.MINIFS(LOG!$G$2:$G$2001,LOG!$C$2:$C$2001,F210,LOG!$E$2:$E$2001,"",LOG!$D$2:$D$2001,"*BOOKED")))),"")</f>
        <v/>
      </c>
      <c r="AN210" s="28" t="str">
        <f t="shared" si="40"/>
        <v/>
      </c>
      <c r="AO210" s="28">
        <f>IF(AND(M210=1,AN210&lt;&gt;""),IF(AN210&lt;=SETTINGS!$B$5,1,0),0)</f>
        <v>0</v>
      </c>
      <c r="AP210" s="28">
        <f>IF(M210=1,IF(COUNTIFS(LOG!$C$2:$C$2001,F210,LOG!$E$2:$E$2001,B210,LOG!$D$2:$D$2001,"BOOKED")+COUNTIFS(LOG!$C$2:$C$2001,F210,LOG!$E$2:$E$2001,"",LOG!$D$2:$D$2001,"BOOKED")&gt;0,1,0),0)</f>
        <v>0</v>
      </c>
      <c r="AQ210" s="28" t="str">
        <f t="shared" si="41"/>
        <v>Ira</v>
      </c>
      <c r="AR210" s="28">
        <f>IF(AND(AK210=1,K210="OK"),COUNTIFS($AK$2:AK210,1,$K$2:K210,"OK"),"")</f>
        <v>185</v>
      </c>
      <c r="AS210" s="28" t="str">
        <f>IF(L210=1,IFERROR(INDEX(MESSAGES!$J$9:$J$1008,MATCH(F210,MESSAGES!$M$9:$M$1008,0))&amp;"",""),"")</f>
        <v/>
      </c>
      <c r="AT210" s="28" t="str">
        <f>IF(L210=1,IFERROR(INDEX(MESSAGES!$K$9:$K$1008,MATCH(F210,MESSAGES!$M$9:$M$1008,0))&amp;"",""),"")</f>
        <v/>
      </c>
      <c r="AU210" s="28">
        <f t="shared" ca="1" si="42"/>
        <v>0</v>
      </c>
      <c r="AV210" s="28" t="str">
        <f t="shared" si="43"/>
        <v>HOLD</v>
      </c>
    </row>
    <row r="211" spans="1:48" x14ac:dyDescent="0.35">
      <c r="A211" s="28">
        <v>210</v>
      </c>
      <c r="B211" s="28" t="str">
        <f>IF(INPUT!A211="","",TRIM(INPUT!A211))</f>
        <v>Partner 004</v>
      </c>
      <c r="C211" s="28" t="str">
        <f>IF(B211="","",INPUT!C211)</f>
        <v>interviewer0@partner004.example.com</v>
      </c>
      <c r="D211" s="28" t="str">
        <f>IF(B211="","",INPUT!D211)</f>
        <v>Zoya N.</v>
      </c>
      <c r="E211" s="28" t="str">
        <f>IF(B211="","",INPUT!E211)</f>
        <v>zoya.n377@example.com</v>
      </c>
      <c r="F211" s="43" t="str">
        <f>IF(B211="","",TRIM(INPUT!F211&amp;""))</f>
        <v>9000004908</v>
      </c>
      <c r="G211" s="28" t="str">
        <f>IF(B211="","",INPUT!H211)</f>
        <v>Round1</v>
      </c>
      <c r="H211" s="46">
        <f>IF(B211="","",INPUT!I211)</f>
        <v>46308.82708333333</v>
      </c>
      <c r="I211" s="28" t="str">
        <f>IF(B211="","",IF(INPUT!J211="","None",INPUT!J211))</f>
        <v>Clicked</v>
      </c>
      <c r="J211" s="28" t="str">
        <f t="shared" si="33"/>
        <v>zoya.n377@example.com|partner 004|Round1|interviewer0@partner004.example.com</v>
      </c>
      <c r="K211" s="28" t="str">
        <f>IF(B211="","",IF(SUMPRODUCT(($J$2:$J$601=J211)*($H$2:$H$601&lt;H211))+SUMPRODUCT(($J$2:J211=J211)*($H$2:H211=H211))-1&gt;0,"DUPLICATE",IF(AND(ISNUMBER(SEARCH("@",E211)),ISNUMBER(SEARCH(".",E211)),LEN(F211)=10,ISNUMBER(VALUE(F211))),"OK","BAD CONTACT")))</f>
        <v>OK</v>
      </c>
      <c r="L211" s="28">
        <f t="shared" si="34"/>
        <v>1</v>
      </c>
      <c r="M211" s="28">
        <f>IF(L211=1,IF(COUNTIFS(LOG!$C$2:$C$2001,F211,LOG!$E$2:$E$2001,B211,LOG!$D$2:$D$2001,"*BOOKED")+COUNTIFS(LOG!$C$2:$C$2001,F211,LOG!$E$2:$E$2001,"",LOG!$D$2:$D$2001,"*BOOKED")&gt;0,1,0),0)</f>
        <v>1</v>
      </c>
      <c r="N211" s="28">
        <f>IF(L211=1,IF(COUNTIFS(LOG!$C$2:$C$2001,F211,LOG!$E$2:$E$2001,B211,LOG!$D$2:$D$2001,"NOT_INTERESTED")+COUNTIFS(LOG!$C$2:$C$2001,F211,LOG!$E$2:$E$2001,"",LOG!$D$2:$D$2001,"NOT_INTERESTED")&gt;0,1,0),0)</f>
        <v>0</v>
      </c>
      <c r="O211" s="28">
        <f>IF(L211=1,IF(COUNTIFS(LOG!$C$2:$C$2001,F211,LOG!$D$2:$D$2001,"STOP")+COUNTIFS(LOG!$C$2:$C$2001,F211,LOG!$D$2:$D$2001,"WRONG_NUMBER")&gt;0,1,IF(ISNUMBER(SEARCH("STOP",AT211)),1,0)),0)</f>
        <v>0</v>
      </c>
      <c r="P211" s="28">
        <f>IF(L211=1,IF(IFERROR(INDEX(PARTNERS!$D$2:$D$88,MATCH(B211,PARTNERS!$A$2:$A$88,0)),"")="NO SLOTS",1,IF(AND(IFERROR(INDEX(PARTNERS!$D$2:$D$88,MATCH(B211,PARTNERS!$A$2:$A$88,0)),"")&lt;&gt;"REOPENED",COUNTIFS(LOG!$E$2:$E$2001,B211,LOG!$D$2:$D$2001,"NO_SLOTS")&gt;0),1,0)),0)</f>
        <v>0</v>
      </c>
      <c r="Q211" s="28">
        <f>IF(L211=1,COUNTIFS(LOG!$C$2:$C$2001,F211,LOG!$H$2:$H$2001,1),0)</f>
        <v>1</v>
      </c>
      <c r="R211" s="46">
        <f>IF(Q211&gt;0,_xlfn.MAXIFS(LOG!$G$2:$G$2001,LOG!$C$2:$C$2001,F211,LOG!$H$2:$H$2001,1),0)</f>
        <v>46309.597784443307</v>
      </c>
      <c r="S211" s="28" t="str">
        <f>IF(Q211&gt;0,IFERROR(INDEX(LOG!$D$2:$D$2001,MATCH(F211&amp;"|"&amp;Q211,LOG!$I$2:$I$2001,0)),""),"")</f>
        <v>BOOKED</v>
      </c>
      <c r="T211" s="28">
        <f>IF(S211="",0,IFERROR(VLOOKUP(S211,LISTS!$A$2:$E$10,4,FALSE),0))</f>
        <v>0</v>
      </c>
      <c r="U211" s="46">
        <f t="shared" si="35"/>
        <v>46309.597784443307</v>
      </c>
      <c r="V211" s="46">
        <f>IF(L211=1,H211+SETTINGS!$B$5/24,"")</f>
        <v>46309.82708333333</v>
      </c>
      <c r="W211" s="28">
        <f ca="1">IF(L211=1,(V211-SETTINGS!$B$4)*24,"")</f>
        <v>-1.6666666720993817E-2</v>
      </c>
      <c r="X211" s="28">
        <f ca="1">IF(AND(L211=1,K211="OK",M211=0,N211=0,O211=0,P211=0,SETTINGS!$B$4&lt;V211,Q211&lt;SETTINGS!$B$6),1,0)</f>
        <v>0</v>
      </c>
      <c r="Y211" s="28">
        <f ca="1">IF(AND(X211=1,SETTINGS!$B$4&gt;=H211,SETTINGS!$B$4&gt;=U211,ROUND(MOD(SETTINGS!$B$4,1)*1440,0)&gt;=ROUND(SETTINGS!$B$7*1440,0),ROUND(MOD(SETTINGS!$B$4,1)*1440,0)&lt;ROUND(SETTINGS!$B$8*1440,0)),1,0)</f>
        <v>0</v>
      </c>
      <c r="Z211" s="28" t="str">
        <f ca="1">IF(B211="","",IF(ROUND(MOD(SETTINGS!$B$4,1)*1440,0)&lt;ROUND(SETTINGS!$B$11*1440,0),"Ram",IF(ROUND(MOD(SETTINGS!$B$4,1)*1440,0)&gt;=ROUND(SETTINGS!$B$10*1440,0),"Shyam",IF(MOD(IFERROR(VALUE(RIGHT(F211,2)),0),2)=0,"Ram","Shyam"))))</f>
        <v>Shyam</v>
      </c>
      <c r="AA211" s="28">
        <f t="shared" ca="1" si="36"/>
        <v>0</v>
      </c>
      <c r="AB211" s="28">
        <f ca="1">IF(X211=1,COUNTIFS($F$2:F211,F211,$X$2:X211,1),0)</f>
        <v>0</v>
      </c>
      <c r="AC211" s="28" t="str">
        <f>IF(L211=1,IF(IFERROR(INDEX(PARTNERS!$C$2:$C$88,MATCH(B211,PARTNERS!$A$2:$A$88,0)),"")="YES","YES","NO"),"")</f>
        <v>YES</v>
      </c>
      <c r="AD211" s="28" t="str">
        <f>IF(L211=1,IFERROR(INDEX(PARTNERS!$B$2:$B$88,MATCH(B211,PARTNERS!$A$2:$A$88,0)),""),"")</f>
        <v>https://calendly.com/partner004/interview</v>
      </c>
      <c r="AE211" s="28">
        <f ca="1">IF(X211=1,IFERROR(INDEX(SETTINGS!$B$34:$D$36,MATCH(I211,SETTINGS!$A$34:$A$36,0),MIN(Q211,2)+1),SETTINGS!$B$36),0)</f>
        <v>0</v>
      </c>
      <c r="AF211" s="28">
        <f t="shared" si="37"/>
        <v>1</v>
      </c>
      <c r="AG211" s="28">
        <f ca="1">IF(AND(Y211=1,AB211=1),ROUND(AA211*AE211*IF(AF211&gt;1,SETTINGS!$B$16,1)*IF(W211&lt;=SETTINGS!$B$14,SETTINGS!$B$15,1)*IF(AU211=1,SETTINGS!$B$21,1),6),0)</f>
        <v>0</v>
      </c>
      <c r="AH211" s="28" t="str">
        <f ca="1">IF(AG211&gt;0,COUNTIFS($Z$2:$Z$601,Z211,$AG$2:$AG$601,"&gt;"&amp;AG211)+COUNTIFS($Z$2:Z211,Z211,$AG$2:AG211,AG211),"")</f>
        <v/>
      </c>
      <c r="AI211" s="28" t="str">
        <f t="shared" ca="1" si="38"/>
        <v/>
      </c>
      <c r="AJ211" s="28" t="str">
        <f t="shared" ca="1" si="39"/>
        <v/>
      </c>
      <c r="AK211" s="28">
        <f>IF(L211=1,IF(COUNTIFS($F$2:F211,F211,$L$2:L211,1)=1,1,0),0)</f>
        <v>1</v>
      </c>
      <c r="AL211" s="28" t="str">
        <f>IF(B211="","",IF(K211="DUPLICATE","Duplicate (removed)",IF(AO211=1,"Scheduled within 24h",IF(M211=1,"Scheduled late",IF(K211="BAD CONTACT","Bad contact details",IF(O211=1,"Stopped / wrong number",IF(N211=1,"Not interested",IF(P211=1,"Partner has no slots",IF(SETTINGS!$B$4&gt;=V211,IF(Q211=0,"Missed deadline: never tried","Missed deadline: tried, not booked"),IF(Q211&gt;=SETTINGS!$B$6,"No reply after max tries","Open"))))))))))</f>
        <v>Scheduled within 24h</v>
      </c>
      <c r="AM211" s="46">
        <f>IF(M211=1,IF(_xlfn.MINIFS(LOG!$G$2:$G$2001,LOG!$C$2:$C$2001,F211,LOG!$E$2:$E$2001,B211,LOG!$D$2:$D$2001,"*BOOKED")=0,_xlfn.MINIFS(LOG!$G$2:$G$2001,LOG!$C$2:$C$2001,F211,LOG!$E$2:$E$2001,"",LOG!$D$2:$D$2001,"*BOOKED"),IF(_xlfn.MINIFS(LOG!$G$2:$G$2001,LOG!$C$2:$C$2001,F211,LOG!$E$2:$E$2001,"",LOG!$D$2:$D$2001,"*BOOKED")=0,_xlfn.MINIFS(LOG!$G$2:$G$2001,LOG!$C$2:$C$2001,F211,LOG!$E$2:$E$2001,B211,LOG!$D$2:$D$2001,"*BOOKED"),MIN(_xlfn.MINIFS(LOG!$G$2:$G$2001,LOG!$C$2:$C$2001,F211,LOG!$E$2:$E$2001,B211,LOG!$D$2:$D$2001,"*BOOKED"),_xlfn.MINIFS(LOG!$G$2:$G$2001,LOG!$C$2:$C$2001,F211,LOG!$E$2:$E$2001,"",LOG!$D$2:$D$2001,"*BOOKED")))),"")</f>
        <v>46309.597784443307</v>
      </c>
      <c r="AN211" s="28">
        <f t="shared" si="40"/>
        <v>18.49682663945714</v>
      </c>
      <c r="AO211" s="28">
        <f>IF(AND(M211=1,AN211&lt;&gt;""),IF(AN211&lt;=SETTINGS!$B$5,1,0),0)</f>
        <v>1</v>
      </c>
      <c r="AP211" s="28">
        <f>IF(M211=1,IF(COUNTIFS(LOG!$C$2:$C$2001,F211,LOG!$E$2:$E$2001,B211,LOG!$D$2:$D$2001,"BOOKED")+COUNTIFS(LOG!$C$2:$C$2001,F211,LOG!$E$2:$E$2001,"",LOG!$D$2:$D$2001,"BOOKED")&gt;0,1,0),0)</f>
        <v>1</v>
      </c>
      <c r="AQ211" s="28" t="str">
        <f t="shared" si="41"/>
        <v>Zoya</v>
      </c>
      <c r="AR211" s="28">
        <f>IF(AND(AK211=1,K211="OK"),COUNTIFS($AK$2:AK211,1,$K$2:K211,"OK"),"")</f>
        <v>186</v>
      </c>
      <c r="AS211" s="28" t="str">
        <f>IF(L211=1,IFERROR(INDEX(MESSAGES!$J$9:$J$1008,MATCH(F211,MESSAGES!$M$9:$M$1008,0))&amp;"",""),"")</f>
        <v/>
      </c>
      <c r="AT211" s="28" t="str">
        <f>IF(L211=1,IFERROR(INDEX(MESSAGES!$K$9:$K$1008,MATCH(F211,MESSAGES!$M$9:$M$1008,0))&amp;"",""),"")</f>
        <v/>
      </c>
      <c r="AU211" s="28">
        <f t="shared" ca="1" si="42"/>
        <v>0</v>
      </c>
      <c r="AV211" s="28" t="str">
        <f t="shared" si="43"/>
        <v>SEND</v>
      </c>
    </row>
    <row r="212" spans="1:48" x14ac:dyDescent="0.35">
      <c r="A212" s="28">
        <v>211</v>
      </c>
      <c r="B212" s="28" t="str">
        <f>IF(INPUT!A212="","",TRIM(INPUT!A212))</f>
        <v>Partner 008</v>
      </c>
      <c r="C212" s="28" t="str">
        <f>IF(B212="","",INPUT!C212)</f>
        <v>interviewer2@partner008.example.com</v>
      </c>
      <c r="D212" s="28" t="str">
        <f>IF(B212="","",INPUT!D212)</f>
        <v>Saanvi F.</v>
      </c>
      <c r="E212" s="28" t="str">
        <f>IF(B212="","",INPUT!E212)</f>
        <v>saanvi.f159@example.com</v>
      </c>
      <c r="F212" s="43" t="str">
        <f>IF(B212="","",TRIM(INPUT!F212&amp;""))</f>
        <v>9000002074</v>
      </c>
      <c r="G212" s="28" t="str">
        <f>IF(B212="","",INPUT!H212)</f>
        <v>Round1</v>
      </c>
      <c r="H212" s="46">
        <f>IF(B212="","",INPUT!I212)</f>
        <v>46308.82708333333</v>
      </c>
      <c r="I212" s="28" t="str">
        <f>IF(B212="","",IF(INPUT!J212="","None",INPUT!J212))</f>
        <v>Opened</v>
      </c>
      <c r="J212" s="28" t="str">
        <f t="shared" si="33"/>
        <v>saanvi.f159@example.com|partner 008|Round1|interviewer2@partner008.example.com</v>
      </c>
      <c r="K212" s="28" t="str">
        <f>IF(B212="","",IF(SUMPRODUCT(($J$2:$J$601=J212)*($H$2:$H$601&lt;H212))+SUMPRODUCT(($J$2:J212=J212)*($H$2:H212=H212))-1&gt;0,"DUPLICATE",IF(AND(ISNUMBER(SEARCH("@",E212)),ISNUMBER(SEARCH(".",E212)),LEN(F212)=10,ISNUMBER(VALUE(F212))),"OK","BAD CONTACT")))</f>
        <v>OK</v>
      </c>
      <c r="L212" s="28">
        <f t="shared" si="34"/>
        <v>1</v>
      </c>
      <c r="M212" s="28">
        <f>IF(L212=1,IF(COUNTIFS(LOG!$C$2:$C$2001,F212,LOG!$E$2:$E$2001,B212,LOG!$D$2:$D$2001,"*BOOKED")+COUNTIFS(LOG!$C$2:$C$2001,F212,LOG!$E$2:$E$2001,"",LOG!$D$2:$D$2001,"*BOOKED")&gt;0,1,0),0)</f>
        <v>0</v>
      </c>
      <c r="N212" s="28">
        <f>IF(L212=1,IF(COUNTIFS(LOG!$C$2:$C$2001,F212,LOG!$E$2:$E$2001,B212,LOG!$D$2:$D$2001,"NOT_INTERESTED")+COUNTIFS(LOG!$C$2:$C$2001,F212,LOG!$E$2:$E$2001,"",LOG!$D$2:$D$2001,"NOT_INTERESTED")&gt;0,1,0),0)</f>
        <v>0</v>
      </c>
      <c r="O212" s="28">
        <f>IF(L212=1,IF(COUNTIFS(LOG!$C$2:$C$2001,F212,LOG!$D$2:$D$2001,"STOP")+COUNTIFS(LOG!$C$2:$C$2001,F212,LOG!$D$2:$D$2001,"WRONG_NUMBER")&gt;0,1,IF(ISNUMBER(SEARCH("STOP",AT212)),1,0)),0)</f>
        <v>0</v>
      </c>
      <c r="P212" s="28">
        <f>IF(L212=1,IF(IFERROR(INDEX(PARTNERS!$D$2:$D$88,MATCH(B212,PARTNERS!$A$2:$A$88,0)),"")="NO SLOTS",1,IF(AND(IFERROR(INDEX(PARTNERS!$D$2:$D$88,MATCH(B212,PARTNERS!$A$2:$A$88,0)),"")&lt;&gt;"REOPENED",COUNTIFS(LOG!$E$2:$E$2001,B212,LOG!$D$2:$D$2001,"NO_SLOTS")&gt;0),1,0)),0)</f>
        <v>0</v>
      </c>
      <c r="Q212" s="28">
        <f>IF(L212=1,COUNTIFS(LOG!$C$2:$C$2001,F212,LOG!$H$2:$H$2001,1),0)</f>
        <v>0</v>
      </c>
      <c r="R212" s="46">
        <f>IF(Q212&gt;0,_xlfn.MAXIFS(LOG!$G$2:$G$2001,LOG!$C$2:$C$2001,F212,LOG!$H$2:$H$2001,1),0)</f>
        <v>0</v>
      </c>
      <c r="S212" s="28" t="str">
        <f>IF(Q212&gt;0,IFERROR(INDEX(LOG!$D$2:$D$2001,MATCH(F212&amp;"|"&amp;Q212,LOG!$I$2:$I$2001,0)),""),"")</f>
        <v/>
      </c>
      <c r="T212" s="28">
        <f>IF(S212="",0,IFERROR(VLOOKUP(S212,LISTS!$A$2:$E$10,4,FALSE),0))</f>
        <v>0</v>
      </c>
      <c r="U212" s="46">
        <f t="shared" si="35"/>
        <v>0</v>
      </c>
      <c r="V212" s="46">
        <f>IF(L212=1,H212+SETTINGS!$B$5/24,"")</f>
        <v>46309.82708333333</v>
      </c>
      <c r="W212" s="28">
        <f ca="1">IF(L212=1,(V212-SETTINGS!$B$4)*24,"")</f>
        <v>-1.6666666720993817E-2</v>
      </c>
      <c r="X212" s="28">
        <f ca="1">IF(AND(L212=1,K212="OK",M212=0,N212=0,O212=0,P212=0,SETTINGS!$B$4&lt;V212,Q212&lt;SETTINGS!$B$6),1,0)</f>
        <v>0</v>
      </c>
      <c r="Y212" s="28">
        <f ca="1">IF(AND(X212=1,SETTINGS!$B$4&gt;=H212,SETTINGS!$B$4&gt;=U212,ROUND(MOD(SETTINGS!$B$4,1)*1440,0)&gt;=ROUND(SETTINGS!$B$7*1440,0),ROUND(MOD(SETTINGS!$B$4,1)*1440,0)&lt;ROUND(SETTINGS!$B$8*1440,0)),1,0)</f>
        <v>0</v>
      </c>
      <c r="Z212" s="28" t="str">
        <f ca="1">IF(B212="","",IF(ROUND(MOD(SETTINGS!$B$4,1)*1440,0)&lt;ROUND(SETTINGS!$B$11*1440,0),"Ram",IF(ROUND(MOD(SETTINGS!$B$4,1)*1440,0)&gt;=ROUND(SETTINGS!$B$10*1440,0),"Shyam",IF(MOD(IFERROR(VALUE(RIGHT(F212,2)),0),2)=0,"Ram","Shyam"))))</f>
        <v>Shyam</v>
      </c>
      <c r="AA212" s="28">
        <f t="shared" ca="1" si="36"/>
        <v>0</v>
      </c>
      <c r="AB212" s="28">
        <f ca="1">IF(X212=1,COUNTIFS($F$2:F212,F212,$X$2:X212,1),0)</f>
        <v>0</v>
      </c>
      <c r="AC212" s="28" t="str">
        <f>IF(L212=1,IF(IFERROR(INDEX(PARTNERS!$C$2:$C$88,MATCH(B212,PARTNERS!$A$2:$A$88,0)),"")="YES","YES","NO"),"")</f>
        <v>YES</v>
      </c>
      <c r="AD212" s="28" t="str">
        <f>IF(L212=1,IFERROR(INDEX(PARTNERS!$B$2:$B$88,MATCH(B212,PARTNERS!$A$2:$A$88,0)),""),"")</f>
        <v>https://calendly.com/partner008/interview</v>
      </c>
      <c r="AE212" s="28">
        <f ca="1">IF(X212=1,IFERROR(INDEX(SETTINGS!$B$34:$D$36,MATCH(I212,SETTINGS!$A$34:$A$36,0),MIN(Q212,2)+1),SETTINGS!$B$36),0)</f>
        <v>0</v>
      </c>
      <c r="AF212" s="28">
        <f t="shared" si="37"/>
        <v>1</v>
      </c>
      <c r="AG212" s="28">
        <f ca="1">IF(AND(Y212=1,AB212=1),ROUND(AA212*AE212*IF(AF212&gt;1,SETTINGS!$B$16,1)*IF(W212&lt;=SETTINGS!$B$14,SETTINGS!$B$15,1)*IF(AU212=1,SETTINGS!$B$21,1),6),0)</f>
        <v>0</v>
      </c>
      <c r="AH212" s="28" t="str">
        <f ca="1">IF(AG212&gt;0,COUNTIFS($Z$2:$Z$601,Z212,$AG$2:$AG$601,"&gt;"&amp;AG212)+COUNTIFS($Z$2:Z212,Z212,$AG$2:AG212,AG212),"")</f>
        <v/>
      </c>
      <c r="AI212" s="28" t="str">
        <f t="shared" ca="1" si="38"/>
        <v/>
      </c>
      <c r="AJ212" s="28" t="str">
        <f t="shared" ca="1" si="39"/>
        <v/>
      </c>
      <c r="AK212" s="28">
        <f>IF(L212=1,IF(COUNTIFS($F$2:F212,F212,$L$2:L212,1)=1,1,0),0)</f>
        <v>1</v>
      </c>
      <c r="AL212" s="28" t="str">
        <f ca="1">IF(B212="","",IF(K212="DUPLICATE","Duplicate (removed)",IF(AO212=1,"Scheduled within 24h",IF(M212=1,"Scheduled late",IF(K212="BAD CONTACT","Bad contact details",IF(O212=1,"Stopped / wrong number",IF(N212=1,"Not interested",IF(P212=1,"Partner has no slots",IF(SETTINGS!$B$4&gt;=V212,IF(Q212=0,"Missed deadline: never tried","Missed deadline: tried, not booked"),IF(Q212&gt;=SETTINGS!$B$6,"No reply after max tries","Open"))))))))))</f>
        <v>Missed deadline: never tried</v>
      </c>
      <c r="AM212" s="46" t="str">
        <f>IF(M212=1,IF(_xlfn.MINIFS(LOG!$G$2:$G$2001,LOG!$C$2:$C$2001,F212,LOG!$E$2:$E$2001,B212,LOG!$D$2:$D$2001,"*BOOKED")=0,_xlfn.MINIFS(LOG!$G$2:$G$2001,LOG!$C$2:$C$2001,F212,LOG!$E$2:$E$2001,"",LOG!$D$2:$D$2001,"*BOOKED"),IF(_xlfn.MINIFS(LOG!$G$2:$G$2001,LOG!$C$2:$C$2001,F212,LOG!$E$2:$E$2001,"",LOG!$D$2:$D$2001,"*BOOKED")=0,_xlfn.MINIFS(LOG!$G$2:$G$2001,LOG!$C$2:$C$2001,F212,LOG!$E$2:$E$2001,B212,LOG!$D$2:$D$2001,"*BOOKED"),MIN(_xlfn.MINIFS(LOG!$G$2:$G$2001,LOG!$C$2:$C$2001,F212,LOG!$E$2:$E$2001,B212,LOG!$D$2:$D$2001,"*BOOKED"),_xlfn.MINIFS(LOG!$G$2:$G$2001,LOG!$C$2:$C$2001,F212,LOG!$E$2:$E$2001,"",LOG!$D$2:$D$2001,"*BOOKED")))),"")</f>
        <v/>
      </c>
      <c r="AN212" s="28" t="str">
        <f t="shared" si="40"/>
        <v/>
      </c>
      <c r="AO212" s="28">
        <f>IF(AND(M212=1,AN212&lt;&gt;""),IF(AN212&lt;=SETTINGS!$B$5,1,0),0)</f>
        <v>0</v>
      </c>
      <c r="AP212" s="28">
        <f>IF(M212=1,IF(COUNTIFS(LOG!$C$2:$C$2001,F212,LOG!$E$2:$E$2001,B212,LOG!$D$2:$D$2001,"BOOKED")+COUNTIFS(LOG!$C$2:$C$2001,F212,LOG!$E$2:$E$2001,"",LOG!$D$2:$D$2001,"BOOKED")&gt;0,1,0),0)</f>
        <v>0</v>
      </c>
      <c r="AQ212" s="28" t="str">
        <f t="shared" si="41"/>
        <v>Saanvi</v>
      </c>
      <c r="AR212" s="28">
        <f>IF(AND(AK212=1,K212="OK"),COUNTIFS($AK$2:AK212,1,$K$2:K212,"OK"),"")</f>
        <v>187</v>
      </c>
      <c r="AS212" s="28" t="str">
        <f>IF(L212=1,IFERROR(INDEX(MESSAGES!$J$9:$J$1008,MATCH(F212,MESSAGES!$M$9:$M$1008,0))&amp;"",""),"")</f>
        <v/>
      </c>
      <c r="AT212" s="28" t="str">
        <f>IF(L212=1,IFERROR(INDEX(MESSAGES!$K$9:$K$1008,MATCH(F212,MESSAGES!$M$9:$M$1008,0))&amp;"",""),"")</f>
        <v/>
      </c>
      <c r="AU212" s="28">
        <f t="shared" ca="1" si="42"/>
        <v>0</v>
      </c>
      <c r="AV212" s="28" t="str">
        <f t="shared" si="43"/>
        <v>HOLD</v>
      </c>
    </row>
    <row r="213" spans="1:48" x14ac:dyDescent="0.35">
      <c r="A213" s="28">
        <v>212</v>
      </c>
      <c r="B213" s="28" t="str">
        <f>IF(INPUT!A213="","",TRIM(INPUT!A213))</f>
        <v>Partner 009</v>
      </c>
      <c r="C213" s="28" t="str">
        <f>IF(B213="","",INPUT!C213)</f>
        <v>interviewer0@partner009.example.com</v>
      </c>
      <c r="D213" s="28" t="str">
        <f>IF(B213="","",INPUT!D213)</f>
        <v>Neil H.</v>
      </c>
      <c r="E213" s="28" t="str">
        <f>IF(B213="","",INPUT!E213)</f>
        <v>neil.h228@example.com</v>
      </c>
      <c r="F213" s="43" t="str">
        <f>IF(B213="","",TRIM(INPUT!F213&amp;""))</f>
        <v>9000002971</v>
      </c>
      <c r="G213" s="28" t="str">
        <f>IF(B213="","",INPUT!H213)</f>
        <v>Round1</v>
      </c>
      <c r="H213" s="46">
        <f>IF(B213="","",INPUT!I213)</f>
        <v>46308.82708333333</v>
      </c>
      <c r="I213" s="28" t="str">
        <f>IF(B213="","",IF(INPUT!J213="","None",INPUT!J213))</f>
        <v>None</v>
      </c>
      <c r="J213" s="28" t="str">
        <f t="shared" si="33"/>
        <v>neil.h228@example.com|partner 009|Round1|interviewer0@partner009.example.com</v>
      </c>
      <c r="K213" s="28" t="str">
        <f>IF(B213="","",IF(SUMPRODUCT(($J$2:$J$601=J213)*($H$2:$H$601&lt;H213))+SUMPRODUCT(($J$2:J213=J213)*($H$2:H213=H213))-1&gt;0,"DUPLICATE",IF(AND(ISNUMBER(SEARCH("@",E213)),ISNUMBER(SEARCH(".",E213)),LEN(F213)=10,ISNUMBER(VALUE(F213))),"OK","BAD CONTACT")))</f>
        <v>OK</v>
      </c>
      <c r="L213" s="28">
        <f t="shared" si="34"/>
        <v>1</v>
      </c>
      <c r="M213" s="28">
        <f>IF(L213=1,IF(COUNTIFS(LOG!$C$2:$C$2001,F213,LOG!$E$2:$E$2001,B213,LOG!$D$2:$D$2001,"*BOOKED")+COUNTIFS(LOG!$C$2:$C$2001,F213,LOG!$E$2:$E$2001,"",LOG!$D$2:$D$2001,"*BOOKED")&gt;0,1,0),0)</f>
        <v>0</v>
      </c>
      <c r="N213" s="28">
        <f>IF(L213=1,IF(COUNTIFS(LOG!$C$2:$C$2001,F213,LOG!$E$2:$E$2001,B213,LOG!$D$2:$D$2001,"NOT_INTERESTED")+COUNTIFS(LOG!$C$2:$C$2001,F213,LOG!$E$2:$E$2001,"",LOG!$D$2:$D$2001,"NOT_INTERESTED")&gt;0,1,0),0)</f>
        <v>0</v>
      </c>
      <c r="O213" s="28">
        <f>IF(L213=1,IF(COUNTIFS(LOG!$C$2:$C$2001,F213,LOG!$D$2:$D$2001,"STOP")+COUNTIFS(LOG!$C$2:$C$2001,F213,LOG!$D$2:$D$2001,"WRONG_NUMBER")&gt;0,1,IF(ISNUMBER(SEARCH("STOP",AT213)),1,0)),0)</f>
        <v>0</v>
      </c>
      <c r="P213" s="28">
        <f>IF(L213=1,IF(IFERROR(INDEX(PARTNERS!$D$2:$D$88,MATCH(B213,PARTNERS!$A$2:$A$88,0)),"")="NO SLOTS",1,IF(AND(IFERROR(INDEX(PARTNERS!$D$2:$D$88,MATCH(B213,PARTNERS!$A$2:$A$88,0)),"")&lt;&gt;"REOPENED",COUNTIFS(LOG!$E$2:$E$2001,B213,LOG!$D$2:$D$2001,"NO_SLOTS")&gt;0),1,0)),0)</f>
        <v>0</v>
      </c>
      <c r="Q213" s="28">
        <f>IF(L213=1,COUNTIFS(LOG!$C$2:$C$2001,F213,LOG!$H$2:$H$2001,1),0)</f>
        <v>0</v>
      </c>
      <c r="R213" s="46">
        <f>IF(Q213&gt;0,_xlfn.MAXIFS(LOG!$G$2:$G$2001,LOG!$C$2:$C$2001,F213,LOG!$H$2:$H$2001,1),0)</f>
        <v>0</v>
      </c>
      <c r="S213" s="28" t="str">
        <f>IF(Q213&gt;0,IFERROR(INDEX(LOG!$D$2:$D$2001,MATCH(F213&amp;"|"&amp;Q213,LOG!$I$2:$I$2001,0)),""),"")</f>
        <v/>
      </c>
      <c r="T213" s="28">
        <f>IF(S213="",0,IFERROR(VLOOKUP(S213,LISTS!$A$2:$E$10,4,FALSE),0))</f>
        <v>0</v>
      </c>
      <c r="U213" s="46">
        <f t="shared" si="35"/>
        <v>0</v>
      </c>
      <c r="V213" s="46">
        <f>IF(L213=1,H213+SETTINGS!$B$5/24,"")</f>
        <v>46309.82708333333</v>
      </c>
      <c r="W213" s="28">
        <f ca="1">IF(L213=1,(V213-SETTINGS!$B$4)*24,"")</f>
        <v>-1.6666666720993817E-2</v>
      </c>
      <c r="X213" s="28">
        <f ca="1">IF(AND(L213=1,K213="OK",M213=0,N213=0,O213=0,P213=0,SETTINGS!$B$4&lt;V213,Q213&lt;SETTINGS!$B$6),1,0)</f>
        <v>0</v>
      </c>
      <c r="Y213" s="28">
        <f ca="1">IF(AND(X213=1,SETTINGS!$B$4&gt;=H213,SETTINGS!$B$4&gt;=U213,ROUND(MOD(SETTINGS!$B$4,1)*1440,0)&gt;=ROUND(SETTINGS!$B$7*1440,0),ROUND(MOD(SETTINGS!$B$4,1)*1440,0)&lt;ROUND(SETTINGS!$B$8*1440,0)),1,0)</f>
        <v>0</v>
      </c>
      <c r="Z213" s="28" t="str">
        <f ca="1">IF(B213="","",IF(ROUND(MOD(SETTINGS!$B$4,1)*1440,0)&lt;ROUND(SETTINGS!$B$11*1440,0),"Ram",IF(ROUND(MOD(SETTINGS!$B$4,1)*1440,0)&gt;=ROUND(SETTINGS!$B$10*1440,0),"Shyam",IF(MOD(IFERROR(VALUE(RIGHT(F213,2)),0),2)=0,"Ram","Shyam"))))</f>
        <v>Shyam</v>
      </c>
      <c r="AA213" s="28">
        <f t="shared" ca="1" si="36"/>
        <v>0</v>
      </c>
      <c r="AB213" s="28">
        <f ca="1">IF(X213=1,COUNTIFS($F$2:F213,F213,$X$2:X213,1),0)</f>
        <v>0</v>
      </c>
      <c r="AC213" s="28" t="str">
        <f>IF(L213=1,IF(IFERROR(INDEX(PARTNERS!$C$2:$C$88,MATCH(B213,PARTNERS!$A$2:$A$88,0)),"")="YES","YES","NO"),"")</f>
        <v>YES</v>
      </c>
      <c r="AD213" s="28" t="str">
        <f>IF(L213=1,IFERROR(INDEX(PARTNERS!$B$2:$B$88,MATCH(B213,PARTNERS!$A$2:$A$88,0)),""),"")</f>
        <v>https://calendly.com/partner009/interview</v>
      </c>
      <c r="AE213" s="28">
        <f ca="1">IF(X213=1,IFERROR(INDEX(SETTINGS!$B$34:$D$36,MATCH(I213,SETTINGS!$A$34:$A$36,0),MIN(Q213,2)+1),SETTINGS!$B$36),0)</f>
        <v>0</v>
      </c>
      <c r="AF213" s="28">
        <f t="shared" si="37"/>
        <v>1</v>
      </c>
      <c r="AG213" s="28">
        <f ca="1">IF(AND(Y213=1,AB213=1),ROUND(AA213*AE213*IF(AF213&gt;1,SETTINGS!$B$16,1)*IF(W213&lt;=SETTINGS!$B$14,SETTINGS!$B$15,1)*IF(AU213=1,SETTINGS!$B$21,1),6),0)</f>
        <v>0</v>
      </c>
      <c r="AH213" s="28" t="str">
        <f ca="1">IF(AG213&gt;0,COUNTIFS($Z$2:$Z$601,Z213,$AG$2:$AG$601,"&gt;"&amp;AG213)+COUNTIFS($Z$2:Z213,Z213,$AG$2:AG213,AG213),"")</f>
        <v/>
      </c>
      <c r="AI213" s="28" t="str">
        <f t="shared" ca="1" si="38"/>
        <v/>
      </c>
      <c r="AJ213" s="28" t="str">
        <f t="shared" ca="1" si="39"/>
        <v/>
      </c>
      <c r="AK213" s="28">
        <f>IF(L213=1,IF(COUNTIFS($F$2:F213,F213,$L$2:L213,1)=1,1,0),0)</f>
        <v>1</v>
      </c>
      <c r="AL213" s="28" t="str">
        <f ca="1">IF(B213="","",IF(K213="DUPLICATE","Duplicate (removed)",IF(AO213=1,"Scheduled within 24h",IF(M213=1,"Scheduled late",IF(K213="BAD CONTACT","Bad contact details",IF(O213=1,"Stopped / wrong number",IF(N213=1,"Not interested",IF(P213=1,"Partner has no slots",IF(SETTINGS!$B$4&gt;=V213,IF(Q213=0,"Missed deadline: never tried","Missed deadline: tried, not booked"),IF(Q213&gt;=SETTINGS!$B$6,"No reply after max tries","Open"))))))))))</f>
        <v>Missed deadline: never tried</v>
      </c>
      <c r="AM213" s="46" t="str">
        <f>IF(M213=1,IF(_xlfn.MINIFS(LOG!$G$2:$G$2001,LOG!$C$2:$C$2001,F213,LOG!$E$2:$E$2001,B213,LOG!$D$2:$D$2001,"*BOOKED")=0,_xlfn.MINIFS(LOG!$G$2:$G$2001,LOG!$C$2:$C$2001,F213,LOG!$E$2:$E$2001,"",LOG!$D$2:$D$2001,"*BOOKED"),IF(_xlfn.MINIFS(LOG!$G$2:$G$2001,LOG!$C$2:$C$2001,F213,LOG!$E$2:$E$2001,"",LOG!$D$2:$D$2001,"*BOOKED")=0,_xlfn.MINIFS(LOG!$G$2:$G$2001,LOG!$C$2:$C$2001,F213,LOG!$E$2:$E$2001,B213,LOG!$D$2:$D$2001,"*BOOKED"),MIN(_xlfn.MINIFS(LOG!$G$2:$G$2001,LOG!$C$2:$C$2001,F213,LOG!$E$2:$E$2001,B213,LOG!$D$2:$D$2001,"*BOOKED"),_xlfn.MINIFS(LOG!$G$2:$G$2001,LOG!$C$2:$C$2001,F213,LOG!$E$2:$E$2001,"",LOG!$D$2:$D$2001,"*BOOKED")))),"")</f>
        <v/>
      </c>
      <c r="AN213" s="28" t="str">
        <f t="shared" si="40"/>
        <v/>
      </c>
      <c r="AO213" s="28">
        <f>IF(AND(M213=1,AN213&lt;&gt;""),IF(AN213&lt;=SETTINGS!$B$5,1,0),0)</f>
        <v>0</v>
      </c>
      <c r="AP213" s="28">
        <f>IF(M213=1,IF(COUNTIFS(LOG!$C$2:$C$2001,F213,LOG!$E$2:$E$2001,B213,LOG!$D$2:$D$2001,"BOOKED")+COUNTIFS(LOG!$C$2:$C$2001,F213,LOG!$E$2:$E$2001,"",LOG!$D$2:$D$2001,"BOOKED")&gt;0,1,0),0)</f>
        <v>0</v>
      </c>
      <c r="AQ213" s="28" t="str">
        <f t="shared" si="41"/>
        <v>Neil</v>
      </c>
      <c r="AR213" s="28">
        <f>IF(AND(AK213=1,K213="OK"),COUNTIFS($AK$2:AK213,1,$K$2:K213,"OK"),"")</f>
        <v>188</v>
      </c>
      <c r="AS213" s="28" t="str">
        <f>IF(L213=1,IFERROR(INDEX(MESSAGES!$J$9:$J$1008,MATCH(F213,MESSAGES!$M$9:$M$1008,0))&amp;"",""),"")</f>
        <v/>
      </c>
      <c r="AT213" s="28" t="str">
        <f>IF(L213=1,IFERROR(INDEX(MESSAGES!$K$9:$K$1008,MATCH(F213,MESSAGES!$M$9:$M$1008,0))&amp;"",""),"")</f>
        <v/>
      </c>
      <c r="AU213" s="28">
        <f t="shared" ca="1" si="42"/>
        <v>0</v>
      </c>
      <c r="AV213" s="28" t="str">
        <f t="shared" si="43"/>
        <v>HOLD</v>
      </c>
    </row>
    <row r="214" spans="1:48" x14ac:dyDescent="0.35">
      <c r="A214" s="28">
        <v>213</v>
      </c>
      <c r="B214" s="28" t="str">
        <f>IF(INPUT!A214="","",TRIM(INPUT!A214))</f>
        <v>Partner 000</v>
      </c>
      <c r="C214" s="28" t="str">
        <f>IF(B214="","",INPUT!C214)</f>
        <v>interviewer1@partner000.example.com</v>
      </c>
      <c r="D214" s="28" t="str">
        <f>IF(B214="","",INPUT!D214)</f>
        <v>Yash N.</v>
      </c>
      <c r="E214" s="28" t="str">
        <f>IF(B214="","",INPUT!E214)</f>
        <v>yash.n376@example.com</v>
      </c>
      <c r="F214" s="43" t="str">
        <f>IF(B214="","",TRIM(INPUT!F214&amp;""))</f>
        <v>9000004895</v>
      </c>
      <c r="G214" s="28" t="str">
        <f>IF(B214="","",INPUT!H214)</f>
        <v>Round1</v>
      </c>
      <c r="H214" s="46">
        <f>IF(B214="","",INPUT!I214)</f>
        <v>46308.82916666667</v>
      </c>
      <c r="I214" s="28" t="str">
        <f>IF(B214="","",IF(INPUT!J214="","None",INPUT!J214))</f>
        <v>None</v>
      </c>
      <c r="J214" s="28" t="str">
        <f t="shared" si="33"/>
        <v>yash.n376@example.com|partner 000|Round1|interviewer1@partner000.example.com</v>
      </c>
      <c r="K214" s="28" t="str">
        <f>IF(B214="","",IF(SUMPRODUCT(($J$2:$J$601=J214)*($H$2:$H$601&lt;H214))+SUMPRODUCT(($J$2:J214=J214)*($H$2:H214=H214))-1&gt;0,"DUPLICATE",IF(AND(ISNUMBER(SEARCH("@",E214)),ISNUMBER(SEARCH(".",E214)),LEN(F214)=10,ISNUMBER(VALUE(F214))),"OK","BAD CONTACT")))</f>
        <v>DUPLICATE</v>
      </c>
      <c r="L214" s="28">
        <f t="shared" si="34"/>
        <v>0</v>
      </c>
      <c r="M214" s="28">
        <f>IF(L214=1,IF(COUNTIFS(LOG!$C$2:$C$2001,F214,LOG!$E$2:$E$2001,B214,LOG!$D$2:$D$2001,"*BOOKED")+COUNTIFS(LOG!$C$2:$C$2001,F214,LOG!$E$2:$E$2001,"",LOG!$D$2:$D$2001,"*BOOKED")&gt;0,1,0),0)</f>
        <v>0</v>
      </c>
      <c r="N214" s="28">
        <f>IF(L214=1,IF(COUNTIFS(LOG!$C$2:$C$2001,F214,LOG!$E$2:$E$2001,B214,LOG!$D$2:$D$2001,"NOT_INTERESTED")+COUNTIFS(LOG!$C$2:$C$2001,F214,LOG!$E$2:$E$2001,"",LOG!$D$2:$D$2001,"NOT_INTERESTED")&gt;0,1,0),0)</f>
        <v>0</v>
      </c>
      <c r="O214" s="28">
        <f>IF(L214=1,IF(COUNTIFS(LOG!$C$2:$C$2001,F214,LOG!$D$2:$D$2001,"STOP")+COUNTIFS(LOG!$C$2:$C$2001,F214,LOG!$D$2:$D$2001,"WRONG_NUMBER")&gt;0,1,IF(ISNUMBER(SEARCH("STOP",AT214)),1,0)),0)</f>
        <v>0</v>
      </c>
      <c r="P214" s="28">
        <f>IF(L214=1,IF(IFERROR(INDEX(PARTNERS!$D$2:$D$88,MATCH(B214,PARTNERS!$A$2:$A$88,0)),"")="NO SLOTS",1,IF(AND(IFERROR(INDEX(PARTNERS!$D$2:$D$88,MATCH(B214,PARTNERS!$A$2:$A$88,0)),"")&lt;&gt;"REOPENED",COUNTIFS(LOG!$E$2:$E$2001,B214,LOG!$D$2:$D$2001,"NO_SLOTS")&gt;0),1,0)),0)</f>
        <v>0</v>
      </c>
      <c r="Q214" s="28">
        <f>IF(L214=1,COUNTIFS(LOG!$C$2:$C$2001,F214,LOG!$H$2:$H$2001,1),0)</f>
        <v>0</v>
      </c>
      <c r="R214" s="46">
        <f>IF(Q214&gt;0,_xlfn.MAXIFS(LOG!$G$2:$G$2001,LOG!$C$2:$C$2001,F214,LOG!$H$2:$H$2001,1),0)</f>
        <v>0</v>
      </c>
      <c r="S214" s="28" t="str">
        <f>IF(Q214&gt;0,IFERROR(INDEX(LOG!$D$2:$D$2001,MATCH(F214&amp;"|"&amp;Q214,LOG!$I$2:$I$2001,0)),""),"")</f>
        <v/>
      </c>
      <c r="T214" s="28">
        <f>IF(S214="",0,IFERROR(VLOOKUP(S214,LISTS!$A$2:$E$10,4,FALSE),0))</f>
        <v>0</v>
      </c>
      <c r="U214" s="46">
        <f t="shared" si="35"/>
        <v>0</v>
      </c>
      <c r="V214" s="46" t="str">
        <f>IF(L214=1,H214+SETTINGS!$B$5/24,"")</f>
        <v/>
      </c>
      <c r="W214" s="28" t="str">
        <f>IF(L214=1,(V214-SETTINGS!$B$4)*24,"")</f>
        <v/>
      </c>
      <c r="X214" s="28">
        <f ca="1">IF(AND(L214=1,K214="OK",M214=0,N214=0,O214=0,P214=0,SETTINGS!$B$4&lt;V214,Q214&lt;SETTINGS!$B$6),1,0)</f>
        <v>0</v>
      </c>
      <c r="Y214" s="28">
        <f ca="1">IF(AND(X214=1,SETTINGS!$B$4&gt;=H214,SETTINGS!$B$4&gt;=U214,ROUND(MOD(SETTINGS!$B$4,1)*1440,0)&gt;=ROUND(SETTINGS!$B$7*1440,0),ROUND(MOD(SETTINGS!$B$4,1)*1440,0)&lt;ROUND(SETTINGS!$B$8*1440,0)),1,0)</f>
        <v>0</v>
      </c>
      <c r="Z214" s="28" t="str">
        <f ca="1">IF(B214="","",IF(ROUND(MOD(SETTINGS!$B$4,1)*1440,0)&lt;ROUND(SETTINGS!$B$11*1440,0),"Ram",IF(ROUND(MOD(SETTINGS!$B$4,1)*1440,0)&gt;=ROUND(SETTINGS!$B$10*1440,0),"Shyam",IF(MOD(IFERROR(VALUE(RIGHT(F214,2)),0),2)=0,"Ram","Shyam"))))</f>
        <v>Shyam</v>
      </c>
      <c r="AA214" s="28">
        <f t="shared" ca="1" si="36"/>
        <v>0</v>
      </c>
      <c r="AB214" s="28">
        <f ca="1">IF(X214=1,COUNTIFS($F$2:F214,F214,$X$2:X214,1),0)</f>
        <v>0</v>
      </c>
      <c r="AC214" s="28" t="str">
        <f>IF(L214=1,IF(IFERROR(INDEX(PARTNERS!$C$2:$C$88,MATCH(B214,PARTNERS!$A$2:$A$88,0)),"")="YES","YES","NO"),"")</f>
        <v/>
      </c>
      <c r="AD214" s="28" t="str">
        <f>IF(L214=1,IFERROR(INDEX(PARTNERS!$B$2:$B$88,MATCH(B214,PARTNERS!$A$2:$A$88,0)),""),"")</f>
        <v/>
      </c>
      <c r="AE214" s="28">
        <f ca="1">IF(X214=1,IFERROR(INDEX(SETTINGS!$B$34:$D$36,MATCH(I214,SETTINGS!$A$34:$A$36,0),MIN(Q214,2)+1),SETTINGS!$B$36),0)</f>
        <v>0</v>
      </c>
      <c r="AF214" s="28">
        <f t="shared" si="37"/>
        <v>0</v>
      </c>
      <c r="AG214" s="28">
        <f ca="1">IF(AND(Y214=1,AB214=1),ROUND(AA214*AE214*IF(AF214&gt;1,SETTINGS!$B$16,1)*IF(W214&lt;=SETTINGS!$B$14,SETTINGS!$B$15,1)*IF(AU214=1,SETTINGS!$B$21,1),6),0)</f>
        <v>0</v>
      </c>
      <c r="AH214" s="28" t="str">
        <f ca="1">IF(AG214&gt;0,COUNTIFS($Z$2:$Z$601,Z214,$AG$2:$AG$601,"&gt;"&amp;AG214)+COUNTIFS($Z$2:Z214,Z214,$AG$2:AG214,AG214),"")</f>
        <v/>
      </c>
      <c r="AI214" s="28" t="str">
        <f t="shared" ca="1" si="38"/>
        <v/>
      </c>
      <c r="AJ214" s="28" t="str">
        <f t="shared" ca="1" si="39"/>
        <v/>
      </c>
      <c r="AK214" s="28">
        <f>IF(L214=1,IF(COUNTIFS($F$2:F214,F214,$L$2:L214,1)=1,1,0),0)</f>
        <v>0</v>
      </c>
      <c r="AL214" s="28" t="str">
        <f>IF(B214="","",IF(K214="DUPLICATE","Duplicate (removed)",IF(AO214=1,"Scheduled within 24h",IF(M214=1,"Scheduled late",IF(K214="BAD CONTACT","Bad contact details",IF(O214=1,"Stopped / wrong number",IF(N214=1,"Not interested",IF(P214=1,"Partner has no slots",IF(SETTINGS!$B$4&gt;=V214,IF(Q214=0,"Missed deadline: never tried","Missed deadline: tried, not booked"),IF(Q214&gt;=SETTINGS!$B$6,"No reply after max tries","Open"))))))))))</f>
        <v>Duplicate (removed)</v>
      </c>
      <c r="AM214" s="46" t="str">
        <f>IF(M214=1,IF(_xlfn.MINIFS(LOG!$G$2:$G$2001,LOG!$C$2:$C$2001,F214,LOG!$E$2:$E$2001,B214,LOG!$D$2:$D$2001,"*BOOKED")=0,_xlfn.MINIFS(LOG!$G$2:$G$2001,LOG!$C$2:$C$2001,F214,LOG!$E$2:$E$2001,"",LOG!$D$2:$D$2001,"*BOOKED"),IF(_xlfn.MINIFS(LOG!$G$2:$G$2001,LOG!$C$2:$C$2001,F214,LOG!$E$2:$E$2001,"",LOG!$D$2:$D$2001,"*BOOKED")=0,_xlfn.MINIFS(LOG!$G$2:$G$2001,LOG!$C$2:$C$2001,F214,LOG!$E$2:$E$2001,B214,LOG!$D$2:$D$2001,"*BOOKED"),MIN(_xlfn.MINIFS(LOG!$G$2:$G$2001,LOG!$C$2:$C$2001,F214,LOG!$E$2:$E$2001,B214,LOG!$D$2:$D$2001,"*BOOKED"),_xlfn.MINIFS(LOG!$G$2:$G$2001,LOG!$C$2:$C$2001,F214,LOG!$E$2:$E$2001,"",LOG!$D$2:$D$2001,"*BOOKED")))),"")</f>
        <v/>
      </c>
      <c r="AN214" s="28" t="str">
        <f t="shared" si="40"/>
        <v/>
      </c>
      <c r="AO214" s="28">
        <f>IF(AND(M214=1,AN214&lt;&gt;""),IF(AN214&lt;=SETTINGS!$B$5,1,0),0)</f>
        <v>0</v>
      </c>
      <c r="AP214" s="28">
        <f>IF(M214=1,IF(COUNTIFS(LOG!$C$2:$C$2001,F214,LOG!$E$2:$E$2001,B214,LOG!$D$2:$D$2001,"BOOKED")+COUNTIFS(LOG!$C$2:$C$2001,F214,LOG!$E$2:$E$2001,"",LOG!$D$2:$D$2001,"BOOKED")&gt;0,1,0),0)</f>
        <v>0</v>
      </c>
      <c r="AQ214" s="28" t="str">
        <f t="shared" si="41"/>
        <v>Yash</v>
      </c>
      <c r="AR214" s="28" t="str">
        <f>IF(AND(AK214=1,K214="OK"),COUNTIFS($AK$2:AK214,1,$K$2:K214,"OK"),"")</f>
        <v/>
      </c>
      <c r="AS214" s="28" t="str">
        <f>IF(L214=1,IFERROR(INDEX(MESSAGES!$J$9:$J$1008,MATCH(F214,MESSAGES!$M$9:$M$1008,0))&amp;"",""),"")</f>
        <v/>
      </c>
      <c r="AT214" s="28" t="str">
        <f>IF(L214=1,IFERROR(INDEX(MESSAGES!$K$9:$K$1008,MATCH(F214,MESSAGES!$M$9:$M$1008,0))&amp;"",""),"")</f>
        <v/>
      </c>
      <c r="AU214" s="28">
        <f t="shared" ca="1" si="42"/>
        <v>0</v>
      </c>
      <c r="AV214" s="28" t="str">
        <f t="shared" si="43"/>
        <v/>
      </c>
    </row>
    <row r="215" spans="1:48" x14ac:dyDescent="0.35">
      <c r="A215" s="28">
        <v>214</v>
      </c>
      <c r="B215" s="28" t="str">
        <f>IF(INPUT!A215="","",TRIM(INPUT!A215))</f>
        <v>Partner 025</v>
      </c>
      <c r="C215" s="28" t="str">
        <f>IF(B215="","",INPUT!C215)</f>
        <v>interviewer1@partner025.example.com</v>
      </c>
      <c r="D215" s="28" t="str">
        <f>IF(B215="","",INPUT!D215)</f>
        <v>Saanvi A.</v>
      </c>
      <c r="E215" s="28" t="str">
        <f>IF(B215="","",INPUT!E215)</f>
        <v>saanvi.a009@example.com</v>
      </c>
      <c r="F215" s="43" t="str">
        <f>IF(B215="","",TRIM(INPUT!F215&amp;""))</f>
        <v>9000000124</v>
      </c>
      <c r="G215" s="28" t="str">
        <f>IF(B215="","",INPUT!H215)</f>
        <v>Round1</v>
      </c>
      <c r="H215" s="46">
        <f>IF(B215="","",INPUT!I215)</f>
        <v>46308.82708333333</v>
      </c>
      <c r="I215" s="28" t="str">
        <f>IF(B215="","",IF(INPUT!J215="","None",INPUT!J215))</f>
        <v>None</v>
      </c>
      <c r="J215" s="28" t="str">
        <f t="shared" si="33"/>
        <v>saanvi.a009@example.com|partner 025|Round1|interviewer1@partner025.example.com</v>
      </c>
      <c r="K215" s="28" t="str">
        <f>IF(B215="","",IF(SUMPRODUCT(($J$2:$J$601=J215)*($H$2:$H$601&lt;H215))+SUMPRODUCT(($J$2:J215=J215)*($H$2:H215=H215))-1&gt;0,"DUPLICATE",IF(AND(ISNUMBER(SEARCH("@",E215)),ISNUMBER(SEARCH(".",E215)),LEN(F215)=10,ISNUMBER(VALUE(F215))),"OK","BAD CONTACT")))</f>
        <v>OK</v>
      </c>
      <c r="L215" s="28">
        <f t="shared" si="34"/>
        <v>1</v>
      </c>
      <c r="M215" s="28">
        <f>IF(L215=1,IF(COUNTIFS(LOG!$C$2:$C$2001,F215,LOG!$E$2:$E$2001,B215,LOG!$D$2:$D$2001,"*BOOKED")+COUNTIFS(LOG!$C$2:$C$2001,F215,LOG!$E$2:$E$2001,"",LOG!$D$2:$D$2001,"*BOOKED")&gt;0,1,0),0)</f>
        <v>0</v>
      </c>
      <c r="N215" s="28">
        <f>IF(L215=1,IF(COUNTIFS(LOG!$C$2:$C$2001,F215,LOG!$E$2:$E$2001,B215,LOG!$D$2:$D$2001,"NOT_INTERESTED")+COUNTIFS(LOG!$C$2:$C$2001,F215,LOG!$E$2:$E$2001,"",LOG!$D$2:$D$2001,"NOT_INTERESTED")&gt;0,1,0),0)</f>
        <v>0</v>
      </c>
      <c r="O215" s="28">
        <f>IF(L215=1,IF(COUNTIFS(LOG!$C$2:$C$2001,F215,LOG!$D$2:$D$2001,"STOP")+COUNTIFS(LOG!$C$2:$C$2001,F215,LOG!$D$2:$D$2001,"WRONG_NUMBER")&gt;0,1,IF(ISNUMBER(SEARCH("STOP",AT215)),1,0)),0)</f>
        <v>0</v>
      </c>
      <c r="P215" s="28">
        <f>IF(L215=1,IF(IFERROR(INDEX(PARTNERS!$D$2:$D$88,MATCH(B215,PARTNERS!$A$2:$A$88,0)),"")="NO SLOTS",1,IF(AND(IFERROR(INDEX(PARTNERS!$D$2:$D$88,MATCH(B215,PARTNERS!$A$2:$A$88,0)),"")&lt;&gt;"REOPENED",COUNTIFS(LOG!$E$2:$E$2001,B215,LOG!$D$2:$D$2001,"NO_SLOTS")&gt;0),1,0)),0)</f>
        <v>0</v>
      </c>
      <c r="Q215" s="28">
        <f>IF(L215=1,COUNTIFS(LOG!$C$2:$C$2001,F215,LOG!$H$2:$H$2001,1),0)</f>
        <v>0</v>
      </c>
      <c r="R215" s="46">
        <f>IF(Q215&gt;0,_xlfn.MAXIFS(LOG!$G$2:$G$2001,LOG!$C$2:$C$2001,F215,LOG!$H$2:$H$2001,1),0)</f>
        <v>0</v>
      </c>
      <c r="S215" s="28" t="str">
        <f>IF(Q215&gt;0,IFERROR(INDEX(LOG!$D$2:$D$2001,MATCH(F215&amp;"|"&amp;Q215,LOG!$I$2:$I$2001,0)),""),"")</f>
        <v/>
      </c>
      <c r="T215" s="28">
        <f>IF(S215="",0,IFERROR(VLOOKUP(S215,LISTS!$A$2:$E$10,4,FALSE),0))</f>
        <v>0</v>
      </c>
      <c r="U215" s="46">
        <f t="shared" si="35"/>
        <v>0</v>
      </c>
      <c r="V215" s="46">
        <f>IF(L215=1,H215+SETTINGS!$B$5/24,"")</f>
        <v>46309.82708333333</v>
      </c>
      <c r="W215" s="28">
        <f ca="1">IF(L215=1,(V215-SETTINGS!$B$4)*24,"")</f>
        <v>-1.6666666720993817E-2</v>
      </c>
      <c r="X215" s="28">
        <f ca="1">IF(AND(L215=1,K215="OK",M215=0,N215=0,O215=0,P215=0,SETTINGS!$B$4&lt;V215,Q215&lt;SETTINGS!$B$6),1,0)</f>
        <v>0</v>
      </c>
      <c r="Y215" s="28">
        <f ca="1">IF(AND(X215=1,SETTINGS!$B$4&gt;=H215,SETTINGS!$B$4&gt;=U215,ROUND(MOD(SETTINGS!$B$4,1)*1440,0)&gt;=ROUND(SETTINGS!$B$7*1440,0),ROUND(MOD(SETTINGS!$B$4,1)*1440,0)&lt;ROUND(SETTINGS!$B$8*1440,0)),1,0)</f>
        <v>0</v>
      </c>
      <c r="Z215" s="28" t="str">
        <f ca="1">IF(B215="","",IF(ROUND(MOD(SETTINGS!$B$4,1)*1440,0)&lt;ROUND(SETTINGS!$B$11*1440,0),"Ram",IF(ROUND(MOD(SETTINGS!$B$4,1)*1440,0)&gt;=ROUND(SETTINGS!$B$10*1440,0),"Shyam",IF(MOD(IFERROR(VALUE(RIGHT(F215,2)),0),2)=0,"Ram","Shyam"))))</f>
        <v>Shyam</v>
      </c>
      <c r="AA215" s="28">
        <f t="shared" ca="1" si="36"/>
        <v>0</v>
      </c>
      <c r="AB215" s="28">
        <f ca="1">IF(X215=1,COUNTIFS($F$2:F215,F215,$X$2:X215,1),0)</f>
        <v>0</v>
      </c>
      <c r="AC215" s="28" t="str">
        <f>IF(L215=1,IF(IFERROR(INDEX(PARTNERS!$C$2:$C$88,MATCH(B215,PARTNERS!$A$2:$A$88,0)),"")="YES","YES","NO"),"")</f>
        <v>NO</v>
      </c>
      <c r="AD215" s="28" t="str">
        <f>IF(L215=1,IFERROR(INDEX(PARTNERS!$B$2:$B$88,MATCH(B215,PARTNERS!$A$2:$A$88,0)),""),"")</f>
        <v>https://calendly.com/partner025/interview</v>
      </c>
      <c r="AE215" s="28">
        <f ca="1">IF(X215=1,IFERROR(INDEX(SETTINGS!$B$34:$D$36,MATCH(I215,SETTINGS!$A$34:$A$36,0),MIN(Q215,2)+1),SETTINGS!$B$36),0)</f>
        <v>0</v>
      </c>
      <c r="AF215" s="28">
        <f t="shared" si="37"/>
        <v>1</v>
      </c>
      <c r="AG215" s="28">
        <f ca="1">IF(AND(Y215=1,AB215=1),ROUND(AA215*AE215*IF(AF215&gt;1,SETTINGS!$B$16,1)*IF(W215&lt;=SETTINGS!$B$14,SETTINGS!$B$15,1)*IF(AU215=1,SETTINGS!$B$21,1),6),0)</f>
        <v>0</v>
      </c>
      <c r="AH215" s="28" t="str">
        <f ca="1">IF(AG215&gt;0,COUNTIFS($Z$2:$Z$601,Z215,$AG$2:$AG$601,"&gt;"&amp;AG215)+COUNTIFS($Z$2:Z215,Z215,$AG$2:AG215,AG215),"")</f>
        <v/>
      </c>
      <c r="AI215" s="28" t="str">
        <f t="shared" ca="1" si="38"/>
        <v/>
      </c>
      <c r="AJ215" s="28" t="str">
        <f t="shared" ca="1" si="39"/>
        <v/>
      </c>
      <c r="AK215" s="28">
        <f>IF(L215=1,IF(COUNTIFS($F$2:F215,F215,$L$2:L215,1)=1,1,0),0)</f>
        <v>1</v>
      </c>
      <c r="AL215" s="28" t="str">
        <f ca="1">IF(B215="","",IF(K215="DUPLICATE","Duplicate (removed)",IF(AO215=1,"Scheduled within 24h",IF(M215=1,"Scheduled late",IF(K215="BAD CONTACT","Bad contact details",IF(O215=1,"Stopped / wrong number",IF(N215=1,"Not interested",IF(P215=1,"Partner has no slots",IF(SETTINGS!$B$4&gt;=V215,IF(Q215=0,"Missed deadline: never tried","Missed deadline: tried, not booked"),IF(Q215&gt;=SETTINGS!$B$6,"No reply after max tries","Open"))))))))))</f>
        <v>Missed deadline: never tried</v>
      </c>
      <c r="AM215" s="46" t="str">
        <f>IF(M215=1,IF(_xlfn.MINIFS(LOG!$G$2:$G$2001,LOG!$C$2:$C$2001,F215,LOG!$E$2:$E$2001,B215,LOG!$D$2:$D$2001,"*BOOKED")=0,_xlfn.MINIFS(LOG!$G$2:$G$2001,LOG!$C$2:$C$2001,F215,LOG!$E$2:$E$2001,"",LOG!$D$2:$D$2001,"*BOOKED"),IF(_xlfn.MINIFS(LOG!$G$2:$G$2001,LOG!$C$2:$C$2001,F215,LOG!$E$2:$E$2001,"",LOG!$D$2:$D$2001,"*BOOKED")=0,_xlfn.MINIFS(LOG!$G$2:$G$2001,LOG!$C$2:$C$2001,F215,LOG!$E$2:$E$2001,B215,LOG!$D$2:$D$2001,"*BOOKED"),MIN(_xlfn.MINIFS(LOG!$G$2:$G$2001,LOG!$C$2:$C$2001,F215,LOG!$E$2:$E$2001,B215,LOG!$D$2:$D$2001,"*BOOKED"),_xlfn.MINIFS(LOG!$G$2:$G$2001,LOG!$C$2:$C$2001,F215,LOG!$E$2:$E$2001,"",LOG!$D$2:$D$2001,"*BOOKED")))),"")</f>
        <v/>
      </c>
      <c r="AN215" s="28" t="str">
        <f t="shared" si="40"/>
        <v/>
      </c>
      <c r="AO215" s="28">
        <f>IF(AND(M215=1,AN215&lt;&gt;""),IF(AN215&lt;=SETTINGS!$B$5,1,0),0)</f>
        <v>0</v>
      </c>
      <c r="AP215" s="28">
        <f>IF(M215=1,IF(COUNTIFS(LOG!$C$2:$C$2001,F215,LOG!$E$2:$E$2001,B215,LOG!$D$2:$D$2001,"BOOKED")+COUNTIFS(LOG!$C$2:$C$2001,F215,LOG!$E$2:$E$2001,"",LOG!$D$2:$D$2001,"BOOKED")&gt;0,1,0),0)</f>
        <v>0</v>
      </c>
      <c r="AQ215" s="28" t="str">
        <f t="shared" si="41"/>
        <v>Saanvi</v>
      </c>
      <c r="AR215" s="28">
        <f>IF(AND(AK215=1,K215="OK"),COUNTIFS($AK$2:AK215,1,$K$2:K215,"OK"),"")</f>
        <v>189</v>
      </c>
      <c r="AS215" s="28" t="str">
        <f>IF(L215=1,IFERROR(INDEX(MESSAGES!$J$9:$J$1008,MATCH(F215,MESSAGES!$M$9:$M$1008,0))&amp;"",""),"")</f>
        <v/>
      </c>
      <c r="AT215" s="28" t="str">
        <f>IF(L215=1,IFERROR(INDEX(MESSAGES!$K$9:$K$1008,MATCH(F215,MESSAGES!$M$9:$M$1008,0))&amp;"",""),"")</f>
        <v/>
      </c>
      <c r="AU215" s="28">
        <f t="shared" ca="1" si="42"/>
        <v>0</v>
      </c>
      <c r="AV215" s="28" t="str">
        <f t="shared" si="43"/>
        <v>SEND</v>
      </c>
    </row>
    <row r="216" spans="1:48" x14ac:dyDescent="0.35">
      <c r="A216" s="28">
        <v>215</v>
      </c>
      <c r="B216" s="28" t="str">
        <f>IF(INPUT!A216="","",TRIM(INPUT!A216))</f>
        <v>Partner 038</v>
      </c>
      <c r="C216" s="28" t="str">
        <f>IF(B216="","",INPUT!C216)</f>
        <v>interviewer2@partner038.example.com</v>
      </c>
      <c r="D216" s="28" t="str">
        <f>IF(B216="","",INPUT!D216)</f>
        <v>Pooja D.</v>
      </c>
      <c r="E216" s="28" t="str">
        <f>IF(B216="","",INPUT!E216)</f>
        <v>pooja.d111@example.com</v>
      </c>
      <c r="F216" s="43" t="str">
        <f>IF(B216="","",TRIM(INPUT!F216&amp;""))</f>
        <v>9000001450</v>
      </c>
      <c r="G216" s="28" t="str">
        <f>IF(B216="","",INPUT!H216)</f>
        <v>Round1</v>
      </c>
      <c r="H216" s="46">
        <f>IF(B216="","",INPUT!I216)</f>
        <v>46308.82916666667</v>
      </c>
      <c r="I216" s="28" t="str">
        <f>IF(B216="","",IF(INPUT!J216="","None",INPUT!J216))</f>
        <v>Opened</v>
      </c>
      <c r="J216" s="28" t="str">
        <f t="shared" si="33"/>
        <v>pooja.d111@example.com|partner 038|Round1|interviewer2@partner038.example.com</v>
      </c>
      <c r="K216" s="28" t="str">
        <f>IF(B216="","",IF(SUMPRODUCT(($J$2:$J$601=J216)*($H$2:$H$601&lt;H216))+SUMPRODUCT(($J$2:J216=J216)*($H$2:H216=H216))-1&gt;0,"DUPLICATE",IF(AND(ISNUMBER(SEARCH("@",E216)),ISNUMBER(SEARCH(".",E216)),LEN(F216)=10,ISNUMBER(VALUE(F216))),"OK","BAD CONTACT")))</f>
        <v>DUPLICATE</v>
      </c>
      <c r="L216" s="28">
        <f t="shared" si="34"/>
        <v>0</v>
      </c>
      <c r="M216" s="28">
        <f>IF(L216=1,IF(COUNTIFS(LOG!$C$2:$C$2001,F216,LOG!$E$2:$E$2001,B216,LOG!$D$2:$D$2001,"*BOOKED")+COUNTIFS(LOG!$C$2:$C$2001,F216,LOG!$E$2:$E$2001,"",LOG!$D$2:$D$2001,"*BOOKED")&gt;0,1,0),0)</f>
        <v>0</v>
      </c>
      <c r="N216" s="28">
        <f>IF(L216=1,IF(COUNTIFS(LOG!$C$2:$C$2001,F216,LOG!$E$2:$E$2001,B216,LOG!$D$2:$D$2001,"NOT_INTERESTED")+COUNTIFS(LOG!$C$2:$C$2001,F216,LOG!$E$2:$E$2001,"",LOG!$D$2:$D$2001,"NOT_INTERESTED")&gt;0,1,0),0)</f>
        <v>0</v>
      </c>
      <c r="O216" s="28">
        <f>IF(L216=1,IF(COUNTIFS(LOG!$C$2:$C$2001,F216,LOG!$D$2:$D$2001,"STOP")+COUNTIFS(LOG!$C$2:$C$2001,F216,LOG!$D$2:$D$2001,"WRONG_NUMBER")&gt;0,1,IF(ISNUMBER(SEARCH("STOP",AT216)),1,0)),0)</f>
        <v>0</v>
      </c>
      <c r="P216" s="28">
        <f>IF(L216=1,IF(IFERROR(INDEX(PARTNERS!$D$2:$D$88,MATCH(B216,PARTNERS!$A$2:$A$88,0)),"")="NO SLOTS",1,IF(AND(IFERROR(INDEX(PARTNERS!$D$2:$D$88,MATCH(B216,PARTNERS!$A$2:$A$88,0)),"")&lt;&gt;"REOPENED",COUNTIFS(LOG!$E$2:$E$2001,B216,LOG!$D$2:$D$2001,"NO_SLOTS")&gt;0),1,0)),0)</f>
        <v>0</v>
      </c>
      <c r="Q216" s="28">
        <f>IF(L216=1,COUNTIFS(LOG!$C$2:$C$2001,F216,LOG!$H$2:$H$2001,1),0)</f>
        <v>0</v>
      </c>
      <c r="R216" s="46">
        <f>IF(Q216&gt;0,_xlfn.MAXIFS(LOG!$G$2:$G$2001,LOG!$C$2:$C$2001,F216,LOG!$H$2:$H$2001,1),0)</f>
        <v>0</v>
      </c>
      <c r="S216" s="28" t="str">
        <f>IF(Q216&gt;0,IFERROR(INDEX(LOG!$D$2:$D$2001,MATCH(F216&amp;"|"&amp;Q216,LOG!$I$2:$I$2001,0)),""),"")</f>
        <v/>
      </c>
      <c r="T216" s="28">
        <f>IF(S216="",0,IFERROR(VLOOKUP(S216,LISTS!$A$2:$E$10,4,FALSE),0))</f>
        <v>0</v>
      </c>
      <c r="U216" s="46">
        <f t="shared" si="35"/>
        <v>0</v>
      </c>
      <c r="V216" s="46" t="str">
        <f>IF(L216=1,H216+SETTINGS!$B$5/24,"")</f>
        <v/>
      </c>
      <c r="W216" s="28" t="str">
        <f>IF(L216=1,(V216-SETTINGS!$B$4)*24,"")</f>
        <v/>
      </c>
      <c r="X216" s="28">
        <f ca="1">IF(AND(L216=1,K216="OK",M216=0,N216=0,O216=0,P216=0,SETTINGS!$B$4&lt;V216,Q216&lt;SETTINGS!$B$6),1,0)</f>
        <v>0</v>
      </c>
      <c r="Y216" s="28">
        <f ca="1">IF(AND(X216=1,SETTINGS!$B$4&gt;=H216,SETTINGS!$B$4&gt;=U216,ROUND(MOD(SETTINGS!$B$4,1)*1440,0)&gt;=ROUND(SETTINGS!$B$7*1440,0),ROUND(MOD(SETTINGS!$B$4,1)*1440,0)&lt;ROUND(SETTINGS!$B$8*1440,0)),1,0)</f>
        <v>0</v>
      </c>
      <c r="Z216" s="28" t="str">
        <f ca="1">IF(B216="","",IF(ROUND(MOD(SETTINGS!$B$4,1)*1440,0)&lt;ROUND(SETTINGS!$B$11*1440,0),"Ram",IF(ROUND(MOD(SETTINGS!$B$4,1)*1440,0)&gt;=ROUND(SETTINGS!$B$10*1440,0),"Shyam",IF(MOD(IFERROR(VALUE(RIGHT(F216,2)),0),2)=0,"Ram","Shyam"))))</f>
        <v>Shyam</v>
      </c>
      <c r="AA216" s="28">
        <f t="shared" ca="1" si="36"/>
        <v>0</v>
      </c>
      <c r="AB216" s="28">
        <f ca="1">IF(X216=1,COUNTIFS($F$2:F216,F216,$X$2:X216,1),0)</f>
        <v>0</v>
      </c>
      <c r="AC216" s="28" t="str">
        <f>IF(L216=1,IF(IFERROR(INDEX(PARTNERS!$C$2:$C$88,MATCH(B216,PARTNERS!$A$2:$A$88,0)),"")="YES","YES","NO"),"")</f>
        <v/>
      </c>
      <c r="AD216" s="28" t="str">
        <f>IF(L216=1,IFERROR(INDEX(PARTNERS!$B$2:$B$88,MATCH(B216,PARTNERS!$A$2:$A$88,0)),""),"")</f>
        <v/>
      </c>
      <c r="AE216" s="28">
        <f ca="1">IF(X216=1,IFERROR(INDEX(SETTINGS!$B$34:$D$36,MATCH(I216,SETTINGS!$A$34:$A$36,0),MIN(Q216,2)+1),SETTINGS!$B$36),0)</f>
        <v>0</v>
      </c>
      <c r="AF216" s="28">
        <f t="shared" si="37"/>
        <v>0</v>
      </c>
      <c r="AG216" s="28">
        <f ca="1">IF(AND(Y216=1,AB216=1),ROUND(AA216*AE216*IF(AF216&gt;1,SETTINGS!$B$16,1)*IF(W216&lt;=SETTINGS!$B$14,SETTINGS!$B$15,1)*IF(AU216=1,SETTINGS!$B$21,1),6),0)</f>
        <v>0</v>
      </c>
      <c r="AH216" s="28" t="str">
        <f ca="1">IF(AG216&gt;0,COUNTIFS($Z$2:$Z$601,Z216,$AG$2:$AG$601,"&gt;"&amp;AG216)+COUNTIFS($Z$2:Z216,Z216,$AG$2:AG216,AG216),"")</f>
        <v/>
      </c>
      <c r="AI216" s="28" t="str">
        <f t="shared" ca="1" si="38"/>
        <v/>
      </c>
      <c r="AJ216" s="28" t="str">
        <f t="shared" ca="1" si="39"/>
        <v/>
      </c>
      <c r="AK216" s="28">
        <f>IF(L216=1,IF(COUNTIFS($F$2:F216,F216,$L$2:L216,1)=1,1,0),0)</f>
        <v>0</v>
      </c>
      <c r="AL216" s="28" t="str">
        <f>IF(B216="","",IF(K216="DUPLICATE","Duplicate (removed)",IF(AO216=1,"Scheduled within 24h",IF(M216=1,"Scheduled late",IF(K216="BAD CONTACT","Bad contact details",IF(O216=1,"Stopped / wrong number",IF(N216=1,"Not interested",IF(P216=1,"Partner has no slots",IF(SETTINGS!$B$4&gt;=V216,IF(Q216=0,"Missed deadline: never tried","Missed deadline: tried, not booked"),IF(Q216&gt;=SETTINGS!$B$6,"No reply after max tries","Open"))))))))))</f>
        <v>Duplicate (removed)</v>
      </c>
      <c r="AM216" s="46" t="str">
        <f>IF(M216=1,IF(_xlfn.MINIFS(LOG!$G$2:$G$2001,LOG!$C$2:$C$2001,F216,LOG!$E$2:$E$2001,B216,LOG!$D$2:$D$2001,"*BOOKED")=0,_xlfn.MINIFS(LOG!$G$2:$G$2001,LOG!$C$2:$C$2001,F216,LOG!$E$2:$E$2001,"",LOG!$D$2:$D$2001,"*BOOKED"),IF(_xlfn.MINIFS(LOG!$G$2:$G$2001,LOG!$C$2:$C$2001,F216,LOG!$E$2:$E$2001,"",LOG!$D$2:$D$2001,"*BOOKED")=0,_xlfn.MINIFS(LOG!$G$2:$G$2001,LOG!$C$2:$C$2001,F216,LOG!$E$2:$E$2001,B216,LOG!$D$2:$D$2001,"*BOOKED"),MIN(_xlfn.MINIFS(LOG!$G$2:$G$2001,LOG!$C$2:$C$2001,F216,LOG!$E$2:$E$2001,B216,LOG!$D$2:$D$2001,"*BOOKED"),_xlfn.MINIFS(LOG!$G$2:$G$2001,LOG!$C$2:$C$2001,F216,LOG!$E$2:$E$2001,"",LOG!$D$2:$D$2001,"*BOOKED")))),"")</f>
        <v/>
      </c>
      <c r="AN216" s="28" t="str">
        <f t="shared" si="40"/>
        <v/>
      </c>
      <c r="AO216" s="28">
        <f>IF(AND(M216=1,AN216&lt;&gt;""),IF(AN216&lt;=SETTINGS!$B$5,1,0),0)</f>
        <v>0</v>
      </c>
      <c r="AP216" s="28">
        <f>IF(M216=1,IF(COUNTIFS(LOG!$C$2:$C$2001,F216,LOG!$E$2:$E$2001,B216,LOG!$D$2:$D$2001,"BOOKED")+COUNTIFS(LOG!$C$2:$C$2001,F216,LOG!$E$2:$E$2001,"",LOG!$D$2:$D$2001,"BOOKED")&gt;0,1,0),0)</f>
        <v>0</v>
      </c>
      <c r="AQ216" s="28" t="str">
        <f t="shared" si="41"/>
        <v>Pooja</v>
      </c>
      <c r="AR216" s="28" t="str">
        <f>IF(AND(AK216=1,K216="OK"),COUNTIFS($AK$2:AK216,1,$K$2:K216,"OK"),"")</f>
        <v/>
      </c>
      <c r="AS216" s="28" t="str">
        <f>IF(L216=1,IFERROR(INDEX(MESSAGES!$J$9:$J$1008,MATCH(F216,MESSAGES!$M$9:$M$1008,0))&amp;"",""),"")</f>
        <v/>
      </c>
      <c r="AT216" s="28" t="str">
        <f>IF(L216=1,IFERROR(INDEX(MESSAGES!$K$9:$K$1008,MATCH(F216,MESSAGES!$M$9:$M$1008,0))&amp;"",""),"")</f>
        <v/>
      </c>
      <c r="AU216" s="28">
        <f t="shared" ca="1" si="42"/>
        <v>0</v>
      </c>
      <c r="AV216" s="28" t="str">
        <f t="shared" si="43"/>
        <v/>
      </c>
    </row>
    <row r="217" spans="1:48" x14ac:dyDescent="0.35">
      <c r="A217" s="28">
        <v>216</v>
      </c>
      <c r="B217" s="28" t="str">
        <f>IF(INPUT!A217="","",TRIM(INPUT!A217))</f>
        <v>Partner 000</v>
      </c>
      <c r="C217" s="28" t="str">
        <f>IF(B217="","",INPUT!C217)</f>
        <v>interviewer2@partner000.example.com</v>
      </c>
      <c r="D217" s="28" t="str">
        <f>IF(B217="","",INPUT!D217)</f>
        <v>Arjun A.</v>
      </c>
      <c r="E217" s="28" t="str">
        <f>IF(B217="","",INPUT!E217)</f>
        <v>arjun.a008@example.com</v>
      </c>
      <c r="F217" s="43" t="str">
        <f>IF(B217="","",TRIM(INPUT!F217&amp;""))</f>
        <v>9000000111</v>
      </c>
      <c r="G217" s="28" t="str">
        <f>IF(B217="","",INPUT!H217)</f>
        <v>Round1</v>
      </c>
      <c r="H217" s="46">
        <f>IF(B217="","",INPUT!I217)</f>
        <v>46308.82708333333</v>
      </c>
      <c r="I217" s="28" t="str">
        <f>IF(B217="","",IF(INPUT!J217="","None",INPUT!J217))</f>
        <v>None</v>
      </c>
      <c r="J217" s="28" t="str">
        <f t="shared" si="33"/>
        <v>arjun.a008@example.com|partner 000|Round1|interviewer2@partner000.example.com</v>
      </c>
      <c r="K217" s="28" t="str">
        <f>IF(B217="","",IF(SUMPRODUCT(($J$2:$J$601=J217)*($H$2:$H$601&lt;H217))+SUMPRODUCT(($J$2:J217=J217)*($H$2:H217=H217))-1&gt;0,"DUPLICATE",IF(AND(ISNUMBER(SEARCH("@",E217)),ISNUMBER(SEARCH(".",E217)),LEN(F217)=10,ISNUMBER(VALUE(F217))),"OK","BAD CONTACT")))</f>
        <v>OK</v>
      </c>
      <c r="L217" s="28">
        <f t="shared" si="34"/>
        <v>1</v>
      </c>
      <c r="M217" s="28">
        <f>IF(L217=1,IF(COUNTIFS(LOG!$C$2:$C$2001,F217,LOG!$E$2:$E$2001,B217,LOG!$D$2:$D$2001,"*BOOKED")+COUNTIFS(LOG!$C$2:$C$2001,F217,LOG!$E$2:$E$2001,"",LOG!$D$2:$D$2001,"*BOOKED")&gt;0,1,0),0)</f>
        <v>0</v>
      </c>
      <c r="N217" s="28">
        <f>IF(L217=1,IF(COUNTIFS(LOG!$C$2:$C$2001,F217,LOG!$E$2:$E$2001,B217,LOG!$D$2:$D$2001,"NOT_INTERESTED")+COUNTIFS(LOG!$C$2:$C$2001,F217,LOG!$E$2:$E$2001,"",LOG!$D$2:$D$2001,"NOT_INTERESTED")&gt;0,1,0),0)</f>
        <v>0</v>
      </c>
      <c r="O217" s="28">
        <f>IF(L217=1,IF(COUNTIFS(LOG!$C$2:$C$2001,F217,LOG!$D$2:$D$2001,"STOP")+COUNTIFS(LOG!$C$2:$C$2001,F217,LOG!$D$2:$D$2001,"WRONG_NUMBER")&gt;0,1,IF(ISNUMBER(SEARCH("STOP",AT217)),1,0)),0)</f>
        <v>0</v>
      </c>
      <c r="P217" s="28">
        <f>IF(L217=1,IF(IFERROR(INDEX(PARTNERS!$D$2:$D$88,MATCH(B217,PARTNERS!$A$2:$A$88,0)),"")="NO SLOTS",1,IF(AND(IFERROR(INDEX(PARTNERS!$D$2:$D$88,MATCH(B217,PARTNERS!$A$2:$A$88,0)),"")&lt;&gt;"REOPENED",COUNTIFS(LOG!$E$2:$E$2001,B217,LOG!$D$2:$D$2001,"NO_SLOTS")&gt;0),1,0)),0)</f>
        <v>0</v>
      </c>
      <c r="Q217" s="28">
        <f>IF(L217=1,COUNTIFS(LOG!$C$2:$C$2001,F217,LOG!$H$2:$H$2001,1),0)</f>
        <v>0</v>
      </c>
      <c r="R217" s="46">
        <f>IF(Q217&gt;0,_xlfn.MAXIFS(LOG!$G$2:$G$2001,LOG!$C$2:$C$2001,F217,LOG!$H$2:$H$2001,1),0)</f>
        <v>0</v>
      </c>
      <c r="S217" s="28" t="str">
        <f>IF(Q217&gt;0,IFERROR(INDEX(LOG!$D$2:$D$2001,MATCH(F217&amp;"|"&amp;Q217,LOG!$I$2:$I$2001,0)),""),"")</f>
        <v/>
      </c>
      <c r="T217" s="28">
        <f>IF(S217="",0,IFERROR(VLOOKUP(S217,LISTS!$A$2:$E$10,4,FALSE),0))</f>
        <v>0</v>
      </c>
      <c r="U217" s="46">
        <f t="shared" si="35"/>
        <v>0</v>
      </c>
      <c r="V217" s="46">
        <f>IF(L217=1,H217+SETTINGS!$B$5/24,"")</f>
        <v>46309.82708333333</v>
      </c>
      <c r="W217" s="28">
        <f ca="1">IF(L217=1,(V217-SETTINGS!$B$4)*24,"")</f>
        <v>-1.6666666720993817E-2</v>
      </c>
      <c r="X217" s="28">
        <f ca="1">IF(AND(L217=1,K217="OK",M217=0,N217=0,O217=0,P217=0,SETTINGS!$B$4&lt;V217,Q217&lt;SETTINGS!$B$6),1,0)</f>
        <v>0</v>
      </c>
      <c r="Y217" s="28">
        <f ca="1">IF(AND(X217=1,SETTINGS!$B$4&gt;=H217,SETTINGS!$B$4&gt;=U217,ROUND(MOD(SETTINGS!$B$4,1)*1440,0)&gt;=ROUND(SETTINGS!$B$7*1440,0),ROUND(MOD(SETTINGS!$B$4,1)*1440,0)&lt;ROUND(SETTINGS!$B$8*1440,0)),1,0)</f>
        <v>0</v>
      </c>
      <c r="Z217" s="28" t="str">
        <f ca="1">IF(B217="","",IF(ROUND(MOD(SETTINGS!$B$4,1)*1440,0)&lt;ROUND(SETTINGS!$B$11*1440,0),"Ram",IF(ROUND(MOD(SETTINGS!$B$4,1)*1440,0)&gt;=ROUND(SETTINGS!$B$10*1440,0),"Shyam",IF(MOD(IFERROR(VALUE(RIGHT(F217,2)),0),2)=0,"Ram","Shyam"))))</f>
        <v>Shyam</v>
      </c>
      <c r="AA217" s="28">
        <f t="shared" ca="1" si="36"/>
        <v>0</v>
      </c>
      <c r="AB217" s="28">
        <f ca="1">IF(X217=1,COUNTIFS($F$2:F217,F217,$X$2:X217,1),0)</f>
        <v>0</v>
      </c>
      <c r="AC217" s="28" t="str">
        <f>IF(L217=1,IF(IFERROR(INDEX(PARTNERS!$C$2:$C$88,MATCH(B217,PARTNERS!$A$2:$A$88,0)),"")="YES","YES","NO"),"")</f>
        <v>NO</v>
      </c>
      <c r="AD217" s="28" t="str">
        <f>IF(L217=1,IFERROR(INDEX(PARTNERS!$B$2:$B$88,MATCH(B217,PARTNERS!$A$2:$A$88,0)),""),"")</f>
        <v>https://calendly.com/partner000/interview</v>
      </c>
      <c r="AE217" s="28">
        <f ca="1">IF(X217=1,IFERROR(INDEX(SETTINGS!$B$34:$D$36,MATCH(I217,SETTINGS!$A$34:$A$36,0),MIN(Q217,2)+1),SETTINGS!$B$36),0)</f>
        <v>0</v>
      </c>
      <c r="AF217" s="28">
        <f t="shared" si="37"/>
        <v>1</v>
      </c>
      <c r="AG217" s="28">
        <f ca="1">IF(AND(Y217=1,AB217=1),ROUND(AA217*AE217*IF(AF217&gt;1,SETTINGS!$B$16,1)*IF(W217&lt;=SETTINGS!$B$14,SETTINGS!$B$15,1)*IF(AU217=1,SETTINGS!$B$21,1),6),0)</f>
        <v>0</v>
      </c>
      <c r="AH217" s="28" t="str">
        <f ca="1">IF(AG217&gt;0,COUNTIFS($Z$2:$Z$601,Z217,$AG$2:$AG$601,"&gt;"&amp;AG217)+COUNTIFS($Z$2:Z217,Z217,$AG$2:AG217,AG217),"")</f>
        <v/>
      </c>
      <c r="AI217" s="28" t="str">
        <f t="shared" ca="1" si="38"/>
        <v/>
      </c>
      <c r="AJ217" s="28" t="str">
        <f t="shared" ca="1" si="39"/>
        <v/>
      </c>
      <c r="AK217" s="28">
        <f>IF(L217=1,IF(COUNTIFS($F$2:F217,F217,$L$2:L217,1)=1,1,0),0)</f>
        <v>1</v>
      </c>
      <c r="AL217" s="28" t="str">
        <f ca="1">IF(B217="","",IF(K217="DUPLICATE","Duplicate (removed)",IF(AO217=1,"Scheduled within 24h",IF(M217=1,"Scheduled late",IF(K217="BAD CONTACT","Bad contact details",IF(O217=1,"Stopped / wrong number",IF(N217=1,"Not interested",IF(P217=1,"Partner has no slots",IF(SETTINGS!$B$4&gt;=V217,IF(Q217=0,"Missed deadline: never tried","Missed deadline: tried, not booked"),IF(Q217&gt;=SETTINGS!$B$6,"No reply after max tries","Open"))))))))))</f>
        <v>Missed deadline: never tried</v>
      </c>
      <c r="AM217" s="46" t="str">
        <f>IF(M217=1,IF(_xlfn.MINIFS(LOG!$G$2:$G$2001,LOG!$C$2:$C$2001,F217,LOG!$E$2:$E$2001,B217,LOG!$D$2:$D$2001,"*BOOKED")=0,_xlfn.MINIFS(LOG!$G$2:$G$2001,LOG!$C$2:$C$2001,F217,LOG!$E$2:$E$2001,"",LOG!$D$2:$D$2001,"*BOOKED"),IF(_xlfn.MINIFS(LOG!$G$2:$G$2001,LOG!$C$2:$C$2001,F217,LOG!$E$2:$E$2001,"",LOG!$D$2:$D$2001,"*BOOKED")=0,_xlfn.MINIFS(LOG!$G$2:$G$2001,LOG!$C$2:$C$2001,F217,LOG!$E$2:$E$2001,B217,LOG!$D$2:$D$2001,"*BOOKED"),MIN(_xlfn.MINIFS(LOG!$G$2:$G$2001,LOG!$C$2:$C$2001,F217,LOG!$E$2:$E$2001,B217,LOG!$D$2:$D$2001,"*BOOKED"),_xlfn.MINIFS(LOG!$G$2:$G$2001,LOG!$C$2:$C$2001,F217,LOG!$E$2:$E$2001,"",LOG!$D$2:$D$2001,"*BOOKED")))),"")</f>
        <v/>
      </c>
      <c r="AN217" s="28" t="str">
        <f t="shared" si="40"/>
        <v/>
      </c>
      <c r="AO217" s="28">
        <f>IF(AND(M217=1,AN217&lt;&gt;""),IF(AN217&lt;=SETTINGS!$B$5,1,0),0)</f>
        <v>0</v>
      </c>
      <c r="AP217" s="28">
        <f>IF(M217=1,IF(COUNTIFS(LOG!$C$2:$C$2001,F217,LOG!$E$2:$E$2001,B217,LOG!$D$2:$D$2001,"BOOKED")+COUNTIFS(LOG!$C$2:$C$2001,F217,LOG!$E$2:$E$2001,"",LOG!$D$2:$D$2001,"BOOKED")&gt;0,1,0),0)</f>
        <v>0</v>
      </c>
      <c r="AQ217" s="28" t="str">
        <f t="shared" si="41"/>
        <v>Arjun</v>
      </c>
      <c r="AR217" s="28">
        <f>IF(AND(AK217=1,K217="OK"),COUNTIFS($AK$2:AK217,1,$K$2:K217,"OK"),"")</f>
        <v>190</v>
      </c>
      <c r="AS217" s="28" t="str">
        <f>IF(L217=1,IFERROR(INDEX(MESSAGES!$J$9:$J$1008,MATCH(F217,MESSAGES!$M$9:$M$1008,0))&amp;"",""),"")</f>
        <v/>
      </c>
      <c r="AT217" s="28" t="str">
        <f>IF(L217=1,IFERROR(INDEX(MESSAGES!$K$9:$K$1008,MATCH(F217,MESSAGES!$M$9:$M$1008,0))&amp;"",""),"")</f>
        <v/>
      </c>
      <c r="AU217" s="28">
        <f t="shared" ca="1" si="42"/>
        <v>0</v>
      </c>
      <c r="AV217" s="28" t="str">
        <f t="shared" si="43"/>
        <v>HOLD</v>
      </c>
    </row>
    <row r="218" spans="1:48" x14ac:dyDescent="0.35">
      <c r="A218" s="28">
        <v>217</v>
      </c>
      <c r="B218" s="28" t="str">
        <f>IF(INPUT!A218="","",TRIM(INPUT!A218))</f>
        <v>Partner 019</v>
      </c>
      <c r="C218" s="28" t="str">
        <f>IF(B218="","",INPUT!C218)</f>
        <v>interviewer1@partner019.example.com</v>
      </c>
      <c r="D218" s="28" t="str">
        <f>IF(B218="","",INPUT!D218)</f>
        <v>Neil L.</v>
      </c>
      <c r="E218" s="28" t="str">
        <f>IF(B218="","",INPUT!E218)</f>
        <v>neil.l318@example.com</v>
      </c>
      <c r="F218" s="43" t="str">
        <f>IF(B218="","",TRIM(INPUT!F218&amp;""))</f>
        <v>9000004141</v>
      </c>
      <c r="G218" s="28" t="str">
        <f>IF(B218="","",INPUT!H218)</f>
        <v>Round1</v>
      </c>
      <c r="H218" s="46">
        <f>IF(B218="","",INPUT!I218)</f>
        <v>46308.82708333333</v>
      </c>
      <c r="I218" s="28" t="str">
        <f>IF(B218="","",IF(INPUT!J218="","None",INPUT!J218))</f>
        <v>Clicked</v>
      </c>
      <c r="J218" s="28" t="str">
        <f t="shared" si="33"/>
        <v>neil.l318@example.com|partner 019|Round1|interviewer1@partner019.example.com</v>
      </c>
      <c r="K218" s="28" t="str">
        <f>IF(B218="","",IF(SUMPRODUCT(($J$2:$J$601=J218)*($H$2:$H$601&lt;H218))+SUMPRODUCT(($J$2:J218=J218)*($H$2:H218=H218))-1&gt;0,"DUPLICATE",IF(AND(ISNUMBER(SEARCH("@",E218)),ISNUMBER(SEARCH(".",E218)),LEN(F218)=10,ISNUMBER(VALUE(F218))),"OK","BAD CONTACT")))</f>
        <v>OK</v>
      </c>
      <c r="L218" s="28">
        <f t="shared" si="34"/>
        <v>1</v>
      </c>
      <c r="M218" s="28">
        <f>IF(L218=1,IF(COUNTIFS(LOG!$C$2:$C$2001,F218,LOG!$E$2:$E$2001,B218,LOG!$D$2:$D$2001,"*BOOKED")+COUNTIFS(LOG!$C$2:$C$2001,F218,LOG!$E$2:$E$2001,"",LOG!$D$2:$D$2001,"*BOOKED")&gt;0,1,0),0)</f>
        <v>1</v>
      </c>
      <c r="N218" s="28">
        <f>IF(L218=1,IF(COUNTIFS(LOG!$C$2:$C$2001,F218,LOG!$E$2:$E$2001,B218,LOG!$D$2:$D$2001,"NOT_INTERESTED")+COUNTIFS(LOG!$C$2:$C$2001,F218,LOG!$E$2:$E$2001,"",LOG!$D$2:$D$2001,"NOT_INTERESTED")&gt;0,1,0),0)</f>
        <v>0</v>
      </c>
      <c r="O218" s="28">
        <f>IF(L218=1,IF(COUNTIFS(LOG!$C$2:$C$2001,F218,LOG!$D$2:$D$2001,"STOP")+COUNTIFS(LOG!$C$2:$C$2001,F218,LOG!$D$2:$D$2001,"WRONG_NUMBER")&gt;0,1,IF(ISNUMBER(SEARCH("STOP",AT218)),1,0)),0)</f>
        <v>0</v>
      </c>
      <c r="P218" s="28">
        <f>IF(L218=1,IF(IFERROR(INDEX(PARTNERS!$D$2:$D$88,MATCH(B218,PARTNERS!$A$2:$A$88,0)),"")="NO SLOTS",1,IF(AND(IFERROR(INDEX(PARTNERS!$D$2:$D$88,MATCH(B218,PARTNERS!$A$2:$A$88,0)),"")&lt;&gt;"REOPENED",COUNTIFS(LOG!$E$2:$E$2001,B218,LOG!$D$2:$D$2001,"NO_SLOTS")&gt;0),1,0)),0)</f>
        <v>0</v>
      </c>
      <c r="Q218" s="28">
        <f>IF(L218=1,COUNTIFS(LOG!$C$2:$C$2001,F218,LOG!$H$2:$H$2001,1),0)</f>
        <v>0</v>
      </c>
      <c r="R218" s="46">
        <f>IF(Q218&gt;0,_xlfn.MAXIFS(LOG!$G$2:$G$2001,LOG!$C$2:$C$2001,F218,LOG!$H$2:$H$2001,1),0)</f>
        <v>0</v>
      </c>
      <c r="S218" s="28" t="str">
        <f>IF(Q218&gt;0,IFERROR(INDEX(LOG!$D$2:$D$2001,MATCH(F218&amp;"|"&amp;Q218,LOG!$I$2:$I$2001,0)),""),"")</f>
        <v/>
      </c>
      <c r="T218" s="28">
        <f>IF(S218="",0,IFERROR(VLOOKUP(S218,LISTS!$A$2:$E$10,4,FALSE),0))</f>
        <v>0</v>
      </c>
      <c r="U218" s="46">
        <f t="shared" si="35"/>
        <v>0</v>
      </c>
      <c r="V218" s="46">
        <f>IF(L218=1,H218+SETTINGS!$B$5/24,"")</f>
        <v>46309.82708333333</v>
      </c>
      <c r="W218" s="28">
        <f ca="1">IF(L218=1,(V218-SETTINGS!$B$4)*24,"")</f>
        <v>-1.6666666720993817E-2</v>
      </c>
      <c r="X218" s="28">
        <f ca="1">IF(AND(L218=1,K218="OK",M218=0,N218=0,O218=0,P218=0,SETTINGS!$B$4&lt;V218,Q218&lt;SETTINGS!$B$6),1,0)</f>
        <v>0</v>
      </c>
      <c r="Y218" s="28">
        <f ca="1">IF(AND(X218=1,SETTINGS!$B$4&gt;=H218,SETTINGS!$B$4&gt;=U218,ROUND(MOD(SETTINGS!$B$4,1)*1440,0)&gt;=ROUND(SETTINGS!$B$7*1440,0),ROUND(MOD(SETTINGS!$B$4,1)*1440,0)&lt;ROUND(SETTINGS!$B$8*1440,0)),1,0)</f>
        <v>0</v>
      </c>
      <c r="Z218" s="28" t="str">
        <f ca="1">IF(B218="","",IF(ROUND(MOD(SETTINGS!$B$4,1)*1440,0)&lt;ROUND(SETTINGS!$B$11*1440,0),"Ram",IF(ROUND(MOD(SETTINGS!$B$4,1)*1440,0)&gt;=ROUND(SETTINGS!$B$10*1440,0),"Shyam",IF(MOD(IFERROR(VALUE(RIGHT(F218,2)),0),2)=0,"Ram","Shyam"))))</f>
        <v>Shyam</v>
      </c>
      <c r="AA218" s="28">
        <f t="shared" ca="1" si="36"/>
        <v>0</v>
      </c>
      <c r="AB218" s="28">
        <f ca="1">IF(X218=1,COUNTIFS($F$2:F218,F218,$X$2:X218,1),0)</f>
        <v>0</v>
      </c>
      <c r="AC218" s="28" t="str">
        <f>IF(L218=1,IF(IFERROR(INDEX(PARTNERS!$C$2:$C$88,MATCH(B218,PARTNERS!$A$2:$A$88,0)),"")="YES","YES","NO"),"")</f>
        <v>NO</v>
      </c>
      <c r="AD218" s="28" t="str">
        <f>IF(L218=1,IFERROR(INDEX(PARTNERS!$B$2:$B$88,MATCH(B218,PARTNERS!$A$2:$A$88,0)),""),"")</f>
        <v>https://calendly.com/partner019/interview</v>
      </c>
      <c r="AE218" s="28">
        <f ca="1">IF(X218=1,IFERROR(INDEX(SETTINGS!$B$34:$D$36,MATCH(I218,SETTINGS!$A$34:$A$36,0),MIN(Q218,2)+1),SETTINGS!$B$36),0)</f>
        <v>0</v>
      </c>
      <c r="AF218" s="28">
        <f t="shared" si="37"/>
        <v>1</v>
      </c>
      <c r="AG218" s="28">
        <f ca="1">IF(AND(Y218=1,AB218=1),ROUND(AA218*AE218*IF(AF218&gt;1,SETTINGS!$B$16,1)*IF(W218&lt;=SETTINGS!$B$14,SETTINGS!$B$15,1)*IF(AU218=1,SETTINGS!$B$21,1),6),0)</f>
        <v>0</v>
      </c>
      <c r="AH218" s="28" t="str">
        <f ca="1">IF(AG218&gt;0,COUNTIFS($Z$2:$Z$601,Z218,$AG$2:$AG$601,"&gt;"&amp;AG218)+COUNTIFS($Z$2:Z218,Z218,$AG$2:AG218,AG218),"")</f>
        <v/>
      </c>
      <c r="AI218" s="28" t="str">
        <f t="shared" ca="1" si="38"/>
        <v/>
      </c>
      <c r="AJ218" s="28" t="str">
        <f t="shared" ca="1" si="39"/>
        <v/>
      </c>
      <c r="AK218" s="28">
        <f>IF(L218=1,IF(COUNTIFS($F$2:F218,F218,$L$2:L218,1)=1,1,0),0)</f>
        <v>1</v>
      </c>
      <c r="AL218" s="28" t="str">
        <f>IF(B218="","",IF(K218="DUPLICATE","Duplicate (removed)",IF(AO218=1,"Scheduled within 24h",IF(M218=1,"Scheduled late",IF(K218="BAD CONTACT","Bad contact details",IF(O218=1,"Stopped / wrong number",IF(N218=1,"Not interested",IF(P218=1,"Partner has no slots",IF(SETTINGS!$B$4&gt;=V218,IF(Q218=0,"Missed deadline: never tried","Missed deadline: tried, not booked"),IF(Q218&gt;=SETTINGS!$B$6,"No reply after max tries","Open"))))))))))</f>
        <v>Scheduled within 24h</v>
      </c>
      <c r="AM218" s="46">
        <f>IF(M218=1,IF(_xlfn.MINIFS(LOG!$G$2:$G$2001,LOG!$C$2:$C$2001,F218,LOG!$E$2:$E$2001,B218,LOG!$D$2:$D$2001,"*BOOKED")=0,_xlfn.MINIFS(LOG!$G$2:$G$2001,LOG!$C$2:$C$2001,F218,LOG!$E$2:$E$2001,"",LOG!$D$2:$D$2001,"*BOOKED"),IF(_xlfn.MINIFS(LOG!$G$2:$G$2001,LOG!$C$2:$C$2001,F218,LOG!$E$2:$E$2001,"",LOG!$D$2:$D$2001,"*BOOKED")=0,_xlfn.MINIFS(LOG!$G$2:$G$2001,LOG!$C$2:$C$2001,F218,LOG!$E$2:$E$2001,B218,LOG!$D$2:$D$2001,"*BOOKED"),MIN(_xlfn.MINIFS(LOG!$G$2:$G$2001,LOG!$C$2:$C$2001,F218,LOG!$E$2:$E$2001,B218,LOG!$D$2:$D$2001,"*BOOKED"),_xlfn.MINIFS(LOG!$G$2:$G$2001,LOG!$C$2:$C$2001,F218,LOG!$E$2:$E$2001,"",LOG!$D$2:$D$2001,"*BOOKED")))),"")</f>
        <v>46308.915619822059</v>
      </c>
      <c r="AN218" s="28">
        <f t="shared" si="40"/>
        <v>2.1248757294961251</v>
      </c>
      <c r="AO218" s="28">
        <f>IF(AND(M218=1,AN218&lt;&gt;""),IF(AN218&lt;=SETTINGS!$B$5,1,0),0)</f>
        <v>1</v>
      </c>
      <c r="AP218" s="28">
        <f>IF(M218=1,IF(COUNTIFS(LOG!$C$2:$C$2001,F218,LOG!$E$2:$E$2001,B218,LOG!$D$2:$D$2001,"BOOKED")+COUNTIFS(LOG!$C$2:$C$2001,F218,LOG!$E$2:$E$2001,"",LOG!$D$2:$D$2001,"BOOKED")&gt;0,1,0),0)</f>
        <v>0</v>
      </c>
      <c r="AQ218" s="28" t="str">
        <f t="shared" si="41"/>
        <v>Neil</v>
      </c>
      <c r="AR218" s="28">
        <f>IF(AND(AK218=1,K218="OK"),COUNTIFS($AK$2:AK218,1,$K$2:K218,"OK"),"")</f>
        <v>191</v>
      </c>
      <c r="AS218" s="28" t="str">
        <f>IF(L218=1,IFERROR(INDEX(MESSAGES!$J$9:$J$1008,MATCH(F218,MESSAGES!$M$9:$M$1008,0))&amp;"",""),"")</f>
        <v/>
      </c>
      <c r="AT218" s="28" t="str">
        <f>IF(L218=1,IFERROR(INDEX(MESSAGES!$K$9:$K$1008,MATCH(F218,MESSAGES!$M$9:$M$1008,0))&amp;"",""),"")</f>
        <v/>
      </c>
      <c r="AU218" s="28">
        <f t="shared" ca="1" si="42"/>
        <v>0</v>
      </c>
      <c r="AV218" s="28" t="str">
        <f t="shared" si="43"/>
        <v>SEND</v>
      </c>
    </row>
    <row r="219" spans="1:48" x14ac:dyDescent="0.35">
      <c r="A219" s="28">
        <v>218</v>
      </c>
      <c r="B219" s="28" t="str">
        <f>IF(INPUT!A219="","",TRIM(INPUT!A219))</f>
        <v>Partner 002</v>
      </c>
      <c r="C219" s="28" t="str">
        <f>IF(B219="","",INPUT!C219)</f>
        <v>interviewer1@partner002.example.com</v>
      </c>
      <c r="D219" s="28" t="str">
        <f>IF(B219="","",INPUT!D219)</f>
        <v>Kavya M.</v>
      </c>
      <c r="E219" s="28" t="str">
        <f>IF(B219="","",INPUT!E219)</f>
        <v>kavya.m359@example.com</v>
      </c>
      <c r="F219" s="43" t="str">
        <f>IF(B219="","",TRIM(INPUT!F219&amp;""))</f>
        <v>9000004674</v>
      </c>
      <c r="G219" s="28" t="str">
        <f>IF(B219="","",INPUT!H219)</f>
        <v>Round1</v>
      </c>
      <c r="H219" s="46">
        <f>IF(B219="","",INPUT!I219)</f>
        <v>46308.82708333333</v>
      </c>
      <c r="I219" s="28" t="str">
        <f>IF(B219="","",IF(INPUT!J219="","None",INPUT!J219))</f>
        <v>None</v>
      </c>
      <c r="J219" s="28" t="str">
        <f t="shared" si="33"/>
        <v>kavya.m359@example.com|partner 002|Round1|interviewer1@partner002.example.com</v>
      </c>
      <c r="K219" s="28" t="str">
        <f>IF(B219="","",IF(SUMPRODUCT(($J$2:$J$601=J219)*($H$2:$H$601&lt;H219))+SUMPRODUCT(($J$2:J219=J219)*($H$2:H219=H219))-1&gt;0,"DUPLICATE",IF(AND(ISNUMBER(SEARCH("@",E219)),ISNUMBER(SEARCH(".",E219)),LEN(F219)=10,ISNUMBER(VALUE(F219))),"OK","BAD CONTACT")))</f>
        <v>OK</v>
      </c>
      <c r="L219" s="28">
        <f t="shared" si="34"/>
        <v>1</v>
      </c>
      <c r="M219" s="28">
        <f>IF(L219=1,IF(COUNTIFS(LOG!$C$2:$C$2001,F219,LOG!$E$2:$E$2001,B219,LOG!$D$2:$D$2001,"*BOOKED")+COUNTIFS(LOG!$C$2:$C$2001,F219,LOG!$E$2:$E$2001,"",LOG!$D$2:$D$2001,"*BOOKED")&gt;0,1,0),0)</f>
        <v>0</v>
      </c>
      <c r="N219" s="28">
        <f>IF(L219=1,IF(COUNTIFS(LOG!$C$2:$C$2001,F219,LOG!$E$2:$E$2001,B219,LOG!$D$2:$D$2001,"NOT_INTERESTED")+COUNTIFS(LOG!$C$2:$C$2001,F219,LOG!$E$2:$E$2001,"",LOG!$D$2:$D$2001,"NOT_INTERESTED")&gt;0,1,0),0)</f>
        <v>0</v>
      </c>
      <c r="O219" s="28">
        <f>IF(L219=1,IF(COUNTIFS(LOG!$C$2:$C$2001,F219,LOG!$D$2:$D$2001,"STOP")+COUNTIFS(LOG!$C$2:$C$2001,F219,LOG!$D$2:$D$2001,"WRONG_NUMBER")&gt;0,1,IF(ISNUMBER(SEARCH("STOP",AT219)),1,0)),0)</f>
        <v>0</v>
      </c>
      <c r="P219" s="28">
        <f>IF(L219=1,IF(IFERROR(INDEX(PARTNERS!$D$2:$D$88,MATCH(B219,PARTNERS!$A$2:$A$88,0)),"")="NO SLOTS",1,IF(AND(IFERROR(INDEX(PARTNERS!$D$2:$D$88,MATCH(B219,PARTNERS!$A$2:$A$88,0)),"")&lt;&gt;"REOPENED",COUNTIFS(LOG!$E$2:$E$2001,B219,LOG!$D$2:$D$2001,"NO_SLOTS")&gt;0),1,0)),0)</f>
        <v>0</v>
      </c>
      <c r="Q219" s="28">
        <f>IF(L219=1,COUNTIFS(LOG!$C$2:$C$2001,F219,LOG!$H$2:$H$2001,1),0)</f>
        <v>0</v>
      </c>
      <c r="R219" s="46">
        <f>IF(Q219&gt;0,_xlfn.MAXIFS(LOG!$G$2:$G$2001,LOG!$C$2:$C$2001,F219,LOG!$H$2:$H$2001,1),0)</f>
        <v>0</v>
      </c>
      <c r="S219" s="28" t="str">
        <f>IF(Q219&gt;0,IFERROR(INDEX(LOG!$D$2:$D$2001,MATCH(F219&amp;"|"&amp;Q219,LOG!$I$2:$I$2001,0)),""),"")</f>
        <v/>
      </c>
      <c r="T219" s="28">
        <f>IF(S219="",0,IFERROR(VLOOKUP(S219,LISTS!$A$2:$E$10,4,FALSE),0))</f>
        <v>0</v>
      </c>
      <c r="U219" s="46">
        <f t="shared" si="35"/>
        <v>0</v>
      </c>
      <c r="V219" s="46">
        <f>IF(L219=1,H219+SETTINGS!$B$5/24,"")</f>
        <v>46309.82708333333</v>
      </c>
      <c r="W219" s="28">
        <f ca="1">IF(L219=1,(V219-SETTINGS!$B$4)*24,"")</f>
        <v>-1.6666666720993817E-2</v>
      </c>
      <c r="X219" s="28">
        <f ca="1">IF(AND(L219=1,K219="OK",M219=0,N219=0,O219=0,P219=0,SETTINGS!$B$4&lt;V219,Q219&lt;SETTINGS!$B$6),1,0)</f>
        <v>0</v>
      </c>
      <c r="Y219" s="28">
        <f ca="1">IF(AND(X219=1,SETTINGS!$B$4&gt;=H219,SETTINGS!$B$4&gt;=U219,ROUND(MOD(SETTINGS!$B$4,1)*1440,0)&gt;=ROUND(SETTINGS!$B$7*1440,0),ROUND(MOD(SETTINGS!$B$4,1)*1440,0)&lt;ROUND(SETTINGS!$B$8*1440,0)),1,0)</f>
        <v>0</v>
      </c>
      <c r="Z219" s="28" t="str">
        <f ca="1">IF(B219="","",IF(ROUND(MOD(SETTINGS!$B$4,1)*1440,0)&lt;ROUND(SETTINGS!$B$11*1440,0),"Ram",IF(ROUND(MOD(SETTINGS!$B$4,1)*1440,0)&gt;=ROUND(SETTINGS!$B$10*1440,0),"Shyam",IF(MOD(IFERROR(VALUE(RIGHT(F219,2)),0),2)=0,"Ram","Shyam"))))</f>
        <v>Shyam</v>
      </c>
      <c r="AA219" s="28">
        <f t="shared" ca="1" si="36"/>
        <v>0</v>
      </c>
      <c r="AB219" s="28">
        <f ca="1">IF(X219=1,COUNTIFS($F$2:F219,F219,$X$2:X219,1),0)</f>
        <v>0</v>
      </c>
      <c r="AC219" s="28" t="str">
        <f>IF(L219=1,IF(IFERROR(INDEX(PARTNERS!$C$2:$C$88,MATCH(B219,PARTNERS!$A$2:$A$88,0)),"")="YES","YES","NO"),"")</f>
        <v>YES</v>
      </c>
      <c r="AD219" s="28" t="str">
        <f>IF(L219=1,IFERROR(INDEX(PARTNERS!$B$2:$B$88,MATCH(B219,PARTNERS!$A$2:$A$88,0)),""),"")</f>
        <v>https://calendly.com/partner002/interview</v>
      </c>
      <c r="AE219" s="28">
        <f ca="1">IF(X219=1,IFERROR(INDEX(SETTINGS!$B$34:$D$36,MATCH(I219,SETTINGS!$A$34:$A$36,0),MIN(Q219,2)+1),SETTINGS!$B$36),0)</f>
        <v>0</v>
      </c>
      <c r="AF219" s="28">
        <f t="shared" si="37"/>
        <v>1</v>
      </c>
      <c r="AG219" s="28">
        <f ca="1">IF(AND(Y219=1,AB219=1),ROUND(AA219*AE219*IF(AF219&gt;1,SETTINGS!$B$16,1)*IF(W219&lt;=SETTINGS!$B$14,SETTINGS!$B$15,1)*IF(AU219=1,SETTINGS!$B$21,1),6),0)</f>
        <v>0</v>
      </c>
      <c r="AH219" s="28" t="str">
        <f ca="1">IF(AG219&gt;0,COUNTIFS($Z$2:$Z$601,Z219,$AG$2:$AG$601,"&gt;"&amp;AG219)+COUNTIFS($Z$2:Z219,Z219,$AG$2:AG219,AG219),"")</f>
        <v/>
      </c>
      <c r="AI219" s="28" t="str">
        <f t="shared" ca="1" si="38"/>
        <v/>
      </c>
      <c r="AJ219" s="28" t="str">
        <f t="shared" ca="1" si="39"/>
        <v/>
      </c>
      <c r="AK219" s="28">
        <f>IF(L219=1,IF(COUNTIFS($F$2:F219,F219,$L$2:L219,1)=1,1,0),0)</f>
        <v>1</v>
      </c>
      <c r="AL219" s="28" t="str">
        <f ca="1">IF(B219="","",IF(K219="DUPLICATE","Duplicate (removed)",IF(AO219=1,"Scheduled within 24h",IF(M219=1,"Scheduled late",IF(K219="BAD CONTACT","Bad contact details",IF(O219=1,"Stopped / wrong number",IF(N219=1,"Not interested",IF(P219=1,"Partner has no slots",IF(SETTINGS!$B$4&gt;=V219,IF(Q219=0,"Missed deadline: never tried","Missed deadline: tried, not booked"),IF(Q219&gt;=SETTINGS!$B$6,"No reply after max tries","Open"))))))))))</f>
        <v>Missed deadline: never tried</v>
      </c>
      <c r="AM219" s="46" t="str">
        <f>IF(M219=1,IF(_xlfn.MINIFS(LOG!$G$2:$G$2001,LOG!$C$2:$C$2001,F219,LOG!$E$2:$E$2001,B219,LOG!$D$2:$D$2001,"*BOOKED")=0,_xlfn.MINIFS(LOG!$G$2:$G$2001,LOG!$C$2:$C$2001,F219,LOG!$E$2:$E$2001,"",LOG!$D$2:$D$2001,"*BOOKED"),IF(_xlfn.MINIFS(LOG!$G$2:$G$2001,LOG!$C$2:$C$2001,F219,LOG!$E$2:$E$2001,"",LOG!$D$2:$D$2001,"*BOOKED")=0,_xlfn.MINIFS(LOG!$G$2:$G$2001,LOG!$C$2:$C$2001,F219,LOG!$E$2:$E$2001,B219,LOG!$D$2:$D$2001,"*BOOKED"),MIN(_xlfn.MINIFS(LOG!$G$2:$G$2001,LOG!$C$2:$C$2001,F219,LOG!$E$2:$E$2001,B219,LOG!$D$2:$D$2001,"*BOOKED"),_xlfn.MINIFS(LOG!$G$2:$G$2001,LOG!$C$2:$C$2001,F219,LOG!$E$2:$E$2001,"",LOG!$D$2:$D$2001,"*BOOKED")))),"")</f>
        <v/>
      </c>
      <c r="AN219" s="28" t="str">
        <f t="shared" si="40"/>
        <v/>
      </c>
      <c r="AO219" s="28">
        <f>IF(AND(M219=1,AN219&lt;&gt;""),IF(AN219&lt;=SETTINGS!$B$5,1,0),0)</f>
        <v>0</v>
      </c>
      <c r="AP219" s="28">
        <f>IF(M219=1,IF(COUNTIFS(LOG!$C$2:$C$2001,F219,LOG!$E$2:$E$2001,B219,LOG!$D$2:$D$2001,"BOOKED")+COUNTIFS(LOG!$C$2:$C$2001,F219,LOG!$E$2:$E$2001,"",LOG!$D$2:$D$2001,"BOOKED")&gt;0,1,0),0)</f>
        <v>0</v>
      </c>
      <c r="AQ219" s="28" t="str">
        <f t="shared" si="41"/>
        <v>Kavya</v>
      </c>
      <c r="AR219" s="28">
        <f>IF(AND(AK219=1,K219="OK"),COUNTIFS($AK$2:AK219,1,$K$2:K219,"OK"),"")</f>
        <v>192</v>
      </c>
      <c r="AS219" s="28" t="str">
        <f>IF(L219=1,IFERROR(INDEX(MESSAGES!$J$9:$J$1008,MATCH(F219,MESSAGES!$M$9:$M$1008,0))&amp;"",""),"")</f>
        <v/>
      </c>
      <c r="AT219" s="28" t="str">
        <f>IF(L219=1,IFERROR(INDEX(MESSAGES!$K$9:$K$1008,MATCH(F219,MESSAGES!$M$9:$M$1008,0))&amp;"",""),"")</f>
        <v/>
      </c>
      <c r="AU219" s="28">
        <f t="shared" ca="1" si="42"/>
        <v>0</v>
      </c>
      <c r="AV219" s="28" t="str">
        <f t="shared" si="43"/>
        <v>HOLD</v>
      </c>
    </row>
    <row r="220" spans="1:48" x14ac:dyDescent="0.35">
      <c r="A220" s="28">
        <v>219</v>
      </c>
      <c r="B220" s="28" t="str">
        <f>IF(INPUT!A220="","",TRIM(INPUT!A220))</f>
        <v>Partner 005</v>
      </c>
      <c r="C220" s="28" t="str">
        <f>IF(B220="","",INPUT!C220)</f>
        <v>interviewer1@partner005.example.com</v>
      </c>
      <c r="D220" s="28" t="str">
        <f>IF(B220="","",INPUT!D220)</f>
        <v>Zoya J.</v>
      </c>
      <c r="E220" s="28" t="str">
        <f>IF(B220="","",INPUT!E220)</f>
        <v>zoya.j257@example.com</v>
      </c>
      <c r="F220" s="43" t="str">
        <f>IF(B220="","",TRIM(INPUT!F220&amp;""))</f>
        <v>9000003348</v>
      </c>
      <c r="G220" s="28" t="str">
        <f>IF(B220="","",INPUT!H220)</f>
        <v>Round1</v>
      </c>
      <c r="H220" s="46">
        <f>IF(B220="","",INPUT!I220)</f>
        <v>46308.82708333333</v>
      </c>
      <c r="I220" s="28" t="str">
        <f>IF(B220="","",IF(INPUT!J220="","None",INPUT!J220))</f>
        <v>Clicked</v>
      </c>
      <c r="J220" s="28" t="str">
        <f t="shared" si="33"/>
        <v>zoya.j257@example.com|partner 005|Round1|interviewer1@partner005.example.com</v>
      </c>
      <c r="K220" s="28" t="str">
        <f>IF(B220="","",IF(SUMPRODUCT(($J$2:$J$601=J220)*($H$2:$H$601&lt;H220))+SUMPRODUCT(($J$2:J220=J220)*($H$2:H220=H220))-1&gt;0,"DUPLICATE",IF(AND(ISNUMBER(SEARCH("@",E220)),ISNUMBER(SEARCH(".",E220)),LEN(F220)=10,ISNUMBER(VALUE(F220))),"OK","BAD CONTACT")))</f>
        <v>OK</v>
      </c>
      <c r="L220" s="28">
        <f t="shared" si="34"/>
        <v>1</v>
      </c>
      <c r="M220" s="28">
        <f>IF(L220=1,IF(COUNTIFS(LOG!$C$2:$C$2001,F220,LOG!$E$2:$E$2001,B220,LOG!$D$2:$D$2001,"*BOOKED")+COUNTIFS(LOG!$C$2:$C$2001,F220,LOG!$E$2:$E$2001,"",LOG!$D$2:$D$2001,"*BOOKED")&gt;0,1,0),0)</f>
        <v>1</v>
      </c>
      <c r="N220" s="28">
        <f>IF(L220=1,IF(COUNTIFS(LOG!$C$2:$C$2001,F220,LOG!$E$2:$E$2001,B220,LOG!$D$2:$D$2001,"NOT_INTERESTED")+COUNTIFS(LOG!$C$2:$C$2001,F220,LOG!$E$2:$E$2001,"",LOG!$D$2:$D$2001,"NOT_INTERESTED")&gt;0,1,0),0)</f>
        <v>0</v>
      </c>
      <c r="O220" s="28">
        <f>IF(L220=1,IF(COUNTIFS(LOG!$C$2:$C$2001,F220,LOG!$D$2:$D$2001,"STOP")+COUNTIFS(LOG!$C$2:$C$2001,F220,LOG!$D$2:$D$2001,"WRONG_NUMBER")&gt;0,1,IF(ISNUMBER(SEARCH("STOP",AT220)),1,0)),0)</f>
        <v>0</v>
      </c>
      <c r="P220" s="28">
        <f>IF(L220=1,IF(IFERROR(INDEX(PARTNERS!$D$2:$D$88,MATCH(B220,PARTNERS!$A$2:$A$88,0)),"")="NO SLOTS",1,IF(AND(IFERROR(INDEX(PARTNERS!$D$2:$D$88,MATCH(B220,PARTNERS!$A$2:$A$88,0)),"")&lt;&gt;"REOPENED",COUNTIFS(LOG!$E$2:$E$2001,B220,LOG!$D$2:$D$2001,"NO_SLOTS")&gt;0),1,0)),0)</f>
        <v>0</v>
      </c>
      <c r="Q220" s="28">
        <f>IF(L220=1,COUNTIFS(LOG!$C$2:$C$2001,F220,LOG!$H$2:$H$2001,1),0)</f>
        <v>2</v>
      </c>
      <c r="R220" s="46">
        <f>IF(Q220&gt;0,_xlfn.MAXIFS(LOG!$G$2:$G$2001,LOG!$C$2:$C$2001,F220,LOG!$H$2:$H$2001,1),0)</f>
        <v>46309.742320502068</v>
      </c>
      <c r="S220" s="28" t="str">
        <f>IF(Q220&gt;0,IFERROR(INDEX(LOG!$D$2:$D$2001,MATCH(F220&amp;"|"&amp;Q220,LOG!$I$2:$I$2001,0)),""),"")</f>
        <v>BOOKED</v>
      </c>
      <c r="T220" s="28">
        <f>IF(S220="",0,IFERROR(VLOOKUP(S220,LISTS!$A$2:$E$10,4,FALSE),0))</f>
        <v>0</v>
      </c>
      <c r="U220" s="46">
        <f t="shared" si="35"/>
        <v>46309.742320502068</v>
      </c>
      <c r="V220" s="46">
        <f>IF(L220=1,H220+SETTINGS!$B$5/24,"")</f>
        <v>46309.82708333333</v>
      </c>
      <c r="W220" s="28">
        <f ca="1">IF(L220=1,(V220-SETTINGS!$B$4)*24,"")</f>
        <v>-1.6666666720993817E-2</v>
      </c>
      <c r="X220" s="28">
        <f ca="1">IF(AND(L220=1,K220="OK",M220=0,N220=0,O220=0,P220=0,SETTINGS!$B$4&lt;V220,Q220&lt;SETTINGS!$B$6),1,0)</f>
        <v>0</v>
      </c>
      <c r="Y220" s="28">
        <f ca="1">IF(AND(X220=1,SETTINGS!$B$4&gt;=H220,SETTINGS!$B$4&gt;=U220,ROUND(MOD(SETTINGS!$B$4,1)*1440,0)&gt;=ROUND(SETTINGS!$B$7*1440,0),ROUND(MOD(SETTINGS!$B$4,1)*1440,0)&lt;ROUND(SETTINGS!$B$8*1440,0)),1,0)</f>
        <v>0</v>
      </c>
      <c r="Z220" s="28" t="str">
        <f ca="1">IF(B220="","",IF(ROUND(MOD(SETTINGS!$B$4,1)*1440,0)&lt;ROUND(SETTINGS!$B$11*1440,0),"Ram",IF(ROUND(MOD(SETTINGS!$B$4,1)*1440,0)&gt;=ROUND(SETTINGS!$B$10*1440,0),"Shyam",IF(MOD(IFERROR(VALUE(RIGHT(F220,2)),0),2)=0,"Ram","Shyam"))))</f>
        <v>Shyam</v>
      </c>
      <c r="AA220" s="28">
        <f t="shared" ca="1" si="36"/>
        <v>0</v>
      </c>
      <c r="AB220" s="28">
        <f ca="1">IF(X220=1,COUNTIFS($F$2:F220,F220,$X$2:X220,1),0)</f>
        <v>0</v>
      </c>
      <c r="AC220" s="28" t="str">
        <f>IF(L220=1,IF(IFERROR(INDEX(PARTNERS!$C$2:$C$88,MATCH(B220,PARTNERS!$A$2:$A$88,0)),"")="YES","YES","NO"),"")</f>
        <v>YES</v>
      </c>
      <c r="AD220" s="28" t="str">
        <f>IF(L220=1,IFERROR(INDEX(PARTNERS!$B$2:$B$88,MATCH(B220,PARTNERS!$A$2:$A$88,0)),""),"")</f>
        <v>https://calendly.com/partner005/interview</v>
      </c>
      <c r="AE220" s="28">
        <f ca="1">IF(X220=1,IFERROR(INDEX(SETTINGS!$B$34:$D$36,MATCH(I220,SETTINGS!$A$34:$A$36,0),MIN(Q220,2)+1),SETTINGS!$B$36),0)</f>
        <v>0</v>
      </c>
      <c r="AF220" s="28">
        <f t="shared" si="37"/>
        <v>1</v>
      </c>
      <c r="AG220" s="28">
        <f ca="1">IF(AND(Y220=1,AB220=1),ROUND(AA220*AE220*IF(AF220&gt;1,SETTINGS!$B$16,1)*IF(W220&lt;=SETTINGS!$B$14,SETTINGS!$B$15,1)*IF(AU220=1,SETTINGS!$B$21,1),6),0)</f>
        <v>0</v>
      </c>
      <c r="AH220" s="28" t="str">
        <f ca="1">IF(AG220&gt;0,COUNTIFS($Z$2:$Z$601,Z220,$AG$2:$AG$601,"&gt;"&amp;AG220)+COUNTIFS($Z$2:Z220,Z220,$AG$2:AG220,AG220),"")</f>
        <v/>
      </c>
      <c r="AI220" s="28" t="str">
        <f t="shared" ca="1" si="38"/>
        <v/>
      </c>
      <c r="AJ220" s="28" t="str">
        <f t="shared" ca="1" si="39"/>
        <v/>
      </c>
      <c r="AK220" s="28">
        <f>IF(L220=1,IF(COUNTIFS($F$2:F220,F220,$L$2:L220,1)=1,1,0),0)</f>
        <v>1</v>
      </c>
      <c r="AL220" s="28" t="str">
        <f>IF(B220="","",IF(K220="DUPLICATE","Duplicate (removed)",IF(AO220=1,"Scheduled within 24h",IF(M220=1,"Scheduled late",IF(K220="BAD CONTACT","Bad contact details",IF(O220=1,"Stopped / wrong number",IF(N220=1,"Not interested",IF(P220=1,"Partner has no slots",IF(SETTINGS!$B$4&gt;=V220,IF(Q220=0,"Missed deadline: never tried","Missed deadline: tried, not booked"),IF(Q220&gt;=SETTINGS!$B$6,"No reply after max tries","Open"))))))))))</f>
        <v>Scheduled within 24h</v>
      </c>
      <c r="AM220" s="46">
        <f>IF(M220=1,IF(_xlfn.MINIFS(LOG!$G$2:$G$2001,LOG!$C$2:$C$2001,F220,LOG!$E$2:$E$2001,B220,LOG!$D$2:$D$2001,"*BOOKED")=0,_xlfn.MINIFS(LOG!$G$2:$G$2001,LOG!$C$2:$C$2001,F220,LOG!$E$2:$E$2001,"",LOG!$D$2:$D$2001,"*BOOKED"),IF(_xlfn.MINIFS(LOG!$G$2:$G$2001,LOG!$C$2:$C$2001,F220,LOG!$E$2:$E$2001,"",LOG!$D$2:$D$2001,"*BOOKED")=0,_xlfn.MINIFS(LOG!$G$2:$G$2001,LOG!$C$2:$C$2001,F220,LOG!$E$2:$E$2001,B220,LOG!$D$2:$D$2001,"*BOOKED"),MIN(_xlfn.MINIFS(LOG!$G$2:$G$2001,LOG!$C$2:$C$2001,F220,LOG!$E$2:$E$2001,B220,LOG!$D$2:$D$2001,"*BOOKED"),_xlfn.MINIFS(LOG!$G$2:$G$2001,LOG!$C$2:$C$2001,F220,LOG!$E$2:$E$2001,"",LOG!$D$2:$D$2001,"*BOOKED")))),"")</f>
        <v>46309.485389268935</v>
      </c>
      <c r="AN220" s="28">
        <f t="shared" si="40"/>
        <v>15.799342454527505</v>
      </c>
      <c r="AO220" s="28">
        <f>IF(AND(M220=1,AN220&lt;&gt;""),IF(AN220&lt;=SETTINGS!$B$5,1,0),0)</f>
        <v>1</v>
      </c>
      <c r="AP220" s="28">
        <f>IF(M220=1,IF(COUNTIFS(LOG!$C$2:$C$2001,F220,LOG!$E$2:$E$2001,B220,LOG!$D$2:$D$2001,"BOOKED")+COUNTIFS(LOG!$C$2:$C$2001,F220,LOG!$E$2:$E$2001,"",LOG!$D$2:$D$2001,"BOOKED")&gt;0,1,0),0)</f>
        <v>1</v>
      </c>
      <c r="AQ220" s="28" t="str">
        <f t="shared" si="41"/>
        <v>Zoya</v>
      </c>
      <c r="AR220" s="28">
        <f>IF(AND(AK220=1,K220="OK"),COUNTIFS($AK$2:AK220,1,$K$2:K220,"OK"),"")</f>
        <v>193</v>
      </c>
      <c r="AS220" s="28" t="str">
        <f>IF(L220=1,IFERROR(INDEX(MESSAGES!$J$9:$J$1008,MATCH(F220,MESSAGES!$M$9:$M$1008,0))&amp;"",""),"")</f>
        <v/>
      </c>
      <c r="AT220" s="28" t="str">
        <f>IF(L220=1,IFERROR(INDEX(MESSAGES!$K$9:$K$1008,MATCH(F220,MESSAGES!$M$9:$M$1008,0))&amp;"",""),"")</f>
        <v/>
      </c>
      <c r="AU220" s="28">
        <f t="shared" ca="1" si="42"/>
        <v>0</v>
      </c>
      <c r="AV220" s="28" t="str">
        <f t="shared" si="43"/>
        <v>SEND</v>
      </c>
    </row>
    <row r="221" spans="1:48" x14ac:dyDescent="0.35">
      <c r="A221" s="28">
        <v>220</v>
      </c>
      <c r="B221" s="28" t="str">
        <f>IF(INPUT!A221="","",TRIM(INPUT!A221))</f>
        <v>Partner 007</v>
      </c>
      <c r="C221" s="28" t="str">
        <f>IF(B221="","",INPUT!C221)</f>
        <v>interviewer1@partner007.example.com</v>
      </c>
      <c r="D221" s="28" t="str">
        <f>IF(B221="","",INPUT!D221)</f>
        <v>Ananya R.</v>
      </c>
      <c r="E221" s="28" t="str">
        <f>IF(B221="","",INPUT!E221)</f>
        <v>ananya.r423@example.com</v>
      </c>
      <c r="F221" s="43" t="str">
        <f>IF(B221="","",TRIM(INPUT!F221&amp;""))</f>
        <v>9000005506</v>
      </c>
      <c r="G221" s="28" t="str">
        <f>IF(B221="","",INPUT!H221)</f>
        <v>Round1</v>
      </c>
      <c r="H221" s="46">
        <f>IF(B221="","",INPUT!I221)</f>
        <v>46308.82708333333</v>
      </c>
      <c r="I221" s="28" t="str">
        <f>IF(B221="","",IF(INPUT!J221="","None",INPUT!J221))</f>
        <v>Opened</v>
      </c>
      <c r="J221" s="28" t="str">
        <f t="shared" si="33"/>
        <v>ananya.r423@example.com|partner 007|Round1|interviewer1@partner007.example.com</v>
      </c>
      <c r="K221" s="28" t="str">
        <f>IF(B221="","",IF(SUMPRODUCT(($J$2:$J$601=J221)*($H$2:$H$601&lt;H221))+SUMPRODUCT(($J$2:J221=J221)*($H$2:H221=H221))-1&gt;0,"DUPLICATE",IF(AND(ISNUMBER(SEARCH("@",E221)),ISNUMBER(SEARCH(".",E221)),LEN(F221)=10,ISNUMBER(VALUE(F221))),"OK","BAD CONTACT")))</f>
        <v>OK</v>
      </c>
      <c r="L221" s="28">
        <f t="shared" si="34"/>
        <v>1</v>
      </c>
      <c r="M221" s="28">
        <f>IF(L221=1,IF(COUNTIFS(LOG!$C$2:$C$2001,F221,LOG!$E$2:$E$2001,B221,LOG!$D$2:$D$2001,"*BOOKED")+COUNTIFS(LOG!$C$2:$C$2001,F221,LOG!$E$2:$E$2001,"",LOG!$D$2:$D$2001,"*BOOKED")&gt;0,1,0),0)</f>
        <v>0</v>
      </c>
      <c r="N221" s="28">
        <f>IF(L221=1,IF(COUNTIFS(LOG!$C$2:$C$2001,F221,LOG!$E$2:$E$2001,B221,LOG!$D$2:$D$2001,"NOT_INTERESTED")+COUNTIFS(LOG!$C$2:$C$2001,F221,LOG!$E$2:$E$2001,"",LOG!$D$2:$D$2001,"NOT_INTERESTED")&gt;0,1,0),0)</f>
        <v>0</v>
      </c>
      <c r="O221" s="28">
        <f>IF(L221=1,IF(COUNTIFS(LOG!$C$2:$C$2001,F221,LOG!$D$2:$D$2001,"STOP")+COUNTIFS(LOG!$C$2:$C$2001,F221,LOG!$D$2:$D$2001,"WRONG_NUMBER")&gt;0,1,IF(ISNUMBER(SEARCH("STOP",AT221)),1,0)),0)</f>
        <v>0</v>
      </c>
      <c r="P221" s="28">
        <f>IF(L221=1,IF(IFERROR(INDEX(PARTNERS!$D$2:$D$88,MATCH(B221,PARTNERS!$A$2:$A$88,0)),"")="NO SLOTS",1,IF(AND(IFERROR(INDEX(PARTNERS!$D$2:$D$88,MATCH(B221,PARTNERS!$A$2:$A$88,0)),"")&lt;&gt;"REOPENED",COUNTIFS(LOG!$E$2:$E$2001,B221,LOG!$D$2:$D$2001,"NO_SLOTS")&gt;0),1,0)),0)</f>
        <v>0</v>
      </c>
      <c r="Q221" s="28">
        <f>IF(L221=1,COUNTIFS(LOG!$C$2:$C$2001,F221,LOG!$H$2:$H$2001,1),0)</f>
        <v>0</v>
      </c>
      <c r="R221" s="46">
        <f>IF(Q221&gt;0,_xlfn.MAXIFS(LOG!$G$2:$G$2001,LOG!$C$2:$C$2001,F221,LOG!$H$2:$H$2001,1),0)</f>
        <v>0</v>
      </c>
      <c r="S221" s="28" t="str">
        <f>IF(Q221&gt;0,IFERROR(INDEX(LOG!$D$2:$D$2001,MATCH(F221&amp;"|"&amp;Q221,LOG!$I$2:$I$2001,0)),""),"")</f>
        <v/>
      </c>
      <c r="T221" s="28">
        <f>IF(S221="",0,IFERROR(VLOOKUP(S221,LISTS!$A$2:$E$10,4,FALSE),0))</f>
        <v>0</v>
      </c>
      <c r="U221" s="46">
        <f t="shared" si="35"/>
        <v>0</v>
      </c>
      <c r="V221" s="46">
        <f>IF(L221=1,H221+SETTINGS!$B$5/24,"")</f>
        <v>46309.82708333333</v>
      </c>
      <c r="W221" s="28">
        <f ca="1">IF(L221=1,(V221-SETTINGS!$B$4)*24,"")</f>
        <v>-1.6666666720993817E-2</v>
      </c>
      <c r="X221" s="28">
        <f ca="1">IF(AND(L221=1,K221="OK",M221=0,N221=0,O221=0,P221=0,SETTINGS!$B$4&lt;V221,Q221&lt;SETTINGS!$B$6),1,0)</f>
        <v>0</v>
      </c>
      <c r="Y221" s="28">
        <f ca="1">IF(AND(X221=1,SETTINGS!$B$4&gt;=H221,SETTINGS!$B$4&gt;=U221,ROUND(MOD(SETTINGS!$B$4,1)*1440,0)&gt;=ROUND(SETTINGS!$B$7*1440,0),ROUND(MOD(SETTINGS!$B$4,1)*1440,0)&lt;ROUND(SETTINGS!$B$8*1440,0)),1,0)</f>
        <v>0</v>
      </c>
      <c r="Z221" s="28" t="str">
        <f ca="1">IF(B221="","",IF(ROUND(MOD(SETTINGS!$B$4,1)*1440,0)&lt;ROUND(SETTINGS!$B$11*1440,0),"Ram",IF(ROUND(MOD(SETTINGS!$B$4,1)*1440,0)&gt;=ROUND(SETTINGS!$B$10*1440,0),"Shyam",IF(MOD(IFERROR(VALUE(RIGHT(F221,2)),0),2)=0,"Ram","Shyam"))))</f>
        <v>Shyam</v>
      </c>
      <c r="AA221" s="28">
        <f t="shared" ca="1" si="36"/>
        <v>0</v>
      </c>
      <c r="AB221" s="28">
        <f ca="1">IF(X221=1,COUNTIFS($F$2:F221,F221,$X$2:X221,1),0)</f>
        <v>0</v>
      </c>
      <c r="AC221" s="28" t="str">
        <f>IF(L221=1,IF(IFERROR(INDEX(PARTNERS!$C$2:$C$88,MATCH(B221,PARTNERS!$A$2:$A$88,0)),"")="YES","YES","NO"),"")</f>
        <v>NO</v>
      </c>
      <c r="AD221" s="28" t="str">
        <f>IF(L221=1,IFERROR(INDEX(PARTNERS!$B$2:$B$88,MATCH(B221,PARTNERS!$A$2:$A$88,0)),""),"")</f>
        <v>https://calendly.com/partner007/interview</v>
      </c>
      <c r="AE221" s="28">
        <f ca="1">IF(X221=1,IFERROR(INDEX(SETTINGS!$B$34:$D$36,MATCH(I221,SETTINGS!$A$34:$A$36,0),MIN(Q221,2)+1),SETTINGS!$B$36),0)</f>
        <v>0</v>
      </c>
      <c r="AF221" s="28">
        <f t="shared" si="37"/>
        <v>1</v>
      </c>
      <c r="AG221" s="28">
        <f ca="1">IF(AND(Y221=1,AB221=1),ROUND(AA221*AE221*IF(AF221&gt;1,SETTINGS!$B$16,1)*IF(W221&lt;=SETTINGS!$B$14,SETTINGS!$B$15,1)*IF(AU221=1,SETTINGS!$B$21,1),6),0)</f>
        <v>0</v>
      </c>
      <c r="AH221" s="28" t="str">
        <f ca="1">IF(AG221&gt;0,COUNTIFS($Z$2:$Z$601,Z221,$AG$2:$AG$601,"&gt;"&amp;AG221)+COUNTIFS($Z$2:Z221,Z221,$AG$2:AG221,AG221),"")</f>
        <v/>
      </c>
      <c r="AI221" s="28" t="str">
        <f t="shared" ca="1" si="38"/>
        <v/>
      </c>
      <c r="AJ221" s="28" t="str">
        <f t="shared" ca="1" si="39"/>
        <v/>
      </c>
      <c r="AK221" s="28">
        <f>IF(L221=1,IF(COUNTIFS($F$2:F221,F221,$L$2:L221,1)=1,1,0),0)</f>
        <v>1</v>
      </c>
      <c r="AL221" s="28" t="str">
        <f ca="1">IF(B221="","",IF(K221="DUPLICATE","Duplicate (removed)",IF(AO221=1,"Scheduled within 24h",IF(M221=1,"Scheduled late",IF(K221="BAD CONTACT","Bad contact details",IF(O221=1,"Stopped / wrong number",IF(N221=1,"Not interested",IF(P221=1,"Partner has no slots",IF(SETTINGS!$B$4&gt;=V221,IF(Q221=0,"Missed deadline: never tried","Missed deadline: tried, not booked"),IF(Q221&gt;=SETTINGS!$B$6,"No reply after max tries","Open"))))))))))</f>
        <v>Missed deadline: never tried</v>
      </c>
      <c r="AM221" s="46" t="str">
        <f>IF(M221=1,IF(_xlfn.MINIFS(LOG!$G$2:$G$2001,LOG!$C$2:$C$2001,F221,LOG!$E$2:$E$2001,B221,LOG!$D$2:$D$2001,"*BOOKED")=0,_xlfn.MINIFS(LOG!$G$2:$G$2001,LOG!$C$2:$C$2001,F221,LOG!$E$2:$E$2001,"",LOG!$D$2:$D$2001,"*BOOKED"),IF(_xlfn.MINIFS(LOG!$G$2:$G$2001,LOG!$C$2:$C$2001,F221,LOG!$E$2:$E$2001,"",LOG!$D$2:$D$2001,"*BOOKED")=0,_xlfn.MINIFS(LOG!$G$2:$G$2001,LOG!$C$2:$C$2001,F221,LOG!$E$2:$E$2001,B221,LOG!$D$2:$D$2001,"*BOOKED"),MIN(_xlfn.MINIFS(LOG!$G$2:$G$2001,LOG!$C$2:$C$2001,F221,LOG!$E$2:$E$2001,B221,LOG!$D$2:$D$2001,"*BOOKED"),_xlfn.MINIFS(LOG!$G$2:$G$2001,LOG!$C$2:$C$2001,F221,LOG!$E$2:$E$2001,"",LOG!$D$2:$D$2001,"*BOOKED")))),"")</f>
        <v/>
      </c>
      <c r="AN221" s="28" t="str">
        <f t="shared" si="40"/>
        <v/>
      </c>
      <c r="AO221" s="28">
        <f>IF(AND(M221=1,AN221&lt;&gt;""),IF(AN221&lt;=SETTINGS!$B$5,1,0),0)</f>
        <v>0</v>
      </c>
      <c r="AP221" s="28">
        <f>IF(M221=1,IF(COUNTIFS(LOG!$C$2:$C$2001,F221,LOG!$E$2:$E$2001,B221,LOG!$D$2:$D$2001,"BOOKED")+COUNTIFS(LOG!$C$2:$C$2001,F221,LOG!$E$2:$E$2001,"",LOG!$D$2:$D$2001,"BOOKED")&gt;0,1,0),0)</f>
        <v>0</v>
      </c>
      <c r="AQ221" s="28" t="str">
        <f t="shared" si="41"/>
        <v>Ananya</v>
      </c>
      <c r="AR221" s="28">
        <f>IF(AND(AK221=1,K221="OK"),COUNTIFS($AK$2:AK221,1,$K$2:K221,"OK"),"")</f>
        <v>194</v>
      </c>
      <c r="AS221" s="28" t="str">
        <f>IF(L221=1,IFERROR(INDEX(MESSAGES!$J$9:$J$1008,MATCH(F221,MESSAGES!$M$9:$M$1008,0))&amp;"",""),"")</f>
        <v/>
      </c>
      <c r="AT221" s="28" t="str">
        <f>IF(L221=1,IFERROR(INDEX(MESSAGES!$K$9:$K$1008,MATCH(F221,MESSAGES!$M$9:$M$1008,0))&amp;"",""),"")</f>
        <v/>
      </c>
      <c r="AU221" s="28">
        <f t="shared" ca="1" si="42"/>
        <v>0</v>
      </c>
      <c r="AV221" s="28" t="str">
        <f t="shared" si="43"/>
        <v>SEND</v>
      </c>
    </row>
    <row r="222" spans="1:48" x14ac:dyDescent="0.35">
      <c r="A222" s="28">
        <v>221</v>
      </c>
      <c r="B222" s="28" t="str">
        <f>IF(INPUT!A222="","",TRIM(INPUT!A222))</f>
        <v>Partner 012</v>
      </c>
      <c r="C222" s="28" t="str">
        <f>IF(B222="","",INPUT!C222)</f>
        <v>interviewer0@partner012.example.com</v>
      </c>
      <c r="D222" s="28" t="str">
        <f>IF(B222="","",INPUT!D222)</f>
        <v>Saanvi J.</v>
      </c>
      <c r="E222" s="28" t="str">
        <f>IF(B222="","",INPUT!E222)</f>
        <v>saanvi.j249@example.com</v>
      </c>
      <c r="F222" s="43" t="str">
        <f>IF(B222="","",TRIM(INPUT!F222&amp;""))</f>
        <v>9000003244</v>
      </c>
      <c r="G222" s="28" t="str">
        <f>IF(B222="","",INPUT!H222)</f>
        <v>Round1</v>
      </c>
      <c r="H222" s="46">
        <f>IF(B222="","",INPUT!I222)</f>
        <v>46308.82708333333</v>
      </c>
      <c r="I222" s="28" t="str">
        <f>IF(B222="","",IF(INPUT!J222="","None",INPUT!J222))</f>
        <v>Opened</v>
      </c>
      <c r="J222" s="28" t="str">
        <f t="shared" si="33"/>
        <v>saanvi.j249@example.com|partner 012|Round1|interviewer0@partner012.example.com</v>
      </c>
      <c r="K222" s="28" t="str">
        <f>IF(B222="","",IF(SUMPRODUCT(($J$2:$J$601=J222)*($H$2:$H$601&lt;H222))+SUMPRODUCT(($J$2:J222=J222)*($H$2:H222=H222))-1&gt;0,"DUPLICATE",IF(AND(ISNUMBER(SEARCH("@",E222)),ISNUMBER(SEARCH(".",E222)),LEN(F222)=10,ISNUMBER(VALUE(F222))),"OK","BAD CONTACT")))</f>
        <v>OK</v>
      </c>
      <c r="L222" s="28">
        <f t="shared" si="34"/>
        <v>1</v>
      </c>
      <c r="M222" s="28">
        <f>IF(L222=1,IF(COUNTIFS(LOG!$C$2:$C$2001,F222,LOG!$E$2:$E$2001,B222,LOG!$D$2:$D$2001,"*BOOKED")+COUNTIFS(LOG!$C$2:$C$2001,F222,LOG!$E$2:$E$2001,"",LOG!$D$2:$D$2001,"*BOOKED")&gt;0,1,0),0)</f>
        <v>0</v>
      </c>
      <c r="N222" s="28">
        <f>IF(L222=1,IF(COUNTIFS(LOG!$C$2:$C$2001,F222,LOG!$E$2:$E$2001,B222,LOG!$D$2:$D$2001,"NOT_INTERESTED")+COUNTIFS(LOG!$C$2:$C$2001,F222,LOG!$E$2:$E$2001,"",LOG!$D$2:$D$2001,"NOT_INTERESTED")&gt;0,1,0),0)</f>
        <v>0</v>
      </c>
      <c r="O222" s="28">
        <f>IF(L222=1,IF(COUNTIFS(LOG!$C$2:$C$2001,F222,LOG!$D$2:$D$2001,"STOP")+COUNTIFS(LOG!$C$2:$C$2001,F222,LOG!$D$2:$D$2001,"WRONG_NUMBER")&gt;0,1,IF(ISNUMBER(SEARCH("STOP",AT222)),1,0)),0)</f>
        <v>0</v>
      </c>
      <c r="P222" s="28">
        <f>IF(L222=1,IF(IFERROR(INDEX(PARTNERS!$D$2:$D$88,MATCH(B222,PARTNERS!$A$2:$A$88,0)),"")="NO SLOTS",1,IF(AND(IFERROR(INDEX(PARTNERS!$D$2:$D$88,MATCH(B222,PARTNERS!$A$2:$A$88,0)),"")&lt;&gt;"REOPENED",COUNTIFS(LOG!$E$2:$E$2001,B222,LOG!$D$2:$D$2001,"NO_SLOTS")&gt;0),1,0)),0)</f>
        <v>0</v>
      </c>
      <c r="Q222" s="28">
        <f>IF(L222=1,COUNTIFS(LOG!$C$2:$C$2001,F222,LOG!$H$2:$H$2001,1),0)</f>
        <v>0</v>
      </c>
      <c r="R222" s="46">
        <f>IF(Q222&gt;0,_xlfn.MAXIFS(LOG!$G$2:$G$2001,LOG!$C$2:$C$2001,F222,LOG!$H$2:$H$2001,1),0)</f>
        <v>0</v>
      </c>
      <c r="S222" s="28" t="str">
        <f>IF(Q222&gt;0,IFERROR(INDEX(LOG!$D$2:$D$2001,MATCH(F222&amp;"|"&amp;Q222,LOG!$I$2:$I$2001,0)),""),"")</f>
        <v/>
      </c>
      <c r="T222" s="28">
        <f>IF(S222="",0,IFERROR(VLOOKUP(S222,LISTS!$A$2:$E$10,4,FALSE),0))</f>
        <v>0</v>
      </c>
      <c r="U222" s="46">
        <f t="shared" si="35"/>
        <v>0</v>
      </c>
      <c r="V222" s="46">
        <f>IF(L222=1,H222+SETTINGS!$B$5/24,"")</f>
        <v>46309.82708333333</v>
      </c>
      <c r="W222" s="28">
        <f ca="1">IF(L222=1,(V222-SETTINGS!$B$4)*24,"")</f>
        <v>-1.6666666720993817E-2</v>
      </c>
      <c r="X222" s="28">
        <f ca="1">IF(AND(L222=1,K222="OK",M222=0,N222=0,O222=0,P222=0,SETTINGS!$B$4&lt;V222,Q222&lt;SETTINGS!$B$6),1,0)</f>
        <v>0</v>
      </c>
      <c r="Y222" s="28">
        <f ca="1">IF(AND(X222=1,SETTINGS!$B$4&gt;=H222,SETTINGS!$B$4&gt;=U222,ROUND(MOD(SETTINGS!$B$4,1)*1440,0)&gt;=ROUND(SETTINGS!$B$7*1440,0),ROUND(MOD(SETTINGS!$B$4,1)*1440,0)&lt;ROUND(SETTINGS!$B$8*1440,0)),1,0)</f>
        <v>0</v>
      </c>
      <c r="Z222" s="28" t="str">
        <f ca="1">IF(B222="","",IF(ROUND(MOD(SETTINGS!$B$4,1)*1440,0)&lt;ROUND(SETTINGS!$B$11*1440,0),"Ram",IF(ROUND(MOD(SETTINGS!$B$4,1)*1440,0)&gt;=ROUND(SETTINGS!$B$10*1440,0),"Shyam",IF(MOD(IFERROR(VALUE(RIGHT(F222,2)),0),2)=0,"Ram","Shyam"))))</f>
        <v>Shyam</v>
      </c>
      <c r="AA222" s="28">
        <f t="shared" ca="1" si="36"/>
        <v>0</v>
      </c>
      <c r="AB222" s="28">
        <f ca="1">IF(X222=1,COUNTIFS($F$2:F222,F222,$X$2:X222,1),0)</f>
        <v>0</v>
      </c>
      <c r="AC222" s="28" t="str">
        <f>IF(L222=1,IF(IFERROR(INDEX(PARTNERS!$C$2:$C$88,MATCH(B222,PARTNERS!$A$2:$A$88,0)),"")="YES","YES","NO"),"")</f>
        <v>NO</v>
      </c>
      <c r="AD222" s="28" t="str">
        <f>IF(L222=1,IFERROR(INDEX(PARTNERS!$B$2:$B$88,MATCH(B222,PARTNERS!$A$2:$A$88,0)),""),"")</f>
        <v>https://calendly.com/partner012/interview</v>
      </c>
      <c r="AE222" s="28">
        <f ca="1">IF(X222=1,IFERROR(INDEX(SETTINGS!$B$34:$D$36,MATCH(I222,SETTINGS!$A$34:$A$36,0),MIN(Q222,2)+1),SETTINGS!$B$36),0)</f>
        <v>0</v>
      </c>
      <c r="AF222" s="28">
        <f t="shared" si="37"/>
        <v>1</v>
      </c>
      <c r="AG222" s="28">
        <f ca="1">IF(AND(Y222=1,AB222=1),ROUND(AA222*AE222*IF(AF222&gt;1,SETTINGS!$B$16,1)*IF(W222&lt;=SETTINGS!$B$14,SETTINGS!$B$15,1)*IF(AU222=1,SETTINGS!$B$21,1),6),0)</f>
        <v>0</v>
      </c>
      <c r="AH222" s="28" t="str">
        <f ca="1">IF(AG222&gt;0,COUNTIFS($Z$2:$Z$601,Z222,$AG$2:$AG$601,"&gt;"&amp;AG222)+COUNTIFS($Z$2:Z222,Z222,$AG$2:AG222,AG222),"")</f>
        <v/>
      </c>
      <c r="AI222" s="28" t="str">
        <f t="shared" ca="1" si="38"/>
        <v/>
      </c>
      <c r="AJ222" s="28" t="str">
        <f t="shared" ca="1" si="39"/>
        <v/>
      </c>
      <c r="AK222" s="28">
        <f>IF(L222=1,IF(COUNTIFS($F$2:F222,F222,$L$2:L222,1)=1,1,0),0)</f>
        <v>1</v>
      </c>
      <c r="AL222" s="28" t="str">
        <f ca="1">IF(B222="","",IF(K222="DUPLICATE","Duplicate (removed)",IF(AO222=1,"Scheduled within 24h",IF(M222=1,"Scheduled late",IF(K222="BAD CONTACT","Bad contact details",IF(O222=1,"Stopped / wrong number",IF(N222=1,"Not interested",IF(P222=1,"Partner has no slots",IF(SETTINGS!$B$4&gt;=V222,IF(Q222=0,"Missed deadline: never tried","Missed deadline: tried, not booked"),IF(Q222&gt;=SETTINGS!$B$6,"No reply after max tries","Open"))))))))))</f>
        <v>Missed deadline: never tried</v>
      </c>
      <c r="AM222" s="46" t="str">
        <f>IF(M222=1,IF(_xlfn.MINIFS(LOG!$G$2:$G$2001,LOG!$C$2:$C$2001,F222,LOG!$E$2:$E$2001,B222,LOG!$D$2:$D$2001,"*BOOKED")=0,_xlfn.MINIFS(LOG!$G$2:$G$2001,LOG!$C$2:$C$2001,F222,LOG!$E$2:$E$2001,"",LOG!$D$2:$D$2001,"*BOOKED"),IF(_xlfn.MINIFS(LOG!$G$2:$G$2001,LOG!$C$2:$C$2001,F222,LOG!$E$2:$E$2001,"",LOG!$D$2:$D$2001,"*BOOKED")=0,_xlfn.MINIFS(LOG!$G$2:$G$2001,LOG!$C$2:$C$2001,F222,LOG!$E$2:$E$2001,B222,LOG!$D$2:$D$2001,"*BOOKED"),MIN(_xlfn.MINIFS(LOG!$G$2:$G$2001,LOG!$C$2:$C$2001,F222,LOG!$E$2:$E$2001,B222,LOG!$D$2:$D$2001,"*BOOKED"),_xlfn.MINIFS(LOG!$G$2:$G$2001,LOG!$C$2:$C$2001,F222,LOG!$E$2:$E$2001,"",LOG!$D$2:$D$2001,"*BOOKED")))),"")</f>
        <v/>
      </c>
      <c r="AN222" s="28" t="str">
        <f t="shared" si="40"/>
        <v/>
      </c>
      <c r="AO222" s="28">
        <f>IF(AND(M222=1,AN222&lt;&gt;""),IF(AN222&lt;=SETTINGS!$B$5,1,0),0)</f>
        <v>0</v>
      </c>
      <c r="AP222" s="28">
        <f>IF(M222=1,IF(COUNTIFS(LOG!$C$2:$C$2001,F222,LOG!$E$2:$E$2001,B222,LOG!$D$2:$D$2001,"BOOKED")+COUNTIFS(LOG!$C$2:$C$2001,F222,LOG!$E$2:$E$2001,"",LOG!$D$2:$D$2001,"BOOKED")&gt;0,1,0),0)</f>
        <v>0</v>
      </c>
      <c r="AQ222" s="28" t="str">
        <f t="shared" si="41"/>
        <v>Saanvi</v>
      </c>
      <c r="AR222" s="28">
        <f>IF(AND(AK222=1,K222="OK"),COUNTIFS($AK$2:AK222,1,$K$2:K222,"OK"),"")</f>
        <v>195</v>
      </c>
      <c r="AS222" s="28" t="str">
        <f>IF(L222=1,IFERROR(INDEX(MESSAGES!$J$9:$J$1008,MATCH(F222,MESSAGES!$M$9:$M$1008,0))&amp;"",""),"")</f>
        <v/>
      </c>
      <c r="AT222" s="28" t="str">
        <f>IF(L222=1,IFERROR(INDEX(MESSAGES!$K$9:$K$1008,MATCH(F222,MESSAGES!$M$9:$M$1008,0))&amp;"",""),"")</f>
        <v/>
      </c>
      <c r="AU222" s="28">
        <f t="shared" ca="1" si="42"/>
        <v>0</v>
      </c>
      <c r="AV222" s="28" t="str">
        <f t="shared" si="43"/>
        <v>SEND</v>
      </c>
    </row>
    <row r="223" spans="1:48" x14ac:dyDescent="0.35">
      <c r="A223" s="28">
        <v>222</v>
      </c>
      <c r="B223" s="28" t="str">
        <f>IF(INPUT!A223="","",TRIM(INPUT!A223))</f>
        <v>Partner 003</v>
      </c>
      <c r="C223" s="28" t="str">
        <f>IF(B223="","",INPUT!C223)</f>
        <v>interviewer1@partner003.example.com</v>
      </c>
      <c r="D223" s="28" t="str">
        <f>IF(B223="","",INPUT!D223)</f>
        <v>Yash M.</v>
      </c>
      <c r="E223" s="28" t="str">
        <f>IF(B223="","",INPUT!E223)</f>
        <v>yash.m346@example.com</v>
      </c>
      <c r="F223" s="43" t="str">
        <f>IF(B223="","",TRIM(INPUT!F223&amp;""))</f>
        <v>9000004505</v>
      </c>
      <c r="G223" s="28" t="str">
        <f>IF(B223="","",INPUT!H223)</f>
        <v>Round1</v>
      </c>
      <c r="H223" s="46">
        <f>IF(B223="","",INPUT!I223)</f>
        <v>46308.82708333333</v>
      </c>
      <c r="I223" s="28" t="str">
        <f>IF(B223="","",IF(INPUT!J223="","None",INPUT!J223))</f>
        <v>Clicked</v>
      </c>
      <c r="J223" s="28" t="str">
        <f t="shared" si="33"/>
        <v>yash.m346@example.com|partner 003|Round1|interviewer1@partner003.example.com</v>
      </c>
      <c r="K223" s="28" t="str">
        <f>IF(B223="","",IF(SUMPRODUCT(($J$2:$J$601=J223)*($H$2:$H$601&lt;H223))+SUMPRODUCT(($J$2:J223=J223)*($H$2:H223=H223))-1&gt;0,"DUPLICATE",IF(AND(ISNUMBER(SEARCH("@",E223)),ISNUMBER(SEARCH(".",E223)),LEN(F223)=10,ISNUMBER(VALUE(F223))),"OK","BAD CONTACT")))</f>
        <v>OK</v>
      </c>
      <c r="L223" s="28">
        <f t="shared" si="34"/>
        <v>1</v>
      </c>
      <c r="M223" s="28">
        <f>IF(L223=1,IF(COUNTIFS(LOG!$C$2:$C$2001,F223,LOG!$E$2:$E$2001,B223,LOG!$D$2:$D$2001,"*BOOKED")+COUNTIFS(LOG!$C$2:$C$2001,F223,LOG!$E$2:$E$2001,"",LOG!$D$2:$D$2001,"*BOOKED")&gt;0,1,0),0)</f>
        <v>1</v>
      </c>
      <c r="N223" s="28">
        <f>IF(L223=1,IF(COUNTIFS(LOG!$C$2:$C$2001,F223,LOG!$E$2:$E$2001,B223,LOG!$D$2:$D$2001,"NOT_INTERESTED")+COUNTIFS(LOG!$C$2:$C$2001,F223,LOG!$E$2:$E$2001,"",LOG!$D$2:$D$2001,"NOT_INTERESTED")&gt;0,1,0),0)</f>
        <v>0</v>
      </c>
      <c r="O223" s="28">
        <f>IF(L223=1,IF(COUNTIFS(LOG!$C$2:$C$2001,F223,LOG!$D$2:$D$2001,"STOP")+COUNTIFS(LOG!$C$2:$C$2001,F223,LOG!$D$2:$D$2001,"WRONG_NUMBER")&gt;0,1,IF(ISNUMBER(SEARCH("STOP",AT223)),1,0)),0)</f>
        <v>0</v>
      </c>
      <c r="P223" s="28">
        <f>IF(L223=1,IF(IFERROR(INDEX(PARTNERS!$D$2:$D$88,MATCH(B223,PARTNERS!$A$2:$A$88,0)),"")="NO SLOTS",1,IF(AND(IFERROR(INDEX(PARTNERS!$D$2:$D$88,MATCH(B223,PARTNERS!$A$2:$A$88,0)),"")&lt;&gt;"REOPENED",COUNTIFS(LOG!$E$2:$E$2001,B223,LOG!$D$2:$D$2001,"NO_SLOTS")&gt;0),1,0)),0)</f>
        <v>0</v>
      </c>
      <c r="Q223" s="28">
        <f>IF(L223=1,COUNTIFS(LOG!$C$2:$C$2001,F223,LOG!$H$2:$H$2001,1),0)</f>
        <v>2</v>
      </c>
      <c r="R223" s="46">
        <f>IF(Q223&gt;0,_xlfn.MAXIFS(LOG!$G$2:$G$2001,LOG!$C$2:$C$2001,F223,LOG!$H$2:$H$2001,1),0)</f>
        <v>46309.741703402688</v>
      </c>
      <c r="S223" s="28" t="str">
        <f>IF(Q223&gt;0,IFERROR(INDEX(LOG!$D$2:$D$2001,MATCH(F223&amp;"|"&amp;Q223,LOG!$I$2:$I$2001,0)),""),"")</f>
        <v>SENT_LINK</v>
      </c>
      <c r="T223" s="28">
        <f>IF(S223="",0,IFERROR(VLOOKUP(S223,LISTS!$A$2:$E$10,4,FALSE),0))</f>
        <v>180</v>
      </c>
      <c r="U223" s="46">
        <f t="shared" si="35"/>
        <v>46309.866703402688</v>
      </c>
      <c r="V223" s="46">
        <f>IF(L223=1,H223+SETTINGS!$B$5/24,"")</f>
        <v>46309.82708333333</v>
      </c>
      <c r="W223" s="28">
        <f ca="1">IF(L223=1,(V223-SETTINGS!$B$4)*24,"")</f>
        <v>-1.6666666720993817E-2</v>
      </c>
      <c r="X223" s="28">
        <f ca="1">IF(AND(L223=1,K223="OK",M223=0,N223=0,O223=0,P223=0,SETTINGS!$B$4&lt;V223,Q223&lt;SETTINGS!$B$6),1,0)</f>
        <v>0</v>
      </c>
      <c r="Y223" s="28">
        <f ca="1">IF(AND(X223=1,SETTINGS!$B$4&gt;=H223,SETTINGS!$B$4&gt;=U223,ROUND(MOD(SETTINGS!$B$4,1)*1440,0)&gt;=ROUND(SETTINGS!$B$7*1440,0),ROUND(MOD(SETTINGS!$B$4,1)*1440,0)&lt;ROUND(SETTINGS!$B$8*1440,0)),1,0)</f>
        <v>0</v>
      </c>
      <c r="Z223" s="28" t="str">
        <f ca="1">IF(B223="","",IF(ROUND(MOD(SETTINGS!$B$4,1)*1440,0)&lt;ROUND(SETTINGS!$B$11*1440,0),"Ram",IF(ROUND(MOD(SETTINGS!$B$4,1)*1440,0)&gt;=ROUND(SETTINGS!$B$10*1440,0),"Shyam",IF(MOD(IFERROR(VALUE(RIGHT(F223,2)),0),2)=0,"Ram","Shyam"))))</f>
        <v>Shyam</v>
      </c>
      <c r="AA223" s="28">
        <f t="shared" ca="1" si="36"/>
        <v>0</v>
      </c>
      <c r="AB223" s="28">
        <f ca="1">IF(X223=1,COUNTIFS($F$2:F223,F223,$X$2:X223,1),0)</f>
        <v>0</v>
      </c>
      <c r="AC223" s="28" t="str">
        <f>IF(L223=1,IF(IFERROR(INDEX(PARTNERS!$C$2:$C$88,MATCH(B223,PARTNERS!$A$2:$A$88,0)),"")="YES","YES","NO"),"")</f>
        <v>NO</v>
      </c>
      <c r="AD223" s="28" t="str">
        <f>IF(L223=1,IFERROR(INDEX(PARTNERS!$B$2:$B$88,MATCH(B223,PARTNERS!$A$2:$A$88,0)),""),"")</f>
        <v>https://calendly.com/partner003/interview</v>
      </c>
      <c r="AE223" s="28">
        <f ca="1">IF(X223=1,IFERROR(INDEX(SETTINGS!$B$34:$D$36,MATCH(I223,SETTINGS!$A$34:$A$36,0),MIN(Q223,2)+1),SETTINGS!$B$36),0)</f>
        <v>0</v>
      </c>
      <c r="AF223" s="28">
        <f t="shared" si="37"/>
        <v>1</v>
      </c>
      <c r="AG223" s="28">
        <f ca="1">IF(AND(Y223=1,AB223=1),ROUND(AA223*AE223*IF(AF223&gt;1,SETTINGS!$B$16,1)*IF(W223&lt;=SETTINGS!$B$14,SETTINGS!$B$15,1)*IF(AU223=1,SETTINGS!$B$21,1),6),0)</f>
        <v>0</v>
      </c>
      <c r="AH223" s="28" t="str">
        <f ca="1">IF(AG223&gt;0,COUNTIFS($Z$2:$Z$601,Z223,$AG$2:$AG$601,"&gt;"&amp;AG223)+COUNTIFS($Z$2:Z223,Z223,$AG$2:AG223,AG223),"")</f>
        <v/>
      </c>
      <c r="AI223" s="28" t="str">
        <f t="shared" ca="1" si="38"/>
        <v/>
      </c>
      <c r="AJ223" s="28" t="str">
        <f t="shared" ca="1" si="39"/>
        <v/>
      </c>
      <c r="AK223" s="28">
        <f>IF(L223=1,IF(COUNTIFS($F$2:F223,F223,$L$2:L223,1)=1,1,0),0)</f>
        <v>1</v>
      </c>
      <c r="AL223" s="28" t="str">
        <f>IF(B223="","",IF(K223="DUPLICATE","Duplicate (removed)",IF(AO223=1,"Scheduled within 24h",IF(M223=1,"Scheduled late",IF(K223="BAD CONTACT","Bad contact details",IF(O223=1,"Stopped / wrong number",IF(N223=1,"Not interested",IF(P223=1,"Partner has no slots",IF(SETTINGS!$B$4&gt;=V223,IF(Q223=0,"Missed deadline: never tried","Missed deadline: tried, not booked"),IF(Q223&gt;=SETTINGS!$B$6,"No reply after max tries","Open"))))))))))</f>
        <v>Scheduled within 24h</v>
      </c>
      <c r="AM223" s="46">
        <f>IF(M223=1,IF(_xlfn.MINIFS(LOG!$G$2:$G$2001,LOG!$C$2:$C$2001,F223,LOG!$E$2:$E$2001,B223,LOG!$D$2:$D$2001,"*BOOKED")=0,_xlfn.MINIFS(LOG!$G$2:$G$2001,LOG!$C$2:$C$2001,F223,LOG!$E$2:$E$2001,"",LOG!$D$2:$D$2001,"*BOOKED"),IF(_xlfn.MINIFS(LOG!$G$2:$G$2001,LOG!$C$2:$C$2001,F223,LOG!$E$2:$E$2001,"",LOG!$D$2:$D$2001,"*BOOKED")=0,_xlfn.MINIFS(LOG!$G$2:$G$2001,LOG!$C$2:$C$2001,F223,LOG!$E$2:$E$2001,B223,LOG!$D$2:$D$2001,"*BOOKED"),MIN(_xlfn.MINIFS(LOG!$G$2:$G$2001,LOG!$C$2:$C$2001,F223,LOG!$E$2:$E$2001,B223,LOG!$D$2:$D$2001,"*BOOKED"),_xlfn.MINIFS(LOG!$G$2:$G$2001,LOG!$C$2:$C$2001,F223,LOG!$E$2:$E$2001,"",LOG!$D$2:$D$2001,"*BOOKED")))),"")</f>
        <v>46309.789401061491</v>
      </c>
      <c r="AN223" s="28">
        <f t="shared" si="40"/>
        <v>23.095625475863926</v>
      </c>
      <c r="AO223" s="28">
        <f>IF(AND(M223=1,AN223&lt;&gt;""),IF(AN223&lt;=SETTINGS!$B$5,1,0),0)</f>
        <v>1</v>
      </c>
      <c r="AP223" s="28">
        <f>IF(M223=1,IF(COUNTIFS(LOG!$C$2:$C$2001,F223,LOG!$E$2:$E$2001,B223,LOG!$D$2:$D$2001,"BOOKED")+COUNTIFS(LOG!$C$2:$C$2001,F223,LOG!$E$2:$E$2001,"",LOG!$D$2:$D$2001,"BOOKED")&gt;0,1,0),0)</f>
        <v>0</v>
      </c>
      <c r="AQ223" s="28" t="str">
        <f t="shared" si="41"/>
        <v>Yash</v>
      </c>
      <c r="AR223" s="28">
        <f>IF(AND(AK223=1,K223="OK"),COUNTIFS($AK$2:AK223,1,$K$2:K223,"OK"),"")</f>
        <v>196</v>
      </c>
      <c r="AS223" s="28" t="str">
        <f>IF(L223=1,IFERROR(INDEX(MESSAGES!$J$9:$J$1008,MATCH(F223,MESSAGES!$M$9:$M$1008,0))&amp;"",""),"")</f>
        <v/>
      </c>
      <c r="AT223" s="28" t="str">
        <f>IF(L223=1,IFERROR(INDEX(MESSAGES!$K$9:$K$1008,MATCH(F223,MESSAGES!$M$9:$M$1008,0))&amp;"",""),"")</f>
        <v/>
      </c>
      <c r="AU223" s="28">
        <f t="shared" ca="1" si="42"/>
        <v>0</v>
      </c>
      <c r="AV223" s="28" t="str">
        <f t="shared" si="43"/>
        <v>SEND</v>
      </c>
    </row>
    <row r="224" spans="1:48" x14ac:dyDescent="0.35">
      <c r="A224" s="28">
        <v>223</v>
      </c>
      <c r="B224" s="28" t="str">
        <f>IF(INPUT!A224="","",TRIM(INPUT!A224))</f>
        <v>Partner 036</v>
      </c>
      <c r="C224" s="28" t="str">
        <f>IF(B224="","",INPUT!C224)</f>
        <v>interviewer1@partner036.example.com</v>
      </c>
      <c r="D224" s="28" t="str">
        <f>IF(B224="","",INPUT!D224)</f>
        <v>Riya L.</v>
      </c>
      <c r="E224" s="28" t="str">
        <f>IF(B224="","",INPUT!E224)</f>
        <v>riya.l319@example.com</v>
      </c>
      <c r="F224" s="43" t="str">
        <f>IF(B224="","",TRIM(INPUT!F224&amp;""))</f>
        <v>9000004154</v>
      </c>
      <c r="G224" s="28" t="str">
        <f>IF(B224="","",INPUT!H224)</f>
        <v>Round1</v>
      </c>
      <c r="H224" s="46">
        <f>IF(B224="","",INPUT!I224)</f>
        <v>46308.82708333333</v>
      </c>
      <c r="I224" s="28" t="str">
        <f>IF(B224="","",IF(INPUT!J224="","None",INPUT!J224))</f>
        <v>Clicked</v>
      </c>
      <c r="J224" s="28" t="str">
        <f t="shared" si="33"/>
        <v>riya.l319@example.com|partner 036|Round1|interviewer1@partner036.example.com</v>
      </c>
      <c r="K224" s="28" t="str">
        <f>IF(B224="","",IF(SUMPRODUCT(($J$2:$J$601=J224)*($H$2:$H$601&lt;H224))+SUMPRODUCT(($J$2:J224=J224)*($H$2:H224=H224))-1&gt;0,"DUPLICATE",IF(AND(ISNUMBER(SEARCH("@",E224)),ISNUMBER(SEARCH(".",E224)),LEN(F224)=10,ISNUMBER(VALUE(F224))),"OK","BAD CONTACT")))</f>
        <v>OK</v>
      </c>
      <c r="L224" s="28">
        <f t="shared" si="34"/>
        <v>1</v>
      </c>
      <c r="M224" s="28">
        <f>IF(L224=1,IF(COUNTIFS(LOG!$C$2:$C$2001,F224,LOG!$E$2:$E$2001,B224,LOG!$D$2:$D$2001,"*BOOKED")+COUNTIFS(LOG!$C$2:$C$2001,F224,LOG!$E$2:$E$2001,"",LOG!$D$2:$D$2001,"*BOOKED")&gt;0,1,0),0)</f>
        <v>1</v>
      </c>
      <c r="N224" s="28">
        <f>IF(L224=1,IF(COUNTIFS(LOG!$C$2:$C$2001,F224,LOG!$E$2:$E$2001,B224,LOG!$D$2:$D$2001,"NOT_INTERESTED")+COUNTIFS(LOG!$C$2:$C$2001,F224,LOG!$E$2:$E$2001,"",LOG!$D$2:$D$2001,"NOT_INTERESTED")&gt;0,1,0),0)</f>
        <v>0</v>
      </c>
      <c r="O224" s="28">
        <f>IF(L224=1,IF(COUNTIFS(LOG!$C$2:$C$2001,F224,LOG!$D$2:$D$2001,"STOP")+COUNTIFS(LOG!$C$2:$C$2001,F224,LOG!$D$2:$D$2001,"WRONG_NUMBER")&gt;0,1,IF(ISNUMBER(SEARCH("STOP",AT224)),1,0)),0)</f>
        <v>0</v>
      </c>
      <c r="P224" s="28">
        <f>IF(L224=1,IF(IFERROR(INDEX(PARTNERS!$D$2:$D$88,MATCH(B224,PARTNERS!$A$2:$A$88,0)),"")="NO SLOTS",1,IF(AND(IFERROR(INDEX(PARTNERS!$D$2:$D$88,MATCH(B224,PARTNERS!$A$2:$A$88,0)),"")&lt;&gt;"REOPENED",COUNTIFS(LOG!$E$2:$E$2001,B224,LOG!$D$2:$D$2001,"NO_SLOTS")&gt;0),1,0)),0)</f>
        <v>0</v>
      </c>
      <c r="Q224" s="28">
        <f>IF(L224=1,COUNTIFS(LOG!$C$2:$C$2001,F224,LOG!$H$2:$H$2001,1),0)</f>
        <v>1</v>
      </c>
      <c r="R224" s="46">
        <f>IF(Q224&gt;0,_xlfn.MAXIFS(LOG!$G$2:$G$2001,LOG!$C$2:$C$2001,F224,LOG!$H$2:$H$2001,1),0)</f>
        <v>46309.601881780021</v>
      </c>
      <c r="S224" s="28" t="str">
        <f>IF(Q224&gt;0,IFERROR(INDEX(LOG!$D$2:$D$2001,MATCH(F224&amp;"|"&amp;Q224,LOG!$I$2:$I$2001,0)),""),"")</f>
        <v>BOOKED</v>
      </c>
      <c r="T224" s="28">
        <f>IF(S224="",0,IFERROR(VLOOKUP(S224,LISTS!$A$2:$E$10,4,FALSE),0))</f>
        <v>0</v>
      </c>
      <c r="U224" s="46">
        <f t="shared" si="35"/>
        <v>46309.601881780021</v>
      </c>
      <c r="V224" s="46">
        <f>IF(L224=1,H224+SETTINGS!$B$5/24,"")</f>
        <v>46309.82708333333</v>
      </c>
      <c r="W224" s="28">
        <f ca="1">IF(L224=1,(V224-SETTINGS!$B$4)*24,"")</f>
        <v>-1.6666666720993817E-2</v>
      </c>
      <c r="X224" s="28">
        <f ca="1">IF(AND(L224=1,K224="OK",M224=0,N224=0,O224=0,P224=0,SETTINGS!$B$4&lt;V224,Q224&lt;SETTINGS!$B$6),1,0)</f>
        <v>0</v>
      </c>
      <c r="Y224" s="28">
        <f ca="1">IF(AND(X224=1,SETTINGS!$B$4&gt;=H224,SETTINGS!$B$4&gt;=U224,ROUND(MOD(SETTINGS!$B$4,1)*1440,0)&gt;=ROUND(SETTINGS!$B$7*1440,0),ROUND(MOD(SETTINGS!$B$4,1)*1440,0)&lt;ROUND(SETTINGS!$B$8*1440,0)),1,0)</f>
        <v>0</v>
      </c>
      <c r="Z224" s="28" t="str">
        <f ca="1">IF(B224="","",IF(ROUND(MOD(SETTINGS!$B$4,1)*1440,0)&lt;ROUND(SETTINGS!$B$11*1440,0),"Ram",IF(ROUND(MOD(SETTINGS!$B$4,1)*1440,0)&gt;=ROUND(SETTINGS!$B$10*1440,0),"Shyam",IF(MOD(IFERROR(VALUE(RIGHT(F224,2)),0),2)=0,"Ram","Shyam"))))</f>
        <v>Shyam</v>
      </c>
      <c r="AA224" s="28">
        <f t="shared" ca="1" si="36"/>
        <v>0</v>
      </c>
      <c r="AB224" s="28">
        <f ca="1">IF(X224=1,COUNTIFS($F$2:F224,F224,$X$2:X224,1),0)</f>
        <v>0</v>
      </c>
      <c r="AC224" s="28" t="str">
        <f>IF(L224=1,IF(IFERROR(INDEX(PARTNERS!$C$2:$C$88,MATCH(B224,PARTNERS!$A$2:$A$88,0)),"")="YES","YES","NO"),"")</f>
        <v>YES</v>
      </c>
      <c r="AD224" s="28" t="str">
        <f>IF(L224=1,IFERROR(INDEX(PARTNERS!$B$2:$B$88,MATCH(B224,PARTNERS!$A$2:$A$88,0)),""),"")</f>
        <v>https://calendly.com/partner036/interview</v>
      </c>
      <c r="AE224" s="28">
        <f ca="1">IF(X224=1,IFERROR(INDEX(SETTINGS!$B$34:$D$36,MATCH(I224,SETTINGS!$A$34:$A$36,0),MIN(Q224,2)+1),SETTINGS!$B$36),0)</f>
        <v>0</v>
      </c>
      <c r="AF224" s="28">
        <f t="shared" si="37"/>
        <v>1</v>
      </c>
      <c r="AG224" s="28">
        <f ca="1">IF(AND(Y224=1,AB224=1),ROUND(AA224*AE224*IF(AF224&gt;1,SETTINGS!$B$16,1)*IF(W224&lt;=SETTINGS!$B$14,SETTINGS!$B$15,1)*IF(AU224=1,SETTINGS!$B$21,1),6),0)</f>
        <v>0</v>
      </c>
      <c r="AH224" s="28" t="str">
        <f ca="1">IF(AG224&gt;0,COUNTIFS($Z$2:$Z$601,Z224,$AG$2:$AG$601,"&gt;"&amp;AG224)+COUNTIFS($Z$2:Z224,Z224,$AG$2:AG224,AG224),"")</f>
        <v/>
      </c>
      <c r="AI224" s="28" t="str">
        <f t="shared" ca="1" si="38"/>
        <v/>
      </c>
      <c r="AJ224" s="28" t="str">
        <f t="shared" ca="1" si="39"/>
        <v/>
      </c>
      <c r="AK224" s="28">
        <f>IF(L224=1,IF(COUNTIFS($F$2:F224,F224,$L$2:L224,1)=1,1,0),0)</f>
        <v>1</v>
      </c>
      <c r="AL224" s="28" t="str">
        <f>IF(B224="","",IF(K224="DUPLICATE","Duplicate (removed)",IF(AO224=1,"Scheduled within 24h",IF(M224=1,"Scheduled late",IF(K224="BAD CONTACT","Bad contact details",IF(O224=1,"Stopped / wrong number",IF(N224=1,"Not interested",IF(P224=1,"Partner has no slots",IF(SETTINGS!$B$4&gt;=V224,IF(Q224=0,"Missed deadline: never tried","Missed deadline: tried, not booked"),IF(Q224&gt;=SETTINGS!$B$6,"No reply after max tries","Open"))))))))))</f>
        <v>Scheduled within 24h</v>
      </c>
      <c r="AM224" s="46">
        <f>IF(M224=1,IF(_xlfn.MINIFS(LOG!$G$2:$G$2001,LOG!$C$2:$C$2001,F224,LOG!$E$2:$E$2001,B224,LOG!$D$2:$D$2001,"*BOOKED")=0,_xlfn.MINIFS(LOG!$G$2:$G$2001,LOG!$C$2:$C$2001,F224,LOG!$E$2:$E$2001,"",LOG!$D$2:$D$2001,"*BOOKED"),IF(_xlfn.MINIFS(LOG!$G$2:$G$2001,LOG!$C$2:$C$2001,F224,LOG!$E$2:$E$2001,"",LOG!$D$2:$D$2001,"*BOOKED")=0,_xlfn.MINIFS(LOG!$G$2:$G$2001,LOG!$C$2:$C$2001,F224,LOG!$E$2:$E$2001,B224,LOG!$D$2:$D$2001,"*BOOKED"),MIN(_xlfn.MINIFS(LOG!$G$2:$G$2001,LOG!$C$2:$C$2001,F224,LOG!$E$2:$E$2001,B224,LOG!$D$2:$D$2001,"*BOOKED"),_xlfn.MINIFS(LOG!$G$2:$G$2001,LOG!$C$2:$C$2001,F224,LOG!$E$2:$E$2001,"",LOG!$D$2:$D$2001,"*BOOKED")))),"")</f>
        <v>46309.601881780021</v>
      </c>
      <c r="AN224" s="28">
        <f t="shared" si="40"/>
        <v>18.595162720594089</v>
      </c>
      <c r="AO224" s="28">
        <f>IF(AND(M224=1,AN224&lt;&gt;""),IF(AN224&lt;=SETTINGS!$B$5,1,0),0)</f>
        <v>1</v>
      </c>
      <c r="AP224" s="28">
        <f>IF(M224=1,IF(COUNTIFS(LOG!$C$2:$C$2001,F224,LOG!$E$2:$E$2001,B224,LOG!$D$2:$D$2001,"BOOKED")+COUNTIFS(LOG!$C$2:$C$2001,F224,LOG!$E$2:$E$2001,"",LOG!$D$2:$D$2001,"BOOKED")&gt;0,1,0),0)</f>
        <v>1</v>
      </c>
      <c r="AQ224" s="28" t="str">
        <f t="shared" si="41"/>
        <v>Riya</v>
      </c>
      <c r="AR224" s="28">
        <f>IF(AND(AK224=1,K224="OK"),COUNTIFS($AK$2:AK224,1,$K$2:K224,"OK"),"")</f>
        <v>197</v>
      </c>
      <c r="AS224" s="28" t="str">
        <f>IF(L224=1,IFERROR(INDEX(MESSAGES!$J$9:$J$1008,MATCH(F224,MESSAGES!$M$9:$M$1008,0))&amp;"",""),"")</f>
        <v/>
      </c>
      <c r="AT224" s="28" t="str">
        <f>IF(L224=1,IFERROR(INDEX(MESSAGES!$K$9:$K$1008,MATCH(F224,MESSAGES!$M$9:$M$1008,0))&amp;"",""),"")</f>
        <v/>
      </c>
      <c r="AU224" s="28">
        <f t="shared" ca="1" si="42"/>
        <v>0</v>
      </c>
      <c r="AV224" s="28" t="str">
        <f t="shared" si="43"/>
        <v>HOLD</v>
      </c>
    </row>
    <row r="225" spans="1:48" x14ac:dyDescent="0.35">
      <c r="A225" s="28">
        <v>224</v>
      </c>
      <c r="B225" s="28" t="str">
        <f>IF(INPUT!A225="","",TRIM(INPUT!A225))</f>
        <v>Partner 013</v>
      </c>
      <c r="C225" s="28" t="str">
        <f>IF(B225="","",INPUT!C225)</f>
        <v>interviewer2@partner013.example.com</v>
      </c>
      <c r="D225" s="28" t="str">
        <f>IF(B225="","",INPUT!D225)</f>
        <v>Navya E.</v>
      </c>
      <c r="E225" s="28" t="str">
        <f>IF(B225="","",INPUT!E225)</f>
        <v>navya.e133@example.com</v>
      </c>
      <c r="F225" s="43" t="str">
        <f>IF(B225="","",TRIM(INPUT!F225&amp;""))</f>
        <v>9000001736</v>
      </c>
      <c r="G225" s="28" t="str">
        <f>IF(B225="","",INPUT!H225)</f>
        <v>Round1</v>
      </c>
      <c r="H225" s="46">
        <f>IF(B225="","",INPUT!I225)</f>
        <v>46308.827777777777</v>
      </c>
      <c r="I225" s="28" t="str">
        <f>IF(B225="","",IF(INPUT!J225="","None",INPUT!J225))</f>
        <v>Clicked</v>
      </c>
      <c r="J225" s="28" t="str">
        <f t="shared" si="33"/>
        <v>navya.e133@example.com|partner 013|Round1|interviewer2@partner013.example.com</v>
      </c>
      <c r="K225" s="28" t="str">
        <f>IF(B225="","",IF(SUMPRODUCT(($J$2:$J$601=J225)*($H$2:$H$601&lt;H225))+SUMPRODUCT(($J$2:J225=J225)*($H$2:H225=H225))-1&gt;0,"DUPLICATE",IF(AND(ISNUMBER(SEARCH("@",E225)),ISNUMBER(SEARCH(".",E225)),LEN(F225)=10,ISNUMBER(VALUE(F225))),"OK","BAD CONTACT")))</f>
        <v>DUPLICATE</v>
      </c>
      <c r="L225" s="28">
        <f t="shared" si="34"/>
        <v>0</v>
      </c>
      <c r="M225" s="28">
        <f>IF(L225=1,IF(COUNTIFS(LOG!$C$2:$C$2001,F225,LOG!$E$2:$E$2001,B225,LOG!$D$2:$D$2001,"*BOOKED")+COUNTIFS(LOG!$C$2:$C$2001,F225,LOG!$E$2:$E$2001,"",LOG!$D$2:$D$2001,"*BOOKED")&gt;0,1,0),0)</f>
        <v>0</v>
      </c>
      <c r="N225" s="28">
        <f>IF(L225=1,IF(COUNTIFS(LOG!$C$2:$C$2001,F225,LOG!$E$2:$E$2001,B225,LOG!$D$2:$D$2001,"NOT_INTERESTED")+COUNTIFS(LOG!$C$2:$C$2001,F225,LOG!$E$2:$E$2001,"",LOG!$D$2:$D$2001,"NOT_INTERESTED")&gt;0,1,0),0)</f>
        <v>0</v>
      </c>
      <c r="O225" s="28">
        <f>IF(L225=1,IF(COUNTIFS(LOG!$C$2:$C$2001,F225,LOG!$D$2:$D$2001,"STOP")+COUNTIFS(LOG!$C$2:$C$2001,F225,LOG!$D$2:$D$2001,"WRONG_NUMBER")&gt;0,1,IF(ISNUMBER(SEARCH("STOP",AT225)),1,0)),0)</f>
        <v>0</v>
      </c>
      <c r="P225" s="28">
        <f>IF(L225=1,IF(IFERROR(INDEX(PARTNERS!$D$2:$D$88,MATCH(B225,PARTNERS!$A$2:$A$88,0)),"")="NO SLOTS",1,IF(AND(IFERROR(INDEX(PARTNERS!$D$2:$D$88,MATCH(B225,PARTNERS!$A$2:$A$88,0)),"")&lt;&gt;"REOPENED",COUNTIFS(LOG!$E$2:$E$2001,B225,LOG!$D$2:$D$2001,"NO_SLOTS")&gt;0),1,0)),0)</f>
        <v>0</v>
      </c>
      <c r="Q225" s="28">
        <f>IF(L225=1,COUNTIFS(LOG!$C$2:$C$2001,F225,LOG!$H$2:$H$2001,1),0)</f>
        <v>0</v>
      </c>
      <c r="R225" s="46">
        <f>IF(Q225&gt;0,_xlfn.MAXIFS(LOG!$G$2:$G$2001,LOG!$C$2:$C$2001,F225,LOG!$H$2:$H$2001,1),0)</f>
        <v>0</v>
      </c>
      <c r="S225" s="28" t="str">
        <f>IF(Q225&gt;0,IFERROR(INDEX(LOG!$D$2:$D$2001,MATCH(F225&amp;"|"&amp;Q225,LOG!$I$2:$I$2001,0)),""),"")</f>
        <v/>
      </c>
      <c r="T225" s="28">
        <f>IF(S225="",0,IFERROR(VLOOKUP(S225,LISTS!$A$2:$E$10,4,FALSE),0))</f>
        <v>0</v>
      </c>
      <c r="U225" s="46">
        <f t="shared" si="35"/>
        <v>0</v>
      </c>
      <c r="V225" s="46" t="str">
        <f>IF(L225=1,H225+SETTINGS!$B$5/24,"")</f>
        <v/>
      </c>
      <c r="W225" s="28" t="str">
        <f>IF(L225=1,(V225-SETTINGS!$B$4)*24,"")</f>
        <v/>
      </c>
      <c r="X225" s="28">
        <f ca="1">IF(AND(L225=1,K225="OK",M225=0,N225=0,O225=0,P225=0,SETTINGS!$B$4&lt;V225,Q225&lt;SETTINGS!$B$6),1,0)</f>
        <v>0</v>
      </c>
      <c r="Y225" s="28">
        <f ca="1">IF(AND(X225=1,SETTINGS!$B$4&gt;=H225,SETTINGS!$B$4&gt;=U225,ROUND(MOD(SETTINGS!$B$4,1)*1440,0)&gt;=ROUND(SETTINGS!$B$7*1440,0),ROUND(MOD(SETTINGS!$B$4,1)*1440,0)&lt;ROUND(SETTINGS!$B$8*1440,0)),1,0)</f>
        <v>0</v>
      </c>
      <c r="Z225" s="28" t="str">
        <f ca="1">IF(B225="","",IF(ROUND(MOD(SETTINGS!$B$4,1)*1440,0)&lt;ROUND(SETTINGS!$B$11*1440,0),"Ram",IF(ROUND(MOD(SETTINGS!$B$4,1)*1440,0)&gt;=ROUND(SETTINGS!$B$10*1440,0),"Shyam",IF(MOD(IFERROR(VALUE(RIGHT(F225,2)),0),2)=0,"Ram","Shyam"))))</f>
        <v>Shyam</v>
      </c>
      <c r="AA225" s="28">
        <f t="shared" ca="1" si="36"/>
        <v>0</v>
      </c>
      <c r="AB225" s="28">
        <f ca="1">IF(X225=1,COUNTIFS($F$2:F225,F225,$X$2:X225,1),0)</f>
        <v>0</v>
      </c>
      <c r="AC225" s="28" t="str">
        <f>IF(L225=1,IF(IFERROR(INDEX(PARTNERS!$C$2:$C$88,MATCH(B225,PARTNERS!$A$2:$A$88,0)),"")="YES","YES","NO"),"")</f>
        <v/>
      </c>
      <c r="AD225" s="28" t="str">
        <f>IF(L225=1,IFERROR(INDEX(PARTNERS!$B$2:$B$88,MATCH(B225,PARTNERS!$A$2:$A$88,0)),""),"")</f>
        <v/>
      </c>
      <c r="AE225" s="28">
        <f ca="1">IF(X225=1,IFERROR(INDEX(SETTINGS!$B$34:$D$36,MATCH(I225,SETTINGS!$A$34:$A$36,0),MIN(Q225,2)+1),SETTINGS!$B$36),0)</f>
        <v>0</v>
      </c>
      <c r="AF225" s="28">
        <f t="shared" si="37"/>
        <v>0</v>
      </c>
      <c r="AG225" s="28">
        <f ca="1">IF(AND(Y225=1,AB225=1),ROUND(AA225*AE225*IF(AF225&gt;1,SETTINGS!$B$16,1)*IF(W225&lt;=SETTINGS!$B$14,SETTINGS!$B$15,1)*IF(AU225=1,SETTINGS!$B$21,1),6),0)</f>
        <v>0</v>
      </c>
      <c r="AH225" s="28" t="str">
        <f ca="1">IF(AG225&gt;0,COUNTIFS($Z$2:$Z$601,Z225,$AG$2:$AG$601,"&gt;"&amp;AG225)+COUNTIFS($Z$2:Z225,Z225,$AG$2:AG225,AG225),"")</f>
        <v/>
      </c>
      <c r="AI225" s="28" t="str">
        <f t="shared" ca="1" si="38"/>
        <v/>
      </c>
      <c r="AJ225" s="28" t="str">
        <f t="shared" ca="1" si="39"/>
        <v/>
      </c>
      <c r="AK225" s="28">
        <f>IF(L225=1,IF(COUNTIFS($F$2:F225,F225,$L$2:L225,1)=1,1,0),0)</f>
        <v>0</v>
      </c>
      <c r="AL225" s="28" t="str">
        <f>IF(B225="","",IF(K225="DUPLICATE","Duplicate (removed)",IF(AO225=1,"Scheduled within 24h",IF(M225=1,"Scheduled late",IF(K225="BAD CONTACT","Bad contact details",IF(O225=1,"Stopped / wrong number",IF(N225=1,"Not interested",IF(P225=1,"Partner has no slots",IF(SETTINGS!$B$4&gt;=V225,IF(Q225=0,"Missed deadline: never tried","Missed deadline: tried, not booked"),IF(Q225&gt;=SETTINGS!$B$6,"No reply after max tries","Open"))))))))))</f>
        <v>Duplicate (removed)</v>
      </c>
      <c r="AM225" s="46" t="str">
        <f>IF(M225=1,IF(_xlfn.MINIFS(LOG!$G$2:$G$2001,LOG!$C$2:$C$2001,F225,LOG!$E$2:$E$2001,B225,LOG!$D$2:$D$2001,"*BOOKED")=0,_xlfn.MINIFS(LOG!$G$2:$G$2001,LOG!$C$2:$C$2001,F225,LOG!$E$2:$E$2001,"",LOG!$D$2:$D$2001,"*BOOKED"),IF(_xlfn.MINIFS(LOG!$G$2:$G$2001,LOG!$C$2:$C$2001,F225,LOG!$E$2:$E$2001,"",LOG!$D$2:$D$2001,"*BOOKED")=0,_xlfn.MINIFS(LOG!$G$2:$G$2001,LOG!$C$2:$C$2001,F225,LOG!$E$2:$E$2001,B225,LOG!$D$2:$D$2001,"*BOOKED"),MIN(_xlfn.MINIFS(LOG!$G$2:$G$2001,LOG!$C$2:$C$2001,F225,LOG!$E$2:$E$2001,B225,LOG!$D$2:$D$2001,"*BOOKED"),_xlfn.MINIFS(LOG!$G$2:$G$2001,LOG!$C$2:$C$2001,F225,LOG!$E$2:$E$2001,"",LOG!$D$2:$D$2001,"*BOOKED")))),"")</f>
        <v/>
      </c>
      <c r="AN225" s="28" t="str">
        <f t="shared" si="40"/>
        <v/>
      </c>
      <c r="AO225" s="28">
        <f>IF(AND(M225=1,AN225&lt;&gt;""),IF(AN225&lt;=SETTINGS!$B$5,1,0),0)</f>
        <v>0</v>
      </c>
      <c r="AP225" s="28">
        <f>IF(M225=1,IF(COUNTIFS(LOG!$C$2:$C$2001,F225,LOG!$E$2:$E$2001,B225,LOG!$D$2:$D$2001,"BOOKED")+COUNTIFS(LOG!$C$2:$C$2001,F225,LOG!$E$2:$E$2001,"",LOG!$D$2:$D$2001,"BOOKED")&gt;0,1,0),0)</f>
        <v>0</v>
      </c>
      <c r="AQ225" s="28" t="str">
        <f t="shared" si="41"/>
        <v>Navya</v>
      </c>
      <c r="AR225" s="28" t="str">
        <f>IF(AND(AK225=1,K225="OK"),COUNTIFS($AK$2:AK225,1,$K$2:K225,"OK"),"")</f>
        <v/>
      </c>
      <c r="AS225" s="28" t="str">
        <f>IF(L225=1,IFERROR(INDEX(MESSAGES!$J$9:$J$1008,MATCH(F225,MESSAGES!$M$9:$M$1008,0))&amp;"",""),"")</f>
        <v/>
      </c>
      <c r="AT225" s="28" t="str">
        <f>IF(L225=1,IFERROR(INDEX(MESSAGES!$K$9:$K$1008,MATCH(F225,MESSAGES!$M$9:$M$1008,0))&amp;"",""),"")</f>
        <v/>
      </c>
      <c r="AU225" s="28">
        <f t="shared" ca="1" si="42"/>
        <v>0</v>
      </c>
      <c r="AV225" s="28" t="str">
        <f t="shared" si="43"/>
        <v/>
      </c>
    </row>
    <row r="226" spans="1:48" x14ac:dyDescent="0.35">
      <c r="A226" s="28">
        <v>225</v>
      </c>
      <c r="B226" s="28" t="str">
        <f>IF(INPUT!A226="","",TRIM(INPUT!A226))</f>
        <v>Partner 094</v>
      </c>
      <c r="C226" s="28" t="str">
        <f>IF(B226="","",INPUT!C226)</f>
        <v>interviewer2@partner094.example.com</v>
      </c>
      <c r="D226" s="28" t="str">
        <f>IF(B226="","",INPUT!D226)</f>
        <v>Yash P.</v>
      </c>
      <c r="E226" s="28" t="str">
        <f>IF(B226="","",INPUT!E226)</f>
        <v>yash.p406@example.com</v>
      </c>
      <c r="F226" s="43" t="str">
        <f>IF(B226="","",TRIM(INPUT!F226&amp;""))</f>
        <v>9000005285</v>
      </c>
      <c r="G226" s="28" t="str">
        <f>IF(B226="","",INPUT!H226)</f>
        <v>Round1</v>
      </c>
      <c r="H226" s="46">
        <f>IF(B226="","",INPUT!I226)</f>
        <v>46308.82708333333</v>
      </c>
      <c r="I226" s="28" t="str">
        <f>IF(B226="","",IF(INPUT!J226="","None",INPUT!J226))</f>
        <v>Opened</v>
      </c>
      <c r="J226" s="28" t="str">
        <f t="shared" si="33"/>
        <v>yash.p406@example.com|partner 094|Round1|interviewer2@partner094.example.com</v>
      </c>
      <c r="K226" s="28" t="str">
        <f>IF(B226="","",IF(SUMPRODUCT(($J$2:$J$601=J226)*($H$2:$H$601&lt;H226))+SUMPRODUCT(($J$2:J226=J226)*($H$2:H226=H226))-1&gt;0,"DUPLICATE",IF(AND(ISNUMBER(SEARCH("@",E226)),ISNUMBER(SEARCH(".",E226)),LEN(F226)=10,ISNUMBER(VALUE(F226))),"OK","BAD CONTACT")))</f>
        <v>OK</v>
      </c>
      <c r="L226" s="28">
        <f t="shared" si="34"/>
        <v>1</v>
      </c>
      <c r="M226" s="28">
        <f>IF(L226=1,IF(COUNTIFS(LOG!$C$2:$C$2001,F226,LOG!$E$2:$E$2001,B226,LOG!$D$2:$D$2001,"*BOOKED")+COUNTIFS(LOG!$C$2:$C$2001,F226,LOG!$E$2:$E$2001,"",LOG!$D$2:$D$2001,"*BOOKED")&gt;0,1,0),0)</f>
        <v>0</v>
      </c>
      <c r="N226" s="28">
        <f>IF(L226=1,IF(COUNTIFS(LOG!$C$2:$C$2001,F226,LOG!$E$2:$E$2001,B226,LOG!$D$2:$D$2001,"NOT_INTERESTED")+COUNTIFS(LOG!$C$2:$C$2001,F226,LOG!$E$2:$E$2001,"",LOG!$D$2:$D$2001,"NOT_INTERESTED")&gt;0,1,0),0)</f>
        <v>0</v>
      </c>
      <c r="O226" s="28">
        <f>IF(L226=1,IF(COUNTIFS(LOG!$C$2:$C$2001,F226,LOG!$D$2:$D$2001,"STOP")+COUNTIFS(LOG!$C$2:$C$2001,F226,LOG!$D$2:$D$2001,"WRONG_NUMBER")&gt;0,1,IF(ISNUMBER(SEARCH("STOP",AT226)),1,0)),0)</f>
        <v>0</v>
      </c>
      <c r="P226" s="28">
        <f>IF(L226=1,IF(IFERROR(INDEX(PARTNERS!$D$2:$D$88,MATCH(B226,PARTNERS!$A$2:$A$88,0)),"")="NO SLOTS",1,IF(AND(IFERROR(INDEX(PARTNERS!$D$2:$D$88,MATCH(B226,PARTNERS!$A$2:$A$88,0)),"")&lt;&gt;"REOPENED",COUNTIFS(LOG!$E$2:$E$2001,B226,LOG!$D$2:$D$2001,"NO_SLOTS")&gt;0),1,0)),0)</f>
        <v>0</v>
      </c>
      <c r="Q226" s="28">
        <f>IF(L226=1,COUNTIFS(LOG!$C$2:$C$2001,F226,LOG!$H$2:$H$2001,1),0)</f>
        <v>0</v>
      </c>
      <c r="R226" s="46">
        <f>IF(Q226&gt;0,_xlfn.MAXIFS(LOG!$G$2:$G$2001,LOG!$C$2:$C$2001,F226,LOG!$H$2:$H$2001,1),0)</f>
        <v>0</v>
      </c>
      <c r="S226" s="28" t="str">
        <f>IF(Q226&gt;0,IFERROR(INDEX(LOG!$D$2:$D$2001,MATCH(F226&amp;"|"&amp;Q226,LOG!$I$2:$I$2001,0)),""),"")</f>
        <v/>
      </c>
      <c r="T226" s="28">
        <f>IF(S226="",0,IFERROR(VLOOKUP(S226,LISTS!$A$2:$E$10,4,FALSE),0))</f>
        <v>0</v>
      </c>
      <c r="U226" s="46">
        <f t="shared" si="35"/>
        <v>0</v>
      </c>
      <c r="V226" s="46">
        <f>IF(L226=1,H226+SETTINGS!$B$5/24,"")</f>
        <v>46309.82708333333</v>
      </c>
      <c r="W226" s="28">
        <f ca="1">IF(L226=1,(V226-SETTINGS!$B$4)*24,"")</f>
        <v>-1.6666666720993817E-2</v>
      </c>
      <c r="X226" s="28">
        <f ca="1">IF(AND(L226=1,K226="OK",M226=0,N226=0,O226=0,P226=0,SETTINGS!$B$4&lt;V226,Q226&lt;SETTINGS!$B$6),1,0)</f>
        <v>0</v>
      </c>
      <c r="Y226" s="28">
        <f ca="1">IF(AND(X226=1,SETTINGS!$B$4&gt;=H226,SETTINGS!$B$4&gt;=U226,ROUND(MOD(SETTINGS!$B$4,1)*1440,0)&gt;=ROUND(SETTINGS!$B$7*1440,0),ROUND(MOD(SETTINGS!$B$4,1)*1440,0)&lt;ROUND(SETTINGS!$B$8*1440,0)),1,0)</f>
        <v>0</v>
      </c>
      <c r="Z226" s="28" t="str">
        <f ca="1">IF(B226="","",IF(ROUND(MOD(SETTINGS!$B$4,1)*1440,0)&lt;ROUND(SETTINGS!$B$11*1440,0),"Ram",IF(ROUND(MOD(SETTINGS!$B$4,1)*1440,0)&gt;=ROUND(SETTINGS!$B$10*1440,0),"Shyam",IF(MOD(IFERROR(VALUE(RIGHT(F226,2)),0),2)=0,"Ram","Shyam"))))</f>
        <v>Shyam</v>
      </c>
      <c r="AA226" s="28">
        <f t="shared" ca="1" si="36"/>
        <v>0</v>
      </c>
      <c r="AB226" s="28">
        <f ca="1">IF(X226=1,COUNTIFS($F$2:F226,F226,$X$2:X226,1),0)</f>
        <v>0</v>
      </c>
      <c r="AC226" s="28" t="str">
        <f>IF(L226=1,IF(IFERROR(INDEX(PARTNERS!$C$2:$C$88,MATCH(B226,PARTNERS!$A$2:$A$88,0)),"")="YES","YES","NO"),"")</f>
        <v>YES</v>
      </c>
      <c r="AD226" s="28" t="str">
        <f>IF(L226=1,IFERROR(INDEX(PARTNERS!$B$2:$B$88,MATCH(B226,PARTNERS!$A$2:$A$88,0)),""),"")</f>
        <v>https://calendly.com/partner094/interview</v>
      </c>
      <c r="AE226" s="28">
        <f ca="1">IF(X226=1,IFERROR(INDEX(SETTINGS!$B$34:$D$36,MATCH(I226,SETTINGS!$A$34:$A$36,0),MIN(Q226,2)+1),SETTINGS!$B$36),0)</f>
        <v>0</v>
      </c>
      <c r="AF226" s="28">
        <f t="shared" si="37"/>
        <v>1</v>
      </c>
      <c r="AG226" s="28">
        <f ca="1">IF(AND(Y226=1,AB226=1),ROUND(AA226*AE226*IF(AF226&gt;1,SETTINGS!$B$16,1)*IF(W226&lt;=SETTINGS!$B$14,SETTINGS!$B$15,1)*IF(AU226=1,SETTINGS!$B$21,1),6),0)</f>
        <v>0</v>
      </c>
      <c r="AH226" s="28" t="str">
        <f ca="1">IF(AG226&gt;0,COUNTIFS($Z$2:$Z$601,Z226,$AG$2:$AG$601,"&gt;"&amp;AG226)+COUNTIFS($Z$2:Z226,Z226,$AG$2:AG226,AG226),"")</f>
        <v/>
      </c>
      <c r="AI226" s="28" t="str">
        <f t="shared" ca="1" si="38"/>
        <v/>
      </c>
      <c r="AJ226" s="28" t="str">
        <f t="shared" ca="1" si="39"/>
        <v/>
      </c>
      <c r="AK226" s="28">
        <f>IF(L226=1,IF(COUNTIFS($F$2:F226,F226,$L$2:L226,1)=1,1,0),0)</f>
        <v>1</v>
      </c>
      <c r="AL226" s="28" t="str">
        <f ca="1">IF(B226="","",IF(K226="DUPLICATE","Duplicate (removed)",IF(AO226=1,"Scheduled within 24h",IF(M226=1,"Scheduled late",IF(K226="BAD CONTACT","Bad contact details",IF(O226=1,"Stopped / wrong number",IF(N226=1,"Not interested",IF(P226=1,"Partner has no slots",IF(SETTINGS!$B$4&gt;=V226,IF(Q226=0,"Missed deadline: never tried","Missed deadline: tried, not booked"),IF(Q226&gt;=SETTINGS!$B$6,"No reply after max tries","Open"))))))))))</f>
        <v>Missed deadline: never tried</v>
      </c>
      <c r="AM226" s="46" t="str">
        <f>IF(M226=1,IF(_xlfn.MINIFS(LOG!$G$2:$G$2001,LOG!$C$2:$C$2001,F226,LOG!$E$2:$E$2001,B226,LOG!$D$2:$D$2001,"*BOOKED")=0,_xlfn.MINIFS(LOG!$G$2:$G$2001,LOG!$C$2:$C$2001,F226,LOG!$E$2:$E$2001,"",LOG!$D$2:$D$2001,"*BOOKED"),IF(_xlfn.MINIFS(LOG!$G$2:$G$2001,LOG!$C$2:$C$2001,F226,LOG!$E$2:$E$2001,"",LOG!$D$2:$D$2001,"*BOOKED")=0,_xlfn.MINIFS(LOG!$G$2:$G$2001,LOG!$C$2:$C$2001,F226,LOG!$E$2:$E$2001,B226,LOG!$D$2:$D$2001,"*BOOKED"),MIN(_xlfn.MINIFS(LOG!$G$2:$G$2001,LOG!$C$2:$C$2001,F226,LOG!$E$2:$E$2001,B226,LOG!$D$2:$D$2001,"*BOOKED"),_xlfn.MINIFS(LOG!$G$2:$G$2001,LOG!$C$2:$C$2001,F226,LOG!$E$2:$E$2001,"",LOG!$D$2:$D$2001,"*BOOKED")))),"")</f>
        <v/>
      </c>
      <c r="AN226" s="28" t="str">
        <f t="shared" si="40"/>
        <v/>
      </c>
      <c r="AO226" s="28">
        <f>IF(AND(M226=1,AN226&lt;&gt;""),IF(AN226&lt;=SETTINGS!$B$5,1,0),0)</f>
        <v>0</v>
      </c>
      <c r="AP226" s="28">
        <f>IF(M226=1,IF(COUNTIFS(LOG!$C$2:$C$2001,F226,LOG!$E$2:$E$2001,B226,LOG!$D$2:$D$2001,"BOOKED")+COUNTIFS(LOG!$C$2:$C$2001,F226,LOG!$E$2:$E$2001,"",LOG!$D$2:$D$2001,"BOOKED")&gt;0,1,0),0)</f>
        <v>0</v>
      </c>
      <c r="AQ226" s="28" t="str">
        <f t="shared" si="41"/>
        <v>Yash</v>
      </c>
      <c r="AR226" s="28">
        <f>IF(AND(AK226=1,K226="OK"),COUNTIFS($AK$2:AK226,1,$K$2:K226,"OK"),"")</f>
        <v>198</v>
      </c>
      <c r="AS226" s="28" t="str">
        <f>IF(L226=1,IFERROR(INDEX(MESSAGES!$J$9:$J$1008,MATCH(F226,MESSAGES!$M$9:$M$1008,0))&amp;"",""),"")</f>
        <v/>
      </c>
      <c r="AT226" s="28" t="str">
        <f>IF(L226=1,IFERROR(INDEX(MESSAGES!$K$9:$K$1008,MATCH(F226,MESSAGES!$M$9:$M$1008,0))&amp;"",""),"")</f>
        <v/>
      </c>
      <c r="AU226" s="28">
        <f t="shared" ca="1" si="42"/>
        <v>0</v>
      </c>
      <c r="AV226" s="28" t="str">
        <f t="shared" si="43"/>
        <v>SEND</v>
      </c>
    </row>
    <row r="227" spans="1:48" x14ac:dyDescent="0.35">
      <c r="A227" s="28">
        <v>226</v>
      </c>
      <c r="B227" s="28" t="str">
        <f>IF(INPUT!A227="","",TRIM(INPUT!A227))</f>
        <v>Partner 001</v>
      </c>
      <c r="C227" s="28" t="str">
        <f>IF(B227="","",INPUT!C227)</f>
        <v>interviewer0@partner001.example.com</v>
      </c>
      <c r="D227" s="28" t="str">
        <f>IF(B227="","",INPUT!D227)</f>
        <v>Kavya H.</v>
      </c>
      <c r="E227" s="28" t="str">
        <f>IF(B227="","",INPUT!E227)</f>
        <v>kavya.h239@example.com</v>
      </c>
      <c r="F227" s="43" t="str">
        <f>IF(B227="","",TRIM(INPUT!F227&amp;""))</f>
        <v>9000003114</v>
      </c>
      <c r="G227" s="28" t="str">
        <f>IF(B227="","",INPUT!H227)</f>
        <v>Round1</v>
      </c>
      <c r="H227" s="46">
        <f>IF(B227="","",INPUT!I227)</f>
        <v>46308.82708333333</v>
      </c>
      <c r="I227" s="28" t="str">
        <f>IF(B227="","",IF(INPUT!J227="","None",INPUT!J227))</f>
        <v>Opened</v>
      </c>
      <c r="J227" s="28" t="str">
        <f t="shared" si="33"/>
        <v>kavya.h239@example.com|partner 001|Round1|interviewer0@partner001.example.com</v>
      </c>
      <c r="K227" s="28" t="str">
        <f>IF(B227="","",IF(SUMPRODUCT(($J$2:$J$601=J227)*($H$2:$H$601&lt;H227))+SUMPRODUCT(($J$2:J227=J227)*($H$2:H227=H227))-1&gt;0,"DUPLICATE",IF(AND(ISNUMBER(SEARCH("@",E227)),ISNUMBER(SEARCH(".",E227)),LEN(F227)=10,ISNUMBER(VALUE(F227))),"OK","BAD CONTACT")))</f>
        <v>OK</v>
      </c>
      <c r="L227" s="28">
        <f t="shared" si="34"/>
        <v>1</v>
      </c>
      <c r="M227" s="28">
        <f>IF(L227=1,IF(COUNTIFS(LOG!$C$2:$C$2001,F227,LOG!$E$2:$E$2001,B227,LOG!$D$2:$D$2001,"*BOOKED")+COUNTIFS(LOG!$C$2:$C$2001,F227,LOG!$E$2:$E$2001,"",LOG!$D$2:$D$2001,"*BOOKED")&gt;0,1,0),0)</f>
        <v>1</v>
      </c>
      <c r="N227" s="28">
        <f>IF(L227=1,IF(COUNTIFS(LOG!$C$2:$C$2001,F227,LOG!$E$2:$E$2001,B227,LOG!$D$2:$D$2001,"NOT_INTERESTED")+COUNTIFS(LOG!$C$2:$C$2001,F227,LOG!$E$2:$E$2001,"",LOG!$D$2:$D$2001,"NOT_INTERESTED")&gt;0,1,0),0)</f>
        <v>0</v>
      </c>
      <c r="O227" s="28">
        <f>IF(L227=1,IF(COUNTIFS(LOG!$C$2:$C$2001,F227,LOG!$D$2:$D$2001,"STOP")+COUNTIFS(LOG!$C$2:$C$2001,F227,LOG!$D$2:$D$2001,"WRONG_NUMBER")&gt;0,1,IF(ISNUMBER(SEARCH("STOP",AT227)),1,0)),0)</f>
        <v>0</v>
      </c>
      <c r="P227" s="28">
        <f>IF(L227=1,IF(IFERROR(INDEX(PARTNERS!$D$2:$D$88,MATCH(B227,PARTNERS!$A$2:$A$88,0)),"")="NO SLOTS",1,IF(AND(IFERROR(INDEX(PARTNERS!$D$2:$D$88,MATCH(B227,PARTNERS!$A$2:$A$88,0)),"")&lt;&gt;"REOPENED",COUNTIFS(LOG!$E$2:$E$2001,B227,LOG!$D$2:$D$2001,"NO_SLOTS")&gt;0),1,0)),0)</f>
        <v>0</v>
      </c>
      <c r="Q227" s="28">
        <f>IF(L227=1,COUNTIFS(LOG!$C$2:$C$2001,F227,LOG!$H$2:$H$2001,1),0)</f>
        <v>0</v>
      </c>
      <c r="R227" s="46">
        <f>IF(Q227&gt;0,_xlfn.MAXIFS(LOG!$G$2:$G$2001,LOG!$C$2:$C$2001,F227,LOG!$H$2:$H$2001,1),0)</f>
        <v>0</v>
      </c>
      <c r="S227" s="28" t="str">
        <f>IF(Q227&gt;0,IFERROR(INDEX(LOG!$D$2:$D$2001,MATCH(F227&amp;"|"&amp;Q227,LOG!$I$2:$I$2001,0)),""),"")</f>
        <v/>
      </c>
      <c r="T227" s="28">
        <f>IF(S227="",0,IFERROR(VLOOKUP(S227,LISTS!$A$2:$E$10,4,FALSE),0))</f>
        <v>0</v>
      </c>
      <c r="U227" s="46">
        <f t="shared" si="35"/>
        <v>0</v>
      </c>
      <c r="V227" s="46">
        <f>IF(L227=1,H227+SETTINGS!$B$5/24,"")</f>
        <v>46309.82708333333</v>
      </c>
      <c r="W227" s="28">
        <f ca="1">IF(L227=1,(V227-SETTINGS!$B$4)*24,"")</f>
        <v>-1.6666666720993817E-2</v>
      </c>
      <c r="X227" s="28">
        <f ca="1">IF(AND(L227=1,K227="OK",M227=0,N227=0,O227=0,P227=0,SETTINGS!$B$4&lt;V227,Q227&lt;SETTINGS!$B$6),1,0)</f>
        <v>0</v>
      </c>
      <c r="Y227" s="28">
        <f ca="1">IF(AND(X227=1,SETTINGS!$B$4&gt;=H227,SETTINGS!$B$4&gt;=U227,ROUND(MOD(SETTINGS!$B$4,1)*1440,0)&gt;=ROUND(SETTINGS!$B$7*1440,0),ROUND(MOD(SETTINGS!$B$4,1)*1440,0)&lt;ROUND(SETTINGS!$B$8*1440,0)),1,0)</f>
        <v>0</v>
      </c>
      <c r="Z227" s="28" t="str">
        <f ca="1">IF(B227="","",IF(ROUND(MOD(SETTINGS!$B$4,1)*1440,0)&lt;ROUND(SETTINGS!$B$11*1440,0),"Ram",IF(ROUND(MOD(SETTINGS!$B$4,1)*1440,0)&gt;=ROUND(SETTINGS!$B$10*1440,0),"Shyam",IF(MOD(IFERROR(VALUE(RIGHT(F227,2)),0),2)=0,"Ram","Shyam"))))</f>
        <v>Shyam</v>
      </c>
      <c r="AA227" s="28">
        <f t="shared" ca="1" si="36"/>
        <v>0</v>
      </c>
      <c r="AB227" s="28">
        <f ca="1">IF(X227=1,COUNTIFS($F$2:F227,F227,$X$2:X227,1),0)</f>
        <v>0</v>
      </c>
      <c r="AC227" s="28" t="str">
        <f>IF(L227=1,IF(IFERROR(INDEX(PARTNERS!$C$2:$C$88,MATCH(B227,PARTNERS!$A$2:$A$88,0)),"")="YES","YES","NO"),"")</f>
        <v>NO</v>
      </c>
      <c r="AD227" s="28" t="str">
        <f>IF(L227=1,IFERROR(INDEX(PARTNERS!$B$2:$B$88,MATCH(B227,PARTNERS!$A$2:$A$88,0)),""),"")</f>
        <v>https://calendly.com/partner001/interview</v>
      </c>
      <c r="AE227" s="28">
        <f ca="1">IF(X227=1,IFERROR(INDEX(SETTINGS!$B$34:$D$36,MATCH(I227,SETTINGS!$A$34:$A$36,0),MIN(Q227,2)+1),SETTINGS!$B$36),0)</f>
        <v>0</v>
      </c>
      <c r="AF227" s="28">
        <f t="shared" si="37"/>
        <v>1</v>
      </c>
      <c r="AG227" s="28">
        <f ca="1">IF(AND(Y227=1,AB227=1),ROUND(AA227*AE227*IF(AF227&gt;1,SETTINGS!$B$16,1)*IF(W227&lt;=SETTINGS!$B$14,SETTINGS!$B$15,1)*IF(AU227=1,SETTINGS!$B$21,1),6),0)</f>
        <v>0</v>
      </c>
      <c r="AH227" s="28" t="str">
        <f ca="1">IF(AG227&gt;0,COUNTIFS($Z$2:$Z$601,Z227,$AG$2:$AG$601,"&gt;"&amp;AG227)+COUNTIFS($Z$2:Z227,Z227,$AG$2:AG227,AG227),"")</f>
        <v/>
      </c>
      <c r="AI227" s="28" t="str">
        <f t="shared" ca="1" si="38"/>
        <v/>
      </c>
      <c r="AJ227" s="28" t="str">
        <f t="shared" ca="1" si="39"/>
        <v/>
      </c>
      <c r="AK227" s="28">
        <f>IF(L227=1,IF(COUNTIFS($F$2:F227,F227,$L$2:L227,1)=1,1,0),0)</f>
        <v>1</v>
      </c>
      <c r="AL227" s="28" t="str">
        <f>IF(B227="","",IF(K227="DUPLICATE","Duplicate (removed)",IF(AO227=1,"Scheduled within 24h",IF(M227=1,"Scheduled late",IF(K227="BAD CONTACT","Bad contact details",IF(O227=1,"Stopped / wrong number",IF(N227=1,"Not interested",IF(P227=1,"Partner has no slots",IF(SETTINGS!$B$4&gt;=V227,IF(Q227=0,"Missed deadline: never tried","Missed deadline: tried, not booked"),IF(Q227&gt;=SETTINGS!$B$6,"No reply after max tries","Open"))))))))))</f>
        <v>Scheduled within 24h</v>
      </c>
      <c r="AM227" s="46">
        <f>IF(M227=1,IF(_xlfn.MINIFS(LOG!$G$2:$G$2001,LOG!$C$2:$C$2001,F227,LOG!$E$2:$E$2001,B227,LOG!$D$2:$D$2001,"*BOOKED")=0,_xlfn.MINIFS(LOG!$G$2:$G$2001,LOG!$C$2:$C$2001,F227,LOG!$E$2:$E$2001,"",LOG!$D$2:$D$2001,"*BOOKED"),IF(_xlfn.MINIFS(LOG!$G$2:$G$2001,LOG!$C$2:$C$2001,F227,LOG!$E$2:$E$2001,"",LOG!$D$2:$D$2001,"*BOOKED")=0,_xlfn.MINIFS(LOG!$G$2:$G$2001,LOG!$C$2:$C$2001,F227,LOG!$E$2:$E$2001,B227,LOG!$D$2:$D$2001,"*BOOKED"),MIN(_xlfn.MINIFS(LOG!$G$2:$G$2001,LOG!$C$2:$C$2001,F227,LOG!$E$2:$E$2001,B227,LOG!$D$2:$D$2001,"*BOOKED"),_xlfn.MINIFS(LOG!$G$2:$G$2001,LOG!$C$2:$C$2001,F227,LOG!$E$2:$E$2001,"",LOG!$D$2:$D$2001,"*BOOKED")))),"")</f>
        <v>46309.777281005743</v>
      </c>
      <c r="AN227" s="28">
        <f t="shared" si="40"/>
        <v>22.804744137916714</v>
      </c>
      <c r="AO227" s="28">
        <f>IF(AND(M227=1,AN227&lt;&gt;""),IF(AN227&lt;=SETTINGS!$B$5,1,0),0)</f>
        <v>1</v>
      </c>
      <c r="AP227" s="28">
        <f>IF(M227=1,IF(COUNTIFS(LOG!$C$2:$C$2001,F227,LOG!$E$2:$E$2001,B227,LOG!$D$2:$D$2001,"BOOKED")+COUNTIFS(LOG!$C$2:$C$2001,F227,LOG!$E$2:$E$2001,"",LOG!$D$2:$D$2001,"BOOKED")&gt;0,1,0),0)</f>
        <v>0</v>
      </c>
      <c r="AQ227" s="28" t="str">
        <f t="shared" si="41"/>
        <v>Kavya</v>
      </c>
      <c r="AR227" s="28">
        <f>IF(AND(AK227=1,K227="OK"),COUNTIFS($AK$2:AK227,1,$K$2:K227,"OK"),"")</f>
        <v>199</v>
      </c>
      <c r="AS227" s="28" t="str">
        <f>IF(L227=1,IFERROR(INDEX(MESSAGES!$J$9:$J$1008,MATCH(F227,MESSAGES!$M$9:$M$1008,0))&amp;"",""),"")</f>
        <v/>
      </c>
      <c r="AT227" s="28" t="str">
        <f>IF(L227=1,IFERROR(INDEX(MESSAGES!$K$9:$K$1008,MATCH(F227,MESSAGES!$M$9:$M$1008,0))&amp;"",""),"")</f>
        <v/>
      </c>
      <c r="AU227" s="28">
        <f t="shared" ca="1" si="42"/>
        <v>0</v>
      </c>
      <c r="AV227" s="28" t="str">
        <f t="shared" si="43"/>
        <v>HOLD</v>
      </c>
    </row>
    <row r="228" spans="1:48" x14ac:dyDescent="0.35">
      <c r="A228" s="28">
        <v>227</v>
      </c>
      <c r="B228" s="28" t="str">
        <f>IF(INPUT!A228="","",TRIM(INPUT!A228))</f>
        <v>Partner 006</v>
      </c>
      <c r="C228" s="28" t="str">
        <f>IF(B228="","",INPUT!C228)</f>
        <v>interviewer1@partner006.example.com</v>
      </c>
      <c r="D228" s="28" t="str">
        <f>IF(B228="","",INPUT!D228)</f>
        <v>Yash C.</v>
      </c>
      <c r="E228" s="28" t="str">
        <f>IF(B228="","",INPUT!E228)</f>
        <v>yash.c076@example.com</v>
      </c>
      <c r="F228" s="43" t="str">
        <f>IF(B228="","",TRIM(INPUT!F228&amp;""))</f>
        <v>9000000995</v>
      </c>
      <c r="G228" s="28" t="str">
        <f>IF(B228="","",INPUT!H228)</f>
        <v>Round1</v>
      </c>
      <c r="H228" s="46">
        <f>IF(B228="","",INPUT!I228)</f>
        <v>46308.82708333333</v>
      </c>
      <c r="I228" s="28" t="str">
        <f>IF(B228="","",IF(INPUT!J228="","None",INPUT!J228))</f>
        <v>None</v>
      </c>
      <c r="J228" s="28" t="str">
        <f t="shared" si="33"/>
        <v>yash.c076@example.com|partner 006|Round1|interviewer1@partner006.example.com</v>
      </c>
      <c r="K228" s="28" t="str">
        <f>IF(B228="","",IF(SUMPRODUCT(($J$2:$J$601=J228)*($H$2:$H$601&lt;H228))+SUMPRODUCT(($J$2:J228=J228)*($H$2:H228=H228))-1&gt;0,"DUPLICATE",IF(AND(ISNUMBER(SEARCH("@",E228)),ISNUMBER(SEARCH(".",E228)),LEN(F228)=10,ISNUMBER(VALUE(F228))),"OK","BAD CONTACT")))</f>
        <v>OK</v>
      </c>
      <c r="L228" s="28">
        <f t="shared" si="34"/>
        <v>1</v>
      </c>
      <c r="M228" s="28">
        <f>IF(L228=1,IF(COUNTIFS(LOG!$C$2:$C$2001,F228,LOG!$E$2:$E$2001,B228,LOG!$D$2:$D$2001,"*BOOKED")+COUNTIFS(LOG!$C$2:$C$2001,F228,LOG!$E$2:$E$2001,"",LOG!$D$2:$D$2001,"*BOOKED")&gt;0,1,0),0)</f>
        <v>0</v>
      </c>
      <c r="N228" s="28">
        <f>IF(L228=1,IF(COUNTIFS(LOG!$C$2:$C$2001,F228,LOG!$E$2:$E$2001,B228,LOG!$D$2:$D$2001,"NOT_INTERESTED")+COUNTIFS(LOG!$C$2:$C$2001,F228,LOG!$E$2:$E$2001,"",LOG!$D$2:$D$2001,"NOT_INTERESTED")&gt;0,1,0),0)</f>
        <v>0</v>
      </c>
      <c r="O228" s="28">
        <f>IF(L228=1,IF(COUNTIFS(LOG!$C$2:$C$2001,F228,LOG!$D$2:$D$2001,"STOP")+COUNTIFS(LOG!$C$2:$C$2001,F228,LOG!$D$2:$D$2001,"WRONG_NUMBER")&gt;0,1,IF(ISNUMBER(SEARCH("STOP",AT228)),1,0)),0)</f>
        <v>0</v>
      </c>
      <c r="P228" s="28">
        <f>IF(L228=1,IF(IFERROR(INDEX(PARTNERS!$D$2:$D$88,MATCH(B228,PARTNERS!$A$2:$A$88,0)),"")="NO SLOTS",1,IF(AND(IFERROR(INDEX(PARTNERS!$D$2:$D$88,MATCH(B228,PARTNERS!$A$2:$A$88,0)),"")&lt;&gt;"REOPENED",COUNTIFS(LOG!$E$2:$E$2001,B228,LOG!$D$2:$D$2001,"NO_SLOTS")&gt;0),1,0)),0)</f>
        <v>0</v>
      </c>
      <c r="Q228" s="28">
        <f>IF(L228=1,COUNTIFS(LOG!$C$2:$C$2001,F228,LOG!$H$2:$H$2001,1),0)</f>
        <v>0</v>
      </c>
      <c r="R228" s="46">
        <f>IF(Q228&gt;0,_xlfn.MAXIFS(LOG!$G$2:$G$2001,LOG!$C$2:$C$2001,F228,LOG!$H$2:$H$2001,1),0)</f>
        <v>0</v>
      </c>
      <c r="S228" s="28" t="str">
        <f>IF(Q228&gt;0,IFERROR(INDEX(LOG!$D$2:$D$2001,MATCH(F228&amp;"|"&amp;Q228,LOG!$I$2:$I$2001,0)),""),"")</f>
        <v/>
      </c>
      <c r="T228" s="28">
        <f>IF(S228="",0,IFERROR(VLOOKUP(S228,LISTS!$A$2:$E$10,4,FALSE),0))</f>
        <v>0</v>
      </c>
      <c r="U228" s="46">
        <f t="shared" si="35"/>
        <v>0</v>
      </c>
      <c r="V228" s="46">
        <f>IF(L228=1,H228+SETTINGS!$B$5/24,"")</f>
        <v>46309.82708333333</v>
      </c>
      <c r="W228" s="28">
        <f ca="1">IF(L228=1,(V228-SETTINGS!$B$4)*24,"")</f>
        <v>-1.6666666720993817E-2</v>
      </c>
      <c r="X228" s="28">
        <f ca="1">IF(AND(L228=1,K228="OK",M228=0,N228=0,O228=0,P228=0,SETTINGS!$B$4&lt;V228,Q228&lt;SETTINGS!$B$6),1,0)</f>
        <v>0</v>
      </c>
      <c r="Y228" s="28">
        <f ca="1">IF(AND(X228=1,SETTINGS!$B$4&gt;=H228,SETTINGS!$B$4&gt;=U228,ROUND(MOD(SETTINGS!$B$4,1)*1440,0)&gt;=ROUND(SETTINGS!$B$7*1440,0),ROUND(MOD(SETTINGS!$B$4,1)*1440,0)&lt;ROUND(SETTINGS!$B$8*1440,0)),1,0)</f>
        <v>0</v>
      </c>
      <c r="Z228" s="28" t="str">
        <f ca="1">IF(B228="","",IF(ROUND(MOD(SETTINGS!$B$4,1)*1440,0)&lt;ROUND(SETTINGS!$B$11*1440,0),"Ram",IF(ROUND(MOD(SETTINGS!$B$4,1)*1440,0)&gt;=ROUND(SETTINGS!$B$10*1440,0),"Shyam",IF(MOD(IFERROR(VALUE(RIGHT(F228,2)),0),2)=0,"Ram","Shyam"))))</f>
        <v>Shyam</v>
      </c>
      <c r="AA228" s="28">
        <f t="shared" ca="1" si="36"/>
        <v>0</v>
      </c>
      <c r="AB228" s="28">
        <f ca="1">IF(X228=1,COUNTIFS($F$2:F228,F228,$X$2:X228,1),0)</f>
        <v>0</v>
      </c>
      <c r="AC228" s="28" t="str">
        <f>IF(L228=1,IF(IFERROR(INDEX(PARTNERS!$C$2:$C$88,MATCH(B228,PARTNERS!$A$2:$A$88,0)),"")="YES","YES","NO"),"")</f>
        <v>YES</v>
      </c>
      <c r="AD228" s="28" t="str">
        <f>IF(L228=1,IFERROR(INDEX(PARTNERS!$B$2:$B$88,MATCH(B228,PARTNERS!$A$2:$A$88,0)),""),"")</f>
        <v>https://calendly.com/partner006/interview</v>
      </c>
      <c r="AE228" s="28">
        <f ca="1">IF(X228=1,IFERROR(INDEX(SETTINGS!$B$34:$D$36,MATCH(I228,SETTINGS!$A$34:$A$36,0),MIN(Q228,2)+1),SETTINGS!$B$36),0)</f>
        <v>0</v>
      </c>
      <c r="AF228" s="28">
        <f t="shared" si="37"/>
        <v>1</v>
      </c>
      <c r="AG228" s="28">
        <f ca="1">IF(AND(Y228=1,AB228=1),ROUND(AA228*AE228*IF(AF228&gt;1,SETTINGS!$B$16,1)*IF(W228&lt;=SETTINGS!$B$14,SETTINGS!$B$15,1)*IF(AU228=1,SETTINGS!$B$21,1),6),0)</f>
        <v>0</v>
      </c>
      <c r="AH228" s="28" t="str">
        <f ca="1">IF(AG228&gt;0,COUNTIFS($Z$2:$Z$601,Z228,$AG$2:$AG$601,"&gt;"&amp;AG228)+COUNTIFS($Z$2:Z228,Z228,$AG$2:AG228,AG228),"")</f>
        <v/>
      </c>
      <c r="AI228" s="28" t="str">
        <f t="shared" ca="1" si="38"/>
        <v/>
      </c>
      <c r="AJ228" s="28" t="str">
        <f t="shared" ca="1" si="39"/>
        <v/>
      </c>
      <c r="AK228" s="28">
        <f>IF(L228=1,IF(COUNTIFS($F$2:F228,F228,$L$2:L228,1)=1,1,0),0)</f>
        <v>1</v>
      </c>
      <c r="AL228" s="28" t="str">
        <f ca="1">IF(B228="","",IF(K228="DUPLICATE","Duplicate (removed)",IF(AO228=1,"Scheduled within 24h",IF(M228=1,"Scheduled late",IF(K228="BAD CONTACT","Bad contact details",IF(O228=1,"Stopped / wrong number",IF(N228=1,"Not interested",IF(P228=1,"Partner has no slots",IF(SETTINGS!$B$4&gt;=V228,IF(Q228=0,"Missed deadline: never tried","Missed deadline: tried, not booked"),IF(Q228&gt;=SETTINGS!$B$6,"No reply after max tries","Open"))))))))))</f>
        <v>Missed deadline: never tried</v>
      </c>
      <c r="AM228" s="46" t="str">
        <f>IF(M228=1,IF(_xlfn.MINIFS(LOG!$G$2:$G$2001,LOG!$C$2:$C$2001,F228,LOG!$E$2:$E$2001,B228,LOG!$D$2:$D$2001,"*BOOKED")=0,_xlfn.MINIFS(LOG!$G$2:$G$2001,LOG!$C$2:$C$2001,F228,LOG!$E$2:$E$2001,"",LOG!$D$2:$D$2001,"*BOOKED"),IF(_xlfn.MINIFS(LOG!$G$2:$G$2001,LOG!$C$2:$C$2001,F228,LOG!$E$2:$E$2001,"",LOG!$D$2:$D$2001,"*BOOKED")=0,_xlfn.MINIFS(LOG!$G$2:$G$2001,LOG!$C$2:$C$2001,F228,LOG!$E$2:$E$2001,B228,LOG!$D$2:$D$2001,"*BOOKED"),MIN(_xlfn.MINIFS(LOG!$G$2:$G$2001,LOG!$C$2:$C$2001,F228,LOG!$E$2:$E$2001,B228,LOG!$D$2:$D$2001,"*BOOKED"),_xlfn.MINIFS(LOG!$G$2:$G$2001,LOG!$C$2:$C$2001,F228,LOG!$E$2:$E$2001,"",LOG!$D$2:$D$2001,"*BOOKED")))),"")</f>
        <v/>
      </c>
      <c r="AN228" s="28" t="str">
        <f t="shared" si="40"/>
        <v/>
      </c>
      <c r="AO228" s="28">
        <f>IF(AND(M228=1,AN228&lt;&gt;""),IF(AN228&lt;=SETTINGS!$B$5,1,0),0)</f>
        <v>0</v>
      </c>
      <c r="AP228" s="28">
        <f>IF(M228=1,IF(COUNTIFS(LOG!$C$2:$C$2001,F228,LOG!$E$2:$E$2001,B228,LOG!$D$2:$D$2001,"BOOKED")+COUNTIFS(LOG!$C$2:$C$2001,F228,LOG!$E$2:$E$2001,"",LOG!$D$2:$D$2001,"BOOKED")&gt;0,1,0),0)</f>
        <v>0</v>
      </c>
      <c r="AQ228" s="28" t="str">
        <f t="shared" si="41"/>
        <v>Yash</v>
      </c>
      <c r="AR228" s="28">
        <f>IF(AND(AK228=1,K228="OK"),COUNTIFS($AK$2:AK228,1,$K$2:K228,"OK"),"")</f>
        <v>200</v>
      </c>
      <c r="AS228" s="28" t="str">
        <f>IF(L228=1,IFERROR(INDEX(MESSAGES!$J$9:$J$1008,MATCH(F228,MESSAGES!$M$9:$M$1008,0))&amp;"",""),"")</f>
        <v/>
      </c>
      <c r="AT228" s="28" t="str">
        <f>IF(L228=1,IFERROR(INDEX(MESSAGES!$K$9:$K$1008,MATCH(F228,MESSAGES!$M$9:$M$1008,0))&amp;"",""),"")</f>
        <v/>
      </c>
      <c r="AU228" s="28">
        <f t="shared" ca="1" si="42"/>
        <v>0</v>
      </c>
      <c r="AV228" s="28" t="str">
        <f t="shared" si="43"/>
        <v>HOLD</v>
      </c>
    </row>
    <row r="229" spans="1:48" x14ac:dyDescent="0.35">
      <c r="A229" s="28">
        <v>228</v>
      </c>
      <c r="B229" s="28" t="str">
        <f>IF(INPUT!A229="","",TRIM(INPUT!A229))</f>
        <v>Partner 022</v>
      </c>
      <c r="C229" s="28" t="str">
        <f>IF(B229="","",INPUT!C229)</f>
        <v>interviewer2@partner022.example.com</v>
      </c>
      <c r="D229" s="28" t="str">
        <f>IF(B229="","",INPUT!D229)</f>
        <v>Isha F.</v>
      </c>
      <c r="E229" s="28" t="str">
        <f>IF(B229="","",INPUT!E229)</f>
        <v>isha.f175@example.com</v>
      </c>
      <c r="F229" s="43" t="str">
        <f>IF(B229="","",TRIM(INPUT!F229&amp;""))</f>
        <v>9000002282</v>
      </c>
      <c r="G229" s="28" t="str">
        <f>IF(B229="","",INPUT!H229)</f>
        <v>Round1</v>
      </c>
      <c r="H229" s="46">
        <f>IF(B229="","",INPUT!I229)</f>
        <v>46308.82708333333</v>
      </c>
      <c r="I229" s="28" t="str">
        <f>IF(B229="","",IF(INPUT!J229="","None",INPUT!J229))</f>
        <v>Clicked</v>
      </c>
      <c r="J229" s="28" t="str">
        <f t="shared" si="33"/>
        <v>isha.f175@example.com|partner 022|Round1|interviewer2@partner022.example.com</v>
      </c>
      <c r="K229" s="28" t="str">
        <f>IF(B229="","",IF(SUMPRODUCT(($J$2:$J$601=J229)*($H$2:$H$601&lt;H229))+SUMPRODUCT(($J$2:J229=J229)*($H$2:H229=H229))-1&gt;0,"DUPLICATE",IF(AND(ISNUMBER(SEARCH("@",E229)),ISNUMBER(SEARCH(".",E229)),LEN(F229)=10,ISNUMBER(VALUE(F229))),"OK","BAD CONTACT")))</f>
        <v>OK</v>
      </c>
      <c r="L229" s="28">
        <f t="shared" si="34"/>
        <v>1</v>
      </c>
      <c r="M229" s="28">
        <f>IF(L229=1,IF(COUNTIFS(LOG!$C$2:$C$2001,F229,LOG!$E$2:$E$2001,B229,LOG!$D$2:$D$2001,"*BOOKED")+COUNTIFS(LOG!$C$2:$C$2001,F229,LOG!$E$2:$E$2001,"",LOG!$D$2:$D$2001,"*BOOKED")&gt;0,1,0),0)</f>
        <v>1</v>
      </c>
      <c r="N229" s="28">
        <f>IF(L229=1,IF(COUNTIFS(LOG!$C$2:$C$2001,F229,LOG!$E$2:$E$2001,B229,LOG!$D$2:$D$2001,"NOT_INTERESTED")+COUNTIFS(LOG!$C$2:$C$2001,F229,LOG!$E$2:$E$2001,"",LOG!$D$2:$D$2001,"NOT_INTERESTED")&gt;0,1,0),0)</f>
        <v>0</v>
      </c>
      <c r="O229" s="28">
        <f>IF(L229=1,IF(COUNTIFS(LOG!$C$2:$C$2001,F229,LOG!$D$2:$D$2001,"STOP")+COUNTIFS(LOG!$C$2:$C$2001,F229,LOG!$D$2:$D$2001,"WRONG_NUMBER")&gt;0,1,IF(ISNUMBER(SEARCH("STOP",AT229)),1,0)),0)</f>
        <v>0</v>
      </c>
      <c r="P229" s="28">
        <f>IF(L229=1,IF(IFERROR(INDEX(PARTNERS!$D$2:$D$88,MATCH(B229,PARTNERS!$A$2:$A$88,0)),"")="NO SLOTS",1,IF(AND(IFERROR(INDEX(PARTNERS!$D$2:$D$88,MATCH(B229,PARTNERS!$A$2:$A$88,0)),"")&lt;&gt;"REOPENED",COUNTIFS(LOG!$E$2:$E$2001,B229,LOG!$D$2:$D$2001,"NO_SLOTS")&gt;0),1,0)),0)</f>
        <v>0</v>
      </c>
      <c r="Q229" s="28">
        <f>IF(L229=1,COUNTIFS(LOG!$C$2:$C$2001,F229,LOG!$H$2:$H$2001,1),0)</f>
        <v>1</v>
      </c>
      <c r="R229" s="46">
        <f>IF(Q229&gt;0,_xlfn.MAXIFS(LOG!$G$2:$G$2001,LOG!$C$2:$C$2001,F229,LOG!$H$2:$H$2001,1),0)</f>
        <v>46309.621374948387</v>
      </c>
      <c r="S229" s="28" t="str">
        <f>IF(Q229&gt;0,IFERROR(INDEX(LOG!$D$2:$D$2001,MATCH(F229&amp;"|"&amp;Q229,LOG!$I$2:$I$2001,0)),""),"")</f>
        <v>BOOKED</v>
      </c>
      <c r="T229" s="28">
        <f>IF(S229="",0,IFERROR(VLOOKUP(S229,LISTS!$A$2:$E$10,4,FALSE),0))</f>
        <v>0</v>
      </c>
      <c r="U229" s="46">
        <f t="shared" si="35"/>
        <v>46309.621374948387</v>
      </c>
      <c r="V229" s="46">
        <f>IF(L229=1,H229+SETTINGS!$B$5/24,"")</f>
        <v>46309.82708333333</v>
      </c>
      <c r="W229" s="28">
        <f ca="1">IF(L229=1,(V229-SETTINGS!$B$4)*24,"")</f>
        <v>-1.6666666720993817E-2</v>
      </c>
      <c r="X229" s="28">
        <f ca="1">IF(AND(L229=1,K229="OK",M229=0,N229=0,O229=0,P229=0,SETTINGS!$B$4&lt;V229,Q229&lt;SETTINGS!$B$6),1,0)</f>
        <v>0</v>
      </c>
      <c r="Y229" s="28">
        <f ca="1">IF(AND(X229=1,SETTINGS!$B$4&gt;=H229,SETTINGS!$B$4&gt;=U229,ROUND(MOD(SETTINGS!$B$4,1)*1440,0)&gt;=ROUND(SETTINGS!$B$7*1440,0),ROUND(MOD(SETTINGS!$B$4,1)*1440,0)&lt;ROUND(SETTINGS!$B$8*1440,0)),1,0)</f>
        <v>0</v>
      </c>
      <c r="Z229" s="28" t="str">
        <f ca="1">IF(B229="","",IF(ROUND(MOD(SETTINGS!$B$4,1)*1440,0)&lt;ROUND(SETTINGS!$B$11*1440,0),"Ram",IF(ROUND(MOD(SETTINGS!$B$4,1)*1440,0)&gt;=ROUND(SETTINGS!$B$10*1440,0),"Shyam",IF(MOD(IFERROR(VALUE(RIGHT(F229,2)),0),2)=0,"Ram","Shyam"))))</f>
        <v>Shyam</v>
      </c>
      <c r="AA229" s="28">
        <f t="shared" ca="1" si="36"/>
        <v>0</v>
      </c>
      <c r="AB229" s="28">
        <f ca="1">IF(X229=1,COUNTIFS($F$2:F229,F229,$X$2:X229,1),0)</f>
        <v>0</v>
      </c>
      <c r="AC229" s="28" t="str">
        <f>IF(L229=1,IF(IFERROR(INDEX(PARTNERS!$C$2:$C$88,MATCH(B229,PARTNERS!$A$2:$A$88,0)),"")="YES","YES","NO"),"")</f>
        <v>YES</v>
      </c>
      <c r="AD229" s="28" t="str">
        <f>IF(L229=1,IFERROR(INDEX(PARTNERS!$B$2:$B$88,MATCH(B229,PARTNERS!$A$2:$A$88,0)),""),"")</f>
        <v>https://calendly.com/partner022/interview</v>
      </c>
      <c r="AE229" s="28">
        <f ca="1">IF(X229=1,IFERROR(INDEX(SETTINGS!$B$34:$D$36,MATCH(I229,SETTINGS!$A$34:$A$36,0),MIN(Q229,2)+1),SETTINGS!$B$36),0)</f>
        <v>0</v>
      </c>
      <c r="AF229" s="28">
        <f t="shared" si="37"/>
        <v>1</v>
      </c>
      <c r="AG229" s="28">
        <f ca="1">IF(AND(Y229=1,AB229=1),ROUND(AA229*AE229*IF(AF229&gt;1,SETTINGS!$B$16,1)*IF(W229&lt;=SETTINGS!$B$14,SETTINGS!$B$15,1)*IF(AU229=1,SETTINGS!$B$21,1),6),0)</f>
        <v>0</v>
      </c>
      <c r="AH229" s="28" t="str">
        <f ca="1">IF(AG229&gt;0,COUNTIFS($Z$2:$Z$601,Z229,$AG$2:$AG$601,"&gt;"&amp;AG229)+COUNTIFS($Z$2:Z229,Z229,$AG$2:AG229,AG229),"")</f>
        <v/>
      </c>
      <c r="AI229" s="28" t="str">
        <f t="shared" ca="1" si="38"/>
        <v/>
      </c>
      <c r="AJ229" s="28" t="str">
        <f t="shared" ca="1" si="39"/>
        <v/>
      </c>
      <c r="AK229" s="28">
        <f>IF(L229=1,IF(COUNTIFS($F$2:F229,F229,$L$2:L229,1)=1,1,0),0)</f>
        <v>1</v>
      </c>
      <c r="AL229" s="28" t="str">
        <f>IF(B229="","",IF(K229="DUPLICATE","Duplicate (removed)",IF(AO229=1,"Scheduled within 24h",IF(M229=1,"Scheduled late",IF(K229="BAD CONTACT","Bad contact details",IF(O229=1,"Stopped / wrong number",IF(N229=1,"Not interested",IF(P229=1,"Partner has no slots",IF(SETTINGS!$B$4&gt;=V229,IF(Q229=0,"Missed deadline: never tried","Missed deadline: tried, not booked"),IF(Q229&gt;=SETTINGS!$B$6,"No reply after max tries","Open"))))))))))</f>
        <v>Scheduled within 24h</v>
      </c>
      <c r="AM229" s="46">
        <f>IF(M229=1,IF(_xlfn.MINIFS(LOG!$G$2:$G$2001,LOG!$C$2:$C$2001,F229,LOG!$E$2:$E$2001,B229,LOG!$D$2:$D$2001,"*BOOKED")=0,_xlfn.MINIFS(LOG!$G$2:$G$2001,LOG!$C$2:$C$2001,F229,LOG!$E$2:$E$2001,"",LOG!$D$2:$D$2001,"*BOOKED"),IF(_xlfn.MINIFS(LOG!$G$2:$G$2001,LOG!$C$2:$C$2001,F229,LOG!$E$2:$E$2001,"",LOG!$D$2:$D$2001,"*BOOKED")=0,_xlfn.MINIFS(LOG!$G$2:$G$2001,LOG!$C$2:$C$2001,F229,LOG!$E$2:$E$2001,B229,LOG!$D$2:$D$2001,"*BOOKED"),MIN(_xlfn.MINIFS(LOG!$G$2:$G$2001,LOG!$C$2:$C$2001,F229,LOG!$E$2:$E$2001,B229,LOG!$D$2:$D$2001,"*BOOKED"),_xlfn.MINIFS(LOG!$G$2:$G$2001,LOG!$C$2:$C$2001,F229,LOG!$E$2:$E$2001,"",LOG!$D$2:$D$2001,"*BOOKED")))),"")</f>
        <v>46309.621374948387</v>
      </c>
      <c r="AN229" s="28">
        <f t="shared" si="40"/>
        <v>19.062998761364724</v>
      </c>
      <c r="AO229" s="28">
        <f>IF(AND(M229=1,AN229&lt;&gt;""),IF(AN229&lt;=SETTINGS!$B$5,1,0),0)</f>
        <v>1</v>
      </c>
      <c r="AP229" s="28">
        <f>IF(M229=1,IF(COUNTIFS(LOG!$C$2:$C$2001,F229,LOG!$E$2:$E$2001,B229,LOG!$D$2:$D$2001,"BOOKED")+COUNTIFS(LOG!$C$2:$C$2001,F229,LOG!$E$2:$E$2001,"",LOG!$D$2:$D$2001,"BOOKED")&gt;0,1,0),0)</f>
        <v>1</v>
      </c>
      <c r="AQ229" s="28" t="str">
        <f t="shared" si="41"/>
        <v>Isha</v>
      </c>
      <c r="AR229" s="28">
        <f>IF(AND(AK229=1,K229="OK"),COUNTIFS($AK$2:AK229,1,$K$2:K229,"OK"),"")</f>
        <v>201</v>
      </c>
      <c r="AS229" s="28" t="str">
        <f>IF(L229=1,IFERROR(INDEX(MESSAGES!$J$9:$J$1008,MATCH(F229,MESSAGES!$M$9:$M$1008,0))&amp;"",""),"")</f>
        <v/>
      </c>
      <c r="AT229" s="28" t="str">
        <f>IF(L229=1,IFERROR(INDEX(MESSAGES!$K$9:$K$1008,MATCH(F229,MESSAGES!$M$9:$M$1008,0))&amp;"",""),"")</f>
        <v/>
      </c>
      <c r="AU229" s="28">
        <f t="shared" ca="1" si="42"/>
        <v>0</v>
      </c>
      <c r="AV229" s="28" t="str">
        <f t="shared" si="43"/>
        <v>SEND</v>
      </c>
    </row>
    <row r="230" spans="1:48" x14ac:dyDescent="0.35">
      <c r="A230" s="28">
        <v>229</v>
      </c>
      <c r="B230" s="28" t="str">
        <f>IF(INPUT!A230="","",TRIM(INPUT!A230))</f>
        <v>Partner 066</v>
      </c>
      <c r="C230" s="28" t="str">
        <f>IF(B230="","",INPUT!C230)</f>
        <v>interviewer0@partner066.example.com</v>
      </c>
      <c r="D230" s="28" t="str">
        <f>IF(B230="","",INPUT!D230)</f>
        <v>Tara K.</v>
      </c>
      <c r="E230" s="28" t="str">
        <f>IF(B230="","",INPUT!E230)</f>
        <v>tara.k285example.com</v>
      </c>
      <c r="F230" s="43" t="str">
        <f>IF(B230="","",TRIM(INPUT!F230&amp;""))</f>
        <v>9000003712</v>
      </c>
      <c r="G230" s="28" t="str">
        <f>IF(B230="","",INPUT!H230)</f>
        <v>Round1</v>
      </c>
      <c r="H230" s="46">
        <f>IF(B230="","",INPUT!I230)</f>
        <v>46308.82708333333</v>
      </c>
      <c r="I230" s="28" t="str">
        <f>IF(B230="","",IF(INPUT!J230="","None",INPUT!J230))</f>
        <v>Clicked</v>
      </c>
      <c r="J230" s="28" t="str">
        <f t="shared" si="33"/>
        <v>tara.k285example.com|partner 066|Round1|interviewer0@partner066.example.com</v>
      </c>
      <c r="K230" s="28" t="str">
        <f>IF(B230="","",IF(SUMPRODUCT(($J$2:$J$601=J230)*($H$2:$H$601&lt;H230))+SUMPRODUCT(($J$2:J230=J230)*($H$2:H230=H230))-1&gt;0,"DUPLICATE",IF(AND(ISNUMBER(SEARCH("@",E230)),ISNUMBER(SEARCH(".",E230)),LEN(F230)=10,ISNUMBER(VALUE(F230))),"OK","BAD CONTACT")))</f>
        <v>BAD CONTACT</v>
      </c>
      <c r="L230" s="28">
        <f t="shared" si="34"/>
        <v>1</v>
      </c>
      <c r="M230" s="28">
        <f>IF(L230=1,IF(COUNTIFS(LOG!$C$2:$C$2001,F230,LOG!$E$2:$E$2001,B230,LOG!$D$2:$D$2001,"*BOOKED")+COUNTIFS(LOG!$C$2:$C$2001,F230,LOG!$E$2:$E$2001,"",LOG!$D$2:$D$2001,"*BOOKED")&gt;0,1,0),0)</f>
        <v>0</v>
      </c>
      <c r="N230" s="28">
        <f>IF(L230=1,IF(COUNTIFS(LOG!$C$2:$C$2001,F230,LOG!$E$2:$E$2001,B230,LOG!$D$2:$D$2001,"NOT_INTERESTED")+COUNTIFS(LOG!$C$2:$C$2001,F230,LOG!$E$2:$E$2001,"",LOG!$D$2:$D$2001,"NOT_INTERESTED")&gt;0,1,0),0)</f>
        <v>0</v>
      </c>
      <c r="O230" s="28">
        <f>IF(L230=1,IF(COUNTIFS(LOG!$C$2:$C$2001,F230,LOG!$D$2:$D$2001,"STOP")+COUNTIFS(LOG!$C$2:$C$2001,F230,LOG!$D$2:$D$2001,"WRONG_NUMBER")&gt;0,1,IF(ISNUMBER(SEARCH("STOP",AT230)),1,0)),0)</f>
        <v>0</v>
      </c>
      <c r="P230" s="28">
        <f>IF(L230=1,IF(IFERROR(INDEX(PARTNERS!$D$2:$D$88,MATCH(B230,PARTNERS!$A$2:$A$88,0)),"")="NO SLOTS",1,IF(AND(IFERROR(INDEX(PARTNERS!$D$2:$D$88,MATCH(B230,PARTNERS!$A$2:$A$88,0)),"")&lt;&gt;"REOPENED",COUNTIFS(LOG!$E$2:$E$2001,B230,LOG!$D$2:$D$2001,"NO_SLOTS")&gt;0),1,0)),0)</f>
        <v>0</v>
      </c>
      <c r="Q230" s="28">
        <f>IF(L230=1,COUNTIFS(LOG!$C$2:$C$2001,F230,LOG!$H$2:$H$2001,1),0)</f>
        <v>0</v>
      </c>
      <c r="R230" s="46">
        <f>IF(Q230&gt;0,_xlfn.MAXIFS(LOG!$G$2:$G$2001,LOG!$C$2:$C$2001,F230,LOG!$H$2:$H$2001,1),0)</f>
        <v>0</v>
      </c>
      <c r="S230" s="28" t="str">
        <f>IF(Q230&gt;0,IFERROR(INDEX(LOG!$D$2:$D$2001,MATCH(F230&amp;"|"&amp;Q230,LOG!$I$2:$I$2001,0)),""),"")</f>
        <v/>
      </c>
      <c r="T230" s="28">
        <f>IF(S230="",0,IFERROR(VLOOKUP(S230,LISTS!$A$2:$E$10,4,FALSE),0))</f>
        <v>0</v>
      </c>
      <c r="U230" s="46">
        <f t="shared" si="35"/>
        <v>0</v>
      </c>
      <c r="V230" s="46">
        <f>IF(L230=1,H230+SETTINGS!$B$5/24,"")</f>
        <v>46309.82708333333</v>
      </c>
      <c r="W230" s="28">
        <f ca="1">IF(L230=1,(V230-SETTINGS!$B$4)*24,"")</f>
        <v>-1.6666666720993817E-2</v>
      </c>
      <c r="X230" s="28">
        <f ca="1">IF(AND(L230=1,K230="OK",M230=0,N230=0,O230=0,P230=0,SETTINGS!$B$4&lt;V230,Q230&lt;SETTINGS!$B$6),1,0)</f>
        <v>0</v>
      </c>
      <c r="Y230" s="28">
        <f ca="1">IF(AND(X230=1,SETTINGS!$B$4&gt;=H230,SETTINGS!$B$4&gt;=U230,ROUND(MOD(SETTINGS!$B$4,1)*1440,0)&gt;=ROUND(SETTINGS!$B$7*1440,0),ROUND(MOD(SETTINGS!$B$4,1)*1440,0)&lt;ROUND(SETTINGS!$B$8*1440,0)),1,0)</f>
        <v>0</v>
      </c>
      <c r="Z230" s="28" t="str">
        <f ca="1">IF(B230="","",IF(ROUND(MOD(SETTINGS!$B$4,1)*1440,0)&lt;ROUND(SETTINGS!$B$11*1440,0),"Ram",IF(ROUND(MOD(SETTINGS!$B$4,1)*1440,0)&gt;=ROUND(SETTINGS!$B$10*1440,0),"Shyam",IF(MOD(IFERROR(VALUE(RIGHT(F230,2)),0),2)=0,"Ram","Shyam"))))</f>
        <v>Shyam</v>
      </c>
      <c r="AA230" s="28">
        <f t="shared" ca="1" si="36"/>
        <v>0</v>
      </c>
      <c r="AB230" s="28">
        <f ca="1">IF(X230=1,COUNTIFS($F$2:F230,F230,$X$2:X230,1),0)</f>
        <v>0</v>
      </c>
      <c r="AC230" s="28" t="str">
        <f>IF(L230=1,IF(IFERROR(INDEX(PARTNERS!$C$2:$C$88,MATCH(B230,PARTNERS!$A$2:$A$88,0)),"")="YES","YES","NO"),"")</f>
        <v>NO</v>
      </c>
      <c r="AD230" s="28" t="str">
        <f>IF(L230=1,IFERROR(INDEX(PARTNERS!$B$2:$B$88,MATCH(B230,PARTNERS!$A$2:$A$88,0)),""),"")</f>
        <v>https://calendly.com/partner066/interview</v>
      </c>
      <c r="AE230" s="28">
        <f ca="1">IF(X230=1,IFERROR(INDEX(SETTINGS!$B$34:$D$36,MATCH(I230,SETTINGS!$A$34:$A$36,0),MIN(Q230,2)+1),SETTINGS!$B$36),0)</f>
        <v>0</v>
      </c>
      <c r="AF230" s="28">
        <f t="shared" si="37"/>
        <v>1</v>
      </c>
      <c r="AG230" s="28">
        <f ca="1">IF(AND(Y230=1,AB230=1),ROUND(AA230*AE230*IF(AF230&gt;1,SETTINGS!$B$16,1)*IF(W230&lt;=SETTINGS!$B$14,SETTINGS!$B$15,1)*IF(AU230=1,SETTINGS!$B$21,1),6),0)</f>
        <v>0</v>
      </c>
      <c r="AH230" s="28" t="str">
        <f ca="1">IF(AG230&gt;0,COUNTIFS($Z$2:$Z$601,Z230,$AG$2:$AG$601,"&gt;"&amp;AG230)+COUNTIFS($Z$2:Z230,Z230,$AG$2:AG230,AG230),"")</f>
        <v/>
      </c>
      <c r="AI230" s="28" t="str">
        <f t="shared" ca="1" si="38"/>
        <v/>
      </c>
      <c r="AJ230" s="28" t="str">
        <f t="shared" ca="1" si="39"/>
        <v/>
      </c>
      <c r="AK230" s="28">
        <f>IF(L230=1,IF(COUNTIFS($F$2:F230,F230,$L$2:L230,1)=1,1,0),0)</f>
        <v>0</v>
      </c>
      <c r="AL230" s="28" t="str">
        <f>IF(B230="","",IF(K230="DUPLICATE","Duplicate (removed)",IF(AO230=1,"Scheduled within 24h",IF(M230=1,"Scheduled late",IF(K230="BAD CONTACT","Bad contact details",IF(O230=1,"Stopped / wrong number",IF(N230=1,"Not interested",IF(P230=1,"Partner has no slots",IF(SETTINGS!$B$4&gt;=V230,IF(Q230=0,"Missed deadline: never tried","Missed deadline: tried, not booked"),IF(Q230&gt;=SETTINGS!$B$6,"No reply after max tries","Open"))))))))))</f>
        <v>Bad contact details</v>
      </c>
      <c r="AM230" s="46" t="str">
        <f>IF(M230=1,IF(_xlfn.MINIFS(LOG!$G$2:$G$2001,LOG!$C$2:$C$2001,F230,LOG!$E$2:$E$2001,B230,LOG!$D$2:$D$2001,"*BOOKED")=0,_xlfn.MINIFS(LOG!$G$2:$G$2001,LOG!$C$2:$C$2001,F230,LOG!$E$2:$E$2001,"",LOG!$D$2:$D$2001,"*BOOKED"),IF(_xlfn.MINIFS(LOG!$G$2:$G$2001,LOG!$C$2:$C$2001,F230,LOG!$E$2:$E$2001,"",LOG!$D$2:$D$2001,"*BOOKED")=0,_xlfn.MINIFS(LOG!$G$2:$G$2001,LOG!$C$2:$C$2001,F230,LOG!$E$2:$E$2001,B230,LOG!$D$2:$D$2001,"*BOOKED"),MIN(_xlfn.MINIFS(LOG!$G$2:$G$2001,LOG!$C$2:$C$2001,F230,LOG!$E$2:$E$2001,B230,LOG!$D$2:$D$2001,"*BOOKED"),_xlfn.MINIFS(LOG!$G$2:$G$2001,LOG!$C$2:$C$2001,F230,LOG!$E$2:$E$2001,"",LOG!$D$2:$D$2001,"*BOOKED")))),"")</f>
        <v/>
      </c>
      <c r="AN230" s="28" t="str">
        <f t="shared" si="40"/>
        <v/>
      </c>
      <c r="AO230" s="28">
        <f>IF(AND(M230=1,AN230&lt;&gt;""),IF(AN230&lt;=SETTINGS!$B$5,1,0),0)</f>
        <v>0</v>
      </c>
      <c r="AP230" s="28">
        <f>IF(M230=1,IF(COUNTIFS(LOG!$C$2:$C$2001,F230,LOG!$E$2:$E$2001,B230,LOG!$D$2:$D$2001,"BOOKED")+COUNTIFS(LOG!$C$2:$C$2001,F230,LOG!$E$2:$E$2001,"",LOG!$D$2:$D$2001,"BOOKED")&gt;0,1,0),0)</f>
        <v>0</v>
      </c>
      <c r="AQ230" s="28" t="str">
        <f t="shared" si="41"/>
        <v>Tara</v>
      </c>
      <c r="AR230" s="28" t="str">
        <f>IF(AND(AK230=1,K230="OK"),COUNTIFS($AK$2:AK230,1,$K$2:K230,"OK"),"")</f>
        <v/>
      </c>
      <c r="AS230" s="28" t="str">
        <f>IF(L230=1,IFERROR(INDEX(MESSAGES!$J$9:$J$1008,MATCH(F230,MESSAGES!$M$9:$M$1008,0))&amp;"",""),"")</f>
        <v/>
      </c>
      <c r="AT230" s="28" t="str">
        <f>IF(L230=1,IFERROR(INDEX(MESSAGES!$K$9:$K$1008,MATCH(F230,MESSAGES!$M$9:$M$1008,0))&amp;"",""),"")</f>
        <v/>
      </c>
      <c r="AU230" s="28">
        <f t="shared" ca="1" si="42"/>
        <v>0</v>
      </c>
      <c r="AV230" s="28" t="str">
        <f t="shared" si="43"/>
        <v>HOLD</v>
      </c>
    </row>
    <row r="231" spans="1:48" x14ac:dyDescent="0.35">
      <c r="A231" s="28">
        <v>230</v>
      </c>
      <c r="B231" s="28" t="str">
        <f>IF(INPUT!A231="","",TRIM(INPUT!A231))</f>
        <v>Partner 008</v>
      </c>
      <c r="C231" s="28" t="str">
        <f>IF(B231="","",INPUT!C231)</f>
        <v>interviewer1@partner008.example.com</v>
      </c>
      <c r="D231" s="28" t="str">
        <f>IF(B231="","",INPUT!D231)</f>
        <v>Karan A.</v>
      </c>
      <c r="E231" s="28" t="str">
        <f>IF(B231="","",INPUT!E231)</f>
        <v>karan.a020@example.com</v>
      </c>
      <c r="F231" s="43" t="str">
        <f>IF(B231="","",TRIM(INPUT!F231&amp;""))</f>
        <v>9000000267</v>
      </c>
      <c r="G231" s="28" t="str">
        <f>IF(B231="","",INPUT!H231)</f>
        <v>Round1</v>
      </c>
      <c r="H231" s="46">
        <f>IF(B231="","",INPUT!I231)</f>
        <v>46308.82708333333</v>
      </c>
      <c r="I231" s="28" t="str">
        <f>IF(B231="","",IF(INPUT!J231="","None",INPUT!J231))</f>
        <v>Opened</v>
      </c>
      <c r="J231" s="28" t="str">
        <f t="shared" si="33"/>
        <v>karan.a020@example.com|partner 008|Round1|interviewer1@partner008.example.com</v>
      </c>
      <c r="K231" s="28" t="str">
        <f>IF(B231="","",IF(SUMPRODUCT(($J$2:$J$601=J231)*($H$2:$H$601&lt;H231))+SUMPRODUCT(($J$2:J231=J231)*($H$2:H231=H231))-1&gt;0,"DUPLICATE",IF(AND(ISNUMBER(SEARCH("@",E231)),ISNUMBER(SEARCH(".",E231)),LEN(F231)=10,ISNUMBER(VALUE(F231))),"OK","BAD CONTACT")))</f>
        <v>OK</v>
      </c>
      <c r="L231" s="28">
        <f t="shared" si="34"/>
        <v>1</v>
      </c>
      <c r="M231" s="28">
        <f>IF(L231=1,IF(COUNTIFS(LOG!$C$2:$C$2001,F231,LOG!$E$2:$E$2001,B231,LOG!$D$2:$D$2001,"*BOOKED")+COUNTIFS(LOG!$C$2:$C$2001,F231,LOG!$E$2:$E$2001,"",LOG!$D$2:$D$2001,"*BOOKED")&gt;0,1,0),0)</f>
        <v>1</v>
      </c>
      <c r="N231" s="28">
        <f>IF(L231=1,IF(COUNTIFS(LOG!$C$2:$C$2001,F231,LOG!$E$2:$E$2001,B231,LOG!$D$2:$D$2001,"NOT_INTERESTED")+COUNTIFS(LOG!$C$2:$C$2001,F231,LOG!$E$2:$E$2001,"",LOG!$D$2:$D$2001,"NOT_INTERESTED")&gt;0,1,0),0)</f>
        <v>0</v>
      </c>
      <c r="O231" s="28">
        <f>IF(L231=1,IF(COUNTIFS(LOG!$C$2:$C$2001,F231,LOG!$D$2:$D$2001,"STOP")+COUNTIFS(LOG!$C$2:$C$2001,F231,LOG!$D$2:$D$2001,"WRONG_NUMBER")&gt;0,1,IF(ISNUMBER(SEARCH("STOP",AT231)),1,0)),0)</f>
        <v>0</v>
      </c>
      <c r="P231" s="28">
        <f>IF(L231=1,IF(IFERROR(INDEX(PARTNERS!$D$2:$D$88,MATCH(B231,PARTNERS!$A$2:$A$88,0)),"")="NO SLOTS",1,IF(AND(IFERROR(INDEX(PARTNERS!$D$2:$D$88,MATCH(B231,PARTNERS!$A$2:$A$88,0)),"")&lt;&gt;"REOPENED",COUNTIFS(LOG!$E$2:$E$2001,B231,LOG!$D$2:$D$2001,"NO_SLOTS")&gt;0),1,0)),0)</f>
        <v>0</v>
      </c>
      <c r="Q231" s="28">
        <f>IF(L231=1,COUNTIFS(LOG!$C$2:$C$2001,F231,LOG!$H$2:$H$2001,1),0)</f>
        <v>0</v>
      </c>
      <c r="R231" s="46">
        <f>IF(Q231&gt;0,_xlfn.MAXIFS(LOG!$G$2:$G$2001,LOG!$C$2:$C$2001,F231,LOG!$H$2:$H$2001,1),0)</f>
        <v>0</v>
      </c>
      <c r="S231" s="28" t="str">
        <f>IF(Q231&gt;0,IFERROR(INDEX(LOG!$D$2:$D$2001,MATCH(F231&amp;"|"&amp;Q231,LOG!$I$2:$I$2001,0)),""),"")</f>
        <v/>
      </c>
      <c r="T231" s="28">
        <f>IF(S231="",0,IFERROR(VLOOKUP(S231,LISTS!$A$2:$E$10,4,FALSE),0))</f>
        <v>0</v>
      </c>
      <c r="U231" s="46">
        <f t="shared" si="35"/>
        <v>0</v>
      </c>
      <c r="V231" s="46">
        <f>IF(L231=1,H231+SETTINGS!$B$5/24,"")</f>
        <v>46309.82708333333</v>
      </c>
      <c r="W231" s="28">
        <f ca="1">IF(L231=1,(V231-SETTINGS!$B$4)*24,"")</f>
        <v>-1.6666666720993817E-2</v>
      </c>
      <c r="X231" s="28">
        <f ca="1">IF(AND(L231=1,K231="OK",M231=0,N231=0,O231=0,P231=0,SETTINGS!$B$4&lt;V231,Q231&lt;SETTINGS!$B$6),1,0)</f>
        <v>0</v>
      </c>
      <c r="Y231" s="28">
        <f ca="1">IF(AND(X231=1,SETTINGS!$B$4&gt;=H231,SETTINGS!$B$4&gt;=U231,ROUND(MOD(SETTINGS!$B$4,1)*1440,0)&gt;=ROUND(SETTINGS!$B$7*1440,0),ROUND(MOD(SETTINGS!$B$4,1)*1440,0)&lt;ROUND(SETTINGS!$B$8*1440,0)),1,0)</f>
        <v>0</v>
      </c>
      <c r="Z231" s="28" t="str">
        <f ca="1">IF(B231="","",IF(ROUND(MOD(SETTINGS!$B$4,1)*1440,0)&lt;ROUND(SETTINGS!$B$11*1440,0),"Ram",IF(ROUND(MOD(SETTINGS!$B$4,1)*1440,0)&gt;=ROUND(SETTINGS!$B$10*1440,0),"Shyam",IF(MOD(IFERROR(VALUE(RIGHT(F231,2)),0),2)=0,"Ram","Shyam"))))</f>
        <v>Shyam</v>
      </c>
      <c r="AA231" s="28">
        <f t="shared" ca="1" si="36"/>
        <v>0</v>
      </c>
      <c r="AB231" s="28">
        <f ca="1">IF(X231=1,COUNTIFS($F$2:F231,F231,$X$2:X231,1),0)</f>
        <v>0</v>
      </c>
      <c r="AC231" s="28" t="str">
        <f>IF(L231=1,IF(IFERROR(INDEX(PARTNERS!$C$2:$C$88,MATCH(B231,PARTNERS!$A$2:$A$88,0)),"")="YES","YES","NO"),"")</f>
        <v>YES</v>
      </c>
      <c r="AD231" s="28" t="str">
        <f>IF(L231=1,IFERROR(INDEX(PARTNERS!$B$2:$B$88,MATCH(B231,PARTNERS!$A$2:$A$88,0)),""),"")</f>
        <v>https://calendly.com/partner008/interview</v>
      </c>
      <c r="AE231" s="28">
        <f ca="1">IF(X231=1,IFERROR(INDEX(SETTINGS!$B$34:$D$36,MATCH(I231,SETTINGS!$A$34:$A$36,0),MIN(Q231,2)+1),SETTINGS!$B$36),0)</f>
        <v>0</v>
      </c>
      <c r="AF231" s="28">
        <f t="shared" si="37"/>
        <v>1</v>
      </c>
      <c r="AG231" s="28">
        <f ca="1">IF(AND(Y231=1,AB231=1),ROUND(AA231*AE231*IF(AF231&gt;1,SETTINGS!$B$16,1)*IF(W231&lt;=SETTINGS!$B$14,SETTINGS!$B$15,1)*IF(AU231=1,SETTINGS!$B$21,1),6),0)</f>
        <v>0</v>
      </c>
      <c r="AH231" s="28" t="str">
        <f ca="1">IF(AG231&gt;0,COUNTIFS($Z$2:$Z$601,Z231,$AG$2:$AG$601,"&gt;"&amp;AG231)+COUNTIFS($Z$2:Z231,Z231,$AG$2:AG231,AG231),"")</f>
        <v/>
      </c>
      <c r="AI231" s="28" t="str">
        <f t="shared" ca="1" si="38"/>
        <v/>
      </c>
      <c r="AJ231" s="28" t="str">
        <f t="shared" ca="1" si="39"/>
        <v/>
      </c>
      <c r="AK231" s="28">
        <f>IF(L231=1,IF(COUNTIFS($F$2:F231,F231,$L$2:L231,1)=1,1,0),0)</f>
        <v>1</v>
      </c>
      <c r="AL231" s="28" t="str">
        <f>IF(B231="","",IF(K231="DUPLICATE","Duplicate (removed)",IF(AO231=1,"Scheduled within 24h",IF(M231=1,"Scheduled late",IF(K231="BAD CONTACT","Bad contact details",IF(O231=1,"Stopped / wrong number",IF(N231=1,"Not interested",IF(P231=1,"Partner has no slots",IF(SETTINGS!$B$4&gt;=V231,IF(Q231=0,"Missed deadline: never tried","Missed deadline: tried, not booked"),IF(Q231&gt;=SETTINGS!$B$6,"No reply after max tries","Open"))))))))))</f>
        <v>Scheduled within 24h</v>
      </c>
      <c r="AM231" s="46">
        <f>IF(M231=1,IF(_xlfn.MINIFS(LOG!$G$2:$G$2001,LOG!$C$2:$C$2001,F231,LOG!$E$2:$E$2001,B231,LOG!$D$2:$D$2001,"*BOOKED")=0,_xlfn.MINIFS(LOG!$G$2:$G$2001,LOG!$C$2:$C$2001,F231,LOG!$E$2:$E$2001,"",LOG!$D$2:$D$2001,"*BOOKED"),IF(_xlfn.MINIFS(LOG!$G$2:$G$2001,LOG!$C$2:$C$2001,F231,LOG!$E$2:$E$2001,"",LOG!$D$2:$D$2001,"*BOOKED")=0,_xlfn.MINIFS(LOG!$G$2:$G$2001,LOG!$C$2:$C$2001,F231,LOG!$E$2:$E$2001,B231,LOG!$D$2:$D$2001,"*BOOKED"),MIN(_xlfn.MINIFS(LOG!$G$2:$G$2001,LOG!$C$2:$C$2001,F231,LOG!$E$2:$E$2001,B231,LOG!$D$2:$D$2001,"*BOOKED"),_xlfn.MINIFS(LOG!$G$2:$G$2001,LOG!$C$2:$C$2001,F231,LOG!$E$2:$E$2001,"",LOG!$D$2:$D$2001,"*BOOKED")))),"")</f>
        <v>46308.928298062572</v>
      </c>
      <c r="AN231" s="28">
        <f t="shared" si="40"/>
        <v>2.4291535018128343</v>
      </c>
      <c r="AO231" s="28">
        <f>IF(AND(M231=1,AN231&lt;&gt;""),IF(AN231&lt;=SETTINGS!$B$5,1,0),0)</f>
        <v>1</v>
      </c>
      <c r="AP231" s="28">
        <f>IF(M231=1,IF(COUNTIFS(LOG!$C$2:$C$2001,F231,LOG!$E$2:$E$2001,B231,LOG!$D$2:$D$2001,"BOOKED")+COUNTIFS(LOG!$C$2:$C$2001,F231,LOG!$E$2:$E$2001,"",LOG!$D$2:$D$2001,"BOOKED")&gt;0,1,0),0)</f>
        <v>0</v>
      </c>
      <c r="AQ231" s="28" t="str">
        <f t="shared" si="41"/>
        <v>Karan</v>
      </c>
      <c r="AR231" s="28">
        <f>IF(AND(AK231=1,K231="OK"),COUNTIFS($AK$2:AK231,1,$K$2:K231,"OK"),"")</f>
        <v>202</v>
      </c>
      <c r="AS231" s="28" t="str">
        <f>IF(L231=1,IFERROR(INDEX(MESSAGES!$J$9:$J$1008,MATCH(F231,MESSAGES!$M$9:$M$1008,0))&amp;"",""),"")</f>
        <v/>
      </c>
      <c r="AT231" s="28" t="str">
        <f>IF(L231=1,IFERROR(INDEX(MESSAGES!$K$9:$K$1008,MATCH(F231,MESSAGES!$M$9:$M$1008,0))&amp;"",""),"")</f>
        <v/>
      </c>
      <c r="AU231" s="28">
        <f t="shared" ca="1" si="42"/>
        <v>0</v>
      </c>
      <c r="AV231" s="28" t="str">
        <f t="shared" si="43"/>
        <v>SEND</v>
      </c>
    </row>
    <row r="232" spans="1:48" x14ac:dyDescent="0.35">
      <c r="A232" s="28">
        <v>231</v>
      </c>
      <c r="B232" s="28" t="str">
        <f>IF(INPUT!A232="","",TRIM(INPUT!A232))</f>
        <v>Partner 061</v>
      </c>
      <c r="C232" s="28" t="str">
        <f>IF(B232="","",INPUT!C232)</f>
        <v>interviewer1@partner061.example.com</v>
      </c>
      <c r="D232" s="28" t="str">
        <f>IF(B232="","",INPUT!D232)</f>
        <v>Tara G.</v>
      </c>
      <c r="E232" s="28" t="str">
        <f>IF(B232="","",INPUT!E232)</f>
        <v>tara.g195@example.com</v>
      </c>
      <c r="F232" s="43" t="str">
        <f>IF(B232="","",TRIM(INPUT!F232&amp;""))</f>
        <v>9000002542</v>
      </c>
      <c r="G232" s="28" t="str">
        <f>IF(B232="","",INPUT!H232)</f>
        <v>Round1</v>
      </c>
      <c r="H232" s="46">
        <f>IF(B232="","",INPUT!I232)</f>
        <v>46308.82708333333</v>
      </c>
      <c r="I232" s="28" t="str">
        <f>IF(B232="","",IF(INPUT!J232="","None",INPUT!J232))</f>
        <v>Opened</v>
      </c>
      <c r="J232" s="28" t="str">
        <f t="shared" si="33"/>
        <v>tara.g195@example.com|partner 061|Round1|interviewer1@partner061.example.com</v>
      </c>
      <c r="K232" s="28" t="str">
        <f>IF(B232="","",IF(SUMPRODUCT(($J$2:$J$601=J232)*($H$2:$H$601&lt;H232))+SUMPRODUCT(($J$2:J232=J232)*($H$2:H232=H232))-1&gt;0,"DUPLICATE",IF(AND(ISNUMBER(SEARCH("@",E232)),ISNUMBER(SEARCH(".",E232)),LEN(F232)=10,ISNUMBER(VALUE(F232))),"OK","BAD CONTACT")))</f>
        <v>OK</v>
      </c>
      <c r="L232" s="28">
        <f t="shared" si="34"/>
        <v>1</v>
      </c>
      <c r="M232" s="28">
        <f>IF(L232=1,IF(COUNTIFS(LOG!$C$2:$C$2001,F232,LOG!$E$2:$E$2001,B232,LOG!$D$2:$D$2001,"*BOOKED")+COUNTIFS(LOG!$C$2:$C$2001,F232,LOG!$E$2:$E$2001,"",LOG!$D$2:$D$2001,"*BOOKED")&gt;0,1,0),0)</f>
        <v>1</v>
      </c>
      <c r="N232" s="28">
        <f>IF(L232=1,IF(COUNTIFS(LOG!$C$2:$C$2001,F232,LOG!$E$2:$E$2001,B232,LOG!$D$2:$D$2001,"NOT_INTERESTED")+COUNTIFS(LOG!$C$2:$C$2001,F232,LOG!$E$2:$E$2001,"",LOG!$D$2:$D$2001,"NOT_INTERESTED")&gt;0,1,0),0)</f>
        <v>0</v>
      </c>
      <c r="O232" s="28">
        <f>IF(L232=1,IF(COUNTIFS(LOG!$C$2:$C$2001,F232,LOG!$D$2:$D$2001,"STOP")+COUNTIFS(LOG!$C$2:$C$2001,F232,LOG!$D$2:$D$2001,"WRONG_NUMBER")&gt;0,1,IF(ISNUMBER(SEARCH("STOP",AT232)),1,0)),0)</f>
        <v>0</v>
      </c>
      <c r="P232" s="28">
        <f>IF(L232=1,IF(IFERROR(INDEX(PARTNERS!$D$2:$D$88,MATCH(B232,PARTNERS!$A$2:$A$88,0)),"")="NO SLOTS",1,IF(AND(IFERROR(INDEX(PARTNERS!$D$2:$D$88,MATCH(B232,PARTNERS!$A$2:$A$88,0)),"")&lt;&gt;"REOPENED",COUNTIFS(LOG!$E$2:$E$2001,B232,LOG!$D$2:$D$2001,"NO_SLOTS")&gt;0),1,0)),0)</f>
        <v>0</v>
      </c>
      <c r="Q232" s="28">
        <f>IF(L232=1,COUNTIFS(LOG!$C$2:$C$2001,F232,LOG!$H$2:$H$2001,1),0)</f>
        <v>0</v>
      </c>
      <c r="R232" s="46">
        <f>IF(Q232&gt;0,_xlfn.MAXIFS(LOG!$G$2:$G$2001,LOG!$C$2:$C$2001,F232,LOG!$H$2:$H$2001,1),0)</f>
        <v>0</v>
      </c>
      <c r="S232" s="28" t="str">
        <f>IF(Q232&gt;0,IFERROR(INDEX(LOG!$D$2:$D$2001,MATCH(F232&amp;"|"&amp;Q232,LOG!$I$2:$I$2001,0)),""),"")</f>
        <v/>
      </c>
      <c r="T232" s="28">
        <f>IF(S232="",0,IFERROR(VLOOKUP(S232,LISTS!$A$2:$E$10,4,FALSE),0))</f>
        <v>0</v>
      </c>
      <c r="U232" s="46">
        <f t="shared" si="35"/>
        <v>0</v>
      </c>
      <c r="V232" s="46">
        <f>IF(L232=1,H232+SETTINGS!$B$5/24,"")</f>
        <v>46309.82708333333</v>
      </c>
      <c r="W232" s="28">
        <f ca="1">IF(L232=1,(V232-SETTINGS!$B$4)*24,"")</f>
        <v>-1.6666666720993817E-2</v>
      </c>
      <c r="X232" s="28">
        <f ca="1">IF(AND(L232=1,K232="OK",M232=0,N232=0,O232=0,P232=0,SETTINGS!$B$4&lt;V232,Q232&lt;SETTINGS!$B$6),1,0)</f>
        <v>0</v>
      </c>
      <c r="Y232" s="28">
        <f ca="1">IF(AND(X232=1,SETTINGS!$B$4&gt;=H232,SETTINGS!$B$4&gt;=U232,ROUND(MOD(SETTINGS!$B$4,1)*1440,0)&gt;=ROUND(SETTINGS!$B$7*1440,0),ROUND(MOD(SETTINGS!$B$4,1)*1440,0)&lt;ROUND(SETTINGS!$B$8*1440,0)),1,0)</f>
        <v>0</v>
      </c>
      <c r="Z232" s="28" t="str">
        <f ca="1">IF(B232="","",IF(ROUND(MOD(SETTINGS!$B$4,1)*1440,0)&lt;ROUND(SETTINGS!$B$11*1440,0),"Ram",IF(ROUND(MOD(SETTINGS!$B$4,1)*1440,0)&gt;=ROUND(SETTINGS!$B$10*1440,0),"Shyam",IF(MOD(IFERROR(VALUE(RIGHT(F232,2)),0),2)=0,"Ram","Shyam"))))</f>
        <v>Shyam</v>
      </c>
      <c r="AA232" s="28">
        <f t="shared" ca="1" si="36"/>
        <v>0</v>
      </c>
      <c r="AB232" s="28">
        <f ca="1">IF(X232=1,COUNTIFS($F$2:F232,F232,$X$2:X232,1),0)</f>
        <v>0</v>
      </c>
      <c r="AC232" s="28" t="str">
        <f>IF(L232=1,IF(IFERROR(INDEX(PARTNERS!$C$2:$C$88,MATCH(B232,PARTNERS!$A$2:$A$88,0)),"")="YES","YES","NO"),"")</f>
        <v>NO</v>
      </c>
      <c r="AD232" s="28" t="str">
        <f>IF(L232=1,IFERROR(INDEX(PARTNERS!$B$2:$B$88,MATCH(B232,PARTNERS!$A$2:$A$88,0)),""),"")</f>
        <v>https://calendly.com/partner061/interview</v>
      </c>
      <c r="AE232" s="28">
        <f ca="1">IF(X232=1,IFERROR(INDEX(SETTINGS!$B$34:$D$36,MATCH(I232,SETTINGS!$A$34:$A$36,0),MIN(Q232,2)+1),SETTINGS!$B$36),0)</f>
        <v>0</v>
      </c>
      <c r="AF232" s="28">
        <f t="shared" si="37"/>
        <v>1</v>
      </c>
      <c r="AG232" s="28">
        <f ca="1">IF(AND(Y232=1,AB232=1),ROUND(AA232*AE232*IF(AF232&gt;1,SETTINGS!$B$16,1)*IF(W232&lt;=SETTINGS!$B$14,SETTINGS!$B$15,1)*IF(AU232=1,SETTINGS!$B$21,1),6),0)</f>
        <v>0</v>
      </c>
      <c r="AH232" s="28" t="str">
        <f ca="1">IF(AG232&gt;0,COUNTIFS($Z$2:$Z$601,Z232,$AG$2:$AG$601,"&gt;"&amp;AG232)+COUNTIFS($Z$2:Z232,Z232,$AG$2:AG232,AG232),"")</f>
        <v/>
      </c>
      <c r="AI232" s="28" t="str">
        <f t="shared" ca="1" si="38"/>
        <v/>
      </c>
      <c r="AJ232" s="28" t="str">
        <f t="shared" ca="1" si="39"/>
        <v/>
      </c>
      <c r="AK232" s="28">
        <f>IF(L232=1,IF(COUNTIFS($F$2:F232,F232,$L$2:L232,1)=1,1,0),0)</f>
        <v>1</v>
      </c>
      <c r="AL232" s="28" t="str">
        <f>IF(B232="","",IF(K232="DUPLICATE","Duplicate (removed)",IF(AO232=1,"Scheduled within 24h",IF(M232=1,"Scheduled late",IF(K232="BAD CONTACT","Bad contact details",IF(O232=1,"Stopped / wrong number",IF(N232=1,"Not interested",IF(P232=1,"Partner has no slots",IF(SETTINGS!$B$4&gt;=V232,IF(Q232=0,"Missed deadline: never tried","Missed deadline: tried, not booked"),IF(Q232&gt;=SETTINGS!$B$6,"No reply after max tries","Open"))))))))))</f>
        <v>Scheduled within 24h</v>
      </c>
      <c r="AM232" s="46">
        <f>IF(M232=1,IF(_xlfn.MINIFS(LOG!$G$2:$G$2001,LOG!$C$2:$C$2001,F232,LOG!$E$2:$E$2001,B232,LOG!$D$2:$D$2001,"*BOOKED")=0,_xlfn.MINIFS(LOG!$G$2:$G$2001,LOG!$C$2:$C$2001,F232,LOG!$E$2:$E$2001,"",LOG!$D$2:$D$2001,"*BOOKED"),IF(_xlfn.MINIFS(LOG!$G$2:$G$2001,LOG!$C$2:$C$2001,F232,LOG!$E$2:$E$2001,"",LOG!$D$2:$D$2001,"*BOOKED")=0,_xlfn.MINIFS(LOG!$G$2:$G$2001,LOG!$C$2:$C$2001,F232,LOG!$E$2:$E$2001,B232,LOG!$D$2:$D$2001,"*BOOKED"),MIN(_xlfn.MINIFS(LOG!$G$2:$G$2001,LOG!$C$2:$C$2001,F232,LOG!$E$2:$E$2001,B232,LOG!$D$2:$D$2001,"*BOOKED"),_xlfn.MINIFS(LOG!$G$2:$G$2001,LOG!$C$2:$C$2001,F232,LOG!$E$2:$E$2001,"",LOG!$D$2:$D$2001,"*BOOKED")))),"")</f>
        <v>46308.925125279966</v>
      </c>
      <c r="AN232" s="28">
        <f t="shared" si="40"/>
        <v>2.3530067192623392</v>
      </c>
      <c r="AO232" s="28">
        <f>IF(AND(M232=1,AN232&lt;&gt;""),IF(AN232&lt;=SETTINGS!$B$5,1,0),0)</f>
        <v>1</v>
      </c>
      <c r="AP232" s="28">
        <f>IF(M232=1,IF(COUNTIFS(LOG!$C$2:$C$2001,F232,LOG!$E$2:$E$2001,B232,LOG!$D$2:$D$2001,"BOOKED")+COUNTIFS(LOG!$C$2:$C$2001,F232,LOG!$E$2:$E$2001,"",LOG!$D$2:$D$2001,"BOOKED")&gt;0,1,0),0)</f>
        <v>0</v>
      </c>
      <c r="AQ232" s="28" t="str">
        <f t="shared" si="41"/>
        <v>Tara</v>
      </c>
      <c r="AR232" s="28">
        <f>IF(AND(AK232=1,K232="OK"),COUNTIFS($AK$2:AK232,1,$K$2:K232,"OK"),"")</f>
        <v>203</v>
      </c>
      <c r="AS232" s="28" t="str">
        <f>IF(L232=1,IFERROR(INDEX(MESSAGES!$J$9:$J$1008,MATCH(F232,MESSAGES!$M$9:$M$1008,0))&amp;"",""),"")</f>
        <v/>
      </c>
      <c r="AT232" s="28" t="str">
        <f>IF(L232=1,IFERROR(INDEX(MESSAGES!$K$9:$K$1008,MATCH(F232,MESSAGES!$M$9:$M$1008,0))&amp;"",""),"")</f>
        <v/>
      </c>
      <c r="AU232" s="28">
        <f t="shared" ca="1" si="42"/>
        <v>0</v>
      </c>
      <c r="AV232" s="28" t="str">
        <f t="shared" si="43"/>
        <v>SEND</v>
      </c>
    </row>
    <row r="233" spans="1:48" x14ac:dyDescent="0.35">
      <c r="A233" s="28">
        <v>232</v>
      </c>
      <c r="B233" s="28" t="str">
        <f>IF(INPUT!A233="","",TRIM(INPUT!A233))</f>
        <v>Partner 032</v>
      </c>
      <c r="C233" s="28" t="str">
        <f>IF(B233="","",INPUT!C233)</f>
        <v>interviewer0@partner032.example.com</v>
      </c>
      <c r="D233" s="28" t="str">
        <f>IF(B233="","",INPUT!D233)</f>
        <v>Diya C.</v>
      </c>
      <c r="E233" s="28" t="str">
        <f>IF(B233="","",INPUT!E233)</f>
        <v>diya.c061example.com</v>
      </c>
      <c r="F233" s="43" t="str">
        <f>IF(B233="","",TRIM(INPUT!F233&amp;""))</f>
        <v>9000000800</v>
      </c>
      <c r="G233" s="28" t="str">
        <f>IF(B233="","",INPUT!H233)</f>
        <v>Round2</v>
      </c>
      <c r="H233" s="46">
        <f>IF(B233="","",INPUT!I233)</f>
        <v>46308.82708333333</v>
      </c>
      <c r="I233" s="28" t="str">
        <f>IF(B233="","",IF(INPUT!J233="","None",INPUT!J233))</f>
        <v>Opened</v>
      </c>
      <c r="J233" s="28" t="str">
        <f t="shared" si="33"/>
        <v>diya.c061example.com|partner 032|Round2|interviewer0@partner032.example.com</v>
      </c>
      <c r="K233" s="28" t="str">
        <f>IF(B233="","",IF(SUMPRODUCT(($J$2:$J$601=J233)*($H$2:$H$601&lt;H233))+SUMPRODUCT(($J$2:J233=J233)*($H$2:H233=H233))-1&gt;0,"DUPLICATE",IF(AND(ISNUMBER(SEARCH("@",E233)),ISNUMBER(SEARCH(".",E233)),LEN(F233)=10,ISNUMBER(VALUE(F233))),"OK","BAD CONTACT")))</f>
        <v>BAD CONTACT</v>
      </c>
      <c r="L233" s="28">
        <f t="shared" si="34"/>
        <v>1</v>
      </c>
      <c r="M233" s="28">
        <f>IF(L233=1,IF(COUNTIFS(LOG!$C$2:$C$2001,F233,LOG!$E$2:$E$2001,B233,LOG!$D$2:$D$2001,"*BOOKED")+COUNTIFS(LOG!$C$2:$C$2001,F233,LOG!$E$2:$E$2001,"",LOG!$D$2:$D$2001,"*BOOKED")&gt;0,1,0),0)</f>
        <v>0</v>
      </c>
      <c r="N233" s="28">
        <f>IF(L233=1,IF(COUNTIFS(LOG!$C$2:$C$2001,F233,LOG!$E$2:$E$2001,B233,LOG!$D$2:$D$2001,"NOT_INTERESTED")+COUNTIFS(LOG!$C$2:$C$2001,F233,LOG!$E$2:$E$2001,"",LOG!$D$2:$D$2001,"NOT_INTERESTED")&gt;0,1,0),0)</f>
        <v>0</v>
      </c>
      <c r="O233" s="28">
        <f>IF(L233=1,IF(COUNTIFS(LOG!$C$2:$C$2001,F233,LOG!$D$2:$D$2001,"STOP")+COUNTIFS(LOG!$C$2:$C$2001,F233,LOG!$D$2:$D$2001,"WRONG_NUMBER")&gt;0,1,IF(ISNUMBER(SEARCH("STOP",AT233)),1,0)),0)</f>
        <v>0</v>
      </c>
      <c r="P233" s="28">
        <f>IF(L233=1,IF(IFERROR(INDEX(PARTNERS!$D$2:$D$88,MATCH(B233,PARTNERS!$A$2:$A$88,0)),"")="NO SLOTS",1,IF(AND(IFERROR(INDEX(PARTNERS!$D$2:$D$88,MATCH(B233,PARTNERS!$A$2:$A$88,0)),"")&lt;&gt;"REOPENED",COUNTIFS(LOG!$E$2:$E$2001,B233,LOG!$D$2:$D$2001,"NO_SLOTS")&gt;0),1,0)),0)</f>
        <v>0</v>
      </c>
      <c r="Q233" s="28">
        <f>IF(L233=1,COUNTIFS(LOG!$C$2:$C$2001,F233,LOG!$H$2:$H$2001,1),0)</f>
        <v>0</v>
      </c>
      <c r="R233" s="46">
        <f>IF(Q233&gt;0,_xlfn.MAXIFS(LOG!$G$2:$G$2001,LOG!$C$2:$C$2001,F233,LOG!$H$2:$H$2001,1),0)</f>
        <v>0</v>
      </c>
      <c r="S233" s="28" t="str">
        <f>IF(Q233&gt;0,IFERROR(INDEX(LOG!$D$2:$D$2001,MATCH(F233&amp;"|"&amp;Q233,LOG!$I$2:$I$2001,0)),""),"")</f>
        <v/>
      </c>
      <c r="T233" s="28">
        <f>IF(S233="",0,IFERROR(VLOOKUP(S233,LISTS!$A$2:$E$10,4,FALSE),0))</f>
        <v>0</v>
      </c>
      <c r="U233" s="46">
        <f t="shared" si="35"/>
        <v>0</v>
      </c>
      <c r="V233" s="46">
        <f>IF(L233=1,H233+SETTINGS!$B$5/24,"")</f>
        <v>46309.82708333333</v>
      </c>
      <c r="W233" s="28">
        <f ca="1">IF(L233=1,(V233-SETTINGS!$B$4)*24,"")</f>
        <v>-1.6666666720993817E-2</v>
      </c>
      <c r="X233" s="28">
        <f ca="1">IF(AND(L233=1,K233="OK",M233=0,N233=0,O233=0,P233=0,SETTINGS!$B$4&lt;V233,Q233&lt;SETTINGS!$B$6),1,0)</f>
        <v>0</v>
      </c>
      <c r="Y233" s="28">
        <f ca="1">IF(AND(X233=1,SETTINGS!$B$4&gt;=H233,SETTINGS!$B$4&gt;=U233,ROUND(MOD(SETTINGS!$B$4,1)*1440,0)&gt;=ROUND(SETTINGS!$B$7*1440,0),ROUND(MOD(SETTINGS!$B$4,1)*1440,0)&lt;ROUND(SETTINGS!$B$8*1440,0)),1,0)</f>
        <v>0</v>
      </c>
      <c r="Z233" s="28" t="str">
        <f ca="1">IF(B233="","",IF(ROUND(MOD(SETTINGS!$B$4,1)*1440,0)&lt;ROUND(SETTINGS!$B$11*1440,0),"Ram",IF(ROUND(MOD(SETTINGS!$B$4,1)*1440,0)&gt;=ROUND(SETTINGS!$B$10*1440,0),"Shyam",IF(MOD(IFERROR(VALUE(RIGHT(F233,2)),0),2)=0,"Ram","Shyam"))))</f>
        <v>Shyam</v>
      </c>
      <c r="AA233" s="28">
        <f t="shared" ca="1" si="36"/>
        <v>0</v>
      </c>
      <c r="AB233" s="28">
        <f ca="1">IF(X233=1,COUNTIFS($F$2:F233,F233,$X$2:X233,1),0)</f>
        <v>0</v>
      </c>
      <c r="AC233" s="28" t="str">
        <f>IF(L233=1,IF(IFERROR(INDEX(PARTNERS!$C$2:$C$88,MATCH(B233,PARTNERS!$A$2:$A$88,0)),"")="YES","YES","NO"),"")</f>
        <v>YES</v>
      </c>
      <c r="AD233" s="28" t="str">
        <f>IF(L233=1,IFERROR(INDEX(PARTNERS!$B$2:$B$88,MATCH(B233,PARTNERS!$A$2:$A$88,0)),""),"")</f>
        <v>https://calendly.com/partner032/interview</v>
      </c>
      <c r="AE233" s="28">
        <f ca="1">IF(X233=1,IFERROR(INDEX(SETTINGS!$B$34:$D$36,MATCH(I233,SETTINGS!$A$34:$A$36,0),MIN(Q233,2)+1),SETTINGS!$B$36),0)</f>
        <v>0</v>
      </c>
      <c r="AF233" s="28">
        <f t="shared" si="37"/>
        <v>2</v>
      </c>
      <c r="AG233" s="28">
        <f ca="1">IF(AND(Y233=1,AB233=1),ROUND(AA233*AE233*IF(AF233&gt;1,SETTINGS!$B$16,1)*IF(W233&lt;=SETTINGS!$B$14,SETTINGS!$B$15,1)*IF(AU233=1,SETTINGS!$B$21,1),6),0)</f>
        <v>0</v>
      </c>
      <c r="AH233" s="28" t="str">
        <f ca="1">IF(AG233&gt;0,COUNTIFS($Z$2:$Z$601,Z233,$AG$2:$AG$601,"&gt;"&amp;AG233)+COUNTIFS($Z$2:Z233,Z233,$AG$2:AG233,AG233),"")</f>
        <v/>
      </c>
      <c r="AI233" s="28" t="str">
        <f t="shared" ca="1" si="38"/>
        <v/>
      </c>
      <c r="AJ233" s="28" t="str">
        <f t="shared" ca="1" si="39"/>
        <v/>
      </c>
      <c r="AK233" s="28">
        <f>IF(L233=1,IF(COUNTIFS($F$2:F233,F233,$L$2:L233,1)=1,1,0),0)</f>
        <v>1</v>
      </c>
      <c r="AL233" s="28" t="str">
        <f>IF(B233="","",IF(K233="DUPLICATE","Duplicate (removed)",IF(AO233=1,"Scheduled within 24h",IF(M233=1,"Scheduled late",IF(K233="BAD CONTACT","Bad contact details",IF(O233=1,"Stopped / wrong number",IF(N233=1,"Not interested",IF(P233=1,"Partner has no slots",IF(SETTINGS!$B$4&gt;=V233,IF(Q233=0,"Missed deadline: never tried","Missed deadline: tried, not booked"),IF(Q233&gt;=SETTINGS!$B$6,"No reply after max tries","Open"))))))))))</f>
        <v>Bad contact details</v>
      </c>
      <c r="AM233" s="46" t="str">
        <f>IF(M233=1,IF(_xlfn.MINIFS(LOG!$G$2:$G$2001,LOG!$C$2:$C$2001,F233,LOG!$E$2:$E$2001,B233,LOG!$D$2:$D$2001,"*BOOKED")=0,_xlfn.MINIFS(LOG!$G$2:$G$2001,LOG!$C$2:$C$2001,F233,LOG!$E$2:$E$2001,"",LOG!$D$2:$D$2001,"*BOOKED"),IF(_xlfn.MINIFS(LOG!$G$2:$G$2001,LOG!$C$2:$C$2001,F233,LOG!$E$2:$E$2001,"",LOG!$D$2:$D$2001,"*BOOKED")=0,_xlfn.MINIFS(LOG!$G$2:$G$2001,LOG!$C$2:$C$2001,F233,LOG!$E$2:$E$2001,B233,LOG!$D$2:$D$2001,"*BOOKED"),MIN(_xlfn.MINIFS(LOG!$G$2:$G$2001,LOG!$C$2:$C$2001,F233,LOG!$E$2:$E$2001,B233,LOG!$D$2:$D$2001,"*BOOKED"),_xlfn.MINIFS(LOG!$G$2:$G$2001,LOG!$C$2:$C$2001,F233,LOG!$E$2:$E$2001,"",LOG!$D$2:$D$2001,"*BOOKED")))),"")</f>
        <v/>
      </c>
      <c r="AN233" s="28" t="str">
        <f t="shared" si="40"/>
        <v/>
      </c>
      <c r="AO233" s="28">
        <f>IF(AND(M233=1,AN233&lt;&gt;""),IF(AN233&lt;=SETTINGS!$B$5,1,0),0)</f>
        <v>0</v>
      </c>
      <c r="AP233" s="28">
        <f>IF(M233=1,IF(COUNTIFS(LOG!$C$2:$C$2001,F233,LOG!$E$2:$E$2001,B233,LOG!$D$2:$D$2001,"BOOKED")+COUNTIFS(LOG!$C$2:$C$2001,F233,LOG!$E$2:$E$2001,"",LOG!$D$2:$D$2001,"BOOKED")&gt;0,1,0),0)</f>
        <v>0</v>
      </c>
      <c r="AQ233" s="28" t="str">
        <f t="shared" si="41"/>
        <v>Diya</v>
      </c>
      <c r="AR233" s="28" t="str">
        <f>IF(AND(AK233=1,K233="OK"),COUNTIFS($AK$2:AK233,1,$K$2:K233,"OK"),"")</f>
        <v/>
      </c>
      <c r="AS233" s="28" t="str">
        <f>IF(L233=1,IFERROR(INDEX(MESSAGES!$J$9:$J$1008,MATCH(F233,MESSAGES!$M$9:$M$1008,0))&amp;"",""),"")</f>
        <v/>
      </c>
      <c r="AT233" s="28" t="str">
        <f>IF(L233=1,IFERROR(INDEX(MESSAGES!$K$9:$K$1008,MATCH(F233,MESSAGES!$M$9:$M$1008,0))&amp;"",""),"")</f>
        <v/>
      </c>
      <c r="AU233" s="28">
        <f t="shared" ca="1" si="42"/>
        <v>0</v>
      </c>
      <c r="AV233" s="28" t="str">
        <f t="shared" si="43"/>
        <v>SEND</v>
      </c>
    </row>
    <row r="234" spans="1:48" x14ac:dyDescent="0.35">
      <c r="A234" s="28">
        <v>233</v>
      </c>
      <c r="B234" s="28" t="str">
        <f>IF(INPUT!A234="","",TRIM(INPUT!A234))</f>
        <v>Partner 029</v>
      </c>
      <c r="C234" s="28" t="str">
        <f>IF(B234="","",INPUT!C234)</f>
        <v>interviewer0@partner029.example.com</v>
      </c>
      <c r="D234" s="28" t="str">
        <f>IF(B234="","",INPUT!D234)</f>
        <v>Navya A.</v>
      </c>
      <c r="E234" s="28" t="str">
        <f>IF(B234="","",INPUT!E234)</f>
        <v>navya.a013@example.com</v>
      </c>
      <c r="F234" s="43" t="str">
        <f>IF(B234="","",TRIM(INPUT!F234&amp;""))</f>
        <v>9000000176</v>
      </c>
      <c r="G234" s="28" t="str">
        <f>IF(B234="","",INPUT!H234)</f>
        <v>Round1</v>
      </c>
      <c r="H234" s="46">
        <f>IF(B234="","",INPUT!I234)</f>
        <v>46308.82708333333</v>
      </c>
      <c r="I234" s="28" t="str">
        <f>IF(B234="","",IF(INPUT!J234="","None",INPUT!J234))</f>
        <v>Clicked</v>
      </c>
      <c r="J234" s="28" t="str">
        <f t="shared" si="33"/>
        <v>navya.a013@example.com|partner 029|Round1|interviewer0@partner029.example.com</v>
      </c>
      <c r="K234" s="28" t="str">
        <f>IF(B234="","",IF(SUMPRODUCT(($J$2:$J$601=J234)*($H$2:$H$601&lt;H234))+SUMPRODUCT(($J$2:J234=J234)*($H$2:H234=H234))-1&gt;0,"DUPLICATE",IF(AND(ISNUMBER(SEARCH("@",E234)),ISNUMBER(SEARCH(".",E234)),LEN(F234)=10,ISNUMBER(VALUE(F234))),"OK","BAD CONTACT")))</f>
        <v>OK</v>
      </c>
      <c r="L234" s="28">
        <f t="shared" si="34"/>
        <v>1</v>
      </c>
      <c r="M234" s="28">
        <f>IF(L234=1,IF(COUNTIFS(LOG!$C$2:$C$2001,F234,LOG!$E$2:$E$2001,B234,LOG!$D$2:$D$2001,"*BOOKED")+COUNTIFS(LOG!$C$2:$C$2001,F234,LOG!$E$2:$E$2001,"",LOG!$D$2:$D$2001,"*BOOKED")&gt;0,1,0),0)</f>
        <v>1</v>
      </c>
      <c r="N234" s="28">
        <f>IF(L234=1,IF(COUNTIFS(LOG!$C$2:$C$2001,F234,LOG!$E$2:$E$2001,B234,LOG!$D$2:$D$2001,"NOT_INTERESTED")+COUNTIFS(LOG!$C$2:$C$2001,F234,LOG!$E$2:$E$2001,"",LOG!$D$2:$D$2001,"NOT_INTERESTED")&gt;0,1,0),0)</f>
        <v>0</v>
      </c>
      <c r="O234" s="28">
        <f>IF(L234=1,IF(COUNTIFS(LOG!$C$2:$C$2001,F234,LOG!$D$2:$D$2001,"STOP")+COUNTIFS(LOG!$C$2:$C$2001,F234,LOG!$D$2:$D$2001,"WRONG_NUMBER")&gt;0,1,IF(ISNUMBER(SEARCH("STOP",AT234)),1,0)),0)</f>
        <v>0</v>
      </c>
      <c r="P234" s="28">
        <f>IF(L234=1,IF(IFERROR(INDEX(PARTNERS!$D$2:$D$88,MATCH(B234,PARTNERS!$A$2:$A$88,0)),"")="NO SLOTS",1,IF(AND(IFERROR(INDEX(PARTNERS!$D$2:$D$88,MATCH(B234,PARTNERS!$A$2:$A$88,0)),"")&lt;&gt;"REOPENED",COUNTIFS(LOG!$E$2:$E$2001,B234,LOG!$D$2:$D$2001,"NO_SLOTS")&gt;0),1,0)),0)</f>
        <v>0</v>
      </c>
      <c r="Q234" s="28">
        <f>IF(L234=1,COUNTIFS(LOG!$C$2:$C$2001,F234,LOG!$H$2:$H$2001,1),0)</f>
        <v>2</v>
      </c>
      <c r="R234" s="46">
        <f>IF(Q234&gt;0,_xlfn.MAXIFS(LOG!$G$2:$G$2001,LOG!$C$2:$C$2001,F234,LOG!$H$2:$H$2001,1),0)</f>
        <v>46309.727435413603</v>
      </c>
      <c r="S234" s="28" t="str">
        <f>IF(Q234&gt;0,IFERROR(INDEX(LOG!$D$2:$D$2001,MATCH(F234&amp;"|"&amp;Q234,LOG!$I$2:$I$2001,0)),""),"")</f>
        <v>BOOKED</v>
      </c>
      <c r="T234" s="28">
        <f>IF(S234="",0,IFERROR(VLOOKUP(S234,LISTS!$A$2:$E$10,4,FALSE),0))</f>
        <v>0</v>
      </c>
      <c r="U234" s="46">
        <f t="shared" si="35"/>
        <v>46309.727435413603</v>
      </c>
      <c r="V234" s="46">
        <f>IF(L234=1,H234+SETTINGS!$B$5/24,"")</f>
        <v>46309.82708333333</v>
      </c>
      <c r="W234" s="28">
        <f ca="1">IF(L234=1,(V234-SETTINGS!$B$4)*24,"")</f>
        <v>-1.6666666720993817E-2</v>
      </c>
      <c r="X234" s="28">
        <f ca="1">IF(AND(L234=1,K234="OK",M234=0,N234=0,O234=0,P234=0,SETTINGS!$B$4&lt;V234,Q234&lt;SETTINGS!$B$6),1,0)</f>
        <v>0</v>
      </c>
      <c r="Y234" s="28">
        <f ca="1">IF(AND(X234=1,SETTINGS!$B$4&gt;=H234,SETTINGS!$B$4&gt;=U234,ROUND(MOD(SETTINGS!$B$4,1)*1440,0)&gt;=ROUND(SETTINGS!$B$7*1440,0),ROUND(MOD(SETTINGS!$B$4,1)*1440,0)&lt;ROUND(SETTINGS!$B$8*1440,0)),1,0)</f>
        <v>0</v>
      </c>
      <c r="Z234" s="28" t="str">
        <f ca="1">IF(B234="","",IF(ROUND(MOD(SETTINGS!$B$4,1)*1440,0)&lt;ROUND(SETTINGS!$B$11*1440,0),"Ram",IF(ROUND(MOD(SETTINGS!$B$4,1)*1440,0)&gt;=ROUND(SETTINGS!$B$10*1440,0),"Shyam",IF(MOD(IFERROR(VALUE(RIGHT(F234,2)),0),2)=0,"Ram","Shyam"))))</f>
        <v>Shyam</v>
      </c>
      <c r="AA234" s="28">
        <f t="shared" ca="1" si="36"/>
        <v>0</v>
      </c>
      <c r="AB234" s="28">
        <f ca="1">IF(X234=1,COUNTIFS($F$2:F234,F234,$X$2:X234,1),0)</f>
        <v>0</v>
      </c>
      <c r="AC234" s="28" t="str">
        <f>IF(L234=1,IF(IFERROR(INDEX(PARTNERS!$C$2:$C$88,MATCH(B234,PARTNERS!$A$2:$A$88,0)),"")="YES","YES","NO"),"")</f>
        <v>YES</v>
      </c>
      <c r="AD234" s="28" t="str">
        <f>IF(L234=1,IFERROR(INDEX(PARTNERS!$B$2:$B$88,MATCH(B234,PARTNERS!$A$2:$A$88,0)),""),"")</f>
        <v>https://calendly.com/partner029/interview</v>
      </c>
      <c r="AE234" s="28">
        <f ca="1">IF(X234=1,IFERROR(INDEX(SETTINGS!$B$34:$D$36,MATCH(I234,SETTINGS!$A$34:$A$36,0),MIN(Q234,2)+1),SETTINGS!$B$36),0)</f>
        <v>0</v>
      </c>
      <c r="AF234" s="28">
        <f t="shared" si="37"/>
        <v>1</v>
      </c>
      <c r="AG234" s="28">
        <f ca="1">IF(AND(Y234=1,AB234=1),ROUND(AA234*AE234*IF(AF234&gt;1,SETTINGS!$B$16,1)*IF(W234&lt;=SETTINGS!$B$14,SETTINGS!$B$15,1)*IF(AU234=1,SETTINGS!$B$21,1),6),0)</f>
        <v>0</v>
      </c>
      <c r="AH234" s="28" t="str">
        <f ca="1">IF(AG234&gt;0,COUNTIFS($Z$2:$Z$601,Z234,$AG$2:$AG$601,"&gt;"&amp;AG234)+COUNTIFS($Z$2:Z234,Z234,$AG$2:AG234,AG234),"")</f>
        <v/>
      </c>
      <c r="AI234" s="28" t="str">
        <f t="shared" ca="1" si="38"/>
        <v/>
      </c>
      <c r="AJ234" s="28" t="str">
        <f t="shared" ca="1" si="39"/>
        <v/>
      </c>
      <c r="AK234" s="28">
        <f>IF(L234=1,IF(COUNTIFS($F$2:F234,F234,$L$2:L234,1)=1,1,0),0)</f>
        <v>1</v>
      </c>
      <c r="AL234" s="28" t="str">
        <f>IF(B234="","",IF(K234="DUPLICATE","Duplicate (removed)",IF(AO234=1,"Scheduled within 24h",IF(M234=1,"Scheduled late",IF(K234="BAD CONTACT","Bad contact details",IF(O234=1,"Stopped / wrong number",IF(N234=1,"Not interested",IF(P234=1,"Partner has no slots",IF(SETTINGS!$B$4&gt;=V234,IF(Q234=0,"Missed deadline: never tried","Missed deadline: tried, not booked"),IF(Q234&gt;=SETTINGS!$B$6,"No reply after max tries","Open"))))))))))</f>
        <v>Scheduled within 24h</v>
      </c>
      <c r="AM234" s="46">
        <f>IF(M234=1,IF(_xlfn.MINIFS(LOG!$G$2:$G$2001,LOG!$C$2:$C$2001,F234,LOG!$E$2:$E$2001,B234,LOG!$D$2:$D$2001,"*BOOKED")=0,_xlfn.MINIFS(LOG!$G$2:$G$2001,LOG!$C$2:$C$2001,F234,LOG!$E$2:$E$2001,"",LOG!$D$2:$D$2001,"*BOOKED"),IF(_xlfn.MINIFS(LOG!$G$2:$G$2001,LOG!$C$2:$C$2001,F234,LOG!$E$2:$E$2001,"",LOG!$D$2:$D$2001,"*BOOKED")=0,_xlfn.MINIFS(LOG!$G$2:$G$2001,LOG!$C$2:$C$2001,F234,LOG!$E$2:$E$2001,B234,LOG!$D$2:$D$2001,"*BOOKED"),MIN(_xlfn.MINIFS(LOG!$G$2:$G$2001,LOG!$C$2:$C$2001,F234,LOG!$E$2:$E$2001,B234,LOG!$D$2:$D$2001,"*BOOKED"),_xlfn.MINIFS(LOG!$G$2:$G$2001,LOG!$C$2:$C$2001,F234,LOG!$E$2:$E$2001,"",LOG!$D$2:$D$2001,"*BOOKED")))),"")</f>
        <v>46309.727435413603</v>
      </c>
      <c r="AN234" s="28">
        <f t="shared" si="40"/>
        <v>21.608449926541653</v>
      </c>
      <c r="AO234" s="28">
        <f>IF(AND(M234=1,AN234&lt;&gt;""),IF(AN234&lt;=SETTINGS!$B$5,1,0),0)</f>
        <v>1</v>
      </c>
      <c r="AP234" s="28">
        <f>IF(M234=1,IF(COUNTIFS(LOG!$C$2:$C$2001,F234,LOG!$E$2:$E$2001,B234,LOG!$D$2:$D$2001,"BOOKED")+COUNTIFS(LOG!$C$2:$C$2001,F234,LOG!$E$2:$E$2001,"",LOG!$D$2:$D$2001,"BOOKED")&gt;0,1,0),0)</f>
        <v>1</v>
      </c>
      <c r="AQ234" s="28" t="str">
        <f t="shared" si="41"/>
        <v>Navya</v>
      </c>
      <c r="AR234" s="28">
        <f>IF(AND(AK234=1,K234="OK"),COUNTIFS($AK$2:AK234,1,$K$2:K234,"OK"),"")</f>
        <v>204</v>
      </c>
      <c r="AS234" s="28" t="str">
        <f>IF(L234=1,IFERROR(INDEX(MESSAGES!$J$9:$J$1008,MATCH(F234,MESSAGES!$M$9:$M$1008,0))&amp;"",""),"")</f>
        <v/>
      </c>
      <c r="AT234" s="28" t="str">
        <f>IF(L234=1,IFERROR(INDEX(MESSAGES!$K$9:$K$1008,MATCH(F234,MESSAGES!$M$9:$M$1008,0))&amp;"",""),"")</f>
        <v/>
      </c>
      <c r="AU234" s="28">
        <f t="shared" ca="1" si="42"/>
        <v>0</v>
      </c>
      <c r="AV234" s="28" t="str">
        <f t="shared" si="43"/>
        <v>HOLD</v>
      </c>
    </row>
    <row r="235" spans="1:48" x14ac:dyDescent="0.35">
      <c r="A235" s="28">
        <v>234</v>
      </c>
      <c r="B235" s="28" t="str">
        <f>IF(INPUT!A235="","",TRIM(INPUT!A235))</f>
        <v>Partner 076</v>
      </c>
      <c r="C235" s="28" t="str">
        <f>IF(B235="","",INPUT!C235)</f>
        <v>interviewer1@partner076.example.com</v>
      </c>
      <c r="D235" s="28" t="str">
        <f>IF(B235="","",INPUT!D235)</f>
        <v>Tara J.</v>
      </c>
      <c r="E235" s="28" t="str">
        <f>IF(B235="","",INPUT!E235)</f>
        <v>tara.j255@example.com</v>
      </c>
      <c r="F235" s="43" t="str">
        <f>IF(B235="","",TRIM(INPUT!F235&amp;""))</f>
        <v>9000003322</v>
      </c>
      <c r="G235" s="28" t="str">
        <f>IF(B235="","",INPUT!H235)</f>
        <v>Round1</v>
      </c>
      <c r="H235" s="46">
        <f>IF(B235="","",INPUT!I235)</f>
        <v>46308.82708333333</v>
      </c>
      <c r="I235" s="28" t="str">
        <f>IF(B235="","",IF(INPUT!J235="","None",INPUT!J235))</f>
        <v>Clicked</v>
      </c>
      <c r="J235" s="28" t="str">
        <f t="shared" si="33"/>
        <v>tara.j255@example.com|partner 076|Round1|interviewer1@partner076.example.com</v>
      </c>
      <c r="K235" s="28" t="str">
        <f>IF(B235="","",IF(SUMPRODUCT(($J$2:$J$601=J235)*($H$2:$H$601&lt;H235))+SUMPRODUCT(($J$2:J235=J235)*($H$2:H235=H235))-1&gt;0,"DUPLICATE",IF(AND(ISNUMBER(SEARCH("@",E235)),ISNUMBER(SEARCH(".",E235)),LEN(F235)=10,ISNUMBER(VALUE(F235))),"OK","BAD CONTACT")))</f>
        <v>OK</v>
      </c>
      <c r="L235" s="28">
        <f t="shared" si="34"/>
        <v>1</v>
      </c>
      <c r="M235" s="28">
        <f>IF(L235=1,IF(COUNTIFS(LOG!$C$2:$C$2001,F235,LOG!$E$2:$E$2001,B235,LOG!$D$2:$D$2001,"*BOOKED")+COUNTIFS(LOG!$C$2:$C$2001,F235,LOG!$E$2:$E$2001,"",LOG!$D$2:$D$2001,"*BOOKED")&gt;0,1,0),0)</f>
        <v>1</v>
      </c>
      <c r="N235" s="28">
        <f>IF(L235=1,IF(COUNTIFS(LOG!$C$2:$C$2001,F235,LOG!$E$2:$E$2001,B235,LOG!$D$2:$D$2001,"NOT_INTERESTED")+COUNTIFS(LOG!$C$2:$C$2001,F235,LOG!$E$2:$E$2001,"",LOG!$D$2:$D$2001,"NOT_INTERESTED")&gt;0,1,0),0)</f>
        <v>0</v>
      </c>
      <c r="O235" s="28">
        <f>IF(L235=1,IF(COUNTIFS(LOG!$C$2:$C$2001,F235,LOG!$D$2:$D$2001,"STOP")+COUNTIFS(LOG!$C$2:$C$2001,F235,LOG!$D$2:$D$2001,"WRONG_NUMBER")&gt;0,1,IF(ISNUMBER(SEARCH("STOP",AT235)),1,0)),0)</f>
        <v>0</v>
      </c>
      <c r="P235" s="28">
        <f>IF(L235=1,IF(IFERROR(INDEX(PARTNERS!$D$2:$D$88,MATCH(B235,PARTNERS!$A$2:$A$88,0)),"")="NO SLOTS",1,IF(AND(IFERROR(INDEX(PARTNERS!$D$2:$D$88,MATCH(B235,PARTNERS!$A$2:$A$88,0)),"")&lt;&gt;"REOPENED",COUNTIFS(LOG!$E$2:$E$2001,B235,LOG!$D$2:$D$2001,"NO_SLOTS")&gt;0),1,0)),0)</f>
        <v>0</v>
      </c>
      <c r="Q235" s="28">
        <f>IF(L235=1,COUNTIFS(LOG!$C$2:$C$2001,F235,LOG!$H$2:$H$2001,1),0)</f>
        <v>1</v>
      </c>
      <c r="R235" s="46">
        <f>IF(Q235&gt;0,_xlfn.MAXIFS(LOG!$G$2:$G$2001,LOG!$C$2:$C$2001,F235,LOG!$H$2:$H$2001,1),0)</f>
        <v>46309.642855571328</v>
      </c>
      <c r="S235" s="28" t="str">
        <f>IF(Q235&gt;0,IFERROR(INDEX(LOG!$D$2:$D$2001,MATCH(F235&amp;"|"&amp;Q235,LOG!$I$2:$I$2001,0)),""),"")</f>
        <v>BOOKED</v>
      </c>
      <c r="T235" s="28">
        <f>IF(S235="",0,IFERROR(VLOOKUP(S235,LISTS!$A$2:$E$10,4,FALSE),0))</f>
        <v>0</v>
      </c>
      <c r="U235" s="46">
        <f t="shared" si="35"/>
        <v>46309.642855571328</v>
      </c>
      <c r="V235" s="46">
        <f>IF(L235=1,H235+SETTINGS!$B$5/24,"")</f>
        <v>46309.82708333333</v>
      </c>
      <c r="W235" s="28">
        <f ca="1">IF(L235=1,(V235-SETTINGS!$B$4)*24,"")</f>
        <v>-1.6666666720993817E-2</v>
      </c>
      <c r="X235" s="28">
        <f ca="1">IF(AND(L235=1,K235="OK",M235=0,N235=0,O235=0,P235=0,SETTINGS!$B$4&lt;V235,Q235&lt;SETTINGS!$B$6),1,0)</f>
        <v>0</v>
      </c>
      <c r="Y235" s="28">
        <f ca="1">IF(AND(X235=1,SETTINGS!$B$4&gt;=H235,SETTINGS!$B$4&gt;=U235,ROUND(MOD(SETTINGS!$B$4,1)*1440,0)&gt;=ROUND(SETTINGS!$B$7*1440,0),ROUND(MOD(SETTINGS!$B$4,1)*1440,0)&lt;ROUND(SETTINGS!$B$8*1440,0)),1,0)</f>
        <v>0</v>
      </c>
      <c r="Z235" s="28" t="str">
        <f ca="1">IF(B235="","",IF(ROUND(MOD(SETTINGS!$B$4,1)*1440,0)&lt;ROUND(SETTINGS!$B$11*1440,0),"Ram",IF(ROUND(MOD(SETTINGS!$B$4,1)*1440,0)&gt;=ROUND(SETTINGS!$B$10*1440,0),"Shyam",IF(MOD(IFERROR(VALUE(RIGHT(F235,2)),0),2)=0,"Ram","Shyam"))))</f>
        <v>Shyam</v>
      </c>
      <c r="AA235" s="28">
        <f t="shared" ca="1" si="36"/>
        <v>0</v>
      </c>
      <c r="AB235" s="28">
        <f ca="1">IF(X235=1,COUNTIFS($F$2:F235,F235,$X$2:X235,1),0)</f>
        <v>0</v>
      </c>
      <c r="AC235" s="28" t="str">
        <f>IF(L235=1,IF(IFERROR(INDEX(PARTNERS!$C$2:$C$88,MATCH(B235,PARTNERS!$A$2:$A$88,0)),"")="YES","YES","NO"),"")</f>
        <v>YES</v>
      </c>
      <c r="AD235" s="28" t="str">
        <f>IF(L235=1,IFERROR(INDEX(PARTNERS!$B$2:$B$88,MATCH(B235,PARTNERS!$A$2:$A$88,0)),""),"")</f>
        <v>https://calendly.com/partner076/interview</v>
      </c>
      <c r="AE235" s="28">
        <f ca="1">IF(X235=1,IFERROR(INDEX(SETTINGS!$B$34:$D$36,MATCH(I235,SETTINGS!$A$34:$A$36,0),MIN(Q235,2)+1),SETTINGS!$B$36),0)</f>
        <v>0</v>
      </c>
      <c r="AF235" s="28">
        <f t="shared" si="37"/>
        <v>1</v>
      </c>
      <c r="AG235" s="28">
        <f ca="1">IF(AND(Y235=1,AB235=1),ROUND(AA235*AE235*IF(AF235&gt;1,SETTINGS!$B$16,1)*IF(W235&lt;=SETTINGS!$B$14,SETTINGS!$B$15,1)*IF(AU235=1,SETTINGS!$B$21,1),6),0)</f>
        <v>0</v>
      </c>
      <c r="AH235" s="28" t="str">
        <f ca="1">IF(AG235&gt;0,COUNTIFS($Z$2:$Z$601,Z235,$AG$2:$AG$601,"&gt;"&amp;AG235)+COUNTIFS($Z$2:Z235,Z235,$AG$2:AG235,AG235),"")</f>
        <v/>
      </c>
      <c r="AI235" s="28" t="str">
        <f t="shared" ca="1" si="38"/>
        <v/>
      </c>
      <c r="AJ235" s="28" t="str">
        <f t="shared" ca="1" si="39"/>
        <v/>
      </c>
      <c r="AK235" s="28">
        <f>IF(L235=1,IF(COUNTIFS($F$2:F235,F235,$L$2:L235,1)=1,1,0),0)</f>
        <v>1</v>
      </c>
      <c r="AL235" s="28" t="str">
        <f>IF(B235="","",IF(K235="DUPLICATE","Duplicate (removed)",IF(AO235=1,"Scheduled within 24h",IF(M235=1,"Scheduled late",IF(K235="BAD CONTACT","Bad contact details",IF(O235=1,"Stopped / wrong number",IF(N235=1,"Not interested",IF(P235=1,"Partner has no slots",IF(SETTINGS!$B$4&gt;=V235,IF(Q235=0,"Missed deadline: never tried","Missed deadline: tried, not booked"),IF(Q235&gt;=SETTINGS!$B$6,"No reply after max tries","Open"))))))))))</f>
        <v>Scheduled within 24h</v>
      </c>
      <c r="AM235" s="46">
        <f>IF(M235=1,IF(_xlfn.MINIFS(LOG!$G$2:$G$2001,LOG!$C$2:$C$2001,F235,LOG!$E$2:$E$2001,B235,LOG!$D$2:$D$2001,"*BOOKED")=0,_xlfn.MINIFS(LOG!$G$2:$G$2001,LOG!$C$2:$C$2001,F235,LOG!$E$2:$E$2001,"",LOG!$D$2:$D$2001,"*BOOKED"),IF(_xlfn.MINIFS(LOG!$G$2:$G$2001,LOG!$C$2:$C$2001,F235,LOG!$E$2:$E$2001,"",LOG!$D$2:$D$2001,"*BOOKED")=0,_xlfn.MINIFS(LOG!$G$2:$G$2001,LOG!$C$2:$C$2001,F235,LOG!$E$2:$E$2001,B235,LOG!$D$2:$D$2001,"*BOOKED"),MIN(_xlfn.MINIFS(LOG!$G$2:$G$2001,LOG!$C$2:$C$2001,F235,LOG!$E$2:$E$2001,B235,LOG!$D$2:$D$2001,"*BOOKED"),_xlfn.MINIFS(LOG!$G$2:$G$2001,LOG!$C$2:$C$2001,F235,LOG!$E$2:$E$2001,"",LOG!$D$2:$D$2001,"*BOOKED")))),"")</f>
        <v>46309.642855571328</v>
      </c>
      <c r="AN235" s="28">
        <f t="shared" si="40"/>
        <v>19.578533711959608</v>
      </c>
      <c r="AO235" s="28">
        <f>IF(AND(M235=1,AN235&lt;&gt;""),IF(AN235&lt;=SETTINGS!$B$5,1,0),0)</f>
        <v>1</v>
      </c>
      <c r="AP235" s="28">
        <f>IF(M235=1,IF(COUNTIFS(LOG!$C$2:$C$2001,F235,LOG!$E$2:$E$2001,B235,LOG!$D$2:$D$2001,"BOOKED")+COUNTIFS(LOG!$C$2:$C$2001,F235,LOG!$E$2:$E$2001,"",LOG!$D$2:$D$2001,"BOOKED")&gt;0,1,0),0)</f>
        <v>1</v>
      </c>
      <c r="AQ235" s="28" t="str">
        <f t="shared" si="41"/>
        <v>Tara</v>
      </c>
      <c r="AR235" s="28">
        <f>IF(AND(AK235=1,K235="OK"),COUNTIFS($AK$2:AK235,1,$K$2:K235,"OK"),"")</f>
        <v>205</v>
      </c>
      <c r="AS235" s="28" t="str">
        <f>IF(L235=1,IFERROR(INDEX(MESSAGES!$J$9:$J$1008,MATCH(F235,MESSAGES!$M$9:$M$1008,0))&amp;"",""),"")</f>
        <v/>
      </c>
      <c r="AT235" s="28" t="str">
        <f>IF(L235=1,IFERROR(INDEX(MESSAGES!$K$9:$K$1008,MATCH(F235,MESSAGES!$M$9:$M$1008,0))&amp;"",""),"")</f>
        <v/>
      </c>
      <c r="AU235" s="28">
        <f t="shared" ca="1" si="42"/>
        <v>0</v>
      </c>
      <c r="AV235" s="28" t="str">
        <f t="shared" si="43"/>
        <v>SEND</v>
      </c>
    </row>
    <row r="236" spans="1:48" x14ac:dyDescent="0.35">
      <c r="A236" s="28">
        <v>235</v>
      </c>
      <c r="B236" s="28" t="str">
        <f>IF(INPUT!A236="","",TRIM(INPUT!A236))</f>
        <v>Partner 044</v>
      </c>
      <c r="C236" s="28" t="str">
        <f>IF(B236="","",INPUT!C236)</f>
        <v>interviewer0@partner044.example.com</v>
      </c>
      <c r="D236" s="28" t="str">
        <f>IF(B236="","",INPUT!D236)</f>
        <v>Rohan B.</v>
      </c>
      <c r="E236" s="28" t="str">
        <f>IF(B236="","",INPUT!E236)</f>
        <v>rohan.b040@example.com</v>
      </c>
      <c r="F236" s="43" t="str">
        <f>IF(B236="","",TRIM(INPUT!F236&amp;""))</f>
        <v>9000000527</v>
      </c>
      <c r="G236" s="28" t="str">
        <f>IF(B236="","",INPUT!H236)</f>
        <v>Round1</v>
      </c>
      <c r="H236" s="46">
        <f>IF(B236="","",INPUT!I236)</f>
        <v>46308.82708333333</v>
      </c>
      <c r="I236" s="28" t="str">
        <f>IF(B236="","",IF(INPUT!J236="","None",INPUT!J236))</f>
        <v>Opened</v>
      </c>
      <c r="J236" s="28" t="str">
        <f t="shared" si="33"/>
        <v>rohan.b040@example.com|partner 044|Round1|interviewer0@partner044.example.com</v>
      </c>
      <c r="K236" s="28" t="str">
        <f>IF(B236="","",IF(SUMPRODUCT(($J$2:$J$601=J236)*($H$2:$H$601&lt;H236))+SUMPRODUCT(($J$2:J236=J236)*($H$2:H236=H236))-1&gt;0,"DUPLICATE",IF(AND(ISNUMBER(SEARCH("@",E236)),ISNUMBER(SEARCH(".",E236)),LEN(F236)=10,ISNUMBER(VALUE(F236))),"OK","BAD CONTACT")))</f>
        <v>OK</v>
      </c>
      <c r="L236" s="28">
        <f t="shared" si="34"/>
        <v>1</v>
      </c>
      <c r="M236" s="28">
        <f>IF(L236=1,IF(COUNTIFS(LOG!$C$2:$C$2001,F236,LOG!$E$2:$E$2001,B236,LOG!$D$2:$D$2001,"*BOOKED")+COUNTIFS(LOG!$C$2:$C$2001,F236,LOG!$E$2:$E$2001,"",LOG!$D$2:$D$2001,"*BOOKED")&gt;0,1,0),0)</f>
        <v>1</v>
      </c>
      <c r="N236" s="28">
        <f>IF(L236=1,IF(COUNTIFS(LOG!$C$2:$C$2001,F236,LOG!$E$2:$E$2001,B236,LOG!$D$2:$D$2001,"NOT_INTERESTED")+COUNTIFS(LOG!$C$2:$C$2001,F236,LOG!$E$2:$E$2001,"",LOG!$D$2:$D$2001,"NOT_INTERESTED")&gt;0,1,0),0)</f>
        <v>0</v>
      </c>
      <c r="O236" s="28">
        <f>IF(L236=1,IF(COUNTIFS(LOG!$C$2:$C$2001,F236,LOG!$D$2:$D$2001,"STOP")+COUNTIFS(LOG!$C$2:$C$2001,F236,LOG!$D$2:$D$2001,"WRONG_NUMBER")&gt;0,1,IF(ISNUMBER(SEARCH("STOP",AT236)),1,0)),0)</f>
        <v>0</v>
      </c>
      <c r="P236" s="28">
        <f>IF(L236=1,IF(IFERROR(INDEX(PARTNERS!$D$2:$D$88,MATCH(B236,PARTNERS!$A$2:$A$88,0)),"")="NO SLOTS",1,IF(AND(IFERROR(INDEX(PARTNERS!$D$2:$D$88,MATCH(B236,PARTNERS!$A$2:$A$88,0)),"")&lt;&gt;"REOPENED",COUNTIFS(LOG!$E$2:$E$2001,B236,LOG!$D$2:$D$2001,"NO_SLOTS")&gt;0),1,0)),0)</f>
        <v>0</v>
      </c>
      <c r="Q236" s="28">
        <f>IF(L236=1,COUNTIFS(LOG!$C$2:$C$2001,F236,LOG!$H$2:$H$2001,1),0)</f>
        <v>0</v>
      </c>
      <c r="R236" s="46">
        <f>IF(Q236&gt;0,_xlfn.MAXIFS(LOG!$G$2:$G$2001,LOG!$C$2:$C$2001,F236,LOG!$H$2:$H$2001,1),0)</f>
        <v>0</v>
      </c>
      <c r="S236" s="28" t="str">
        <f>IF(Q236&gt;0,IFERROR(INDEX(LOG!$D$2:$D$2001,MATCH(F236&amp;"|"&amp;Q236,LOG!$I$2:$I$2001,0)),""),"")</f>
        <v/>
      </c>
      <c r="T236" s="28">
        <f>IF(S236="",0,IFERROR(VLOOKUP(S236,LISTS!$A$2:$E$10,4,FALSE),0))</f>
        <v>0</v>
      </c>
      <c r="U236" s="46">
        <f t="shared" si="35"/>
        <v>0</v>
      </c>
      <c r="V236" s="46">
        <f>IF(L236=1,H236+SETTINGS!$B$5/24,"")</f>
        <v>46309.82708333333</v>
      </c>
      <c r="W236" s="28">
        <f ca="1">IF(L236=1,(V236-SETTINGS!$B$4)*24,"")</f>
        <v>-1.6666666720993817E-2</v>
      </c>
      <c r="X236" s="28">
        <f ca="1">IF(AND(L236=1,K236="OK",M236=0,N236=0,O236=0,P236=0,SETTINGS!$B$4&lt;V236,Q236&lt;SETTINGS!$B$6),1,0)</f>
        <v>0</v>
      </c>
      <c r="Y236" s="28">
        <f ca="1">IF(AND(X236=1,SETTINGS!$B$4&gt;=H236,SETTINGS!$B$4&gt;=U236,ROUND(MOD(SETTINGS!$B$4,1)*1440,0)&gt;=ROUND(SETTINGS!$B$7*1440,0),ROUND(MOD(SETTINGS!$B$4,1)*1440,0)&lt;ROUND(SETTINGS!$B$8*1440,0)),1,0)</f>
        <v>0</v>
      </c>
      <c r="Z236" s="28" t="str">
        <f ca="1">IF(B236="","",IF(ROUND(MOD(SETTINGS!$B$4,1)*1440,0)&lt;ROUND(SETTINGS!$B$11*1440,0),"Ram",IF(ROUND(MOD(SETTINGS!$B$4,1)*1440,0)&gt;=ROUND(SETTINGS!$B$10*1440,0),"Shyam",IF(MOD(IFERROR(VALUE(RIGHT(F236,2)),0),2)=0,"Ram","Shyam"))))</f>
        <v>Shyam</v>
      </c>
      <c r="AA236" s="28">
        <f t="shared" ca="1" si="36"/>
        <v>0</v>
      </c>
      <c r="AB236" s="28">
        <f ca="1">IF(X236=1,COUNTIFS($F$2:F236,F236,$X$2:X236,1),0)</f>
        <v>0</v>
      </c>
      <c r="AC236" s="28" t="str">
        <f>IF(L236=1,IF(IFERROR(INDEX(PARTNERS!$C$2:$C$88,MATCH(B236,PARTNERS!$A$2:$A$88,0)),"")="YES","YES","NO"),"")</f>
        <v>NO</v>
      </c>
      <c r="AD236" s="28" t="str">
        <f>IF(L236=1,IFERROR(INDEX(PARTNERS!$B$2:$B$88,MATCH(B236,PARTNERS!$A$2:$A$88,0)),""),"")</f>
        <v>https://calendly.com/partner044/interview</v>
      </c>
      <c r="AE236" s="28">
        <f ca="1">IF(X236=1,IFERROR(INDEX(SETTINGS!$B$34:$D$36,MATCH(I236,SETTINGS!$A$34:$A$36,0),MIN(Q236,2)+1),SETTINGS!$B$36),0)</f>
        <v>0</v>
      </c>
      <c r="AF236" s="28">
        <f t="shared" si="37"/>
        <v>1</v>
      </c>
      <c r="AG236" s="28">
        <f ca="1">IF(AND(Y236=1,AB236=1),ROUND(AA236*AE236*IF(AF236&gt;1,SETTINGS!$B$16,1)*IF(W236&lt;=SETTINGS!$B$14,SETTINGS!$B$15,1)*IF(AU236=1,SETTINGS!$B$21,1),6),0)</f>
        <v>0</v>
      </c>
      <c r="AH236" s="28" t="str">
        <f ca="1">IF(AG236&gt;0,COUNTIFS($Z$2:$Z$601,Z236,$AG$2:$AG$601,"&gt;"&amp;AG236)+COUNTIFS($Z$2:Z236,Z236,$AG$2:AG236,AG236),"")</f>
        <v/>
      </c>
      <c r="AI236" s="28" t="str">
        <f t="shared" ca="1" si="38"/>
        <v/>
      </c>
      <c r="AJ236" s="28" t="str">
        <f t="shared" ca="1" si="39"/>
        <v/>
      </c>
      <c r="AK236" s="28">
        <f>IF(L236=1,IF(COUNTIFS($F$2:F236,F236,$L$2:L236,1)=1,1,0),0)</f>
        <v>1</v>
      </c>
      <c r="AL236" s="28" t="str">
        <f>IF(B236="","",IF(K236="DUPLICATE","Duplicate (removed)",IF(AO236=1,"Scheduled within 24h",IF(M236=1,"Scheduled late",IF(K236="BAD CONTACT","Bad contact details",IF(O236=1,"Stopped / wrong number",IF(N236=1,"Not interested",IF(P236=1,"Partner has no slots",IF(SETTINGS!$B$4&gt;=V236,IF(Q236=0,"Missed deadline: never tried","Missed deadline: tried, not booked"),IF(Q236&gt;=SETTINGS!$B$6,"No reply after max tries","Open"))))))))))</f>
        <v>Scheduled within 24h</v>
      </c>
      <c r="AM236" s="46">
        <f>IF(M236=1,IF(_xlfn.MINIFS(LOG!$G$2:$G$2001,LOG!$C$2:$C$2001,F236,LOG!$E$2:$E$2001,B236,LOG!$D$2:$D$2001,"*BOOKED")=0,_xlfn.MINIFS(LOG!$G$2:$G$2001,LOG!$C$2:$C$2001,F236,LOG!$E$2:$E$2001,"",LOG!$D$2:$D$2001,"*BOOKED"),IF(_xlfn.MINIFS(LOG!$G$2:$G$2001,LOG!$C$2:$C$2001,F236,LOG!$E$2:$E$2001,"",LOG!$D$2:$D$2001,"*BOOKED")=0,_xlfn.MINIFS(LOG!$G$2:$G$2001,LOG!$C$2:$C$2001,F236,LOG!$E$2:$E$2001,B236,LOG!$D$2:$D$2001,"*BOOKED"),MIN(_xlfn.MINIFS(LOG!$G$2:$G$2001,LOG!$C$2:$C$2001,F236,LOG!$E$2:$E$2001,B236,LOG!$D$2:$D$2001,"*BOOKED"),_xlfn.MINIFS(LOG!$G$2:$G$2001,LOG!$C$2:$C$2001,F236,LOG!$E$2:$E$2001,"",LOG!$D$2:$D$2001,"*BOOKED")))),"")</f>
        <v>46308.888903366205</v>
      </c>
      <c r="AN236" s="28">
        <f t="shared" si="40"/>
        <v>1.4836807890096679</v>
      </c>
      <c r="AO236" s="28">
        <f>IF(AND(M236=1,AN236&lt;&gt;""),IF(AN236&lt;=SETTINGS!$B$5,1,0),0)</f>
        <v>1</v>
      </c>
      <c r="AP236" s="28">
        <f>IF(M236=1,IF(COUNTIFS(LOG!$C$2:$C$2001,F236,LOG!$E$2:$E$2001,B236,LOG!$D$2:$D$2001,"BOOKED")+COUNTIFS(LOG!$C$2:$C$2001,F236,LOG!$E$2:$E$2001,"",LOG!$D$2:$D$2001,"BOOKED")&gt;0,1,0),0)</f>
        <v>0</v>
      </c>
      <c r="AQ236" s="28" t="str">
        <f t="shared" si="41"/>
        <v>Rohan</v>
      </c>
      <c r="AR236" s="28">
        <f>IF(AND(AK236=1,K236="OK"),COUNTIFS($AK$2:AK236,1,$K$2:K236,"OK"),"")</f>
        <v>206</v>
      </c>
      <c r="AS236" s="28" t="str">
        <f>IF(L236=1,IFERROR(INDEX(MESSAGES!$J$9:$J$1008,MATCH(F236,MESSAGES!$M$9:$M$1008,0))&amp;"",""),"")</f>
        <v/>
      </c>
      <c r="AT236" s="28" t="str">
        <f>IF(L236=1,IFERROR(INDEX(MESSAGES!$K$9:$K$1008,MATCH(F236,MESSAGES!$M$9:$M$1008,0))&amp;"",""),"")</f>
        <v/>
      </c>
      <c r="AU236" s="28">
        <f t="shared" ca="1" si="42"/>
        <v>0</v>
      </c>
      <c r="AV236" s="28" t="str">
        <f t="shared" si="43"/>
        <v>SEND</v>
      </c>
    </row>
    <row r="237" spans="1:48" x14ac:dyDescent="0.35">
      <c r="A237" s="28">
        <v>236</v>
      </c>
      <c r="B237" s="28" t="str">
        <f>IF(INPUT!A237="","",TRIM(INPUT!A237))</f>
        <v>Partner 078</v>
      </c>
      <c r="C237" s="28" t="str">
        <f>IF(B237="","",INPUT!C237)</f>
        <v>interviewer0@partner078.example.com</v>
      </c>
      <c r="D237" s="28" t="str">
        <f>IF(B237="","",INPUT!D237)</f>
        <v>Pooja A.</v>
      </c>
      <c r="E237" s="28" t="str">
        <f>IF(B237="","",INPUT!E237)</f>
        <v>pooja.a021@example.com</v>
      </c>
      <c r="F237" s="43" t="str">
        <f>IF(B237="","",TRIM(INPUT!F237&amp;""))</f>
        <v>9000000280</v>
      </c>
      <c r="G237" s="28" t="str">
        <f>IF(B237="","",INPUT!H237)</f>
        <v>Round1</v>
      </c>
      <c r="H237" s="46">
        <f>IF(B237="","",INPUT!I237)</f>
        <v>46308.82708333333</v>
      </c>
      <c r="I237" s="28" t="str">
        <f>IF(B237="","",IF(INPUT!J237="","None",INPUT!J237))</f>
        <v>Opened</v>
      </c>
      <c r="J237" s="28" t="str">
        <f t="shared" si="33"/>
        <v>pooja.a021@example.com|partner 078|Round1|interviewer0@partner078.example.com</v>
      </c>
      <c r="K237" s="28" t="str">
        <f>IF(B237="","",IF(SUMPRODUCT(($J$2:$J$601=J237)*($H$2:$H$601&lt;H237))+SUMPRODUCT(($J$2:J237=J237)*($H$2:H237=H237))-1&gt;0,"DUPLICATE",IF(AND(ISNUMBER(SEARCH("@",E237)),ISNUMBER(SEARCH(".",E237)),LEN(F237)=10,ISNUMBER(VALUE(F237))),"OK","BAD CONTACT")))</f>
        <v>OK</v>
      </c>
      <c r="L237" s="28">
        <f t="shared" si="34"/>
        <v>1</v>
      </c>
      <c r="M237" s="28">
        <f>IF(L237=1,IF(COUNTIFS(LOG!$C$2:$C$2001,F237,LOG!$E$2:$E$2001,B237,LOG!$D$2:$D$2001,"*BOOKED")+COUNTIFS(LOG!$C$2:$C$2001,F237,LOG!$E$2:$E$2001,"",LOG!$D$2:$D$2001,"*BOOKED")&gt;0,1,0),0)</f>
        <v>0</v>
      </c>
      <c r="N237" s="28">
        <f>IF(L237=1,IF(COUNTIFS(LOG!$C$2:$C$2001,F237,LOG!$E$2:$E$2001,B237,LOG!$D$2:$D$2001,"NOT_INTERESTED")+COUNTIFS(LOG!$C$2:$C$2001,F237,LOG!$E$2:$E$2001,"",LOG!$D$2:$D$2001,"NOT_INTERESTED")&gt;0,1,0),0)</f>
        <v>0</v>
      </c>
      <c r="O237" s="28">
        <f>IF(L237=1,IF(COUNTIFS(LOG!$C$2:$C$2001,F237,LOG!$D$2:$D$2001,"STOP")+COUNTIFS(LOG!$C$2:$C$2001,F237,LOG!$D$2:$D$2001,"WRONG_NUMBER")&gt;0,1,IF(ISNUMBER(SEARCH("STOP",AT237)),1,0)),0)</f>
        <v>0</v>
      </c>
      <c r="P237" s="28">
        <f>IF(L237=1,IF(IFERROR(INDEX(PARTNERS!$D$2:$D$88,MATCH(B237,PARTNERS!$A$2:$A$88,0)),"")="NO SLOTS",1,IF(AND(IFERROR(INDEX(PARTNERS!$D$2:$D$88,MATCH(B237,PARTNERS!$A$2:$A$88,0)),"")&lt;&gt;"REOPENED",COUNTIFS(LOG!$E$2:$E$2001,B237,LOG!$D$2:$D$2001,"NO_SLOTS")&gt;0),1,0)),0)</f>
        <v>0</v>
      </c>
      <c r="Q237" s="28">
        <f>IF(L237=1,COUNTIFS(LOG!$C$2:$C$2001,F237,LOG!$H$2:$H$2001,1),0)</f>
        <v>0</v>
      </c>
      <c r="R237" s="46">
        <f>IF(Q237&gt;0,_xlfn.MAXIFS(LOG!$G$2:$G$2001,LOG!$C$2:$C$2001,F237,LOG!$H$2:$H$2001,1),0)</f>
        <v>0</v>
      </c>
      <c r="S237" s="28" t="str">
        <f>IF(Q237&gt;0,IFERROR(INDEX(LOG!$D$2:$D$2001,MATCH(F237&amp;"|"&amp;Q237,LOG!$I$2:$I$2001,0)),""),"")</f>
        <v/>
      </c>
      <c r="T237" s="28">
        <f>IF(S237="",0,IFERROR(VLOOKUP(S237,LISTS!$A$2:$E$10,4,FALSE),0))</f>
        <v>0</v>
      </c>
      <c r="U237" s="46">
        <f t="shared" si="35"/>
        <v>0</v>
      </c>
      <c r="V237" s="46">
        <f>IF(L237=1,H237+SETTINGS!$B$5/24,"")</f>
        <v>46309.82708333333</v>
      </c>
      <c r="W237" s="28">
        <f ca="1">IF(L237=1,(V237-SETTINGS!$B$4)*24,"")</f>
        <v>-1.6666666720993817E-2</v>
      </c>
      <c r="X237" s="28">
        <f ca="1">IF(AND(L237=1,K237="OK",M237=0,N237=0,O237=0,P237=0,SETTINGS!$B$4&lt;V237,Q237&lt;SETTINGS!$B$6),1,0)</f>
        <v>0</v>
      </c>
      <c r="Y237" s="28">
        <f ca="1">IF(AND(X237=1,SETTINGS!$B$4&gt;=H237,SETTINGS!$B$4&gt;=U237,ROUND(MOD(SETTINGS!$B$4,1)*1440,0)&gt;=ROUND(SETTINGS!$B$7*1440,0),ROUND(MOD(SETTINGS!$B$4,1)*1440,0)&lt;ROUND(SETTINGS!$B$8*1440,0)),1,0)</f>
        <v>0</v>
      </c>
      <c r="Z237" s="28" t="str">
        <f ca="1">IF(B237="","",IF(ROUND(MOD(SETTINGS!$B$4,1)*1440,0)&lt;ROUND(SETTINGS!$B$11*1440,0),"Ram",IF(ROUND(MOD(SETTINGS!$B$4,1)*1440,0)&gt;=ROUND(SETTINGS!$B$10*1440,0),"Shyam",IF(MOD(IFERROR(VALUE(RIGHT(F237,2)),0),2)=0,"Ram","Shyam"))))</f>
        <v>Shyam</v>
      </c>
      <c r="AA237" s="28">
        <f t="shared" ca="1" si="36"/>
        <v>0</v>
      </c>
      <c r="AB237" s="28">
        <f ca="1">IF(X237=1,COUNTIFS($F$2:F237,F237,$X$2:X237,1),0)</f>
        <v>0</v>
      </c>
      <c r="AC237" s="28" t="str">
        <f>IF(L237=1,IF(IFERROR(INDEX(PARTNERS!$C$2:$C$88,MATCH(B237,PARTNERS!$A$2:$A$88,0)),"")="YES","YES","NO"),"")</f>
        <v>YES</v>
      </c>
      <c r="AD237" s="28" t="str">
        <f>IF(L237=1,IFERROR(INDEX(PARTNERS!$B$2:$B$88,MATCH(B237,PARTNERS!$A$2:$A$88,0)),""),"")</f>
        <v>https://calendly.com/partner078/interview</v>
      </c>
      <c r="AE237" s="28">
        <f ca="1">IF(X237=1,IFERROR(INDEX(SETTINGS!$B$34:$D$36,MATCH(I237,SETTINGS!$A$34:$A$36,0),MIN(Q237,2)+1),SETTINGS!$B$36),0)</f>
        <v>0</v>
      </c>
      <c r="AF237" s="28">
        <f t="shared" si="37"/>
        <v>1</v>
      </c>
      <c r="AG237" s="28">
        <f ca="1">IF(AND(Y237=1,AB237=1),ROUND(AA237*AE237*IF(AF237&gt;1,SETTINGS!$B$16,1)*IF(W237&lt;=SETTINGS!$B$14,SETTINGS!$B$15,1)*IF(AU237=1,SETTINGS!$B$21,1),6),0)</f>
        <v>0</v>
      </c>
      <c r="AH237" s="28" t="str">
        <f ca="1">IF(AG237&gt;0,COUNTIFS($Z$2:$Z$601,Z237,$AG$2:$AG$601,"&gt;"&amp;AG237)+COUNTIFS($Z$2:Z237,Z237,$AG$2:AG237,AG237),"")</f>
        <v/>
      </c>
      <c r="AI237" s="28" t="str">
        <f t="shared" ca="1" si="38"/>
        <v/>
      </c>
      <c r="AJ237" s="28" t="str">
        <f t="shared" ca="1" si="39"/>
        <v/>
      </c>
      <c r="AK237" s="28">
        <f>IF(L237=1,IF(COUNTIFS($F$2:F237,F237,$L$2:L237,1)=1,1,0),0)</f>
        <v>1</v>
      </c>
      <c r="AL237" s="28" t="str">
        <f ca="1">IF(B237="","",IF(K237="DUPLICATE","Duplicate (removed)",IF(AO237=1,"Scheduled within 24h",IF(M237=1,"Scheduled late",IF(K237="BAD CONTACT","Bad contact details",IF(O237=1,"Stopped / wrong number",IF(N237=1,"Not interested",IF(P237=1,"Partner has no slots",IF(SETTINGS!$B$4&gt;=V237,IF(Q237=0,"Missed deadline: never tried","Missed deadline: tried, not booked"),IF(Q237&gt;=SETTINGS!$B$6,"No reply after max tries","Open"))))))))))</f>
        <v>Missed deadline: never tried</v>
      </c>
      <c r="AM237" s="46" t="str">
        <f>IF(M237=1,IF(_xlfn.MINIFS(LOG!$G$2:$G$2001,LOG!$C$2:$C$2001,F237,LOG!$E$2:$E$2001,B237,LOG!$D$2:$D$2001,"*BOOKED")=0,_xlfn.MINIFS(LOG!$G$2:$G$2001,LOG!$C$2:$C$2001,F237,LOG!$E$2:$E$2001,"",LOG!$D$2:$D$2001,"*BOOKED"),IF(_xlfn.MINIFS(LOG!$G$2:$G$2001,LOG!$C$2:$C$2001,F237,LOG!$E$2:$E$2001,"",LOG!$D$2:$D$2001,"*BOOKED")=0,_xlfn.MINIFS(LOG!$G$2:$G$2001,LOG!$C$2:$C$2001,F237,LOG!$E$2:$E$2001,B237,LOG!$D$2:$D$2001,"*BOOKED"),MIN(_xlfn.MINIFS(LOG!$G$2:$G$2001,LOG!$C$2:$C$2001,F237,LOG!$E$2:$E$2001,B237,LOG!$D$2:$D$2001,"*BOOKED"),_xlfn.MINIFS(LOG!$G$2:$G$2001,LOG!$C$2:$C$2001,F237,LOG!$E$2:$E$2001,"",LOG!$D$2:$D$2001,"*BOOKED")))),"")</f>
        <v/>
      </c>
      <c r="AN237" s="28" t="str">
        <f t="shared" si="40"/>
        <v/>
      </c>
      <c r="AO237" s="28">
        <f>IF(AND(M237=1,AN237&lt;&gt;""),IF(AN237&lt;=SETTINGS!$B$5,1,0),0)</f>
        <v>0</v>
      </c>
      <c r="AP237" s="28">
        <f>IF(M237=1,IF(COUNTIFS(LOG!$C$2:$C$2001,F237,LOG!$E$2:$E$2001,B237,LOG!$D$2:$D$2001,"BOOKED")+COUNTIFS(LOG!$C$2:$C$2001,F237,LOG!$E$2:$E$2001,"",LOG!$D$2:$D$2001,"BOOKED")&gt;0,1,0),0)</f>
        <v>0</v>
      </c>
      <c r="AQ237" s="28" t="str">
        <f t="shared" si="41"/>
        <v>Pooja</v>
      </c>
      <c r="AR237" s="28">
        <f>IF(AND(AK237=1,K237="OK"),COUNTIFS($AK$2:AK237,1,$K$2:K237,"OK"),"")</f>
        <v>207</v>
      </c>
      <c r="AS237" s="28" t="str">
        <f>IF(L237=1,IFERROR(INDEX(MESSAGES!$J$9:$J$1008,MATCH(F237,MESSAGES!$M$9:$M$1008,0))&amp;"",""),"")</f>
        <v/>
      </c>
      <c r="AT237" s="28" t="str">
        <f>IF(L237=1,IFERROR(INDEX(MESSAGES!$K$9:$K$1008,MATCH(F237,MESSAGES!$M$9:$M$1008,0))&amp;"",""),"")</f>
        <v/>
      </c>
      <c r="AU237" s="28">
        <f t="shared" ca="1" si="42"/>
        <v>0</v>
      </c>
      <c r="AV237" s="28" t="str">
        <f t="shared" si="43"/>
        <v>SEND</v>
      </c>
    </row>
    <row r="238" spans="1:48" x14ac:dyDescent="0.35">
      <c r="A238" s="28">
        <v>237</v>
      </c>
      <c r="B238" s="28" t="str">
        <f>IF(INPUT!A238="","",TRIM(INPUT!A238))</f>
        <v>Partner 005</v>
      </c>
      <c r="C238" s="28" t="str">
        <f>IF(B238="","",INPUT!C238)</f>
        <v>interviewer2@partner005.example.com</v>
      </c>
      <c r="D238" s="28" t="str">
        <f>IF(B238="","",INPUT!D238)</f>
        <v>Ananya B.</v>
      </c>
      <c r="E238" s="28" t="str">
        <f>IF(B238="","",INPUT!E238)</f>
        <v>ananya.b033@example.com</v>
      </c>
      <c r="F238" s="43" t="str">
        <f>IF(B238="","",TRIM(INPUT!F238&amp;""))</f>
        <v>9000000436</v>
      </c>
      <c r="G238" s="28" t="str">
        <f>IF(B238="","",INPUT!H238)</f>
        <v>Round1</v>
      </c>
      <c r="H238" s="46">
        <f>IF(B238="","",INPUT!I238)</f>
        <v>46308.82708333333</v>
      </c>
      <c r="I238" s="28" t="str">
        <f>IF(B238="","",IF(INPUT!J238="","None",INPUT!J238))</f>
        <v>None</v>
      </c>
      <c r="J238" s="28" t="str">
        <f t="shared" si="33"/>
        <v>ananya.b033@example.com|partner 005|Round1|interviewer2@partner005.example.com</v>
      </c>
      <c r="K238" s="28" t="str">
        <f>IF(B238="","",IF(SUMPRODUCT(($J$2:$J$601=J238)*($H$2:$H$601&lt;H238))+SUMPRODUCT(($J$2:J238=J238)*($H$2:H238=H238))-1&gt;0,"DUPLICATE",IF(AND(ISNUMBER(SEARCH("@",E238)),ISNUMBER(SEARCH(".",E238)),LEN(F238)=10,ISNUMBER(VALUE(F238))),"OK","BAD CONTACT")))</f>
        <v>OK</v>
      </c>
      <c r="L238" s="28">
        <f t="shared" si="34"/>
        <v>1</v>
      </c>
      <c r="M238" s="28">
        <f>IF(L238=1,IF(COUNTIFS(LOG!$C$2:$C$2001,F238,LOG!$E$2:$E$2001,B238,LOG!$D$2:$D$2001,"*BOOKED")+COUNTIFS(LOG!$C$2:$C$2001,F238,LOG!$E$2:$E$2001,"",LOG!$D$2:$D$2001,"*BOOKED")&gt;0,1,0),0)</f>
        <v>0</v>
      </c>
      <c r="N238" s="28">
        <f>IF(L238=1,IF(COUNTIFS(LOG!$C$2:$C$2001,F238,LOG!$E$2:$E$2001,B238,LOG!$D$2:$D$2001,"NOT_INTERESTED")+COUNTIFS(LOG!$C$2:$C$2001,F238,LOG!$E$2:$E$2001,"",LOG!$D$2:$D$2001,"NOT_INTERESTED")&gt;0,1,0),0)</f>
        <v>0</v>
      </c>
      <c r="O238" s="28">
        <f>IF(L238=1,IF(COUNTIFS(LOG!$C$2:$C$2001,F238,LOG!$D$2:$D$2001,"STOP")+COUNTIFS(LOG!$C$2:$C$2001,F238,LOG!$D$2:$D$2001,"WRONG_NUMBER")&gt;0,1,IF(ISNUMBER(SEARCH("STOP",AT238)),1,0)),0)</f>
        <v>0</v>
      </c>
      <c r="P238" s="28">
        <f>IF(L238=1,IF(IFERROR(INDEX(PARTNERS!$D$2:$D$88,MATCH(B238,PARTNERS!$A$2:$A$88,0)),"")="NO SLOTS",1,IF(AND(IFERROR(INDEX(PARTNERS!$D$2:$D$88,MATCH(B238,PARTNERS!$A$2:$A$88,0)),"")&lt;&gt;"REOPENED",COUNTIFS(LOG!$E$2:$E$2001,B238,LOG!$D$2:$D$2001,"NO_SLOTS")&gt;0),1,0)),0)</f>
        <v>0</v>
      </c>
      <c r="Q238" s="28">
        <f>IF(L238=1,COUNTIFS(LOG!$C$2:$C$2001,F238,LOG!$H$2:$H$2001,1),0)</f>
        <v>0</v>
      </c>
      <c r="R238" s="46">
        <f>IF(Q238&gt;0,_xlfn.MAXIFS(LOG!$G$2:$G$2001,LOG!$C$2:$C$2001,F238,LOG!$H$2:$H$2001,1),0)</f>
        <v>0</v>
      </c>
      <c r="S238" s="28" t="str">
        <f>IF(Q238&gt;0,IFERROR(INDEX(LOG!$D$2:$D$2001,MATCH(F238&amp;"|"&amp;Q238,LOG!$I$2:$I$2001,0)),""),"")</f>
        <v/>
      </c>
      <c r="T238" s="28">
        <f>IF(S238="",0,IFERROR(VLOOKUP(S238,LISTS!$A$2:$E$10,4,FALSE),0))</f>
        <v>0</v>
      </c>
      <c r="U238" s="46">
        <f t="shared" si="35"/>
        <v>0</v>
      </c>
      <c r="V238" s="46">
        <f>IF(L238=1,H238+SETTINGS!$B$5/24,"")</f>
        <v>46309.82708333333</v>
      </c>
      <c r="W238" s="28">
        <f ca="1">IF(L238=1,(V238-SETTINGS!$B$4)*24,"")</f>
        <v>-1.6666666720993817E-2</v>
      </c>
      <c r="X238" s="28">
        <f ca="1">IF(AND(L238=1,K238="OK",M238=0,N238=0,O238=0,P238=0,SETTINGS!$B$4&lt;V238,Q238&lt;SETTINGS!$B$6),1,0)</f>
        <v>0</v>
      </c>
      <c r="Y238" s="28">
        <f ca="1">IF(AND(X238=1,SETTINGS!$B$4&gt;=H238,SETTINGS!$B$4&gt;=U238,ROUND(MOD(SETTINGS!$B$4,1)*1440,0)&gt;=ROUND(SETTINGS!$B$7*1440,0),ROUND(MOD(SETTINGS!$B$4,1)*1440,0)&lt;ROUND(SETTINGS!$B$8*1440,0)),1,0)</f>
        <v>0</v>
      </c>
      <c r="Z238" s="28" t="str">
        <f ca="1">IF(B238="","",IF(ROUND(MOD(SETTINGS!$B$4,1)*1440,0)&lt;ROUND(SETTINGS!$B$11*1440,0),"Ram",IF(ROUND(MOD(SETTINGS!$B$4,1)*1440,0)&gt;=ROUND(SETTINGS!$B$10*1440,0),"Shyam",IF(MOD(IFERROR(VALUE(RIGHT(F238,2)),0),2)=0,"Ram","Shyam"))))</f>
        <v>Shyam</v>
      </c>
      <c r="AA238" s="28">
        <f t="shared" ca="1" si="36"/>
        <v>0</v>
      </c>
      <c r="AB238" s="28">
        <f ca="1">IF(X238=1,COUNTIFS($F$2:F238,F238,$X$2:X238,1),0)</f>
        <v>0</v>
      </c>
      <c r="AC238" s="28" t="str">
        <f>IF(L238=1,IF(IFERROR(INDEX(PARTNERS!$C$2:$C$88,MATCH(B238,PARTNERS!$A$2:$A$88,0)),"")="YES","YES","NO"),"")</f>
        <v>YES</v>
      </c>
      <c r="AD238" s="28" t="str">
        <f>IF(L238=1,IFERROR(INDEX(PARTNERS!$B$2:$B$88,MATCH(B238,PARTNERS!$A$2:$A$88,0)),""),"")</f>
        <v>https://calendly.com/partner005/interview</v>
      </c>
      <c r="AE238" s="28">
        <f ca="1">IF(X238=1,IFERROR(INDEX(SETTINGS!$B$34:$D$36,MATCH(I238,SETTINGS!$A$34:$A$36,0),MIN(Q238,2)+1),SETTINGS!$B$36),0)</f>
        <v>0</v>
      </c>
      <c r="AF238" s="28">
        <f t="shared" si="37"/>
        <v>1</v>
      </c>
      <c r="AG238" s="28">
        <f ca="1">IF(AND(Y238=1,AB238=1),ROUND(AA238*AE238*IF(AF238&gt;1,SETTINGS!$B$16,1)*IF(W238&lt;=SETTINGS!$B$14,SETTINGS!$B$15,1)*IF(AU238=1,SETTINGS!$B$21,1),6),0)</f>
        <v>0</v>
      </c>
      <c r="AH238" s="28" t="str">
        <f ca="1">IF(AG238&gt;0,COUNTIFS($Z$2:$Z$601,Z238,$AG$2:$AG$601,"&gt;"&amp;AG238)+COUNTIFS($Z$2:Z238,Z238,$AG$2:AG238,AG238),"")</f>
        <v/>
      </c>
      <c r="AI238" s="28" t="str">
        <f t="shared" ca="1" si="38"/>
        <v/>
      </c>
      <c r="AJ238" s="28" t="str">
        <f t="shared" ca="1" si="39"/>
        <v/>
      </c>
      <c r="AK238" s="28">
        <f>IF(L238=1,IF(COUNTIFS($F$2:F238,F238,$L$2:L238,1)=1,1,0),0)</f>
        <v>1</v>
      </c>
      <c r="AL238" s="28" t="str">
        <f ca="1">IF(B238="","",IF(K238="DUPLICATE","Duplicate (removed)",IF(AO238=1,"Scheduled within 24h",IF(M238=1,"Scheduled late",IF(K238="BAD CONTACT","Bad contact details",IF(O238=1,"Stopped / wrong number",IF(N238=1,"Not interested",IF(P238=1,"Partner has no slots",IF(SETTINGS!$B$4&gt;=V238,IF(Q238=0,"Missed deadline: never tried","Missed deadline: tried, not booked"),IF(Q238&gt;=SETTINGS!$B$6,"No reply after max tries","Open"))))))))))</f>
        <v>Missed deadline: never tried</v>
      </c>
      <c r="AM238" s="46" t="str">
        <f>IF(M238=1,IF(_xlfn.MINIFS(LOG!$G$2:$G$2001,LOG!$C$2:$C$2001,F238,LOG!$E$2:$E$2001,B238,LOG!$D$2:$D$2001,"*BOOKED")=0,_xlfn.MINIFS(LOG!$G$2:$G$2001,LOG!$C$2:$C$2001,F238,LOG!$E$2:$E$2001,"",LOG!$D$2:$D$2001,"*BOOKED"),IF(_xlfn.MINIFS(LOG!$G$2:$G$2001,LOG!$C$2:$C$2001,F238,LOG!$E$2:$E$2001,"",LOG!$D$2:$D$2001,"*BOOKED")=0,_xlfn.MINIFS(LOG!$G$2:$G$2001,LOG!$C$2:$C$2001,F238,LOG!$E$2:$E$2001,B238,LOG!$D$2:$D$2001,"*BOOKED"),MIN(_xlfn.MINIFS(LOG!$G$2:$G$2001,LOG!$C$2:$C$2001,F238,LOG!$E$2:$E$2001,B238,LOG!$D$2:$D$2001,"*BOOKED"),_xlfn.MINIFS(LOG!$G$2:$G$2001,LOG!$C$2:$C$2001,F238,LOG!$E$2:$E$2001,"",LOG!$D$2:$D$2001,"*BOOKED")))),"")</f>
        <v/>
      </c>
      <c r="AN238" s="28" t="str">
        <f t="shared" si="40"/>
        <v/>
      </c>
      <c r="AO238" s="28">
        <f>IF(AND(M238=1,AN238&lt;&gt;""),IF(AN238&lt;=SETTINGS!$B$5,1,0),0)</f>
        <v>0</v>
      </c>
      <c r="AP238" s="28">
        <f>IF(M238=1,IF(COUNTIFS(LOG!$C$2:$C$2001,F238,LOG!$E$2:$E$2001,B238,LOG!$D$2:$D$2001,"BOOKED")+COUNTIFS(LOG!$C$2:$C$2001,F238,LOG!$E$2:$E$2001,"",LOG!$D$2:$D$2001,"BOOKED")&gt;0,1,0),0)</f>
        <v>0</v>
      </c>
      <c r="AQ238" s="28" t="str">
        <f t="shared" si="41"/>
        <v>Ananya</v>
      </c>
      <c r="AR238" s="28">
        <f>IF(AND(AK238=1,K238="OK"),COUNTIFS($AK$2:AK238,1,$K$2:K238,"OK"),"")</f>
        <v>208</v>
      </c>
      <c r="AS238" s="28" t="str">
        <f>IF(L238=1,IFERROR(INDEX(MESSAGES!$J$9:$J$1008,MATCH(F238,MESSAGES!$M$9:$M$1008,0))&amp;"",""),"")</f>
        <v/>
      </c>
      <c r="AT238" s="28" t="str">
        <f>IF(L238=1,IFERROR(INDEX(MESSAGES!$K$9:$K$1008,MATCH(F238,MESSAGES!$M$9:$M$1008,0))&amp;"",""),"")</f>
        <v/>
      </c>
      <c r="AU238" s="28">
        <f t="shared" ca="1" si="42"/>
        <v>0</v>
      </c>
      <c r="AV238" s="28" t="str">
        <f t="shared" si="43"/>
        <v>HOLD</v>
      </c>
    </row>
    <row r="239" spans="1:48" x14ac:dyDescent="0.35">
      <c r="A239" s="28">
        <v>238</v>
      </c>
      <c r="B239" s="28" t="str">
        <f>IF(INPUT!A239="","",TRIM(INPUT!A239))</f>
        <v>Partner 009</v>
      </c>
      <c r="C239" s="28" t="str">
        <f>IF(B239="","",INPUT!C239)</f>
        <v>interviewer1@partner009.example.com</v>
      </c>
      <c r="D239" s="28" t="str">
        <f>IF(B239="","",INPUT!D239)</f>
        <v>Yash F.</v>
      </c>
      <c r="E239" s="28" t="str">
        <f>IF(B239="","",INPUT!E239)</f>
        <v>yash.f166@example.com</v>
      </c>
      <c r="F239" s="43" t="str">
        <f>IF(B239="","",TRIM(INPUT!F239&amp;""))</f>
        <v>9000002165</v>
      </c>
      <c r="G239" s="28" t="str">
        <f>IF(B239="","",INPUT!H239)</f>
        <v>Round1</v>
      </c>
      <c r="H239" s="46">
        <f>IF(B239="","",INPUT!I239)</f>
        <v>46308.82708333333</v>
      </c>
      <c r="I239" s="28" t="str">
        <f>IF(B239="","",IF(INPUT!J239="","None",INPUT!J239))</f>
        <v>Clicked</v>
      </c>
      <c r="J239" s="28" t="str">
        <f t="shared" si="33"/>
        <v>yash.f166@example.com|partner 009|Round1|interviewer1@partner009.example.com</v>
      </c>
      <c r="K239" s="28" t="str">
        <f>IF(B239="","",IF(SUMPRODUCT(($J$2:$J$601=J239)*($H$2:$H$601&lt;H239))+SUMPRODUCT(($J$2:J239=J239)*($H$2:H239=H239))-1&gt;0,"DUPLICATE",IF(AND(ISNUMBER(SEARCH("@",E239)),ISNUMBER(SEARCH(".",E239)),LEN(F239)=10,ISNUMBER(VALUE(F239))),"OK","BAD CONTACT")))</f>
        <v>OK</v>
      </c>
      <c r="L239" s="28">
        <f t="shared" si="34"/>
        <v>1</v>
      </c>
      <c r="M239" s="28">
        <f>IF(L239=1,IF(COUNTIFS(LOG!$C$2:$C$2001,F239,LOG!$E$2:$E$2001,B239,LOG!$D$2:$D$2001,"*BOOKED")+COUNTIFS(LOG!$C$2:$C$2001,F239,LOG!$E$2:$E$2001,"",LOG!$D$2:$D$2001,"*BOOKED")&gt;0,1,0),0)</f>
        <v>1</v>
      </c>
      <c r="N239" s="28">
        <f>IF(L239=1,IF(COUNTIFS(LOG!$C$2:$C$2001,F239,LOG!$E$2:$E$2001,B239,LOG!$D$2:$D$2001,"NOT_INTERESTED")+COUNTIFS(LOG!$C$2:$C$2001,F239,LOG!$E$2:$E$2001,"",LOG!$D$2:$D$2001,"NOT_INTERESTED")&gt;0,1,0),0)</f>
        <v>0</v>
      </c>
      <c r="O239" s="28">
        <f>IF(L239=1,IF(COUNTIFS(LOG!$C$2:$C$2001,F239,LOG!$D$2:$D$2001,"STOP")+COUNTIFS(LOG!$C$2:$C$2001,F239,LOG!$D$2:$D$2001,"WRONG_NUMBER")&gt;0,1,IF(ISNUMBER(SEARCH("STOP",AT239)),1,0)),0)</f>
        <v>0</v>
      </c>
      <c r="P239" s="28">
        <f>IF(L239=1,IF(IFERROR(INDEX(PARTNERS!$D$2:$D$88,MATCH(B239,PARTNERS!$A$2:$A$88,0)),"")="NO SLOTS",1,IF(AND(IFERROR(INDEX(PARTNERS!$D$2:$D$88,MATCH(B239,PARTNERS!$A$2:$A$88,0)),"")&lt;&gt;"REOPENED",COUNTIFS(LOG!$E$2:$E$2001,B239,LOG!$D$2:$D$2001,"NO_SLOTS")&gt;0),1,0)),0)</f>
        <v>0</v>
      </c>
      <c r="Q239" s="28">
        <f>IF(L239=1,COUNTIFS(LOG!$C$2:$C$2001,F239,LOG!$H$2:$H$2001,1),0)</f>
        <v>2</v>
      </c>
      <c r="R239" s="46">
        <f>IF(Q239&gt;0,_xlfn.MAXIFS(LOG!$G$2:$G$2001,LOG!$C$2:$C$2001,F239,LOG!$H$2:$H$2001,1),0)</f>
        <v>46309.744995274275</v>
      </c>
      <c r="S239" s="28" t="str">
        <f>IF(Q239&gt;0,IFERROR(INDEX(LOG!$D$2:$D$2001,MATCH(F239&amp;"|"&amp;Q239,LOG!$I$2:$I$2001,0)),""),"")</f>
        <v>BOOKED</v>
      </c>
      <c r="T239" s="28">
        <f>IF(S239="",0,IFERROR(VLOOKUP(S239,LISTS!$A$2:$E$10,4,FALSE),0))</f>
        <v>0</v>
      </c>
      <c r="U239" s="46">
        <f t="shared" si="35"/>
        <v>46309.744995274275</v>
      </c>
      <c r="V239" s="46">
        <f>IF(L239=1,H239+SETTINGS!$B$5/24,"")</f>
        <v>46309.82708333333</v>
      </c>
      <c r="W239" s="28">
        <f ca="1">IF(L239=1,(V239-SETTINGS!$B$4)*24,"")</f>
        <v>-1.6666666720993817E-2</v>
      </c>
      <c r="X239" s="28">
        <f ca="1">IF(AND(L239=1,K239="OK",M239=0,N239=0,O239=0,P239=0,SETTINGS!$B$4&lt;V239,Q239&lt;SETTINGS!$B$6),1,0)</f>
        <v>0</v>
      </c>
      <c r="Y239" s="28">
        <f ca="1">IF(AND(X239=1,SETTINGS!$B$4&gt;=H239,SETTINGS!$B$4&gt;=U239,ROUND(MOD(SETTINGS!$B$4,1)*1440,0)&gt;=ROUND(SETTINGS!$B$7*1440,0),ROUND(MOD(SETTINGS!$B$4,1)*1440,0)&lt;ROUND(SETTINGS!$B$8*1440,0)),1,0)</f>
        <v>0</v>
      </c>
      <c r="Z239" s="28" t="str">
        <f ca="1">IF(B239="","",IF(ROUND(MOD(SETTINGS!$B$4,1)*1440,0)&lt;ROUND(SETTINGS!$B$11*1440,0),"Ram",IF(ROUND(MOD(SETTINGS!$B$4,1)*1440,0)&gt;=ROUND(SETTINGS!$B$10*1440,0),"Shyam",IF(MOD(IFERROR(VALUE(RIGHT(F239,2)),0),2)=0,"Ram","Shyam"))))</f>
        <v>Shyam</v>
      </c>
      <c r="AA239" s="28">
        <f t="shared" ca="1" si="36"/>
        <v>0</v>
      </c>
      <c r="AB239" s="28">
        <f ca="1">IF(X239=1,COUNTIFS($F$2:F239,F239,$X$2:X239,1),0)</f>
        <v>0</v>
      </c>
      <c r="AC239" s="28" t="str">
        <f>IF(L239=1,IF(IFERROR(INDEX(PARTNERS!$C$2:$C$88,MATCH(B239,PARTNERS!$A$2:$A$88,0)),"")="YES","YES","NO"),"")</f>
        <v>YES</v>
      </c>
      <c r="AD239" s="28" t="str">
        <f>IF(L239=1,IFERROR(INDEX(PARTNERS!$B$2:$B$88,MATCH(B239,PARTNERS!$A$2:$A$88,0)),""),"")</f>
        <v>https://calendly.com/partner009/interview</v>
      </c>
      <c r="AE239" s="28">
        <f ca="1">IF(X239=1,IFERROR(INDEX(SETTINGS!$B$34:$D$36,MATCH(I239,SETTINGS!$A$34:$A$36,0),MIN(Q239,2)+1),SETTINGS!$B$36),0)</f>
        <v>0</v>
      </c>
      <c r="AF239" s="28">
        <f t="shared" si="37"/>
        <v>1</v>
      </c>
      <c r="AG239" s="28">
        <f ca="1">IF(AND(Y239=1,AB239=1),ROUND(AA239*AE239*IF(AF239&gt;1,SETTINGS!$B$16,1)*IF(W239&lt;=SETTINGS!$B$14,SETTINGS!$B$15,1)*IF(AU239=1,SETTINGS!$B$21,1),6),0)</f>
        <v>0</v>
      </c>
      <c r="AH239" s="28" t="str">
        <f ca="1">IF(AG239&gt;0,COUNTIFS($Z$2:$Z$601,Z239,$AG$2:$AG$601,"&gt;"&amp;AG239)+COUNTIFS($Z$2:Z239,Z239,$AG$2:AG239,AG239),"")</f>
        <v/>
      </c>
      <c r="AI239" s="28" t="str">
        <f t="shared" ca="1" si="38"/>
        <v/>
      </c>
      <c r="AJ239" s="28" t="str">
        <f t="shared" ca="1" si="39"/>
        <v/>
      </c>
      <c r="AK239" s="28">
        <f>IF(L239=1,IF(COUNTIFS($F$2:F239,F239,$L$2:L239,1)=1,1,0),0)</f>
        <v>1</v>
      </c>
      <c r="AL239" s="28" t="str">
        <f>IF(B239="","",IF(K239="DUPLICATE","Duplicate (removed)",IF(AO239=1,"Scheduled within 24h",IF(M239=1,"Scheduled late",IF(K239="BAD CONTACT","Bad contact details",IF(O239=1,"Stopped / wrong number",IF(N239=1,"Not interested",IF(P239=1,"Partner has no slots",IF(SETTINGS!$B$4&gt;=V239,IF(Q239=0,"Missed deadline: never tried","Missed deadline: tried, not booked"),IF(Q239&gt;=SETTINGS!$B$6,"No reply after max tries","Open"))))))))))</f>
        <v>Scheduled within 24h</v>
      </c>
      <c r="AM239" s="46">
        <f>IF(M239=1,IF(_xlfn.MINIFS(LOG!$G$2:$G$2001,LOG!$C$2:$C$2001,F239,LOG!$E$2:$E$2001,B239,LOG!$D$2:$D$2001,"*BOOKED")=0,_xlfn.MINIFS(LOG!$G$2:$G$2001,LOG!$C$2:$C$2001,F239,LOG!$E$2:$E$2001,"",LOG!$D$2:$D$2001,"*BOOKED"),IF(_xlfn.MINIFS(LOG!$G$2:$G$2001,LOG!$C$2:$C$2001,F239,LOG!$E$2:$E$2001,"",LOG!$D$2:$D$2001,"*BOOKED")=0,_xlfn.MINIFS(LOG!$G$2:$G$2001,LOG!$C$2:$C$2001,F239,LOG!$E$2:$E$2001,B239,LOG!$D$2:$D$2001,"*BOOKED"),MIN(_xlfn.MINIFS(LOG!$G$2:$G$2001,LOG!$C$2:$C$2001,F239,LOG!$E$2:$E$2001,B239,LOG!$D$2:$D$2001,"*BOOKED"),_xlfn.MINIFS(LOG!$G$2:$G$2001,LOG!$C$2:$C$2001,F239,LOG!$E$2:$E$2001,"",LOG!$D$2:$D$2001,"*BOOKED")))),"")</f>
        <v>46309.744995274275</v>
      </c>
      <c r="AN239" s="28">
        <f t="shared" si="40"/>
        <v>22.029886582691688</v>
      </c>
      <c r="AO239" s="28">
        <f>IF(AND(M239=1,AN239&lt;&gt;""),IF(AN239&lt;=SETTINGS!$B$5,1,0),0)</f>
        <v>1</v>
      </c>
      <c r="AP239" s="28">
        <f>IF(M239=1,IF(COUNTIFS(LOG!$C$2:$C$2001,F239,LOG!$E$2:$E$2001,B239,LOG!$D$2:$D$2001,"BOOKED")+COUNTIFS(LOG!$C$2:$C$2001,F239,LOG!$E$2:$E$2001,"",LOG!$D$2:$D$2001,"BOOKED")&gt;0,1,0),0)</f>
        <v>1</v>
      </c>
      <c r="AQ239" s="28" t="str">
        <f t="shared" si="41"/>
        <v>Yash</v>
      </c>
      <c r="AR239" s="28">
        <f>IF(AND(AK239=1,K239="OK"),COUNTIFS($AK$2:AK239,1,$K$2:K239,"OK"),"")</f>
        <v>209</v>
      </c>
      <c r="AS239" s="28" t="str">
        <f>IF(L239=1,IFERROR(INDEX(MESSAGES!$J$9:$J$1008,MATCH(F239,MESSAGES!$M$9:$M$1008,0))&amp;"",""),"")</f>
        <v/>
      </c>
      <c r="AT239" s="28" t="str">
        <f>IF(L239=1,IFERROR(INDEX(MESSAGES!$K$9:$K$1008,MATCH(F239,MESSAGES!$M$9:$M$1008,0))&amp;"",""),"")</f>
        <v/>
      </c>
      <c r="AU239" s="28">
        <f t="shared" ca="1" si="42"/>
        <v>0</v>
      </c>
      <c r="AV239" s="28" t="str">
        <f t="shared" si="43"/>
        <v>SEND</v>
      </c>
    </row>
    <row r="240" spans="1:48" x14ac:dyDescent="0.35">
      <c r="A240" s="28">
        <v>239</v>
      </c>
      <c r="B240" s="28" t="str">
        <f>IF(INPUT!A240="","",TRIM(INPUT!A240))</f>
        <v>Partner 002</v>
      </c>
      <c r="C240" s="28" t="str">
        <f>IF(B240="","",INPUT!C240)</f>
        <v>interviewer1@partner002.example.com</v>
      </c>
      <c r="D240" s="28" t="str">
        <f>IF(B240="","",INPUT!D240)</f>
        <v>Rahul F.</v>
      </c>
      <c r="E240" s="28" t="str">
        <f>IF(B240="","",INPUT!E240)</f>
        <v>rahul.f176@example.com</v>
      </c>
      <c r="F240" s="43" t="str">
        <f>IF(B240="","",TRIM(INPUT!F240&amp;""))</f>
        <v>9000002295</v>
      </c>
      <c r="G240" s="28" t="str">
        <f>IF(B240="","",INPUT!H240)</f>
        <v>Round1</v>
      </c>
      <c r="H240" s="46">
        <f>IF(B240="","",INPUT!I240)</f>
        <v>46308.82708333333</v>
      </c>
      <c r="I240" s="28" t="str">
        <f>IF(B240="","",IF(INPUT!J240="","None",INPUT!J240))</f>
        <v>Clicked</v>
      </c>
      <c r="J240" s="28" t="str">
        <f t="shared" si="33"/>
        <v>rahul.f176@example.com|partner 002|Round1|interviewer1@partner002.example.com</v>
      </c>
      <c r="K240" s="28" t="str">
        <f>IF(B240="","",IF(SUMPRODUCT(($J$2:$J$601=J240)*($H$2:$H$601&lt;H240))+SUMPRODUCT(($J$2:J240=J240)*($H$2:H240=H240))-1&gt;0,"DUPLICATE",IF(AND(ISNUMBER(SEARCH("@",E240)),ISNUMBER(SEARCH(".",E240)),LEN(F240)=10,ISNUMBER(VALUE(F240))),"OK","BAD CONTACT")))</f>
        <v>OK</v>
      </c>
      <c r="L240" s="28">
        <f t="shared" si="34"/>
        <v>1</v>
      </c>
      <c r="M240" s="28">
        <f>IF(L240=1,IF(COUNTIFS(LOG!$C$2:$C$2001,F240,LOG!$E$2:$E$2001,B240,LOG!$D$2:$D$2001,"*BOOKED")+COUNTIFS(LOG!$C$2:$C$2001,F240,LOG!$E$2:$E$2001,"",LOG!$D$2:$D$2001,"*BOOKED")&gt;0,1,0),0)</f>
        <v>1</v>
      </c>
      <c r="N240" s="28">
        <f>IF(L240=1,IF(COUNTIFS(LOG!$C$2:$C$2001,F240,LOG!$E$2:$E$2001,B240,LOG!$D$2:$D$2001,"NOT_INTERESTED")+COUNTIFS(LOG!$C$2:$C$2001,F240,LOG!$E$2:$E$2001,"",LOG!$D$2:$D$2001,"NOT_INTERESTED")&gt;0,1,0),0)</f>
        <v>0</v>
      </c>
      <c r="O240" s="28">
        <f>IF(L240=1,IF(COUNTIFS(LOG!$C$2:$C$2001,F240,LOG!$D$2:$D$2001,"STOP")+COUNTIFS(LOG!$C$2:$C$2001,F240,LOG!$D$2:$D$2001,"WRONG_NUMBER")&gt;0,1,IF(ISNUMBER(SEARCH("STOP",AT240)),1,0)),0)</f>
        <v>0</v>
      </c>
      <c r="P240" s="28">
        <f>IF(L240=1,IF(IFERROR(INDEX(PARTNERS!$D$2:$D$88,MATCH(B240,PARTNERS!$A$2:$A$88,0)),"")="NO SLOTS",1,IF(AND(IFERROR(INDEX(PARTNERS!$D$2:$D$88,MATCH(B240,PARTNERS!$A$2:$A$88,0)),"")&lt;&gt;"REOPENED",COUNTIFS(LOG!$E$2:$E$2001,B240,LOG!$D$2:$D$2001,"NO_SLOTS")&gt;0),1,0)),0)</f>
        <v>0</v>
      </c>
      <c r="Q240" s="28">
        <f>IF(L240=1,COUNTIFS(LOG!$C$2:$C$2001,F240,LOG!$H$2:$H$2001,1),0)</f>
        <v>2</v>
      </c>
      <c r="R240" s="46">
        <f>IF(Q240&gt;0,_xlfn.MAXIFS(LOG!$G$2:$G$2001,LOG!$C$2:$C$2001,F240,LOG!$H$2:$H$2001,1),0)</f>
        <v>46309.546778370532</v>
      </c>
      <c r="S240" s="28" t="str">
        <f>IF(Q240&gt;0,IFERROR(INDEX(LOG!$D$2:$D$2001,MATCH(F240&amp;"|"&amp;Q240,LOG!$I$2:$I$2001,0)),""),"")</f>
        <v>BOOKED</v>
      </c>
      <c r="T240" s="28">
        <f>IF(S240="",0,IFERROR(VLOOKUP(S240,LISTS!$A$2:$E$10,4,FALSE),0))</f>
        <v>0</v>
      </c>
      <c r="U240" s="46">
        <f t="shared" si="35"/>
        <v>46309.546778370532</v>
      </c>
      <c r="V240" s="46">
        <f>IF(L240=1,H240+SETTINGS!$B$5/24,"")</f>
        <v>46309.82708333333</v>
      </c>
      <c r="W240" s="28">
        <f ca="1">IF(L240=1,(V240-SETTINGS!$B$4)*24,"")</f>
        <v>-1.6666666720993817E-2</v>
      </c>
      <c r="X240" s="28">
        <f ca="1">IF(AND(L240=1,K240="OK",M240=0,N240=0,O240=0,P240=0,SETTINGS!$B$4&lt;V240,Q240&lt;SETTINGS!$B$6),1,0)</f>
        <v>0</v>
      </c>
      <c r="Y240" s="28">
        <f ca="1">IF(AND(X240=1,SETTINGS!$B$4&gt;=H240,SETTINGS!$B$4&gt;=U240,ROUND(MOD(SETTINGS!$B$4,1)*1440,0)&gt;=ROUND(SETTINGS!$B$7*1440,0),ROUND(MOD(SETTINGS!$B$4,1)*1440,0)&lt;ROUND(SETTINGS!$B$8*1440,0)),1,0)</f>
        <v>0</v>
      </c>
      <c r="Z240" s="28" t="str">
        <f ca="1">IF(B240="","",IF(ROUND(MOD(SETTINGS!$B$4,1)*1440,0)&lt;ROUND(SETTINGS!$B$11*1440,0),"Ram",IF(ROUND(MOD(SETTINGS!$B$4,1)*1440,0)&gt;=ROUND(SETTINGS!$B$10*1440,0),"Shyam",IF(MOD(IFERROR(VALUE(RIGHT(F240,2)),0),2)=0,"Ram","Shyam"))))</f>
        <v>Shyam</v>
      </c>
      <c r="AA240" s="28">
        <f t="shared" ca="1" si="36"/>
        <v>0</v>
      </c>
      <c r="AB240" s="28">
        <f ca="1">IF(X240=1,COUNTIFS($F$2:F240,F240,$X$2:X240,1),0)</f>
        <v>0</v>
      </c>
      <c r="AC240" s="28" t="str">
        <f>IF(L240=1,IF(IFERROR(INDEX(PARTNERS!$C$2:$C$88,MATCH(B240,PARTNERS!$A$2:$A$88,0)),"")="YES","YES","NO"),"")</f>
        <v>YES</v>
      </c>
      <c r="AD240" s="28" t="str">
        <f>IF(L240=1,IFERROR(INDEX(PARTNERS!$B$2:$B$88,MATCH(B240,PARTNERS!$A$2:$A$88,0)),""),"")</f>
        <v>https://calendly.com/partner002/interview</v>
      </c>
      <c r="AE240" s="28">
        <f ca="1">IF(X240=1,IFERROR(INDEX(SETTINGS!$B$34:$D$36,MATCH(I240,SETTINGS!$A$34:$A$36,0),MIN(Q240,2)+1),SETTINGS!$B$36),0)</f>
        <v>0</v>
      </c>
      <c r="AF240" s="28">
        <f t="shared" si="37"/>
        <v>1</v>
      </c>
      <c r="AG240" s="28">
        <f ca="1">IF(AND(Y240=1,AB240=1),ROUND(AA240*AE240*IF(AF240&gt;1,SETTINGS!$B$16,1)*IF(W240&lt;=SETTINGS!$B$14,SETTINGS!$B$15,1)*IF(AU240=1,SETTINGS!$B$21,1),6),0)</f>
        <v>0</v>
      </c>
      <c r="AH240" s="28" t="str">
        <f ca="1">IF(AG240&gt;0,COUNTIFS($Z$2:$Z$601,Z240,$AG$2:$AG$601,"&gt;"&amp;AG240)+COUNTIFS($Z$2:Z240,Z240,$AG$2:AG240,AG240),"")</f>
        <v/>
      </c>
      <c r="AI240" s="28" t="str">
        <f t="shared" ca="1" si="38"/>
        <v/>
      </c>
      <c r="AJ240" s="28" t="str">
        <f t="shared" ca="1" si="39"/>
        <v/>
      </c>
      <c r="AK240" s="28">
        <f>IF(L240=1,IF(COUNTIFS($F$2:F240,F240,$L$2:L240,1)=1,1,0),0)</f>
        <v>0</v>
      </c>
      <c r="AL240" s="28" t="str">
        <f>IF(B240="","",IF(K240="DUPLICATE","Duplicate (removed)",IF(AO240=1,"Scheduled within 24h",IF(M240=1,"Scheduled late",IF(K240="BAD CONTACT","Bad contact details",IF(O240=1,"Stopped / wrong number",IF(N240=1,"Not interested",IF(P240=1,"Partner has no slots",IF(SETTINGS!$B$4&gt;=V240,IF(Q240=0,"Missed deadline: never tried","Missed deadline: tried, not booked"),IF(Q240&gt;=SETTINGS!$B$6,"No reply after max tries","Open"))))))))))</f>
        <v>Scheduled within 24h</v>
      </c>
      <c r="AM240" s="46">
        <f>IF(M240=1,IF(_xlfn.MINIFS(LOG!$G$2:$G$2001,LOG!$C$2:$C$2001,F240,LOG!$E$2:$E$2001,B240,LOG!$D$2:$D$2001,"*BOOKED")=0,_xlfn.MINIFS(LOG!$G$2:$G$2001,LOG!$C$2:$C$2001,F240,LOG!$E$2:$E$2001,"",LOG!$D$2:$D$2001,"*BOOKED"),IF(_xlfn.MINIFS(LOG!$G$2:$G$2001,LOG!$C$2:$C$2001,F240,LOG!$E$2:$E$2001,"",LOG!$D$2:$D$2001,"*BOOKED")=0,_xlfn.MINIFS(LOG!$G$2:$G$2001,LOG!$C$2:$C$2001,F240,LOG!$E$2:$E$2001,B240,LOG!$D$2:$D$2001,"*BOOKED"),MIN(_xlfn.MINIFS(LOG!$G$2:$G$2001,LOG!$C$2:$C$2001,F240,LOG!$E$2:$E$2001,B240,LOG!$D$2:$D$2001,"*BOOKED"),_xlfn.MINIFS(LOG!$G$2:$G$2001,LOG!$C$2:$C$2001,F240,LOG!$E$2:$E$2001,"",LOG!$D$2:$D$2001,"*BOOKED")))),"")</f>
        <v>46309.546778370532</v>
      </c>
      <c r="AN240" s="28">
        <f t="shared" si="40"/>
        <v>17.27268089284189</v>
      </c>
      <c r="AO240" s="28">
        <f>IF(AND(M240=1,AN240&lt;&gt;""),IF(AN240&lt;=SETTINGS!$B$5,1,0),0)</f>
        <v>1</v>
      </c>
      <c r="AP240" s="28">
        <f>IF(M240=1,IF(COUNTIFS(LOG!$C$2:$C$2001,F240,LOG!$E$2:$E$2001,B240,LOG!$D$2:$D$2001,"BOOKED")+COUNTIFS(LOG!$C$2:$C$2001,F240,LOG!$E$2:$E$2001,"",LOG!$D$2:$D$2001,"BOOKED")&gt;0,1,0),0)</f>
        <v>1</v>
      </c>
      <c r="AQ240" s="28" t="str">
        <f t="shared" si="41"/>
        <v>Rahul</v>
      </c>
      <c r="AR240" s="28" t="str">
        <f>IF(AND(AK240=1,K240="OK"),COUNTIFS($AK$2:AK240,1,$K$2:K240,"OK"),"")</f>
        <v/>
      </c>
      <c r="AS240" s="28" t="str">
        <f>IF(L240=1,IFERROR(INDEX(MESSAGES!$J$9:$J$1008,MATCH(F240,MESSAGES!$M$9:$M$1008,0))&amp;"",""),"")</f>
        <v/>
      </c>
      <c r="AT240" s="28" t="str">
        <f>IF(L240=1,IFERROR(INDEX(MESSAGES!$K$9:$K$1008,MATCH(F240,MESSAGES!$M$9:$M$1008,0))&amp;"",""),"")</f>
        <v/>
      </c>
      <c r="AU240" s="28">
        <f t="shared" ca="1" si="42"/>
        <v>0</v>
      </c>
      <c r="AV240" s="28" t="str">
        <f t="shared" si="43"/>
        <v>HOLD</v>
      </c>
    </row>
    <row r="241" spans="1:48" x14ac:dyDescent="0.35">
      <c r="A241" s="28">
        <v>240</v>
      </c>
      <c r="B241" s="28" t="str">
        <f>IF(INPUT!A241="","",TRIM(INPUT!A241))</f>
        <v>Partner 012</v>
      </c>
      <c r="C241" s="28" t="str">
        <f>IF(B241="","",INPUT!C241)</f>
        <v>interviewer0@partner012.example.com</v>
      </c>
      <c r="D241" s="28" t="str">
        <f>IF(B241="","",INPUT!D241)</f>
        <v>Ananya E.</v>
      </c>
      <c r="E241" s="28" t="str">
        <f>IF(B241="","",INPUT!E241)</f>
        <v>ananya.e123@example.com</v>
      </c>
      <c r="F241" s="43" t="str">
        <f>IF(B241="","",TRIM(INPUT!F241&amp;""))</f>
        <v>9000001606</v>
      </c>
      <c r="G241" s="28" t="str">
        <f>IF(B241="","",INPUT!H241)</f>
        <v>Round1</v>
      </c>
      <c r="H241" s="46">
        <f>IF(B241="","",INPUT!I241)</f>
        <v>46308.82708333333</v>
      </c>
      <c r="I241" s="28" t="str">
        <f>IF(B241="","",IF(INPUT!J241="","None",INPUT!J241))</f>
        <v>None</v>
      </c>
      <c r="J241" s="28" t="str">
        <f t="shared" si="33"/>
        <v>ananya.e123@example.com|partner 012|Round1|interviewer0@partner012.example.com</v>
      </c>
      <c r="K241" s="28" t="str">
        <f>IF(B241="","",IF(SUMPRODUCT(($J$2:$J$601=J241)*($H$2:$H$601&lt;H241))+SUMPRODUCT(($J$2:J241=J241)*($H$2:H241=H241))-1&gt;0,"DUPLICATE",IF(AND(ISNUMBER(SEARCH("@",E241)),ISNUMBER(SEARCH(".",E241)),LEN(F241)=10,ISNUMBER(VALUE(F241))),"OK","BAD CONTACT")))</f>
        <v>OK</v>
      </c>
      <c r="L241" s="28">
        <f t="shared" si="34"/>
        <v>1</v>
      </c>
      <c r="M241" s="28">
        <f>IF(L241=1,IF(COUNTIFS(LOG!$C$2:$C$2001,F241,LOG!$E$2:$E$2001,B241,LOG!$D$2:$D$2001,"*BOOKED")+COUNTIFS(LOG!$C$2:$C$2001,F241,LOG!$E$2:$E$2001,"",LOG!$D$2:$D$2001,"*BOOKED")&gt;0,1,0),0)</f>
        <v>0</v>
      </c>
      <c r="N241" s="28">
        <f>IF(L241=1,IF(COUNTIFS(LOG!$C$2:$C$2001,F241,LOG!$E$2:$E$2001,B241,LOG!$D$2:$D$2001,"NOT_INTERESTED")+COUNTIFS(LOG!$C$2:$C$2001,F241,LOG!$E$2:$E$2001,"",LOG!$D$2:$D$2001,"NOT_INTERESTED")&gt;0,1,0),0)</f>
        <v>0</v>
      </c>
      <c r="O241" s="28">
        <f>IF(L241=1,IF(COUNTIFS(LOG!$C$2:$C$2001,F241,LOG!$D$2:$D$2001,"STOP")+COUNTIFS(LOG!$C$2:$C$2001,F241,LOG!$D$2:$D$2001,"WRONG_NUMBER")&gt;0,1,IF(ISNUMBER(SEARCH("STOP",AT241)),1,0)),0)</f>
        <v>0</v>
      </c>
      <c r="P241" s="28">
        <f>IF(L241=1,IF(IFERROR(INDEX(PARTNERS!$D$2:$D$88,MATCH(B241,PARTNERS!$A$2:$A$88,0)),"")="NO SLOTS",1,IF(AND(IFERROR(INDEX(PARTNERS!$D$2:$D$88,MATCH(B241,PARTNERS!$A$2:$A$88,0)),"")&lt;&gt;"REOPENED",COUNTIFS(LOG!$E$2:$E$2001,B241,LOG!$D$2:$D$2001,"NO_SLOTS")&gt;0),1,0)),0)</f>
        <v>0</v>
      </c>
      <c r="Q241" s="28">
        <f>IF(L241=1,COUNTIFS(LOG!$C$2:$C$2001,F241,LOG!$H$2:$H$2001,1),0)</f>
        <v>0</v>
      </c>
      <c r="R241" s="46">
        <f>IF(Q241&gt;0,_xlfn.MAXIFS(LOG!$G$2:$G$2001,LOG!$C$2:$C$2001,F241,LOG!$H$2:$H$2001,1),0)</f>
        <v>0</v>
      </c>
      <c r="S241" s="28" t="str">
        <f>IF(Q241&gt;0,IFERROR(INDEX(LOG!$D$2:$D$2001,MATCH(F241&amp;"|"&amp;Q241,LOG!$I$2:$I$2001,0)),""),"")</f>
        <v/>
      </c>
      <c r="T241" s="28">
        <f>IF(S241="",0,IFERROR(VLOOKUP(S241,LISTS!$A$2:$E$10,4,FALSE),0))</f>
        <v>0</v>
      </c>
      <c r="U241" s="46">
        <f t="shared" si="35"/>
        <v>0</v>
      </c>
      <c r="V241" s="46">
        <f>IF(L241=1,H241+SETTINGS!$B$5/24,"")</f>
        <v>46309.82708333333</v>
      </c>
      <c r="W241" s="28">
        <f ca="1">IF(L241=1,(V241-SETTINGS!$B$4)*24,"")</f>
        <v>-1.6666666720993817E-2</v>
      </c>
      <c r="X241" s="28">
        <f ca="1">IF(AND(L241=1,K241="OK",M241=0,N241=0,O241=0,P241=0,SETTINGS!$B$4&lt;V241,Q241&lt;SETTINGS!$B$6),1,0)</f>
        <v>0</v>
      </c>
      <c r="Y241" s="28">
        <f ca="1">IF(AND(X241=1,SETTINGS!$B$4&gt;=H241,SETTINGS!$B$4&gt;=U241,ROUND(MOD(SETTINGS!$B$4,1)*1440,0)&gt;=ROUND(SETTINGS!$B$7*1440,0),ROUND(MOD(SETTINGS!$B$4,1)*1440,0)&lt;ROUND(SETTINGS!$B$8*1440,0)),1,0)</f>
        <v>0</v>
      </c>
      <c r="Z241" s="28" t="str">
        <f ca="1">IF(B241="","",IF(ROUND(MOD(SETTINGS!$B$4,1)*1440,0)&lt;ROUND(SETTINGS!$B$11*1440,0),"Ram",IF(ROUND(MOD(SETTINGS!$B$4,1)*1440,0)&gt;=ROUND(SETTINGS!$B$10*1440,0),"Shyam",IF(MOD(IFERROR(VALUE(RIGHT(F241,2)),0),2)=0,"Ram","Shyam"))))</f>
        <v>Shyam</v>
      </c>
      <c r="AA241" s="28">
        <f t="shared" ca="1" si="36"/>
        <v>0</v>
      </c>
      <c r="AB241" s="28">
        <f ca="1">IF(X241=1,COUNTIFS($F$2:F241,F241,$X$2:X241,1),0)</f>
        <v>0</v>
      </c>
      <c r="AC241" s="28" t="str">
        <f>IF(L241=1,IF(IFERROR(INDEX(PARTNERS!$C$2:$C$88,MATCH(B241,PARTNERS!$A$2:$A$88,0)),"")="YES","YES","NO"),"")</f>
        <v>NO</v>
      </c>
      <c r="AD241" s="28" t="str">
        <f>IF(L241=1,IFERROR(INDEX(PARTNERS!$B$2:$B$88,MATCH(B241,PARTNERS!$A$2:$A$88,0)),""),"")</f>
        <v>https://calendly.com/partner012/interview</v>
      </c>
      <c r="AE241" s="28">
        <f ca="1">IF(X241=1,IFERROR(INDEX(SETTINGS!$B$34:$D$36,MATCH(I241,SETTINGS!$A$34:$A$36,0),MIN(Q241,2)+1),SETTINGS!$B$36),0)</f>
        <v>0</v>
      </c>
      <c r="AF241" s="28">
        <f t="shared" si="37"/>
        <v>1</v>
      </c>
      <c r="AG241" s="28">
        <f ca="1">IF(AND(Y241=1,AB241=1),ROUND(AA241*AE241*IF(AF241&gt;1,SETTINGS!$B$16,1)*IF(W241&lt;=SETTINGS!$B$14,SETTINGS!$B$15,1)*IF(AU241=1,SETTINGS!$B$21,1),6),0)</f>
        <v>0</v>
      </c>
      <c r="AH241" s="28" t="str">
        <f ca="1">IF(AG241&gt;0,COUNTIFS($Z$2:$Z$601,Z241,$AG$2:$AG$601,"&gt;"&amp;AG241)+COUNTIFS($Z$2:Z241,Z241,$AG$2:AG241,AG241),"")</f>
        <v/>
      </c>
      <c r="AI241" s="28" t="str">
        <f t="shared" ca="1" si="38"/>
        <v/>
      </c>
      <c r="AJ241" s="28" t="str">
        <f t="shared" ca="1" si="39"/>
        <v/>
      </c>
      <c r="AK241" s="28">
        <f>IF(L241=1,IF(COUNTIFS($F$2:F241,F241,$L$2:L241,1)=1,1,0),0)</f>
        <v>1</v>
      </c>
      <c r="AL241" s="28" t="str">
        <f ca="1">IF(B241="","",IF(K241="DUPLICATE","Duplicate (removed)",IF(AO241=1,"Scheduled within 24h",IF(M241=1,"Scheduled late",IF(K241="BAD CONTACT","Bad contact details",IF(O241=1,"Stopped / wrong number",IF(N241=1,"Not interested",IF(P241=1,"Partner has no slots",IF(SETTINGS!$B$4&gt;=V241,IF(Q241=0,"Missed deadline: never tried","Missed deadline: tried, not booked"),IF(Q241&gt;=SETTINGS!$B$6,"No reply after max tries","Open"))))))))))</f>
        <v>Missed deadline: never tried</v>
      </c>
      <c r="AM241" s="46" t="str">
        <f>IF(M241=1,IF(_xlfn.MINIFS(LOG!$G$2:$G$2001,LOG!$C$2:$C$2001,F241,LOG!$E$2:$E$2001,B241,LOG!$D$2:$D$2001,"*BOOKED")=0,_xlfn.MINIFS(LOG!$G$2:$G$2001,LOG!$C$2:$C$2001,F241,LOG!$E$2:$E$2001,"",LOG!$D$2:$D$2001,"*BOOKED"),IF(_xlfn.MINIFS(LOG!$G$2:$G$2001,LOG!$C$2:$C$2001,F241,LOG!$E$2:$E$2001,"",LOG!$D$2:$D$2001,"*BOOKED")=0,_xlfn.MINIFS(LOG!$G$2:$G$2001,LOG!$C$2:$C$2001,F241,LOG!$E$2:$E$2001,B241,LOG!$D$2:$D$2001,"*BOOKED"),MIN(_xlfn.MINIFS(LOG!$G$2:$G$2001,LOG!$C$2:$C$2001,F241,LOG!$E$2:$E$2001,B241,LOG!$D$2:$D$2001,"*BOOKED"),_xlfn.MINIFS(LOG!$G$2:$G$2001,LOG!$C$2:$C$2001,F241,LOG!$E$2:$E$2001,"",LOG!$D$2:$D$2001,"*BOOKED")))),"")</f>
        <v/>
      </c>
      <c r="AN241" s="28" t="str">
        <f t="shared" si="40"/>
        <v/>
      </c>
      <c r="AO241" s="28">
        <f>IF(AND(M241=1,AN241&lt;&gt;""),IF(AN241&lt;=SETTINGS!$B$5,1,0),0)</f>
        <v>0</v>
      </c>
      <c r="AP241" s="28">
        <f>IF(M241=1,IF(COUNTIFS(LOG!$C$2:$C$2001,F241,LOG!$E$2:$E$2001,B241,LOG!$D$2:$D$2001,"BOOKED")+COUNTIFS(LOG!$C$2:$C$2001,F241,LOG!$E$2:$E$2001,"",LOG!$D$2:$D$2001,"BOOKED")&gt;0,1,0),0)</f>
        <v>0</v>
      </c>
      <c r="AQ241" s="28" t="str">
        <f t="shared" si="41"/>
        <v>Ananya</v>
      </c>
      <c r="AR241" s="28">
        <f>IF(AND(AK241=1,K241="OK"),COUNTIFS($AK$2:AK241,1,$K$2:K241,"OK"),"")</f>
        <v>210</v>
      </c>
      <c r="AS241" s="28" t="str">
        <f>IF(L241=1,IFERROR(INDEX(MESSAGES!$J$9:$J$1008,MATCH(F241,MESSAGES!$M$9:$M$1008,0))&amp;"",""),"")</f>
        <v/>
      </c>
      <c r="AT241" s="28" t="str">
        <f>IF(L241=1,IFERROR(INDEX(MESSAGES!$K$9:$K$1008,MATCH(F241,MESSAGES!$M$9:$M$1008,0))&amp;"",""),"")</f>
        <v/>
      </c>
      <c r="AU241" s="28">
        <f t="shared" ca="1" si="42"/>
        <v>0</v>
      </c>
      <c r="AV241" s="28" t="str">
        <f t="shared" si="43"/>
        <v>SEND</v>
      </c>
    </row>
    <row r="242" spans="1:48" x14ac:dyDescent="0.35">
      <c r="A242" s="28">
        <v>241</v>
      </c>
      <c r="B242" s="28" t="str">
        <f>IF(INPUT!A242="","",TRIM(INPUT!A242))</f>
        <v>Partner 008</v>
      </c>
      <c r="C242" s="28" t="str">
        <f>IF(B242="","",INPUT!C242)</f>
        <v>interviewer2@partner008.example.com</v>
      </c>
      <c r="D242" s="28" t="str">
        <f>IF(B242="","",INPUT!D242)</f>
        <v>Neil C.</v>
      </c>
      <c r="E242" s="28" t="str">
        <f>IF(B242="","",INPUT!E242)</f>
        <v>neil.c078@example.com</v>
      </c>
      <c r="F242" s="43" t="str">
        <f>IF(B242="","",TRIM(INPUT!F242&amp;""))</f>
        <v>9000001021</v>
      </c>
      <c r="G242" s="28" t="str">
        <f>IF(B242="","",INPUT!H242)</f>
        <v>Round1</v>
      </c>
      <c r="H242" s="46">
        <f>IF(B242="","",INPUT!I242)</f>
        <v>46308.82708333333</v>
      </c>
      <c r="I242" s="28" t="str">
        <f>IF(B242="","",IF(INPUT!J242="","None",INPUT!J242))</f>
        <v>Clicked</v>
      </c>
      <c r="J242" s="28" t="str">
        <f t="shared" si="33"/>
        <v>neil.c078@example.com|partner 008|Round1|interviewer2@partner008.example.com</v>
      </c>
      <c r="K242" s="28" t="str">
        <f>IF(B242="","",IF(SUMPRODUCT(($J$2:$J$601=J242)*($H$2:$H$601&lt;H242))+SUMPRODUCT(($J$2:J242=J242)*($H$2:H242=H242))-1&gt;0,"DUPLICATE",IF(AND(ISNUMBER(SEARCH("@",E242)),ISNUMBER(SEARCH(".",E242)),LEN(F242)=10,ISNUMBER(VALUE(F242))),"OK","BAD CONTACT")))</f>
        <v>OK</v>
      </c>
      <c r="L242" s="28">
        <f t="shared" si="34"/>
        <v>1</v>
      </c>
      <c r="M242" s="28">
        <f>IF(L242=1,IF(COUNTIFS(LOG!$C$2:$C$2001,F242,LOG!$E$2:$E$2001,B242,LOG!$D$2:$D$2001,"*BOOKED")+COUNTIFS(LOG!$C$2:$C$2001,F242,LOG!$E$2:$E$2001,"",LOG!$D$2:$D$2001,"*BOOKED")&gt;0,1,0),0)</f>
        <v>0</v>
      </c>
      <c r="N242" s="28">
        <f>IF(L242=1,IF(COUNTIFS(LOG!$C$2:$C$2001,F242,LOG!$E$2:$E$2001,B242,LOG!$D$2:$D$2001,"NOT_INTERESTED")+COUNTIFS(LOG!$C$2:$C$2001,F242,LOG!$E$2:$E$2001,"",LOG!$D$2:$D$2001,"NOT_INTERESTED")&gt;0,1,0),0)</f>
        <v>0</v>
      </c>
      <c r="O242" s="28">
        <f>IF(L242=1,IF(COUNTIFS(LOG!$C$2:$C$2001,F242,LOG!$D$2:$D$2001,"STOP")+COUNTIFS(LOG!$C$2:$C$2001,F242,LOG!$D$2:$D$2001,"WRONG_NUMBER")&gt;0,1,IF(ISNUMBER(SEARCH("STOP",AT242)),1,0)),0)</f>
        <v>0</v>
      </c>
      <c r="P242" s="28">
        <f>IF(L242=1,IF(IFERROR(INDEX(PARTNERS!$D$2:$D$88,MATCH(B242,PARTNERS!$A$2:$A$88,0)),"")="NO SLOTS",1,IF(AND(IFERROR(INDEX(PARTNERS!$D$2:$D$88,MATCH(B242,PARTNERS!$A$2:$A$88,0)),"")&lt;&gt;"REOPENED",COUNTIFS(LOG!$E$2:$E$2001,B242,LOG!$D$2:$D$2001,"NO_SLOTS")&gt;0),1,0)),0)</f>
        <v>0</v>
      </c>
      <c r="Q242" s="28">
        <f>IF(L242=1,COUNTIFS(LOG!$C$2:$C$2001,F242,LOG!$H$2:$H$2001,1),0)</f>
        <v>2</v>
      </c>
      <c r="R242" s="46">
        <f>IF(Q242&gt;0,_xlfn.MAXIFS(LOG!$G$2:$G$2001,LOG!$C$2:$C$2001,F242,LOG!$H$2:$H$2001,1),0)</f>
        <v>46309.749045899422</v>
      </c>
      <c r="S242" s="28" t="str">
        <f>IF(Q242&gt;0,IFERROR(INDEX(LOG!$D$2:$D$2001,MATCH(F242&amp;"|"&amp;Q242,LOG!$I$2:$I$2001,0)),""),"")</f>
        <v>CALL_BACK</v>
      </c>
      <c r="T242" s="28">
        <f>IF(S242="",0,IFERROR(VLOOKUP(S242,LISTS!$A$2:$E$10,4,FALSE),0))</f>
        <v>120</v>
      </c>
      <c r="U242" s="46">
        <f t="shared" si="35"/>
        <v>46309.832379232757</v>
      </c>
      <c r="V242" s="46">
        <f>IF(L242=1,H242+SETTINGS!$B$5/24,"")</f>
        <v>46309.82708333333</v>
      </c>
      <c r="W242" s="28">
        <f ca="1">IF(L242=1,(V242-SETTINGS!$B$4)*24,"")</f>
        <v>-1.6666666720993817E-2</v>
      </c>
      <c r="X242" s="28">
        <f ca="1">IF(AND(L242=1,K242="OK",M242=0,N242=0,O242=0,P242=0,SETTINGS!$B$4&lt;V242,Q242&lt;SETTINGS!$B$6),1,0)</f>
        <v>0</v>
      </c>
      <c r="Y242" s="28">
        <f ca="1">IF(AND(X242=1,SETTINGS!$B$4&gt;=H242,SETTINGS!$B$4&gt;=U242,ROUND(MOD(SETTINGS!$B$4,1)*1440,0)&gt;=ROUND(SETTINGS!$B$7*1440,0),ROUND(MOD(SETTINGS!$B$4,1)*1440,0)&lt;ROUND(SETTINGS!$B$8*1440,0)),1,0)</f>
        <v>0</v>
      </c>
      <c r="Z242" s="28" t="str">
        <f ca="1">IF(B242="","",IF(ROUND(MOD(SETTINGS!$B$4,1)*1440,0)&lt;ROUND(SETTINGS!$B$11*1440,0),"Ram",IF(ROUND(MOD(SETTINGS!$B$4,1)*1440,0)&gt;=ROUND(SETTINGS!$B$10*1440,0),"Shyam",IF(MOD(IFERROR(VALUE(RIGHT(F242,2)),0),2)=0,"Ram","Shyam"))))</f>
        <v>Shyam</v>
      </c>
      <c r="AA242" s="28">
        <f t="shared" ca="1" si="36"/>
        <v>0</v>
      </c>
      <c r="AB242" s="28">
        <f ca="1">IF(X242=1,COUNTIFS($F$2:F242,F242,$X$2:X242,1),0)</f>
        <v>0</v>
      </c>
      <c r="AC242" s="28" t="str">
        <f>IF(L242=1,IF(IFERROR(INDEX(PARTNERS!$C$2:$C$88,MATCH(B242,PARTNERS!$A$2:$A$88,0)),"")="YES","YES","NO"),"")</f>
        <v>YES</v>
      </c>
      <c r="AD242" s="28" t="str">
        <f>IF(L242=1,IFERROR(INDEX(PARTNERS!$B$2:$B$88,MATCH(B242,PARTNERS!$A$2:$A$88,0)),""),"")</f>
        <v>https://calendly.com/partner008/interview</v>
      </c>
      <c r="AE242" s="28">
        <f ca="1">IF(X242=1,IFERROR(INDEX(SETTINGS!$B$34:$D$36,MATCH(I242,SETTINGS!$A$34:$A$36,0),MIN(Q242,2)+1),SETTINGS!$B$36),0)</f>
        <v>0</v>
      </c>
      <c r="AF242" s="28">
        <f t="shared" si="37"/>
        <v>1</v>
      </c>
      <c r="AG242" s="28">
        <f ca="1">IF(AND(Y242=1,AB242=1),ROUND(AA242*AE242*IF(AF242&gt;1,SETTINGS!$B$16,1)*IF(W242&lt;=SETTINGS!$B$14,SETTINGS!$B$15,1)*IF(AU242=1,SETTINGS!$B$21,1),6),0)</f>
        <v>0</v>
      </c>
      <c r="AH242" s="28" t="str">
        <f ca="1">IF(AG242&gt;0,COUNTIFS($Z$2:$Z$601,Z242,$AG$2:$AG$601,"&gt;"&amp;AG242)+COUNTIFS($Z$2:Z242,Z242,$AG$2:AG242,AG242),"")</f>
        <v/>
      </c>
      <c r="AI242" s="28" t="str">
        <f t="shared" ca="1" si="38"/>
        <v/>
      </c>
      <c r="AJ242" s="28" t="str">
        <f t="shared" ca="1" si="39"/>
        <v/>
      </c>
      <c r="AK242" s="28">
        <f>IF(L242=1,IF(COUNTIFS($F$2:F242,F242,$L$2:L242,1)=1,1,0),0)</f>
        <v>1</v>
      </c>
      <c r="AL242" s="28" t="str">
        <f ca="1">IF(B242="","",IF(K242="DUPLICATE","Duplicate (removed)",IF(AO242=1,"Scheduled within 24h",IF(M242=1,"Scheduled late",IF(K242="BAD CONTACT","Bad contact details",IF(O242=1,"Stopped / wrong number",IF(N242=1,"Not interested",IF(P242=1,"Partner has no slots",IF(SETTINGS!$B$4&gt;=V242,IF(Q242=0,"Missed deadline: never tried","Missed deadline: tried, not booked"),IF(Q242&gt;=SETTINGS!$B$6,"No reply after max tries","Open"))))))))))</f>
        <v>Missed deadline: tried, not booked</v>
      </c>
      <c r="AM242" s="46" t="str">
        <f>IF(M242=1,IF(_xlfn.MINIFS(LOG!$G$2:$G$2001,LOG!$C$2:$C$2001,F242,LOG!$E$2:$E$2001,B242,LOG!$D$2:$D$2001,"*BOOKED")=0,_xlfn.MINIFS(LOG!$G$2:$G$2001,LOG!$C$2:$C$2001,F242,LOG!$E$2:$E$2001,"",LOG!$D$2:$D$2001,"*BOOKED"),IF(_xlfn.MINIFS(LOG!$G$2:$G$2001,LOG!$C$2:$C$2001,F242,LOG!$E$2:$E$2001,"",LOG!$D$2:$D$2001,"*BOOKED")=0,_xlfn.MINIFS(LOG!$G$2:$G$2001,LOG!$C$2:$C$2001,F242,LOG!$E$2:$E$2001,B242,LOG!$D$2:$D$2001,"*BOOKED"),MIN(_xlfn.MINIFS(LOG!$G$2:$G$2001,LOG!$C$2:$C$2001,F242,LOG!$E$2:$E$2001,B242,LOG!$D$2:$D$2001,"*BOOKED"),_xlfn.MINIFS(LOG!$G$2:$G$2001,LOG!$C$2:$C$2001,F242,LOG!$E$2:$E$2001,"",LOG!$D$2:$D$2001,"*BOOKED")))),"")</f>
        <v/>
      </c>
      <c r="AN242" s="28" t="str">
        <f t="shared" si="40"/>
        <v/>
      </c>
      <c r="AO242" s="28">
        <f>IF(AND(M242=1,AN242&lt;&gt;""),IF(AN242&lt;=SETTINGS!$B$5,1,0),0)</f>
        <v>0</v>
      </c>
      <c r="AP242" s="28">
        <f>IF(M242=1,IF(COUNTIFS(LOG!$C$2:$C$2001,F242,LOG!$E$2:$E$2001,B242,LOG!$D$2:$D$2001,"BOOKED")+COUNTIFS(LOG!$C$2:$C$2001,F242,LOG!$E$2:$E$2001,"",LOG!$D$2:$D$2001,"BOOKED")&gt;0,1,0),0)</f>
        <v>0</v>
      </c>
      <c r="AQ242" s="28" t="str">
        <f t="shared" si="41"/>
        <v>Neil</v>
      </c>
      <c r="AR242" s="28">
        <f>IF(AND(AK242=1,K242="OK"),COUNTIFS($AK$2:AK242,1,$K$2:K242,"OK"),"")</f>
        <v>211</v>
      </c>
      <c r="AS242" s="28" t="str">
        <f>IF(L242=1,IFERROR(INDEX(MESSAGES!$J$9:$J$1008,MATCH(F242,MESSAGES!$M$9:$M$1008,0))&amp;"",""),"")</f>
        <v/>
      </c>
      <c r="AT242" s="28" t="str">
        <f>IF(L242=1,IFERROR(INDEX(MESSAGES!$K$9:$K$1008,MATCH(F242,MESSAGES!$M$9:$M$1008,0))&amp;"",""),"")</f>
        <v/>
      </c>
      <c r="AU242" s="28">
        <f t="shared" ca="1" si="42"/>
        <v>0</v>
      </c>
      <c r="AV242" s="28" t="str">
        <f t="shared" si="43"/>
        <v>SEND</v>
      </c>
    </row>
    <row r="243" spans="1:48" x14ac:dyDescent="0.35">
      <c r="A243" s="28">
        <v>242</v>
      </c>
      <c r="B243" s="28" t="str">
        <f>IF(INPUT!A243="","",TRIM(INPUT!A243))</f>
        <v>Partner 016</v>
      </c>
      <c r="C243" s="28" t="str">
        <f>IF(B243="","",INPUT!C243)</f>
        <v>interviewer0@partner016.example.com</v>
      </c>
      <c r="D243" s="28" t="str">
        <f>IF(B243="","",INPUT!D243)</f>
        <v>Ira E.</v>
      </c>
      <c r="E243" s="28" t="str">
        <f>IF(B243="","",INPUT!E243)</f>
        <v>ira.e125@example.com</v>
      </c>
      <c r="F243" s="43" t="str">
        <f>IF(B243="","",TRIM(INPUT!F243&amp;""))</f>
        <v>9000001632</v>
      </c>
      <c r="G243" s="28" t="str">
        <f>IF(B243="","",INPUT!H243)</f>
        <v>Round1</v>
      </c>
      <c r="H243" s="46">
        <f>IF(B243="","",INPUT!I243)</f>
        <v>46308.82708333333</v>
      </c>
      <c r="I243" s="28" t="str">
        <f>IF(B243="","",IF(INPUT!J243="","None",INPUT!J243))</f>
        <v>None</v>
      </c>
      <c r="J243" s="28" t="str">
        <f t="shared" si="33"/>
        <v>ira.e125@example.com|partner 016|Round1|interviewer0@partner016.example.com</v>
      </c>
      <c r="K243" s="28" t="str">
        <f>IF(B243="","",IF(SUMPRODUCT(($J$2:$J$601=J243)*($H$2:$H$601&lt;H243))+SUMPRODUCT(($J$2:J243=J243)*($H$2:H243=H243))-1&gt;0,"DUPLICATE",IF(AND(ISNUMBER(SEARCH("@",E243)),ISNUMBER(SEARCH(".",E243)),LEN(F243)=10,ISNUMBER(VALUE(F243))),"OK","BAD CONTACT")))</f>
        <v>OK</v>
      </c>
      <c r="L243" s="28">
        <f t="shared" si="34"/>
        <v>1</v>
      </c>
      <c r="M243" s="28">
        <f>IF(L243=1,IF(COUNTIFS(LOG!$C$2:$C$2001,F243,LOG!$E$2:$E$2001,B243,LOG!$D$2:$D$2001,"*BOOKED")+COUNTIFS(LOG!$C$2:$C$2001,F243,LOG!$E$2:$E$2001,"",LOG!$D$2:$D$2001,"*BOOKED")&gt;0,1,0),0)</f>
        <v>0</v>
      </c>
      <c r="N243" s="28">
        <f>IF(L243=1,IF(COUNTIFS(LOG!$C$2:$C$2001,F243,LOG!$E$2:$E$2001,B243,LOG!$D$2:$D$2001,"NOT_INTERESTED")+COUNTIFS(LOG!$C$2:$C$2001,F243,LOG!$E$2:$E$2001,"",LOG!$D$2:$D$2001,"NOT_INTERESTED")&gt;0,1,0),0)</f>
        <v>0</v>
      </c>
      <c r="O243" s="28">
        <f>IF(L243=1,IF(COUNTIFS(LOG!$C$2:$C$2001,F243,LOG!$D$2:$D$2001,"STOP")+COUNTIFS(LOG!$C$2:$C$2001,F243,LOG!$D$2:$D$2001,"WRONG_NUMBER")&gt;0,1,IF(ISNUMBER(SEARCH("STOP",AT243)),1,0)),0)</f>
        <v>0</v>
      </c>
      <c r="P243" s="28">
        <f>IF(L243=1,IF(IFERROR(INDEX(PARTNERS!$D$2:$D$88,MATCH(B243,PARTNERS!$A$2:$A$88,0)),"")="NO SLOTS",1,IF(AND(IFERROR(INDEX(PARTNERS!$D$2:$D$88,MATCH(B243,PARTNERS!$A$2:$A$88,0)),"")&lt;&gt;"REOPENED",COUNTIFS(LOG!$E$2:$E$2001,B243,LOG!$D$2:$D$2001,"NO_SLOTS")&gt;0),1,0)),0)</f>
        <v>0</v>
      </c>
      <c r="Q243" s="28">
        <f>IF(L243=1,COUNTIFS(LOG!$C$2:$C$2001,F243,LOG!$H$2:$H$2001,1),0)</f>
        <v>0</v>
      </c>
      <c r="R243" s="46">
        <f>IF(Q243&gt;0,_xlfn.MAXIFS(LOG!$G$2:$G$2001,LOG!$C$2:$C$2001,F243,LOG!$H$2:$H$2001,1),0)</f>
        <v>0</v>
      </c>
      <c r="S243" s="28" t="str">
        <f>IF(Q243&gt;0,IFERROR(INDEX(LOG!$D$2:$D$2001,MATCH(F243&amp;"|"&amp;Q243,LOG!$I$2:$I$2001,0)),""),"")</f>
        <v/>
      </c>
      <c r="T243" s="28">
        <f>IF(S243="",0,IFERROR(VLOOKUP(S243,LISTS!$A$2:$E$10,4,FALSE),0))</f>
        <v>0</v>
      </c>
      <c r="U243" s="46">
        <f t="shared" si="35"/>
        <v>0</v>
      </c>
      <c r="V243" s="46">
        <f>IF(L243=1,H243+SETTINGS!$B$5/24,"")</f>
        <v>46309.82708333333</v>
      </c>
      <c r="W243" s="28">
        <f ca="1">IF(L243=1,(V243-SETTINGS!$B$4)*24,"")</f>
        <v>-1.6666666720993817E-2</v>
      </c>
      <c r="X243" s="28">
        <f ca="1">IF(AND(L243=1,K243="OK",M243=0,N243=0,O243=0,P243=0,SETTINGS!$B$4&lt;V243,Q243&lt;SETTINGS!$B$6),1,0)</f>
        <v>0</v>
      </c>
      <c r="Y243" s="28">
        <f ca="1">IF(AND(X243=1,SETTINGS!$B$4&gt;=H243,SETTINGS!$B$4&gt;=U243,ROUND(MOD(SETTINGS!$B$4,1)*1440,0)&gt;=ROUND(SETTINGS!$B$7*1440,0),ROUND(MOD(SETTINGS!$B$4,1)*1440,0)&lt;ROUND(SETTINGS!$B$8*1440,0)),1,0)</f>
        <v>0</v>
      </c>
      <c r="Z243" s="28" t="str">
        <f ca="1">IF(B243="","",IF(ROUND(MOD(SETTINGS!$B$4,1)*1440,0)&lt;ROUND(SETTINGS!$B$11*1440,0),"Ram",IF(ROUND(MOD(SETTINGS!$B$4,1)*1440,0)&gt;=ROUND(SETTINGS!$B$10*1440,0),"Shyam",IF(MOD(IFERROR(VALUE(RIGHT(F243,2)),0),2)=0,"Ram","Shyam"))))</f>
        <v>Shyam</v>
      </c>
      <c r="AA243" s="28">
        <f t="shared" ca="1" si="36"/>
        <v>0</v>
      </c>
      <c r="AB243" s="28">
        <f ca="1">IF(X243=1,COUNTIFS($F$2:F243,F243,$X$2:X243,1),0)</f>
        <v>0</v>
      </c>
      <c r="AC243" s="28" t="str">
        <f>IF(L243=1,IF(IFERROR(INDEX(PARTNERS!$C$2:$C$88,MATCH(B243,PARTNERS!$A$2:$A$88,0)),"")="YES","YES","NO"),"")</f>
        <v>NO</v>
      </c>
      <c r="AD243" s="28" t="str">
        <f>IF(L243=1,IFERROR(INDEX(PARTNERS!$B$2:$B$88,MATCH(B243,PARTNERS!$A$2:$A$88,0)),""),"")</f>
        <v>https://calendly.com/partner016/interview</v>
      </c>
      <c r="AE243" s="28">
        <f ca="1">IF(X243=1,IFERROR(INDEX(SETTINGS!$B$34:$D$36,MATCH(I243,SETTINGS!$A$34:$A$36,0),MIN(Q243,2)+1),SETTINGS!$B$36),0)</f>
        <v>0</v>
      </c>
      <c r="AF243" s="28">
        <f t="shared" si="37"/>
        <v>1</v>
      </c>
      <c r="AG243" s="28">
        <f ca="1">IF(AND(Y243=1,AB243=1),ROUND(AA243*AE243*IF(AF243&gt;1,SETTINGS!$B$16,1)*IF(W243&lt;=SETTINGS!$B$14,SETTINGS!$B$15,1)*IF(AU243=1,SETTINGS!$B$21,1),6),0)</f>
        <v>0</v>
      </c>
      <c r="AH243" s="28" t="str">
        <f ca="1">IF(AG243&gt;0,COUNTIFS($Z$2:$Z$601,Z243,$AG$2:$AG$601,"&gt;"&amp;AG243)+COUNTIFS($Z$2:Z243,Z243,$AG$2:AG243,AG243),"")</f>
        <v/>
      </c>
      <c r="AI243" s="28" t="str">
        <f t="shared" ca="1" si="38"/>
        <v/>
      </c>
      <c r="AJ243" s="28" t="str">
        <f t="shared" ca="1" si="39"/>
        <v/>
      </c>
      <c r="AK243" s="28">
        <f>IF(L243=1,IF(COUNTIFS($F$2:F243,F243,$L$2:L243,1)=1,1,0),0)</f>
        <v>1</v>
      </c>
      <c r="AL243" s="28" t="str">
        <f ca="1">IF(B243="","",IF(K243="DUPLICATE","Duplicate (removed)",IF(AO243=1,"Scheduled within 24h",IF(M243=1,"Scheduled late",IF(K243="BAD CONTACT","Bad contact details",IF(O243=1,"Stopped / wrong number",IF(N243=1,"Not interested",IF(P243=1,"Partner has no slots",IF(SETTINGS!$B$4&gt;=V243,IF(Q243=0,"Missed deadline: never tried","Missed deadline: tried, not booked"),IF(Q243&gt;=SETTINGS!$B$6,"No reply after max tries","Open"))))))))))</f>
        <v>Missed deadline: never tried</v>
      </c>
      <c r="AM243" s="46" t="str">
        <f>IF(M243=1,IF(_xlfn.MINIFS(LOG!$G$2:$G$2001,LOG!$C$2:$C$2001,F243,LOG!$E$2:$E$2001,B243,LOG!$D$2:$D$2001,"*BOOKED")=0,_xlfn.MINIFS(LOG!$G$2:$G$2001,LOG!$C$2:$C$2001,F243,LOG!$E$2:$E$2001,"",LOG!$D$2:$D$2001,"*BOOKED"),IF(_xlfn.MINIFS(LOG!$G$2:$G$2001,LOG!$C$2:$C$2001,F243,LOG!$E$2:$E$2001,"",LOG!$D$2:$D$2001,"*BOOKED")=0,_xlfn.MINIFS(LOG!$G$2:$G$2001,LOG!$C$2:$C$2001,F243,LOG!$E$2:$E$2001,B243,LOG!$D$2:$D$2001,"*BOOKED"),MIN(_xlfn.MINIFS(LOG!$G$2:$G$2001,LOG!$C$2:$C$2001,F243,LOG!$E$2:$E$2001,B243,LOG!$D$2:$D$2001,"*BOOKED"),_xlfn.MINIFS(LOG!$G$2:$G$2001,LOG!$C$2:$C$2001,F243,LOG!$E$2:$E$2001,"",LOG!$D$2:$D$2001,"*BOOKED")))),"")</f>
        <v/>
      </c>
      <c r="AN243" s="28" t="str">
        <f t="shared" si="40"/>
        <v/>
      </c>
      <c r="AO243" s="28">
        <f>IF(AND(M243=1,AN243&lt;&gt;""),IF(AN243&lt;=SETTINGS!$B$5,1,0),0)</f>
        <v>0</v>
      </c>
      <c r="AP243" s="28">
        <f>IF(M243=1,IF(COUNTIFS(LOG!$C$2:$C$2001,F243,LOG!$E$2:$E$2001,B243,LOG!$D$2:$D$2001,"BOOKED")+COUNTIFS(LOG!$C$2:$C$2001,F243,LOG!$E$2:$E$2001,"",LOG!$D$2:$D$2001,"BOOKED")&gt;0,1,0),0)</f>
        <v>0</v>
      </c>
      <c r="AQ243" s="28" t="str">
        <f t="shared" si="41"/>
        <v>Ira</v>
      </c>
      <c r="AR243" s="28">
        <f>IF(AND(AK243=1,K243="OK"),COUNTIFS($AK$2:AK243,1,$K$2:K243,"OK"),"")</f>
        <v>212</v>
      </c>
      <c r="AS243" s="28" t="str">
        <f>IF(L243=1,IFERROR(INDEX(MESSAGES!$J$9:$J$1008,MATCH(F243,MESSAGES!$M$9:$M$1008,0))&amp;"",""),"")</f>
        <v/>
      </c>
      <c r="AT243" s="28" t="str">
        <f>IF(L243=1,IFERROR(INDEX(MESSAGES!$K$9:$K$1008,MATCH(F243,MESSAGES!$M$9:$M$1008,0))&amp;"",""),"")</f>
        <v/>
      </c>
      <c r="AU243" s="28">
        <f t="shared" ca="1" si="42"/>
        <v>0</v>
      </c>
      <c r="AV243" s="28" t="str">
        <f t="shared" si="43"/>
        <v>HOLD</v>
      </c>
    </row>
    <row r="244" spans="1:48" x14ac:dyDescent="0.35">
      <c r="A244" s="28">
        <v>243</v>
      </c>
      <c r="B244" s="28" t="str">
        <f>IF(INPUT!A244="","",TRIM(INPUT!A244))</f>
        <v>Partner 003</v>
      </c>
      <c r="C244" s="28" t="str">
        <f>IF(B244="","",INPUT!C244)</f>
        <v>interviewer1@partner003.example.com</v>
      </c>
      <c r="D244" s="28" t="str">
        <f>IF(B244="","",INPUT!D244)</f>
        <v>Riya H.</v>
      </c>
      <c r="E244" s="28" t="str">
        <f>IF(B244="","",INPUT!E244)</f>
        <v>riya.h229@example.com</v>
      </c>
      <c r="F244" s="43" t="str">
        <f>IF(B244="","",TRIM(INPUT!F244&amp;""))</f>
        <v>9000002984</v>
      </c>
      <c r="G244" s="28" t="str">
        <f>IF(B244="","",INPUT!H244)</f>
        <v>Round1</v>
      </c>
      <c r="H244" s="46">
        <f>IF(B244="","",INPUT!I244)</f>
        <v>46308.82708333333</v>
      </c>
      <c r="I244" s="28" t="str">
        <f>IF(B244="","",IF(INPUT!J244="","None",INPUT!J244))</f>
        <v>None</v>
      </c>
      <c r="J244" s="28" t="str">
        <f t="shared" si="33"/>
        <v>riya.h229@example.com|partner 003|Round1|interviewer1@partner003.example.com</v>
      </c>
      <c r="K244" s="28" t="str">
        <f>IF(B244="","",IF(SUMPRODUCT(($J$2:$J$601=J244)*($H$2:$H$601&lt;H244))+SUMPRODUCT(($J$2:J244=J244)*($H$2:H244=H244))-1&gt;0,"DUPLICATE",IF(AND(ISNUMBER(SEARCH("@",E244)),ISNUMBER(SEARCH(".",E244)),LEN(F244)=10,ISNUMBER(VALUE(F244))),"OK","BAD CONTACT")))</f>
        <v>OK</v>
      </c>
      <c r="L244" s="28">
        <f t="shared" si="34"/>
        <v>1</v>
      </c>
      <c r="M244" s="28">
        <f>IF(L244=1,IF(COUNTIFS(LOG!$C$2:$C$2001,F244,LOG!$E$2:$E$2001,B244,LOG!$D$2:$D$2001,"*BOOKED")+COUNTIFS(LOG!$C$2:$C$2001,F244,LOG!$E$2:$E$2001,"",LOG!$D$2:$D$2001,"*BOOKED")&gt;0,1,0),0)</f>
        <v>0</v>
      </c>
      <c r="N244" s="28">
        <f>IF(L244=1,IF(COUNTIFS(LOG!$C$2:$C$2001,F244,LOG!$E$2:$E$2001,B244,LOG!$D$2:$D$2001,"NOT_INTERESTED")+COUNTIFS(LOG!$C$2:$C$2001,F244,LOG!$E$2:$E$2001,"",LOG!$D$2:$D$2001,"NOT_INTERESTED")&gt;0,1,0),0)</f>
        <v>0</v>
      </c>
      <c r="O244" s="28">
        <f>IF(L244=1,IF(COUNTIFS(LOG!$C$2:$C$2001,F244,LOG!$D$2:$D$2001,"STOP")+COUNTIFS(LOG!$C$2:$C$2001,F244,LOG!$D$2:$D$2001,"WRONG_NUMBER")&gt;0,1,IF(ISNUMBER(SEARCH("STOP",AT244)),1,0)),0)</f>
        <v>0</v>
      </c>
      <c r="P244" s="28">
        <f>IF(L244=1,IF(IFERROR(INDEX(PARTNERS!$D$2:$D$88,MATCH(B244,PARTNERS!$A$2:$A$88,0)),"")="NO SLOTS",1,IF(AND(IFERROR(INDEX(PARTNERS!$D$2:$D$88,MATCH(B244,PARTNERS!$A$2:$A$88,0)),"")&lt;&gt;"REOPENED",COUNTIFS(LOG!$E$2:$E$2001,B244,LOG!$D$2:$D$2001,"NO_SLOTS")&gt;0),1,0)),0)</f>
        <v>0</v>
      </c>
      <c r="Q244" s="28">
        <f>IF(L244=1,COUNTIFS(LOG!$C$2:$C$2001,F244,LOG!$H$2:$H$2001,1),0)</f>
        <v>0</v>
      </c>
      <c r="R244" s="46">
        <f>IF(Q244&gt;0,_xlfn.MAXIFS(LOG!$G$2:$G$2001,LOG!$C$2:$C$2001,F244,LOG!$H$2:$H$2001,1),0)</f>
        <v>0</v>
      </c>
      <c r="S244" s="28" t="str">
        <f>IF(Q244&gt;0,IFERROR(INDEX(LOG!$D$2:$D$2001,MATCH(F244&amp;"|"&amp;Q244,LOG!$I$2:$I$2001,0)),""),"")</f>
        <v/>
      </c>
      <c r="T244" s="28">
        <f>IF(S244="",0,IFERROR(VLOOKUP(S244,LISTS!$A$2:$E$10,4,FALSE),0))</f>
        <v>0</v>
      </c>
      <c r="U244" s="46">
        <f t="shared" si="35"/>
        <v>0</v>
      </c>
      <c r="V244" s="46">
        <f>IF(L244=1,H244+SETTINGS!$B$5/24,"")</f>
        <v>46309.82708333333</v>
      </c>
      <c r="W244" s="28">
        <f ca="1">IF(L244=1,(V244-SETTINGS!$B$4)*24,"")</f>
        <v>-1.6666666720993817E-2</v>
      </c>
      <c r="X244" s="28">
        <f ca="1">IF(AND(L244=1,K244="OK",M244=0,N244=0,O244=0,P244=0,SETTINGS!$B$4&lt;V244,Q244&lt;SETTINGS!$B$6),1,0)</f>
        <v>0</v>
      </c>
      <c r="Y244" s="28">
        <f ca="1">IF(AND(X244=1,SETTINGS!$B$4&gt;=H244,SETTINGS!$B$4&gt;=U244,ROUND(MOD(SETTINGS!$B$4,1)*1440,0)&gt;=ROUND(SETTINGS!$B$7*1440,0),ROUND(MOD(SETTINGS!$B$4,1)*1440,0)&lt;ROUND(SETTINGS!$B$8*1440,0)),1,0)</f>
        <v>0</v>
      </c>
      <c r="Z244" s="28" t="str">
        <f ca="1">IF(B244="","",IF(ROUND(MOD(SETTINGS!$B$4,1)*1440,0)&lt;ROUND(SETTINGS!$B$11*1440,0),"Ram",IF(ROUND(MOD(SETTINGS!$B$4,1)*1440,0)&gt;=ROUND(SETTINGS!$B$10*1440,0),"Shyam",IF(MOD(IFERROR(VALUE(RIGHT(F244,2)),0),2)=0,"Ram","Shyam"))))</f>
        <v>Shyam</v>
      </c>
      <c r="AA244" s="28">
        <f t="shared" ca="1" si="36"/>
        <v>0</v>
      </c>
      <c r="AB244" s="28">
        <f ca="1">IF(X244=1,COUNTIFS($F$2:F244,F244,$X$2:X244,1),0)</f>
        <v>0</v>
      </c>
      <c r="AC244" s="28" t="str">
        <f>IF(L244=1,IF(IFERROR(INDEX(PARTNERS!$C$2:$C$88,MATCH(B244,PARTNERS!$A$2:$A$88,0)),"")="YES","YES","NO"),"")</f>
        <v>NO</v>
      </c>
      <c r="AD244" s="28" t="str">
        <f>IF(L244=1,IFERROR(INDEX(PARTNERS!$B$2:$B$88,MATCH(B244,PARTNERS!$A$2:$A$88,0)),""),"")</f>
        <v>https://calendly.com/partner003/interview</v>
      </c>
      <c r="AE244" s="28">
        <f ca="1">IF(X244=1,IFERROR(INDEX(SETTINGS!$B$34:$D$36,MATCH(I244,SETTINGS!$A$34:$A$36,0),MIN(Q244,2)+1),SETTINGS!$B$36),0)</f>
        <v>0</v>
      </c>
      <c r="AF244" s="28">
        <f t="shared" si="37"/>
        <v>1</v>
      </c>
      <c r="AG244" s="28">
        <f ca="1">IF(AND(Y244=1,AB244=1),ROUND(AA244*AE244*IF(AF244&gt;1,SETTINGS!$B$16,1)*IF(W244&lt;=SETTINGS!$B$14,SETTINGS!$B$15,1)*IF(AU244=1,SETTINGS!$B$21,1),6),0)</f>
        <v>0</v>
      </c>
      <c r="AH244" s="28" t="str">
        <f ca="1">IF(AG244&gt;0,COUNTIFS($Z$2:$Z$601,Z244,$AG$2:$AG$601,"&gt;"&amp;AG244)+COUNTIFS($Z$2:Z244,Z244,$AG$2:AG244,AG244),"")</f>
        <v/>
      </c>
      <c r="AI244" s="28" t="str">
        <f t="shared" ca="1" si="38"/>
        <v/>
      </c>
      <c r="AJ244" s="28" t="str">
        <f t="shared" ca="1" si="39"/>
        <v/>
      </c>
      <c r="AK244" s="28">
        <f>IF(L244=1,IF(COUNTIFS($F$2:F244,F244,$L$2:L244,1)=1,1,0),0)</f>
        <v>1</v>
      </c>
      <c r="AL244" s="28" t="str">
        <f ca="1">IF(B244="","",IF(K244="DUPLICATE","Duplicate (removed)",IF(AO244=1,"Scheduled within 24h",IF(M244=1,"Scheduled late",IF(K244="BAD CONTACT","Bad contact details",IF(O244=1,"Stopped / wrong number",IF(N244=1,"Not interested",IF(P244=1,"Partner has no slots",IF(SETTINGS!$B$4&gt;=V244,IF(Q244=0,"Missed deadline: never tried","Missed deadline: tried, not booked"),IF(Q244&gt;=SETTINGS!$B$6,"No reply after max tries","Open"))))))))))</f>
        <v>Missed deadline: never tried</v>
      </c>
      <c r="AM244" s="46" t="str">
        <f>IF(M244=1,IF(_xlfn.MINIFS(LOG!$G$2:$G$2001,LOG!$C$2:$C$2001,F244,LOG!$E$2:$E$2001,B244,LOG!$D$2:$D$2001,"*BOOKED")=0,_xlfn.MINIFS(LOG!$G$2:$G$2001,LOG!$C$2:$C$2001,F244,LOG!$E$2:$E$2001,"",LOG!$D$2:$D$2001,"*BOOKED"),IF(_xlfn.MINIFS(LOG!$G$2:$G$2001,LOG!$C$2:$C$2001,F244,LOG!$E$2:$E$2001,"",LOG!$D$2:$D$2001,"*BOOKED")=0,_xlfn.MINIFS(LOG!$G$2:$G$2001,LOG!$C$2:$C$2001,F244,LOG!$E$2:$E$2001,B244,LOG!$D$2:$D$2001,"*BOOKED"),MIN(_xlfn.MINIFS(LOG!$G$2:$G$2001,LOG!$C$2:$C$2001,F244,LOG!$E$2:$E$2001,B244,LOG!$D$2:$D$2001,"*BOOKED"),_xlfn.MINIFS(LOG!$G$2:$G$2001,LOG!$C$2:$C$2001,F244,LOG!$E$2:$E$2001,"",LOG!$D$2:$D$2001,"*BOOKED")))),"")</f>
        <v/>
      </c>
      <c r="AN244" s="28" t="str">
        <f t="shared" si="40"/>
        <v/>
      </c>
      <c r="AO244" s="28">
        <f>IF(AND(M244=1,AN244&lt;&gt;""),IF(AN244&lt;=SETTINGS!$B$5,1,0),0)</f>
        <v>0</v>
      </c>
      <c r="AP244" s="28">
        <f>IF(M244=1,IF(COUNTIFS(LOG!$C$2:$C$2001,F244,LOG!$E$2:$E$2001,B244,LOG!$D$2:$D$2001,"BOOKED")+COUNTIFS(LOG!$C$2:$C$2001,F244,LOG!$E$2:$E$2001,"",LOG!$D$2:$D$2001,"BOOKED")&gt;0,1,0),0)</f>
        <v>0</v>
      </c>
      <c r="AQ244" s="28" t="str">
        <f t="shared" si="41"/>
        <v>Riya</v>
      </c>
      <c r="AR244" s="28">
        <f>IF(AND(AK244=1,K244="OK"),COUNTIFS($AK$2:AK244,1,$K$2:K244,"OK"),"")</f>
        <v>213</v>
      </c>
      <c r="AS244" s="28" t="str">
        <f>IF(L244=1,IFERROR(INDEX(MESSAGES!$J$9:$J$1008,MATCH(F244,MESSAGES!$M$9:$M$1008,0))&amp;"",""),"")</f>
        <v/>
      </c>
      <c r="AT244" s="28" t="str">
        <f>IF(L244=1,IFERROR(INDEX(MESSAGES!$K$9:$K$1008,MATCH(F244,MESSAGES!$M$9:$M$1008,0))&amp;"",""),"")</f>
        <v/>
      </c>
      <c r="AU244" s="28">
        <f t="shared" ca="1" si="42"/>
        <v>0</v>
      </c>
      <c r="AV244" s="28" t="str">
        <f t="shared" si="43"/>
        <v>SEND</v>
      </c>
    </row>
    <row r="245" spans="1:48" x14ac:dyDescent="0.35">
      <c r="A245" s="28">
        <v>244</v>
      </c>
      <c r="B245" s="28" t="str">
        <f>IF(INPUT!A245="","",TRIM(INPUT!A245))</f>
        <v>Partner 000</v>
      </c>
      <c r="C245" s="28" t="str">
        <f>IF(B245="","",INPUT!C245)</f>
        <v>interviewer2@partner000.example.com</v>
      </c>
      <c r="D245" s="28" t="str">
        <f>IF(B245="","",INPUT!D245)</f>
        <v>Karan J.</v>
      </c>
      <c r="E245" s="28" t="str">
        <f>IF(B245="","",INPUT!E245)</f>
        <v>karan.j260@example.com</v>
      </c>
      <c r="F245" s="43" t="str">
        <f>IF(B245="","",TRIM(INPUT!F245&amp;""))</f>
        <v>9000003387</v>
      </c>
      <c r="G245" s="28" t="str">
        <f>IF(B245="","",INPUT!H245)</f>
        <v>Round1</v>
      </c>
      <c r="H245" s="46">
        <f>IF(B245="","",INPUT!I245)</f>
        <v>46308.82708333333</v>
      </c>
      <c r="I245" s="28" t="str">
        <f>IF(B245="","",IF(INPUT!J245="","None",INPUT!J245))</f>
        <v>None</v>
      </c>
      <c r="J245" s="28" t="str">
        <f t="shared" si="33"/>
        <v>karan.j260@example.com|partner 000|Round1|interviewer2@partner000.example.com</v>
      </c>
      <c r="K245" s="28" t="str">
        <f>IF(B245="","",IF(SUMPRODUCT(($J$2:$J$601=J245)*($H$2:$H$601&lt;H245))+SUMPRODUCT(($J$2:J245=J245)*($H$2:H245=H245))-1&gt;0,"DUPLICATE",IF(AND(ISNUMBER(SEARCH("@",E245)),ISNUMBER(SEARCH(".",E245)),LEN(F245)=10,ISNUMBER(VALUE(F245))),"OK","BAD CONTACT")))</f>
        <v>OK</v>
      </c>
      <c r="L245" s="28">
        <f t="shared" si="34"/>
        <v>1</v>
      </c>
      <c r="M245" s="28">
        <f>IF(L245=1,IF(COUNTIFS(LOG!$C$2:$C$2001,F245,LOG!$E$2:$E$2001,B245,LOG!$D$2:$D$2001,"*BOOKED")+COUNTIFS(LOG!$C$2:$C$2001,F245,LOG!$E$2:$E$2001,"",LOG!$D$2:$D$2001,"*BOOKED")&gt;0,1,0),0)</f>
        <v>1</v>
      </c>
      <c r="N245" s="28">
        <f>IF(L245=1,IF(COUNTIFS(LOG!$C$2:$C$2001,F245,LOG!$E$2:$E$2001,B245,LOG!$D$2:$D$2001,"NOT_INTERESTED")+COUNTIFS(LOG!$C$2:$C$2001,F245,LOG!$E$2:$E$2001,"",LOG!$D$2:$D$2001,"NOT_INTERESTED")&gt;0,1,0),0)</f>
        <v>0</v>
      </c>
      <c r="O245" s="28">
        <f>IF(L245=1,IF(COUNTIFS(LOG!$C$2:$C$2001,F245,LOG!$D$2:$D$2001,"STOP")+COUNTIFS(LOG!$C$2:$C$2001,F245,LOG!$D$2:$D$2001,"WRONG_NUMBER")&gt;0,1,IF(ISNUMBER(SEARCH("STOP",AT245)),1,0)),0)</f>
        <v>0</v>
      </c>
      <c r="P245" s="28">
        <f>IF(L245=1,IF(IFERROR(INDEX(PARTNERS!$D$2:$D$88,MATCH(B245,PARTNERS!$A$2:$A$88,0)),"")="NO SLOTS",1,IF(AND(IFERROR(INDEX(PARTNERS!$D$2:$D$88,MATCH(B245,PARTNERS!$A$2:$A$88,0)),"")&lt;&gt;"REOPENED",COUNTIFS(LOG!$E$2:$E$2001,B245,LOG!$D$2:$D$2001,"NO_SLOTS")&gt;0),1,0)),0)</f>
        <v>0</v>
      </c>
      <c r="Q245" s="28">
        <f>IF(L245=1,COUNTIFS(LOG!$C$2:$C$2001,F245,LOG!$H$2:$H$2001,1),0)</f>
        <v>0</v>
      </c>
      <c r="R245" s="46">
        <f>IF(Q245&gt;0,_xlfn.MAXIFS(LOG!$G$2:$G$2001,LOG!$C$2:$C$2001,F245,LOG!$H$2:$H$2001,1),0)</f>
        <v>0</v>
      </c>
      <c r="S245" s="28" t="str">
        <f>IF(Q245&gt;0,IFERROR(INDEX(LOG!$D$2:$D$2001,MATCH(F245&amp;"|"&amp;Q245,LOG!$I$2:$I$2001,0)),""),"")</f>
        <v/>
      </c>
      <c r="T245" s="28">
        <f>IF(S245="",0,IFERROR(VLOOKUP(S245,LISTS!$A$2:$E$10,4,FALSE),0))</f>
        <v>0</v>
      </c>
      <c r="U245" s="46">
        <f t="shared" si="35"/>
        <v>0</v>
      </c>
      <c r="V245" s="46">
        <f>IF(L245=1,H245+SETTINGS!$B$5/24,"")</f>
        <v>46309.82708333333</v>
      </c>
      <c r="W245" s="28">
        <f ca="1">IF(L245=1,(V245-SETTINGS!$B$4)*24,"")</f>
        <v>-1.6666666720993817E-2</v>
      </c>
      <c r="X245" s="28">
        <f ca="1">IF(AND(L245=1,K245="OK",M245=0,N245=0,O245=0,P245=0,SETTINGS!$B$4&lt;V245,Q245&lt;SETTINGS!$B$6),1,0)</f>
        <v>0</v>
      </c>
      <c r="Y245" s="28">
        <f ca="1">IF(AND(X245=1,SETTINGS!$B$4&gt;=H245,SETTINGS!$B$4&gt;=U245,ROUND(MOD(SETTINGS!$B$4,1)*1440,0)&gt;=ROUND(SETTINGS!$B$7*1440,0),ROUND(MOD(SETTINGS!$B$4,1)*1440,0)&lt;ROUND(SETTINGS!$B$8*1440,0)),1,0)</f>
        <v>0</v>
      </c>
      <c r="Z245" s="28" t="str">
        <f ca="1">IF(B245="","",IF(ROUND(MOD(SETTINGS!$B$4,1)*1440,0)&lt;ROUND(SETTINGS!$B$11*1440,0),"Ram",IF(ROUND(MOD(SETTINGS!$B$4,1)*1440,0)&gt;=ROUND(SETTINGS!$B$10*1440,0),"Shyam",IF(MOD(IFERROR(VALUE(RIGHT(F245,2)),0),2)=0,"Ram","Shyam"))))</f>
        <v>Shyam</v>
      </c>
      <c r="AA245" s="28">
        <f t="shared" ca="1" si="36"/>
        <v>0</v>
      </c>
      <c r="AB245" s="28">
        <f ca="1">IF(X245=1,COUNTIFS($F$2:F245,F245,$X$2:X245,1),0)</f>
        <v>0</v>
      </c>
      <c r="AC245" s="28" t="str">
        <f>IF(L245=1,IF(IFERROR(INDEX(PARTNERS!$C$2:$C$88,MATCH(B245,PARTNERS!$A$2:$A$88,0)),"")="YES","YES","NO"),"")</f>
        <v>NO</v>
      </c>
      <c r="AD245" s="28" t="str">
        <f>IF(L245=1,IFERROR(INDEX(PARTNERS!$B$2:$B$88,MATCH(B245,PARTNERS!$A$2:$A$88,0)),""),"")</f>
        <v>https://calendly.com/partner000/interview</v>
      </c>
      <c r="AE245" s="28">
        <f ca="1">IF(X245=1,IFERROR(INDEX(SETTINGS!$B$34:$D$36,MATCH(I245,SETTINGS!$A$34:$A$36,0),MIN(Q245,2)+1),SETTINGS!$B$36),0)</f>
        <v>0</v>
      </c>
      <c r="AF245" s="28">
        <f t="shared" si="37"/>
        <v>1</v>
      </c>
      <c r="AG245" s="28">
        <f ca="1">IF(AND(Y245=1,AB245=1),ROUND(AA245*AE245*IF(AF245&gt;1,SETTINGS!$B$16,1)*IF(W245&lt;=SETTINGS!$B$14,SETTINGS!$B$15,1)*IF(AU245=1,SETTINGS!$B$21,1),6),0)</f>
        <v>0</v>
      </c>
      <c r="AH245" s="28" t="str">
        <f ca="1">IF(AG245&gt;0,COUNTIFS($Z$2:$Z$601,Z245,$AG$2:$AG$601,"&gt;"&amp;AG245)+COUNTIFS($Z$2:Z245,Z245,$AG$2:AG245,AG245),"")</f>
        <v/>
      </c>
      <c r="AI245" s="28" t="str">
        <f t="shared" ca="1" si="38"/>
        <v/>
      </c>
      <c r="AJ245" s="28" t="str">
        <f t="shared" ca="1" si="39"/>
        <v/>
      </c>
      <c r="AK245" s="28">
        <f>IF(L245=1,IF(COUNTIFS($F$2:F245,F245,$L$2:L245,1)=1,1,0),0)</f>
        <v>0</v>
      </c>
      <c r="AL245" s="28" t="str">
        <f>IF(B245="","",IF(K245="DUPLICATE","Duplicate (removed)",IF(AO245=1,"Scheduled within 24h",IF(M245=1,"Scheduled late",IF(K245="BAD CONTACT","Bad contact details",IF(O245=1,"Stopped / wrong number",IF(N245=1,"Not interested",IF(P245=1,"Partner has no slots",IF(SETTINGS!$B$4&gt;=V245,IF(Q245=0,"Missed deadline: never tried","Missed deadline: tried, not booked"),IF(Q245&gt;=SETTINGS!$B$6,"No reply after max tries","Open"))))))))))</f>
        <v>Scheduled within 24h</v>
      </c>
      <c r="AM245" s="46">
        <f>IF(M245=1,IF(_xlfn.MINIFS(LOG!$G$2:$G$2001,LOG!$C$2:$C$2001,F245,LOG!$E$2:$E$2001,B245,LOG!$D$2:$D$2001,"*BOOKED")=0,_xlfn.MINIFS(LOG!$G$2:$G$2001,LOG!$C$2:$C$2001,F245,LOG!$E$2:$E$2001,"",LOG!$D$2:$D$2001,"*BOOKED"),IF(_xlfn.MINIFS(LOG!$G$2:$G$2001,LOG!$C$2:$C$2001,F245,LOG!$E$2:$E$2001,"",LOG!$D$2:$D$2001,"*BOOKED")=0,_xlfn.MINIFS(LOG!$G$2:$G$2001,LOG!$C$2:$C$2001,F245,LOG!$E$2:$E$2001,B245,LOG!$D$2:$D$2001,"*BOOKED"),MIN(_xlfn.MINIFS(LOG!$G$2:$G$2001,LOG!$C$2:$C$2001,F245,LOG!$E$2:$E$2001,B245,LOG!$D$2:$D$2001,"*BOOKED"),_xlfn.MINIFS(LOG!$G$2:$G$2001,LOG!$C$2:$C$2001,F245,LOG!$E$2:$E$2001,"",LOG!$D$2:$D$2001,"*BOOKED")))),"")</f>
        <v>46309.400877989472</v>
      </c>
      <c r="AN245" s="28">
        <f t="shared" si="40"/>
        <v>13.771071747411042</v>
      </c>
      <c r="AO245" s="28">
        <f>IF(AND(M245=1,AN245&lt;&gt;""),IF(AN245&lt;=SETTINGS!$B$5,1,0),0)</f>
        <v>1</v>
      </c>
      <c r="AP245" s="28">
        <f>IF(M245=1,IF(COUNTIFS(LOG!$C$2:$C$2001,F245,LOG!$E$2:$E$2001,B245,LOG!$D$2:$D$2001,"BOOKED")+COUNTIFS(LOG!$C$2:$C$2001,F245,LOG!$E$2:$E$2001,"",LOG!$D$2:$D$2001,"BOOKED")&gt;0,1,0),0)</f>
        <v>0</v>
      </c>
      <c r="AQ245" s="28" t="str">
        <f t="shared" si="41"/>
        <v>Karan</v>
      </c>
      <c r="AR245" s="28" t="str">
        <f>IF(AND(AK245=1,K245="OK"),COUNTIFS($AK$2:AK245,1,$K$2:K245,"OK"),"")</f>
        <v/>
      </c>
      <c r="AS245" s="28" t="str">
        <f>IF(L245=1,IFERROR(INDEX(MESSAGES!$J$9:$J$1008,MATCH(F245,MESSAGES!$M$9:$M$1008,0))&amp;"",""),"")</f>
        <v/>
      </c>
      <c r="AT245" s="28" t="str">
        <f>IF(L245=1,IFERROR(INDEX(MESSAGES!$K$9:$K$1008,MATCH(F245,MESSAGES!$M$9:$M$1008,0))&amp;"",""),"")</f>
        <v/>
      </c>
      <c r="AU245" s="28">
        <f t="shared" ca="1" si="42"/>
        <v>0</v>
      </c>
      <c r="AV245" s="28" t="str">
        <f t="shared" si="43"/>
        <v>SEND</v>
      </c>
    </row>
    <row r="246" spans="1:48" x14ac:dyDescent="0.35">
      <c r="A246" s="28">
        <v>245</v>
      </c>
      <c r="B246" s="28" t="str">
        <f>IF(INPUT!A246="","",TRIM(INPUT!A246))</f>
        <v>Partner 013</v>
      </c>
      <c r="C246" s="28" t="str">
        <f>IF(B246="","",INPUT!C246)</f>
        <v>interviewer2@partner013.example.com</v>
      </c>
      <c r="D246" s="28" t="str">
        <f>IF(B246="","",INPUT!D246)</f>
        <v>Riya N.</v>
      </c>
      <c r="E246" s="28" t="str">
        <f>IF(B246="","",INPUT!E246)</f>
        <v>riya.n379@example.com</v>
      </c>
      <c r="F246" s="43" t="str">
        <f>IF(B246="","",TRIM(INPUT!F246&amp;""))</f>
        <v>9000004934</v>
      </c>
      <c r="G246" s="28" t="str">
        <f>IF(B246="","",INPUT!H246)</f>
        <v>Round1</v>
      </c>
      <c r="H246" s="46">
        <f>IF(B246="","",INPUT!I246)</f>
        <v>46308.82708333333</v>
      </c>
      <c r="I246" s="28" t="str">
        <f>IF(B246="","",IF(INPUT!J246="","None",INPUT!J246))</f>
        <v>Opened</v>
      </c>
      <c r="J246" s="28" t="str">
        <f t="shared" si="33"/>
        <v>riya.n379@example.com|partner 013|Round1|interviewer2@partner013.example.com</v>
      </c>
      <c r="K246" s="28" t="str">
        <f>IF(B246="","",IF(SUMPRODUCT(($J$2:$J$601=J246)*($H$2:$H$601&lt;H246))+SUMPRODUCT(($J$2:J246=J246)*($H$2:H246=H246))-1&gt;0,"DUPLICATE",IF(AND(ISNUMBER(SEARCH("@",E246)),ISNUMBER(SEARCH(".",E246)),LEN(F246)=10,ISNUMBER(VALUE(F246))),"OK","BAD CONTACT")))</f>
        <v>OK</v>
      </c>
      <c r="L246" s="28">
        <f t="shared" si="34"/>
        <v>1</v>
      </c>
      <c r="M246" s="28">
        <f>IF(L246=1,IF(COUNTIFS(LOG!$C$2:$C$2001,F246,LOG!$E$2:$E$2001,B246,LOG!$D$2:$D$2001,"*BOOKED")+COUNTIFS(LOG!$C$2:$C$2001,F246,LOG!$E$2:$E$2001,"",LOG!$D$2:$D$2001,"*BOOKED")&gt;0,1,0),0)</f>
        <v>0</v>
      </c>
      <c r="N246" s="28">
        <f>IF(L246=1,IF(COUNTIFS(LOG!$C$2:$C$2001,F246,LOG!$E$2:$E$2001,B246,LOG!$D$2:$D$2001,"NOT_INTERESTED")+COUNTIFS(LOG!$C$2:$C$2001,F246,LOG!$E$2:$E$2001,"",LOG!$D$2:$D$2001,"NOT_INTERESTED")&gt;0,1,0),0)</f>
        <v>0</v>
      </c>
      <c r="O246" s="28">
        <f>IF(L246=1,IF(COUNTIFS(LOG!$C$2:$C$2001,F246,LOG!$D$2:$D$2001,"STOP")+COUNTIFS(LOG!$C$2:$C$2001,F246,LOG!$D$2:$D$2001,"WRONG_NUMBER")&gt;0,1,IF(ISNUMBER(SEARCH("STOP",AT246)),1,0)),0)</f>
        <v>0</v>
      </c>
      <c r="P246" s="28">
        <f>IF(L246=1,IF(IFERROR(INDEX(PARTNERS!$D$2:$D$88,MATCH(B246,PARTNERS!$A$2:$A$88,0)),"")="NO SLOTS",1,IF(AND(IFERROR(INDEX(PARTNERS!$D$2:$D$88,MATCH(B246,PARTNERS!$A$2:$A$88,0)),"")&lt;&gt;"REOPENED",COUNTIFS(LOG!$E$2:$E$2001,B246,LOG!$D$2:$D$2001,"NO_SLOTS")&gt;0),1,0)),0)</f>
        <v>0</v>
      </c>
      <c r="Q246" s="28">
        <f>IF(L246=1,COUNTIFS(LOG!$C$2:$C$2001,F246,LOG!$H$2:$H$2001,1),0)</f>
        <v>0</v>
      </c>
      <c r="R246" s="46">
        <f>IF(Q246&gt;0,_xlfn.MAXIFS(LOG!$G$2:$G$2001,LOG!$C$2:$C$2001,F246,LOG!$H$2:$H$2001,1),0)</f>
        <v>0</v>
      </c>
      <c r="S246" s="28" t="str">
        <f>IF(Q246&gt;0,IFERROR(INDEX(LOG!$D$2:$D$2001,MATCH(F246&amp;"|"&amp;Q246,LOG!$I$2:$I$2001,0)),""),"")</f>
        <v/>
      </c>
      <c r="T246" s="28">
        <f>IF(S246="",0,IFERROR(VLOOKUP(S246,LISTS!$A$2:$E$10,4,FALSE),0))</f>
        <v>0</v>
      </c>
      <c r="U246" s="46">
        <f t="shared" si="35"/>
        <v>0</v>
      </c>
      <c r="V246" s="46">
        <f>IF(L246=1,H246+SETTINGS!$B$5/24,"")</f>
        <v>46309.82708333333</v>
      </c>
      <c r="W246" s="28">
        <f ca="1">IF(L246=1,(V246-SETTINGS!$B$4)*24,"")</f>
        <v>-1.6666666720993817E-2</v>
      </c>
      <c r="X246" s="28">
        <f ca="1">IF(AND(L246=1,K246="OK",M246=0,N246=0,O246=0,P246=0,SETTINGS!$B$4&lt;V246,Q246&lt;SETTINGS!$B$6),1,0)</f>
        <v>0</v>
      </c>
      <c r="Y246" s="28">
        <f ca="1">IF(AND(X246=1,SETTINGS!$B$4&gt;=H246,SETTINGS!$B$4&gt;=U246,ROUND(MOD(SETTINGS!$B$4,1)*1440,0)&gt;=ROUND(SETTINGS!$B$7*1440,0),ROUND(MOD(SETTINGS!$B$4,1)*1440,0)&lt;ROUND(SETTINGS!$B$8*1440,0)),1,0)</f>
        <v>0</v>
      </c>
      <c r="Z246" s="28" t="str">
        <f ca="1">IF(B246="","",IF(ROUND(MOD(SETTINGS!$B$4,1)*1440,0)&lt;ROUND(SETTINGS!$B$11*1440,0),"Ram",IF(ROUND(MOD(SETTINGS!$B$4,1)*1440,0)&gt;=ROUND(SETTINGS!$B$10*1440,0),"Shyam",IF(MOD(IFERROR(VALUE(RIGHT(F246,2)),0),2)=0,"Ram","Shyam"))))</f>
        <v>Shyam</v>
      </c>
      <c r="AA246" s="28">
        <f t="shared" ca="1" si="36"/>
        <v>0</v>
      </c>
      <c r="AB246" s="28">
        <f ca="1">IF(X246=1,COUNTIFS($F$2:F246,F246,$X$2:X246,1),0)</f>
        <v>0</v>
      </c>
      <c r="AC246" s="28" t="str">
        <f>IF(L246=1,IF(IFERROR(INDEX(PARTNERS!$C$2:$C$88,MATCH(B246,PARTNERS!$A$2:$A$88,0)),"")="YES","YES","NO"),"")</f>
        <v>YES</v>
      </c>
      <c r="AD246" s="28" t="str">
        <f>IF(L246=1,IFERROR(INDEX(PARTNERS!$B$2:$B$88,MATCH(B246,PARTNERS!$A$2:$A$88,0)),""),"")</f>
        <v>https://calendly.com/partner013/interview</v>
      </c>
      <c r="AE246" s="28">
        <f ca="1">IF(X246=1,IFERROR(INDEX(SETTINGS!$B$34:$D$36,MATCH(I246,SETTINGS!$A$34:$A$36,0),MIN(Q246,2)+1),SETTINGS!$B$36),0)</f>
        <v>0</v>
      </c>
      <c r="AF246" s="28">
        <f t="shared" si="37"/>
        <v>1</v>
      </c>
      <c r="AG246" s="28">
        <f ca="1">IF(AND(Y246=1,AB246=1),ROUND(AA246*AE246*IF(AF246&gt;1,SETTINGS!$B$16,1)*IF(W246&lt;=SETTINGS!$B$14,SETTINGS!$B$15,1)*IF(AU246=1,SETTINGS!$B$21,1),6),0)</f>
        <v>0</v>
      </c>
      <c r="AH246" s="28" t="str">
        <f ca="1">IF(AG246&gt;0,COUNTIFS($Z$2:$Z$601,Z246,$AG$2:$AG$601,"&gt;"&amp;AG246)+COUNTIFS($Z$2:Z246,Z246,$AG$2:AG246,AG246),"")</f>
        <v/>
      </c>
      <c r="AI246" s="28" t="str">
        <f t="shared" ca="1" si="38"/>
        <v/>
      </c>
      <c r="AJ246" s="28" t="str">
        <f t="shared" ca="1" si="39"/>
        <v/>
      </c>
      <c r="AK246" s="28">
        <f>IF(L246=1,IF(COUNTIFS($F$2:F246,F246,$L$2:L246,1)=1,1,0),0)</f>
        <v>1</v>
      </c>
      <c r="AL246" s="28" t="str">
        <f ca="1">IF(B246="","",IF(K246="DUPLICATE","Duplicate (removed)",IF(AO246=1,"Scheduled within 24h",IF(M246=1,"Scheduled late",IF(K246="BAD CONTACT","Bad contact details",IF(O246=1,"Stopped / wrong number",IF(N246=1,"Not interested",IF(P246=1,"Partner has no slots",IF(SETTINGS!$B$4&gt;=V246,IF(Q246=0,"Missed deadline: never tried","Missed deadline: tried, not booked"),IF(Q246&gt;=SETTINGS!$B$6,"No reply after max tries","Open"))))))))))</f>
        <v>Missed deadline: never tried</v>
      </c>
      <c r="AM246" s="46" t="str">
        <f>IF(M246=1,IF(_xlfn.MINIFS(LOG!$G$2:$G$2001,LOG!$C$2:$C$2001,F246,LOG!$E$2:$E$2001,B246,LOG!$D$2:$D$2001,"*BOOKED")=0,_xlfn.MINIFS(LOG!$G$2:$G$2001,LOG!$C$2:$C$2001,F246,LOG!$E$2:$E$2001,"",LOG!$D$2:$D$2001,"*BOOKED"),IF(_xlfn.MINIFS(LOG!$G$2:$G$2001,LOG!$C$2:$C$2001,F246,LOG!$E$2:$E$2001,"",LOG!$D$2:$D$2001,"*BOOKED")=0,_xlfn.MINIFS(LOG!$G$2:$G$2001,LOG!$C$2:$C$2001,F246,LOG!$E$2:$E$2001,B246,LOG!$D$2:$D$2001,"*BOOKED"),MIN(_xlfn.MINIFS(LOG!$G$2:$G$2001,LOG!$C$2:$C$2001,F246,LOG!$E$2:$E$2001,B246,LOG!$D$2:$D$2001,"*BOOKED"),_xlfn.MINIFS(LOG!$G$2:$G$2001,LOG!$C$2:$C$2001,F246,LOG!$E$2:$E$2001,"",LOG!$D$2:$D$2001,"*BOOKED")))),"")</f>
        <v/>
      </c>
      <c r="AN246" s="28" t="str">
        <f t="shared" si="40"/>
        <v/>
      </c>
      <c r="AO246" s="28">
        <f>IF(AND(M246=1,AN246&lt;&gt;""),IF(AN246&lt;=SETTINGS!$B$5,1,0),0)</f>
        <v>0</v>
      </c>
      <c r="AP246" s="28">
        <f>IF(M246=1,IF(COUNTIFS(LOG!$C$2:$C$2001,F246,LOG!$E$2:$E$2001,B246,LOG!$D$2:$D$2001,"BOOKED")+COUNTIFS(LOG!$C$2:$C$2001,F246,LOG!$E$2:$E$2001,"",LOG!$D$2:$D$2001,"BOOKED")&gt;0,1,0),0)</f>
        <v>0</v>
      </c>
      <c r="AQ246" s="28" t="str">
        <f t="shared" si="41"/>
        <v>Riya</v>
      </c>
      <c r="AR246" s="28">
        <f>IF(AND(AK246=1,K246="OK"),COUNTIFS($AK$2:AK246,1,$K$2:K246,"OK"),"")</f>
        <v>214</v>
      </c>
      <c r="AS246" s="28" t="str">
        <f>IF(L246=1,IFERROR(INDEX(MESSAGES!$J$9:$J$1008,MATCH(F246,MESSAGES!$M$9:$M$1008,0))&amp;"",""),"")</f>
        <v/>
      </c>
      <c r="AT246" s="28" t="str">
        <f>IF(L246=1,IFERROR(INDEX(MESSAGES!$K$9:$K$1008,MATCH(F246,MESSAGES!$M$9:$M$1008,0))&amp;"",""),"")</f>
        <v/>
      </c>
      <c r="AU246" s="28">
        <f t="shared" ca="1" si="42"/>
        <v>0</v>
      </c>
      <c r="AV246" s="28" t="str">
        <f t="shared" si="43"/>
        <v>HOLD</v>
      </c>
    </row>
    <row r="247" spans="1:48" x14ac:dyDescent="0.35">
      <c r="A247" s="28">
        <v>246</v>
      </c>
      <c r="B247" s="28" t="str">
        <f>IF(INPUT!A247="","",TRIM(INPUT!A247))</f>
        <v>Partner 000</v>
      </c>
      <c r="C247" s="28" t="str">
        <f>IF(B247="","",INPUT!C247)</f>
        <v>interviewer1@partner000.example.com</v>
      </c>
      <c r="D247" s="28" t="str">
        <f>IF(B247="","",INPUT!D247)</f>
        <v>Meera G.</v>
      </c>
      <c r="E247" s="28" t="str">
        <f>IF(B247="","",INPUT!E247)</f>
        <v>meera.g187@example.com</v>
      </c>
      <c r="F247" s="43" t="str">
        <f>IF(B247="","",TRIM(INPUT!F247&amp;""))</f>
        <v>9000002438</v>
      </c>
      <c r="G247" s="28" t="str">
        <f>IF(B247="","",INPUT!H247)</f>
        <v>Round1</v>
      </c>
      <c r="H247" s="46">
        <f>IF(B247="","",INPUT!I247)</f>
        <v>46308.82708333333</v>
      </c>
      <c r="I247" s="28" t="str">
        <f>IF(B247="","",IF(INPUT!J247="","None",INPUT!J247))</f>
        <v>Opened</v>
      </c>
      <c r="J247" s="28" t="str">
        <f t="shared" si="33"/>
        <v>meera.g187@example.com|partner 000|Round1|interviewer1@partner000.example.com</v>
      </c>
      <c r="K247" s="28" t="str">
        <f>IF(B247="","",IF(SUMPRODUCT(($J$2:$J$601=J247)*($H$2:$H$601&lt;H247))+SUMPRODUCT(($J$2:J247=J247)*($H$2:H247=H247))-1&gt;0,"DUPLICATE",IF(AND(ISNUMBER(SEARCH("@",E247)),ISNUMBER(SEARCH(".",E247)),LEN(F247)=10,ISNUMBER(VALUE(F247))),"OK","BAD CONTACT")))</f>
        <v>OK</v>
      </c>
      <c r="L247" s="28">
        <f t="shared" si="34"/>
        <v>1</v>
      </c>
      <c r="M247" s="28">
        <f>IF(L247=1,IF(COUNTIFS(LOG!$C$2:$C$2001,F247,LOG!$E$2:$E$2001,B247,LOG!$D$2:$D$2001,"*BOOKED")+COUNTIFS(LOG!$C$2:$C$2001,F247,LOG!$E$2:$E$2001,"",LOG!$D$2:$D$2001,"*BOOKED")&gt;0,1,0),0)</f>
        <v>0</v>
      </c>
      <c r="N247" s="28">
        <f>IF(L247=1,IF(COUNTIFS(LOG!$C$2:$C$2001,F247,LOG!$E$2:$E$2001,B247,LOG!$D$2:$D$2001,"NOT_INTERESTED")+COUNTIFS(LOG!$C$2:$C$2001,F247,LOG!$E$2:$E$2001,"",LOG!$D$2:$D$2001,"NOT_INTERESTED")&gt;0,1,0),0)</f>
        <v>0</v>
      </c>
      <c r="O247" s="28">
        <f>IF(L247=1,IF(COUNTIFS(LOG!$C$2:$C$2001,F247,LOG!$D$2:$D$2001,"STOP")+COUNTIFS(LOG!$C$2:$C$2001,F247,LOG!$D$2:$D$2001,"WRONG_NUMBER")&gt;0,1,IF(ISNUMBER(SEARCH("STOP",AT247)),1,0)),0)</f>
        <v>0</v>
      </c>
      <c r="P247" s="28">
        <f>IF(L247=1,IF(IFERROR(INDEX(PARTNERS!$D$2:$D$88,MATCH(B247,PARTNERS!$A$2:$A$88,0)),"")="NO SLOTS",1,IF(AND(IFERROR(INDEX(PARTNERS!$D$2:$D$88,MATCH(B247,PARTNERS!$A$2:$A$88,0)),"")&lt;&gt;"REOPENED",COUNTIFS(LOG!$E$2:$E$2001,B247,LOG!$D$2:$D$2001,"NO_SLOTS")&gt;0),1,0)),0)</f>
        <v>0</v>
      </c>
      <c r="Q247" s="28">
        <f>IF(L247=1,COUNTIFS(LOG!$C$2:$C$2001,F247,LOG!$H$2:$H$2001,1),0)</f>
        <v>0</v>
      </c>
      <c r="R247" s="46">
        <f>IF(Q247&gt;0,_xlfn.MAXIFS(LOG!$G$2:$G$2001,LOG!$C$2:$C$2001,F247,LOG!$H$2:$H$2001,1),0)</f>
        <v>0</v>
      </c>
      <c r="S247" s="28" t="str">
        <f>IF(Q247&gt;0,IFERROR(INDEX(LOG!$D$2:$D$2001,MATCH(F247&amp;"|"&amp;Q247,LOG!$I$2:$I$2001,0)),""),"")</f>
        <v/>
      </c>
      <c r="T247" s="28">
        <f>IF(S247="",0,IFERROR(VLOOKUP(S247,LISTS!$A$2:$E$10,4,FALSE),0))</f>
        <v>0</v>
      </c>
      <c r="U247" s="46">
        <f t="shared" si="35"/>
        <v>0</v>
      </c>
      <c r="V247" s="46">
        <f>IF(L247=1,H247+SETTINGS!$B$5/24,"")</f>
        <v>46309.82708333333</v>
      </c>
      <c r="W247" s="28">
        <f ca="1">IF(L247=1,(V247-SETTINGS!$B$4)*24,"")</f>
        <v>-1.6666666720993817E-2</v>
      </c>
      <c r="X247" s="28">
        <f ca="1">IF(AND(L247=1,K247="OK",M247=0,N247=0,O247=0,P247=0,SETTINGS!$B$4&lt;V247,Q247&lt;SETTINGS!$B$6),1,0)</f>
        <v>0</v>
      </c>
      <c r="Y247" s="28">
        <f ca="1">IF(AND(X247=1,SETTINGS!$B$4&gt;=H247,SETTINGS!$B$4&gt;=U247,ROUND(MOD(SETTINGS!$B$4,1)*1440,0)&gt;=ROUND(SETTINGS!$B$7*1440,0),ROUND(MOD(SETTINGS!$B$4,1)*1440,0)&lt;ROUND(SETTINGS!$B$8*1440,0)),1,0)</f>
        <v>0</v>
      </c>
      <c r="Z247" s="28" t="str">
        <f ca="1">IF(B247="","",IF(ROUND(MOD(SETTINGS!$B$4,1)*1440,0)&lt;ROUND(SETTINGS!$B$11*1440,0),"Ram",IF(ROUND(MOD(SETTINGS!$B$4,1)*1440,0)&gt;=ROUND(SETTINGS!$B$10*1440,0),"Shyam",IF(MOD(IFERROR(VALUE(RIGHT(F247,2)),0),2)=0,"Ram","Shyam"))))</f>
        <v>Shyam</v>
      </c>
      <c r="AA247" s="28">
        <f t="shared" ca="1" si="36"/>
        <v>0</v>
      </c>
      <c r="AB247" s="28">
        <f ca="1">IF(X247=1,COUNTIFS($F$2:F247,F247,$X$2:X247,1),0)</f>
        <v>0</v>
      </c>
      <c r="AC247" s="28" t="str">
        <f>IF(L247=1,IF(IFERROR(INDEX(PARTNERS!$C$2:$C$88,MATCH(B247,PARTNERS!$A$2:$A$88,0)),"")="YES","YES","NO"),"")</f>
        <v>NO</v>
      </c>
      <c r="AD247" s="28" t="str">
        <f>IF(L247=1,IFERROR(INDEX(PARTNERS!$B$2:$B$88,MATCH(B247,PARTNERS!$A$2:$A$88,0)),""),"")</f>
        <v>https://calendly.com/partner000/interview</v>
      </c>
      <c r="AE247" s="28">
        <f ca="1">IF(X247=1,IFERROR(INDEX(SETTINGS!$B$34:$D$36,MATCH(I247,SETTINGS!$A$34:$A$36,0),MIN(Q247,2)+1),SETTINGS!$B$36),0)</f>
        <v>0</v>
      </c>
      <c r="AF247" s="28">
        <f t="shared" si="37"/>
        <v>1</v>
      </c>
      <c r="AG247" s="28">
        <f ca="1">IF(AND(Y247=1,AB247=1),ROUND(AA247*AE247*IF(AF247&gt;1,SETTINGS!$B$16,1)*IF(W247&lt;=SETTINGS!$B$14,SETTINGS!$B$15,1)*IF(AU247=1,SETTINGS!$B$21,1),6),0)</f>
        <v>0</v>
      </c>
      <c r="AH247" s="28" t="str">
        <f ca="1">IF(AG247&gt;0,COUNTIFS($Z$2:$Z$601,Z247,$AG$2:$AG$601,"&gt;"&amp;AG247)+COUNTIFS($Z$2:Z247,Z247,$AG$2:AG247,AG247),"")</f>
        <v/>
      </c>
      <c r="AI247" s="28" t="str">
        <f t="shared" ca="1" si="38"/>
        <v/>
      </c>
      <c r="AJ247" s="28" t="str">
        <f t="shared" ca="1" si="39"/>
        <v/>
      </c>
      <c r="AK247" s="28">
        <f>IF(L247=1,IF(COUNTIFS($F$2:F247,F247,$L$2:L247,1)=1,1,0),0)</f>
        <v>1</v>
      </c>
      <c r="AL247" s="28" t="str">
        <f ca="1">IF(B247="","",IF(K247="DUPLICATE","Duplicate (removed)",IF(AO247=1,"Scheduled within 24h",IF(M247=1,"Scheduled late",IF(K247="BAD CONTACT","Bad contact details",IF(O247=1,"Stopped / wrong number",IF(N247=1,"Not interested",IF(P247=1,"Partner has no slots",IF(SETTINGS!$B$4&gt;=V247,IF(Q247=0,"Missed deadline: never tried","Missed deadline: tried, not booked"),IF(Q247&gt;=SETTINGS!$B$6,"No reply after max tries","Open"))))))))))</f>
        <v>Missed deadline: never tried</v>
      </c>
      <c r="AM247" s="46" t="str">
        <f>IF(M247=1,IF(_xlfn.MINIFS(LOG!$G$2:$G$2001,LOG!$C$2:$C$2001,F247,LOG!$E$2:$E$2001,B247,LOG!$D$2:$D$2001,"*BOOKED")=0,_xlfn.MINIFS(LOG!$G$2:$G$2001,LOG!$C$2:$C$2001,F247,LOG!$E$2:$E$2001,"",LOG!$D$2:$D$2001,"*BOOKED"),IF(_xlfn.MINIFS(LOG!$G$2:$G$2001,LOG!$C$2:$C$2001,F247,LOG!$E$2:$E$2001,"",LOG!$D$2:$D$2001,"*BOOKED")=0,_xlfn.MINIFS(LOG!$G$2:$G$2001,LOG!$C$2:$C$2001,F247,LOG!$E$2:$E$2001,B247,LOG!$D$2:$D$2001,"*BOOKED"),MIN(_xlfn.MINIFS(LOG!$G$2:$G$2001,LOG!$C$2:$C$2001,F247,LOG!$E$2:$E$2001,B247,LOG!$D$2:$D$2001,"*BOOKED"),_xlfn.MINIFS(LOG!$G$2:$G$2001,LOG!$C$2:$C$2001,F247,LOG!$E$2:$E$2001,"",LOG!$D$2:$D$2001,"*BOOKED")))),"")</f>
        <v/>
      </c>
      <c r="AN247" s="28" t="str">
        <f t="shared" si="40"/>
        <v/>
      </c>
      <c r="AO247" s="28">
        <f>IF(AND(M247=1,AN247&lt;&gt;""),IF(AN247&lt;=SETTINGS!$B$5,1,0),0)</f>
        <v>0</v>
      </c>
      <c r="AP247" s="28">
        <f>IF(M247=1,IF(COUNTIFS(LOG!$C$2:$C$2001,F247,LOG!$E$2:$E$2001,B247,LOG!$D$2:$D$2001,"BOOKED")+COUNTIFS(LOG!$C$2:$C$2001,F247,LOG!$E$2:$E$2001,"",LOG!$D$2:$D$2001,"BOOKED")&gt;0,1,0),0)</f>
        <v>0</v>
      </c>
      <c r="AQ247" s="28" t="str">
        <f t="shared" si="41"/>
        <v>Meera</v>
      </c>
      <c r="AR247" s="28">
        <f>IF(AND(AK247=1,K247="OK"),COUNTIFS($AK$2:AK247,1,$K$2:K247,"OK"),"")</f>
        <v>215</v>
      </c>
      <c r="AS247" s="28" t="str">
        <f>IF(L247=1,IFERROR(INDEX(MESSAGES!$J$9:$J$1008,MATCH(F247,MESSAGES!$M$9:$M$1008,0))&amp;"",""),"")</f>
        <v/>
      </c>
      <c r="AT247" s="28" t="str">
        <f>IF(L247=1,IFERROR(INDEX(MESSAGES!$K$9:$K$1008,MATCH(F247,MESSAGES!$M$9:$M$1008,0))&amp;"",""),"")</f>
        <v/>
      </c>
      <c r="AU247" s="28">
        <f t="shared" ca="1" si="42"/>
        <v>0</v>
      </c>
      <c r="AV247" s="28" t="str">
        <f t="shared" si="43"/>
        <v>HOLD</v>
      </c>
    </row>
    <row r="248" spans="1:48" x14ac:dyDescent="0.35">
      <c r="A248" s="28">
        <v>247</v>
      </c>
      <c r="B248" s="28" t="str">
        <f>IF(INPUT!A248="","",TRIM(INPUT!A248))</f>
        <v>Partner 000</v>
      </c>
      <c r="C248" s="28" t="str">
        <f>IF(B248="","",INPUT!C248)</f>
        <v>interviewer2@partner000.example.com</v>
      </c>
      <c r="D248" s="28" t="str">
        <f>IF(B248="","",INPUT!D248)</f>
        <v>Zoya H.</v>
      </c>
      <c r="E248" s="28" t="str">
        <f>IF(B248="","",INPUT!E248)</f>
        <v>zoya.h227@example.com</v>
      </c>
      <c r="F248" s="43" t="str">
        <f>IF(B248="","",TRIM(INPUT!F248&amp;""))</f>
        <v>9000002958</v>
      </c>
      <c r="G248" s="28" t="str">
        <f>IF(B248="","",INPUT!H248)</f>
        <v>Round3</v>
      </c>
      <c r="H248" s="46">
        <f>IF(B248="","",INPUT!I248)</f>
        <v>46308.82708333333</v>
      </c>
      <c r="I248" s="28" t="str">
        <f>IF(B248="","",IF(INPUT!J248="","None",INPUT!J248))</f>
        <v>None</v>
      </c>
      <c r="J248" s="28" t="str">
        <f t="shared" si="33"/>
        <v>zoya.h227@example.com|partner 000|Round3|interviewer2@partner000.example.com</v>
      </c>
      <c r="K248" s="28" t="str">
        <f>IF(B248="","",IF(SUMPRODUCT(($J$2:$J$601=J248)*($H$2:$H$601&lt;H248))+SUMPRODUCT(($J$2:J248=J248)*($H$2:H248=H248))-1&gt;0,"DUPLICATE",IF(AND(ISNUMBER(SEARCH("@",E248)),ISNUMBER(SEARCH(".",E248)),LEN(F248)=10,ISNUMBER(VALUE(F248))),"OK","BAD CONTACT")))</f>
        <v>OK</v>
      </c>
      <c r="L248" s="28">
        <f t="shared" si="34"/>
        <v>1</v>
      </c>
      <c r="M248" s="28">
        <f>IF(L248=1,IF(COUNTIFS(LOG!$C$2:$C$2001,F248,LOG!$E$2:$E$2001,B248,LOG!$D$2:$D$2001,"*BOOKED")+COUNTIFS(LOG!$C$2:$C$2001,F248,LOG!$E$2:$E$2001,"",LOG!$D$2:$D$2001,"*BOOKED")&gt;0,1,0),0)</f>
        <v>0</v>
      </c>
      <c r="N248" s="28">
        <f>IF(L248=1,IF(COUNTIFS(LOG!$C$2:$C$2001,F248,LOG!$E$2:$E$2001,B248,LOG!$D$2:$D$2001,"NOT_INTERESTED")+COUNTIFS(LOG!$C$2:$C$2001,F248,LOG!$E$2:$E$2001,"",LOG!$D$2:$D$2001,"NOT_INTERESTED")&gt;0,1,0),0)</f>
        <v>0</v>
      </c>
      <c r="O248" s="28">
        <f>IF(L248=1,IF(COUNTIFS(LOG!$C$2:$C$2001,F248,LOG!$D$2:$D$2001,"STOP")+COUNTIFS(LOG!$C$2:$C$2001,F248,LOG!$D$2:$D$2001,"WRONG_NUMBER")&gt;0,1,IF(ISNUMBER(SEARCH("STOP",AT248)),1,0)),0)</f>
        <v>0</v>
      </c>
      <c r="P248" s="28">
        <f>IF(L248=1,IF(IFERROR(INDEX(PARTNERS!$D$2:$D$88,MATCH(B248,PARTNERS!$A$2:$A$88,0)),"")="NO SLOTS",1,IF(AND(IFERROR(INDEX(PARTNERS!$D$2:$D$88,MATCH(B248,PARTNERS!$A$2:$A$88,0)),"")&lt;&gt;"REOPENED",COUNTIFS(LOG!$E$2:$E$2001,B248,LOG!$D$2:$D$2001,"NO_SLOTS")&gt;0),1,0)),0)</f>
        <v>0</v>
      </c>
      <c r="Q248" s="28">
        <f>IF(L248=1,COUNTIFS(LOG!$C$2:$C$2001,F248,LOG!$H$2:$H$2001,1),0)</f>
        <v>3</v>
      </c>
      <c r="R248" s="46">
        <f>IF(Q248&gt;0,_xlfn.MAXIFS(LOG!$G$2:$G$2001,LOG!$C$2:$C$2001,F248,LOG!$H$2:$H$2001,1),0)</f>
        <v>46309.67092024631</v>
      </c>
      <c r="S248" s="28" t="str">
        <f>IF(Q248&gt;0,IFERROR(INDEX(LOG!$D$2:$D$2001,MATCH(F248&amp;"|"&amp;Q248,LOG!$I$2:$I$2001,0)),""),"")</f>
        <v>NO_ANSWER</v>
      </c>
      <c r="T248" s="28">
        <f>IF(S248="",0,IFERROR(VLOOKUP(S248,LISTS!$A$2:$E$10,4,FALSE),0))</f>
        <v>120</v>
      </c>
      <c r="U248" s="46">
        <f t="shared" si="35"/>
        <v>46309.754253579646</v>
      </c>
      <c r="V248" s="46">
        <f>IF(L248=1,H248+SETTINGS!$B$5/24,"")</f>
        <v>46309.82708333333</v>
      </c>
      <c r="W248" s="28">
        <f ca="1">IF(L248=1,(V248-SETTINGS!$B$4)*24,"")</f>
        <v>-1.6666666720993817E-2</v>
      </c>
      <c r="X248" s="28">
        <f ca="1">IF(AND(L248=1,K248="OK",M248=0,N248=0,O248=0,P248=0,SETTINGS!$B$4&lt;V248,Q248&lt;SETTINGS!$B$6),1,0)</f>
        <v>0</v>
      </c>
      <c r="Y248" s="28">
        <f ca="1">IF(AND(X248=1,SETTINGS!$B$4&gt;=H248,SETTINGS!$B$4&gt;=U248,ROUND(MOD(SETTINGS!$B$4,1)*1440,0)&gt;=ROUND(SETTINGS!$B$7*1440,0),ROUND(MOD(SETTINGS!$B$4,1)*1440,0)&lt;ROUND(SETTINGS!$B$8*1440,0)),1,0)</f>
        <v>0</v>
      </c>
      <c r="Z248" s="28" t="str">
        <f ca="1">IF(B248="","",IF(ROUND(MOD(SETTINGS!$B$4,1)*1440,0)&lt;ROUND(SETTINGS!$B$11*1440,0),"Ram",IF(ROUND(MOD(SETTINGS!$B$4,1)*1440,0)&gt;=ROUND(SETTINGS!$B$10*1440,0),"Shyam",IF(MOD(IFERROR(VALUE(RIGHT(F248,2)),0),2)=0,"Ram","Shyam"))))</f>
        <v>Shyam</v>
      </c>
      <c r="AA248" s="28">
        <f t="shared" ca="1" si="36"/>
        <v>0</v>
      </c>
      <c r="AB248" s="28">
        <f ca="1">IF(X248=1,COUNTIFS($F$2:F248,F248,$X$2:X248,1),0)</f>
        <v>0</v>
      </c>
      <c r="AC248" s="28" t="str">
        <f>IF(L248=1,IF(IFERROR(INDEX(PARTNERS!$C$2:$C$88,MATCH(B248,PARTNERS!$A$2:$A$88,0)),"")="YES","YES","NO"),"")</f>
        <v>NO</v>
      </c>
      <c r="AD248" s="28" t="str">
        <f>IF(L248=1,IFERROR(INDEX(PARTNERS!$B$2:$B$88,MATCH(B248,PARTNERS!$A$2:$A$88,0)),""),"")</f>
        <v>https://calendly.com/partner000/interview</v>
      </c>
      <c r="AE248" s="28">
        <f ca="1">IF(X248=1,IFERROR(INDEX(SETTINGS!$B$34:$D$36,MATCH(I248,SETTINGS!$A$34:$A$36,0),MIN(Q248,2)+1),SETTINGS!$B$36),0)</f>
        <v>0</v>
      </c>
      <c r="AF248" s="28">
        <f t="shared" si="37"/>
        <v>3</v>
      </c>
      <c r="AG248" s="28">
        <f ca="1">IF(AND(Y248=1,AB248=1),ROUND(AA248*AE248*IF(AF248&gt;1,SETTINGS!$B$16,1)*IF(W248&lt;=SETTINGS!$B$14,SETTINGS!$B$15,1)*IF(AU248=1,SETTINGS!$B$21,1),6),0)</f>
        <v>0</v>
      </c>
      <c r="AH248" s="28" t="str">
        <f ca="1">IF(AG248&gt;0,COUNTIFS($Z$2:$Z$601,Z248,$AG$2:$AG$601,"&gt;"&amp;AG248)+COUNTIFS($Z$2:Z248,Z248,$AG$2:AG248,AG248),"")</f>
        <v/>
      </c>
      <c r="AI248" s="28" t="str">
        <f t="shared" ca="1" si="38"/>
        <v/>
      </c>
      <c r="AJ248" s="28" t="str">
        <f t="shared" ca="1" si="39"/>
        <v/>
      </c>
      <c r="AK248" s="28">
        <f>IF(L248=1,IF(COUNTIFS($F$2:F248,F248,$L$2:L248,1)=1,1,0),0)</f>
        <v>1</v>
      </c>
      <c r="AL248" s="28" t="str">
        <f ca="1">IF(B248="","",IF(K248="DUPLICATE","Duplicate (removed)",IF(AO248=1,"Scheduled within 24h",IF(M248=1,"Scheduled late",IF(K248="BAD CONTACT","Bad contact details",IF(O248=1,"Stopped / wrong number",IF(N248=1,"Not interested",IF(P248=1,"Partner has no slots",IF(SETTINGS!$B$4&gt;=V248,IF(Q248=0,"Missed deadline: never tried","Missed deadline: tried, not booked"),IF(Q248&gt;=SETTINGS!$B$6,"No reply after max tries","Open"))))))))))</f>
        <v>Missed deadline: tried, not booked</v>
      </c>
      <c r="AM248" s="46" t="str">
        <f>IF(M248=1,IF(_xlfn.MINIFS(LOG!$G$2:$G$2001,LOG!$C$2:$C$2001,F248,LOG!$E$2:$E$2001,B248,LOG!$D$2:$D$2001,"*BOOKED")=0,_xlfn.MINIFS(LOG!$G$2:$G$2001,LOG!$C$2:$C$2001,F248,LOG!$E$2:$E$2001,"",LOG!$D$2:$D$2001,"*BOOKED"),IF(_xlfn.MINIFS(LOG!$G$2:$G$2001,LOG!$C$2:$C$2001,F248,LOG!$E$2:$E$2001,"",LOG!$D$2:$D$2001,"*BOOKED")=0,_xlfn.MINIFS(LOG!$G$2:$G$2001,LOG!$C$2:$C$2001,F248,LOG!$E$2:$E$2001,B248,LOG!$D$2:$D$2001,"*BOOKED"),MIN(_xlfn.MINIFS(LOG!$G$2:$G$2001,LOG!$C$2:$C$2001,F248,LOG!$E$2:$E$2001,B248,LOG!$D$2:$D$2001,"*BOOKED"),_xlfn.MINIFS(LOG!$G$2:$G$2001,LOG!$C$2:$C$2001,F248,LOG!$E$2:$E$2001,"",LOG!$D$2:$D$2001,"*BOOKED")))),"")</f>
        <v/>
      </c>
      <c r="AN248" s="28" t="str">
        <f t="shared" si="40"/>
        <v/>
      </c>
      <c r="AO248" s="28">
        <f>IF(AND(M248=1,AN248&lt;&gt;""),IF(AN248&lt;=SETTINGS!$B$5,1,0),0)</f>
        <v>0</v>
      </c>
      <c r="AP248" s="28">
        <f>IF(M248=1,IF(COUNTIFS(LOG!$C$2:$C$2001,F248,LOG!$E$2:$E$2001,B248,LOG!$D$2:$D$2001,"BOOKED")+COUNTIFS(LOG!$C$2:$C$2001,F248,LOG!$E$2:$E$2001,"",LOG!$D$2:$D$2001,"BOOKED")&gt;0,1,0),0)</f>
        <v>0</v>
      </c>
      <c r="AQ248" s="28" t="str">
        <f t="shared" si="41"/>
        <v>Zoya</v>
      </c>
      <c r="AR248" s="28">
        <f>IF(AND(AK248=1,K248="OK"),COUNTIFS($AK$2:AK248,1,$K$2:K248,"OK"),"")</f>
        <v>216</v>
      </c>
      <c r="AS248" s="28" t="str">
        <f>IF(L248=1,IFERROR(INDEX(MESSAGES!$J$9:$J$1008,MATCH(F248,MESSAGES!$M$9:$M$1008,0))&amp;"",""),"")</f>
        <v/>
      </c>
      <c r="AT248" s="28" t="str">
        <f>IF(L248=1,IFERROR(INDEX(MESSAGES!$K$9:$K$1008,MATCH(F248,MESSAGES!$M$9:$M$1008,0))&amp;"",""),"")</f>
        <v/>
      </c>
      <c r="AU248" s="28">
        <f t="shared" ca="1" si="42"/>
        <v>0</v>
      </c>
      <c r="AV248" s="28" t="str">
        <f t="shared" si="43"/>
        <v>HOLD</v>
      </c>
    </row>
    <row r="249" spans="1:48" x14ac:dyDescent="0.35">
      <c r="A249" s="28">
        <v>248</v>
      </c>
      <c r="B249" s="28" t="str">
        <f>IF(INPUT!A249="","",TRIM(INPUT!A249))</f>
        <v>Partner 069</v>
      </c>
      <c r="C249" s="28" t="str">
        <f>IF(B249="","",INPUT!C249)</f>
        <v>interviewer0@partner069.example.com</v>
      </c>
      <c r="D249" s="28" t="str">
        <f>IF(B249="","",INPUT!D249)</f>
        <v>Nisha C.</v>
      </c>
      <c r="E249" s="28" t="str">
        <f>IF(B249="","",INPUT!E249)</f>
        <v>nisha.c087@example.com</v>
      </c>
      <c r="F249" s="43" t="str">
        <f>IF(B249="","",TRIM(INPUT!F249&amp;""))</f>
        <v>9000001138</v>
      </c>
      <c r="G249" s="28" t="str">
        <f>IF(B249="","",INPUT!H249)</f>
        <v>Round1</v>
      </c>
      <c r="H249" s="46">
        <f>IF(B249="","",INPUT!I249)</f>
        <v>46308.82708333333</v>
      </c>
      <c r="I249" s="28" t="str">
        <f>IF(B249="","",IF(INPUT!J249="","None",INPUT!J249))</f>
        <v>Opened</v>
      </c>
      <c r="J249" s="28" t="str">
        <f t="shared" si="33"/>
        <v>nisha.c087@example.com|partner 069|Round1|interviewer0@partner069.example.com</v>
      </c>
      <c r="K249" s="28" t="str">
        <f>IF(B249="","",IF(SUMPRODUCT(($J$2:$J$601=J249)*($H$2:$H$601&lt;H249))+SUMPRODUCT(($J$2:J249=J249)*($H$2:H249=H249))-1&gt;0,"DUPLICATE",IF(AND(ISNUMBER(SEARCH("@",E249)),ISNUMBER(SEARCH(".",E249)),LEN(F249)=10,ISNUMBER(VALUE(F249))),"OK","BAD CONTACT")))</f>
        <v>OK</v>
      </c>
      <c r="L249" s="28">
        <f t="shared" si="34"/>
        <v>1</v>
      </c>
      <c r="M249" s="28">
        <f>IF(L249=1,IF(COUNTIFS(LOG!$C$2:$C$2001,F249,LOG!$E$2:$E$2001,B249,LOG!$D$2:$D$2001,"*BOOKED")+COUNTIFS(LOG!$C$2:$C$2001,F249,LOG!$E$2:$E$2001,"",LOG!$D$2:$D$2001,"*BOOKED")&gt;0,1,0),0)</f>
        <v>0</v>
      </c>
      <c r="N249" s="28">
        <f>IF(L249=1,IF(COUNTIFS(LOG!$C$2:$C$2001,F249,LOG!$E$2:$E$2001,B249,LOG!$D$2:$D$2001,"NOT_INTERESTED")+COUNTIFS(LOG!$C$2:$C$2001,F249,LOG!$E$2:$E$2001,"",LOG!$D$2:$D$2001,"NOT_INTERESTED")&gt;0,1,0),0)</f>
        <v>0</v>
      </c>
      <c r="O249" s="28">
        <f>IF(L249=1,IF(COUNTIFS(LOG!$C$2:$C$2001,F249,LOG!$D$2:$D$2001,"STOP")+COUNTIFS(LOG!$C$2:$C$2001,F249,LOG!$D$2:$D$2001,"WRONG_NUMBER")&gt;0,1,IF(ISNUMBER(SEARCH("STOP",AT249)),1,0)),0)</f>
        <v>0</v>
      </c>
      <c r="P249" s="28">
        <f>IF(L249=1,IF(IFERROR(INDEX(PARTNERS!$D$2:$D$88,MATCH(B249,PARTNERS!$A$2:$A$88,0)),"")="NO SLOTS",1,IF(AND(IFERROR(INDEX(PARTNERS!$D$2:$D$88,MATCH(B249,PARTNERS!$A$2:$A$88,0)),"")&lt;&gt;"REOPENED",COUNTIFS(LOG!$E$2:$E$2001,B249,LOG!$D$2:$D$2001,"NO_SLOTS")&gt;0),1,0)),0)</f>
        <v>0</v>
      </c>
      <c r="Q249" s="28">
        <f>IF(L249=1,COUNTIFS(LOG!$C$2:$C$2001,F249,LOG!$H$2:$H$2001,1),0)</f>
        <v>0</v>
      </c>
      <c r="R249" s="46">
        <f>IF(Q249&gt;0,_xlfn.MAXIFS(LOG!$G$2:$G$2001,LOG!$C$2:$C$2001,F249,LOG!$H$2:$H$2001,1),0)</f>
        <v>0</v>
      </c>
      <c r="S249" s="28" t="str">
        <f>IF(Q249&gt;0,IFERROR(INDEX(LOG!$D$2:$D$2001,MATCH(F249&amp;"|"&amp;Q249,LOG!$I$2:$I$2001,0)),""),"")</f>
        <v/>
      </c>
      <c r="T249" s="28">
        <f>IF(S249="",0,IFERROR(VLOOKUP(S249,LISTS!$A$2:$E$10,4,FALSE),0))</f>
        <v>0</v>
      </c>
      <c r="U249" s="46">
        <f t="shared" si="35"/>
        <v>0</v>
      </c>
      <c r="V249" s="46">
        <f>IF(L249=1,H249+SETTINGS!$B$5/24,"")</f>
        <v>46309.82708333333</v>
      </c>
      <c r="W249" s="28">
        <f ca="1">IF(L249=1,(V249-SETTINGS!$B$4)*24,"")</f>
        <v>-1.6666666720993817E-2</v>
      </c>
      <c r="X249" s="28">
        <f ca="1">IF(AND(L249=1,K249="OK",M249=0,N249=0,O249=0,P249=0,SETTINGS!$B$4&lt;V249,Q249&lt;SETTINGS!$B$6),1,0)</f>
        <v>0</v>
      </c>
      <c r="Y249" s="28">
        <f ca="1">IF(AND(X249=1,SETTINGS!$B$4&gt;=H249,SETTINGS!$B$4&gt;=U249,ROUND(MOD(SETTINGS!$B$4,1)*1440,0)&gt;=ROUND(SETTINGS!$B$7*1440,0),ROUND(MOD(SETTINGS!$B$4,1)*1440,0)&lt;ROUND(SETTINGS!$B$8*1440,0)),1,0)</f>
        <v>0</v>
      </c>
      <c r="Z249" s="28" t="str">
        <f ca="1">IF(B249="","",IF(ROUND(MOD(SETTINGS!$B$4,1)*1440,0)&lt;ROUND(SETTINGS!$B$11*1440,0),"Ram",IF(ROUND(MOD(SETTINGS!$B$4,1)*1440,0)&gt;=ROUND(SETTINGS!$B$10*1440,0),"Shyam",IF(MOD(IFERROR(VALUE(RIGHT(F249,2)),0),2)=0,"Ram","Shyam"))))</f>
        <v>Shyam</v>
      </c>
      <c r="AA249" s="28">
        <f t="shared" ca="1" si="36"/>
        <v>0</v>
      </c>
      <c r="AB249" s="28">
        <f ca="1">IF(X249=1,COUNTIFS($F$2:F249,F249,$X$2:X249,1),0)</f>
        <v>0</v>
      </c>
      <c r="AC249" s="28" t="str">
        <f>IF(L249=1,IF(IFERROR(INDEX(PARTNERS!$C$2:$C$88,MATCH(B249,PARTNERS!$A$2:$A$88,0)),"")="YES","YES","NO"),"")</f>
        <v>YES</v>
      </c>
      <c r="AD249" s="28" t="str">
        <f>IF(L249=1,IFERROR(INDEX(PARTNERS!$B$2:$B$88,MATCH(B249,PARTNERS!$A$2:$A$88,0)),""),"")</f>
        <v>https://calendly.com/partner069/interview</v>
      </c>
      <c r="AE249" s="28">
        <f ca="1">IF(X249=1,IFERROR(INDEX(SETTINGS!$B$34:$D$36,MATCH(I249,SETTINGS!$A$34:$A$36,0),MIN(Q249,2)+1),SETTINGS!$B$36),0)</f>
        <v>0</v>
      </c>
      <c r="AF249" s="28">
        <f t="shared" si="37"/>
        <v>1</v>
      </c>
      <c r="AG249" s="28">
        <f ca="1">IF(AND(Y249=1,AB249=1),ROUND(AA249*AE249*IF(AF249&gt;1,SETTINGS!$B$16,1)*IF(W249&lt;=SETTINGS!$B$14,SETTINGS!$B$15,1)*IF(AU249=1,SETTINGS!$B$21,1),6),0)</f>
        <v>0</v>
      </c>
      <c r="AH249" s="28" t="str">
        <f ca="1">IF(AG249&gt;0,COUNTIFS($Z$2:$Z$601,Z249,$AG$2:$AG$601,"&gt;"&amp;AG249)+COUNTIFS($Z$2:Z249,Z249,$AG$2:AG249,AG249),"")</f>
        <v/>
      </c>
      <c r="AI249" s="28" t="str">
        <f t="shared" ca="1" si="38"/>
        <v/>
      </c>
      <c r="AJ249" s="28" t="str">
        <f t="shared" ca="1" si="39"/>
        <v/>
      </c>
      <c r="AK249" s="28">
        <f>IF(L249=1,IF(COUNTIFS($F$2:F249,F249,$L$2:L249,1)=1,1,0),0)</f>
        <v>1</v>
      </c>
      <c r="AL249" s="28" t="str">
        <f ca="1">IF(B249="","",IF(K249="DUPLICATE","Duplicate (removed)",IF(AO249=1,"Scheduled within 24h",IF(M249=1,"Scheduled late",IF(K249="BAD CONTACT","Bad contact details",IF(O249=1,"Stopped / wrong number",IF(N249=1,"Not interested",IF(P249=1,"Partner has no slots",IF(SETTINGS!$B$4&gt;=V249,IF(Q249=0,"Missed deadline: never tried","Missed deadline: tried, not booked"),IF(Q249&gt;=SETTINGS!$B$6,"No reply after max tries","Open"))))))))))</f>
        <v>Missed deadline: never tried</v>
      </c>
      <c r="AM249" s="46" t="str">
        <f>IF(M249=1,IF(_xlfn.MINIFS(LOG!$G$2:$G$2001,LOG!$C$2:$C$2001,F249,LOG!$E$2:$E$2001,B249,LOG!$D$2:$D$2001,"*BOOKED")=0,_xlfn.MINIFS(LOG!$G$2:$G$2001,LOG!$C$2:$C$2001,F249,LOG!$E$2:$E$2001,"",LOG!$D$2:$D$2001,"*BOOKED"),IF(_xlfn.MINIFS(LOG!$G$2:$G$2001,LOG!$C$2:$C$2001,F249,LOG!$E$2:$E$2001,"",LOG!$D$2:$D$2001,"*BOOKED")=0,_xlfn.MINIFS(LOG!$G$2:$G$2001,LOG!$C$2:$C$2001,F249,LOG!$E$2:$E$2001,B249,LOG!$D$2:$D$2001,"*BOOKED"),MIN(_xlfn.MINIFS(LOG!$G$2:$G$2001,LOG!$C$2:$C$2001,F249,LOG!$E$2:$E$2001,B249,LOG!$D$2:$D$2001,"*BOOKED"),_xlfn.MINIFS(LOG!$G$2:$G$2001,LOG!$C$2:$C$2001,F249,LOG!$E$2:$E$2001,"",LOG!$D$2:$D$2001,"*BOOKED")))),"")</f>
        <v/>
      </c>
      <c r="AN249" s="28" t="str">
        <f t="shared" si="40"/>
        <v/>
      </c>
      <c r="AO249" s="28">
        <f>IF(AND(M249=1,AN249&lt;&gt;""),IF(AN249&lt;=SETTINGS!$B$5,1,0),0)</f>
        <v>0</v>
      </c>
      <c r="AP249" s="28">
        <f>IF(M249=1,IF(COUNTIFS(LOG!$C$2:$C$2001,F249,LOG!$E$2:$E$2001,B249,LOG!$D$2:$D$2001,"BOOKED")+COUNTIFS(LOG!$C$2:$C$2001,F249,LOG!$E$2:$E$2001,"",LOG!$D$2:$D$2001,"BOOKED")&gt;0,1,0),0)</f>
        <v>0</v>
      </c>
      <c r="AQ249" s="28" t="str">
        <f t="shared" si="41"/>
        <v>Nisha</v>
      </c>
      <c r="AR249" s="28">
        <f>IF(AND(AK249=1,K249="OK"),COUNTIFS($AK$2:AK249,1,$K$2:K249,"OK"),"")</f>
        <v>217</v>
      </c>
      <c r="AS249" s="28" t="str">
        <f>IF(L249=1,IFERROR(INDEX(MESSAGES!$J$9:$J$1008,MATCH(F249,MESSAGES!$M$9:$M$1008,0))&amp;"",""),"")</f>
        <v/>
      </c>
      <c r="AT249" s="28" t="str">
        <f>IF(L249=1,IFERROR(INDEX(MESSAGES!$K$9:$K$1008,MATCH(F249,MESSAGES!$M$9:$M$1008,0))&amp;"",""),"")</f>
        <v/>
      </c>
      <c r="AU249" s="28">
        <f t="shared" ca="1" si="42"/>
        <v>0</v>
      </c>
      <c r="AV249" s="28" t="str">
        <f t="shared" si="43"/>
        <v>HOLD</v>
      </c>
    </row>
    <row r="250" spans="1:48" x14ac:dyDescent="0.35">
      <c r="A250" s="28">
        <v>249</v>
      </c>
      <c r="B250" s="28" t="str">
        <f>IF(INPUT!A250="","",TRIM(INPUT!A250))</f>
        <v>Partner 019</v>
      </c>
      <c r="C250" s="28" t="str">
        <f>IF(B250="","",INPUT!C250)</f>
        <v>interviewer2@partner019.example.com</v>
      </c>
      <c r="D250" s="28" t="str">
        <f>IF(B250="","",INPUT!D250)</f>
        <v>Rohan L.</v>
      </c>
      <c r="E250" s="28" t="str">
        <f>IF(B250="","",INPUT!E250)</f>
        <v>rohan.l310@example.com</v>
      </c>
      <c r="F250" s="43" t="str">
        <f>IF(B250="","",TRIM(INPUT!F250&amp;""))</f>
        <v>9000004037</v>
      </c>
      <c r="G250" s="28" t="str">
        <f>IF(B250="","",INPUT!H250)</f>
        <v>Round1</v>
      </c>
      <c r="H250" s="46">
        <f>IF(B250="","",INPUT!I250)</f>
        <v>46308.82708333333</v>
      </c>
      <c r="I250" s="28" t="str">
        <f>IF(B250="","",IF(INPUT!J250="","None",INPUT!J250))</f>
        <v>Opened</v>
      </c>
      <c r="J250" s="28" t="str">
        <f t="shared" si="33"/>
        <v>rohan.l310@example.com|partner 019|Round1|interviewer2@partner019.example.com</v>
      </c>
      <c r="K250" s="28" t="str">
        <f>IF(B250="","",IF(SUMPRODUCT(($J$2:$J$601=J250)*($H$2:$H$601&lt;H250))+SUMPRODUCT(($J$2:J250=J250)*($H$2:H250=H250))-1&gt;0,"DUPLICATE",IF(AND(ISNUMBER(SEARCH("@",E250)),ISNUMBER(SEARCH(".",E250)),LEN(F250)=10,ISNUMBER(VALUE(F250))),"OK","BAD CONTACT")))</f>
        <v>OK</v>
      </c>
      <c r="L250" s="28">
        <f t="shared" si="34"/>
        <v>1</v>
      </c>
      <c r="M250" s="28">
        <f>IF(L250=1,IF(COUNTIFS(LOG!$C$2:$C$2001,F250,LOG!$E$2:$E$2001,B250,LOG!$D$2:$D$2001,"*BOOKED")+COUNTIFS(LOG!$C$2:$C$2001,F250,LOG!$E$2:$E$2001,"",LOG!$D$2:$D$2001,"*BOOKED")&gt;0,1,0),0)</f>
        <v>1</v>
      </c>
      <c r="N250" s="28">
        <f>IF(L250=1,IF(COUNTIFS(LOG!$C$2:$C$2001,F250,LOG!$E$2:$E$2001,B250,LOG!$D$2:$D$2001,"NOT_INTERESTED")+COUNTIFS(LOG!$C$2:$C$2001,F250,LOG!$E$2:$E$2001,"",LOG!$D$2:$D$2001,"NOT_INTERESTED")&gt;0,1,0),0)</f>
        <v>0</v>
      </c>
      <c r="O250" s="28">
        <f>IF(L250=1,IF(COUNTIFS(LOG!$C$2:$C$2001,F250,LOG!$D$2:$D$2001,"STOP")+COUNTIFS(LOG!$C$2:$C$2001,F250,LOG!$D$2:$D$2001,"WRONG_NUMBER")&gt;0,1,IF(ISNUMBER(SEARCH("STOP",AT250)),1,0)),0)</f>
        <v>0</v>
      </c>
      <c r="P250" s="28">
        <f>IF(L250=1,IF(IFERROR(INDEX(PARTNERS!$D$2:$D$88,MATCH(B250,PARTNERS!$A$2:$A$88,0)),"")="NO SLOTS",1,IF(AND(IFERROR(INDEX(PARTNERS!$D$2:$D$88,MATCH(B250,PARTNERS!$A$2:$A$88,0)),"")&lt;&gt;"REOPENED",COUNTIFS(LOG!$E$2:$E$2001,B250,LOG!$D$2:$D$2001,"NO_SLOTS")&gt;0),1,0)),0)</f>
        <v>0</v>
      </c>
      <c r="Q250" s="28">
        <f>IF(L250=1,COUNTIFS(LOG!$C$2:$C$2001,F250,LOG!$H$2:$H$2001,1),0)</f>
        <v>0</v>
      </c>
      <c r="R250" s="46">
        <f>IF(Q250&gt;0,_xlfn.MAXIFS(LOG!$G$2:$G$2001,LOG!$C$2:$C$2001,F250,LOG!$H$2:$H$2001,1),0)</f>
        <v>0</v>
      </c>
      <c r="S250" s="28" t="str">
        <f>IF(Q250&gt;0,IFERROR(INDEX(LOG!$D$2:$D$2001,MATCH(F250&amp;"|"&amp;Q250,LOG!$I$2:$I$2001,0)),""),"")</f>
        <v/>
      </c>
      <c r="T250" s="28">
        <f>IF(S250="",0,IFERROR(VLOOKUP(S250,LISTS!$A$2:$E$10,4,FALSE),0))</f>
        <v>0</v>
      </c>
      <c r="U250" s="46">
        <f t="shared" si="35"/>
        <v>0</v>
      </c>
      <c r="V250" s="46">
        <f>IF(L250=1,H250+SETTINGS!$B$5/24,"")</f>
        <v>46309.82708333333</v>
      </c>
      <c r="W250" s="28">
        <f ca="1">IF(L250=1,(V250-SETTINGS!$B$4)*24,"")</f>
        <v>-1.6666666720993817E-2</v>
      </c>
      <c r="X250" s="28">
        <f ca="1">IF(AND(L250=1,K250="OK",M250=0,N250=0,O250=0,P250=0,SETTINGS!$B$4&lt;V250,Q250&lt;SETTINGS!$B$6),1,0)</f>
        <v>0</v>
      </c>
      <c r="Y250" s="28">
        <f ca="1">IF(AND(X250=1,SETTINGS!$B$4&gt;=H250,SETTINGS!$B$4&gt;=U250,ROUND(MOD(SETTINGS!$B$4,1)*1440,0)&gt;=ROUND(SETTINGS!$B$7*1440,0),ROUND(MOD(SETTINGS!$B$4,1)*1440,0)&lt;ROUND(SETTINGS!$B$8*1440,0)),1,0)</f>
        <v>0</v>
      </c>
      <c r="Z250" s="28" t="str">
        <f ca="1">IF(B250="","",IF(ROUND(MOD(SETTINGS!$B$4,1)*1440,0)&lt;ROUND(SETTINGS!$B$11*1440,0),"Ram",IF(ROUND(MOD(SETTINGS!$B$4,1)*1440,0)&gt;=ROUND(SETTINGS!$B$10*1440,0),"Shyam",IF(MOD(IFERROR(VALUE(RIGHT(F250,2)),0),2)=0,"Ram","Shyam"))))</f>
        <v>Shyam</v>
      </c>
      <c r="AA250" s="28">
        <f t="shared" ca="1" si="36"/>
        <v>0</v>
      </c>
      <c r="AB250" s="28">
        <f ca="1">IF(X250=1,COUNTIFS($F$2:F250,F250,$X$2:X250,1),0)</f>
        <v>0</v>
      </c>
      <c r="AC250" s="28" t="str">
        <f>IF(L250=1,IF(IFERROR(INDEX(PARTNERS!$C$2:$C$88,MATCH(B250,PARTNERS!$A$2:$A$88,0)),"")="YES","YES","NO"),"")</f>
        <v>NO</v>
      </c>
      <c r="AD250" s="28" t="str">
        <f>IF(L250=1,IFERROR(INDEX(PARTNERS!$B$2:$B$88,MATCH(B250,PARTNERS!$A$2:$A$88,0)),""),"")</f>
        <v>https://calendly.com/partner019/interview</v>
      </c>
      <c r="AE250" s="28">
        <f ca="1">IF(X250=1,IFERROR(INDEX(SETTINGS!$B$34:$D$36,MATCH(I250,SETTINGS!$A$34:$A$36,0),MIN(Q250,2)+1),SETTINGS!$B$36),0)</f>
        <v>0</v>
      </c>
      <c r="AF250" s="28">
        <f t="shared" si="37"/>
        <v>1</v>
      </c>
      <c r="AG250" s="28">
        <f ca="1">IF(AND(Y250=1,AB250=1),ROUND(AA250*AE250*IF(AF250&gt;1,SETTINGS!$B$16,1)*IF(W250&lt;=SETTINGS!$B$14,SETTINGS!$B$15,1)*IF(AU250=1,SETTINGS!$B$21,1),6),0)</f>
        <v>0</v>
      </c>
      <c r="AH250" s="28" t="str">
        <f ca="1">IF(AG250&gt;0,COUNTIFS($Z$2:$Z$601,Z250,$AG$2:$AG$601,"&gt;"&amp;AG250)+COUNTIFS($Z$2:Z250,Z250,$AG$2:AG250,AG250),"")</f>
        <v/>
      </c>
      <c r="AI250" s="28" t="str">
        <f t="shared" ca="1" si="38"/>
        <v/>
      </c>
      <c r="AJ250" s="28" t="str">
        <f t="shared" ca="1" si="39"/>
        <v/>
      </c>
      <c r="AK250" s="28">
        <f>IF(L250=1,IF(COUNTIFS($F$2:F250,F250,$L$2:L250,1)=1,1,0),0)</f>
        <v>1</v>
      </c>
      <c r="AL250" s="28" t="str">
        <f>IF(B250="","",IF(K250="DUPLICATE","Duplicate (removed)",IF(AO250=1,"Scheduled within 24h",IF(M250=1,"Scheduled late",IF(K250="BAD CONTACT","Bad contact details",IF(O250=1,"Stopped / wrong number",IF(N250=1,"Not interested",IF(P250=1,"Partner has no slots",IF(SETTINGS!$B$4&gt;=V250,IF(Q250=0,"Missed deadline: never tried","Missed deadline: tried, not booked"),IF(Q250&gt;=SETTINGS!$B$6,"No reply after max tries","Open"))))))))))</f>
        <v>Scheduled within 24h</v>
      </c>
      <c r="AM250" s="46">
        <f>IF(M250=1,IF(_xlfn.MINIFS(LOG!$G$2:$G$2001,LOG!$C$2:$C$2001,F250,LOG!$E$2:$E$2001,B250,LOG!$D$2:$D$2001,"*BOOKED")=0,_xlfn.MINIFS(LOG!$G$2:$G$2001,LOG!$C$2:$C$2001,F250,LOG!$E$2:$E$2001,"",LOG!$D$2:$D$2001,"*BOOKED"),IF(_xlfn.MINIFS(LOG!$G$2:$G$2001,LOG!$C$2:$C$2001,F250,LOG!$E$2:$E$2001,"",LOG!$D$2:$D$2001,"*BOOKED")=0,_xlfn.MINIFS(LOG!$G$2:$G$2001,LOG!$C$2:$C$2001,F250,LOG!$E$2:$E$2001,B250,LOG!$D$2:$D$2001,"*BOOKED"),MIN(_xlfn.MINIFS(LOG!$G$2:$G$2001,LOG!$C$2:$C$2001,F250,LOG!$E$2:$E$2001,B250,LOG!$D$2:$D$2001,"*BOOKED"),_xlfn.MINIFS(LOG!$G$2:$G$2001,LOG!$C$2:$C$2001,F250,LOG!$E$2:$E$2001,"",LOG!$D$2:$D$2001,"*BOOKED")))),"")</f>
        <v>46309.424850362724</v>
      </c>
      <c r="AN250" s="28">
        <f t="shared" si="40"/>
        <v>14.346408705459908</v>
      </c>
      <c r="AO250" s="28">
        <f>IF(AND(M250=1,AN250&lt;&gt;""),IF(AN250&lt;=SETTINGS!$B$5,1,0),0)</f>
        <v>1</v>
      </c>
      <c r="AP250" s="28">
        <f>IF(M250=1,IF(COUNTIFS(LOG!$C$2:$C$2001,F250,LOG!$E$2:$E$2001,B250,LOG!$D$2:$D$2001,"BOOKED")+COUNTIFS(LOG!$C$2:$C$2001,F250,LOG!$E$2:$E$2001,"",LOG!$D$2:$D$2001,"BOOKED")&gt;0,1,0),0)</f>
        <v>0</v>
      </c>
      <c r="AQ250" s="28" t="str">
        <f t="shared" si="41"/>
        <v>Rohan</v>
      </c>
      <c r="AR250" s="28">
        <f>IF(AND(AK250=1,K250="OK"),COUNTIFS($AK$2:AK250,1,$K$2:K250,"OK"),"")</f>
        <v>218</v>
      </c>
      <c r="AS250" s="28" t="str">
        <f>IF(L250=1,IFERROR(INDEX(MESSAGES!$J$9:$J$1008,MATCH(F250,MESSAGES!$M$9:$M$1008,0))&amp;"",""),"")</f>
        <v/>
      </c>
      <c r="AT250" s="28" t="str">
        <f>IF(L250=1,IFERROR(INDEX(MESSAGES!$K$9:$K$1008,MATCH(F250,MESSAGES!$M$9:$M$1008,0))&amp;"",""),"")</f>
        <v/>
      </c>
      <c r="AU250" s="28">
        <f t="shared" ca="1" si="42"/>
        <v>0</v>
      </c>
      <c r="AV250" s="28" t="str">
        <f t="shared" si="43"/>
        <v>HOLD</v>
      </c>
    </row>
    <row r="251" spans="1:48" x14ac:dyDescent="0.35">
      <c r="A251" s="28">
        <v>250</v>
      </c>
      <c r="B251" s="28" t="str">
        <f>IF(INPUT!A251="","",TRIM(INPUT!A251))</f>
        <v>Partner 017</v>
      </c>
      <c r="C251" s="28" t="str">
        <f>IF(B251="","",INPUT!C251)</f>
        <v>interviewer0@partner017.example.com</v>
      </c>
      <c r="D251" s="28" t="str">
        <f>IF(B251="","",INPUT!D251)</f>
        <v>Yash J.</v>
      </c>
      <c r="E251" s="28" t="str">
        <f>IF(B251="","",INPUT!E251)</f>
        <v>yash.j256@example.com</v>
      </c>
      <c r="F251" s="43" t="str">
        <f>IF(B251="","",TRIM(INPUT!F251&amp;""))</f>
        <v>9000003335</v>
      </c>
      <c r="G251" s="28" t="str">
        <f>IF(B251="","",INPUT!H251)</f>
        <v>Round1</v>
      </c>
      <c r="H251" s="46">
        <f>IF(B251="","",INPUT!I251)</f>
        <v>46308.82708333333</v>
      </c>
      <c r="I251" s="28" t="str">
        <f>IF(B251="","",IF(INPUT!J251="","None",INPUT!J251))</f>
        <v>Opened</v>
      </c>
      <c r="J251" s="28" t="str">
        <f t="shared" si="33"/>
        <v>yash.j256@example.com|partner 017|Round1|interviewer0@partner017.example.com</v>
      </c>
      <c r="K251" s="28" t="str">
        <f>IF(B251="","",IF(SUMPRODUCT(($J$2:$J$601=J251)*($H$2:$H$601&lt;H251))+SUMPRODUCT(($J$2:J251=J251)*($H$2:H251=H251))-1&gt;0,"DUPLICATE",IF(AND(ISNUMBER(SEARCH("@",E251)),ISNUMBER(SEARCH(".",E251)),LEN(F251)=10,ISNUMBER(VALUE(F251))),"OK","BAD CONTACT")))</f>
        <v>OK</v>
      </c>
      <c r="L251" s="28">
        <f t="shared" si="34"/>
        <v>1</v>
      </c>
      <c r="M251" s="28">
        <f>IF(L251=1,IF(COUNTIFS(LOG!$C$2:$C$2001,F251,LOG!$E$2:$E$2001,B251,LOG!$D$2:$D$2001,"*BOOKED")+COUNTIFS(LOG!$C$2:$C$2001,F251,LOG!$E$2:$E$2001,"",LOG!$D$2:$D$2001,"*BOOKED")&gt;0,1,0),0)</f>
        <v>0</v>
      </c>
      <c r="N251" s="28">
        <f>IF(L251=1,IF(COUNTIFS(LOG!$C$2:$C$2001,F251,LOG!$E$2:$E$2001,B251,LOG!$D$2:$D$2001,"NOT_INTERESTED")+COUNTIFS(LOG!$C$2:$C$2001,F251,LOG!$E$2:$E$2001,"",LOG!$D$2:$D$2001,"NOT_INTERESTED")&gt;0,1,0),0)</f>
        <v>0</v>
      </c>
      <c r="O251" s="28">
        <f>IF(L251=1,IF(COUNTIFS(LOG!$C$2:$C$2001,F251,LOG!$D$2:$D$2001,"STOP")+COUNTIFS(LOG!$C$2:$C$2001,F251,LOG!$D$2:$D$2001,"WRONG_NUMBER")&gt;0,1,IF(ISNUMBER(SEARCH("STOP",AT251)),1,0)),0)</f>
        <v>0</v>
      </c>
      <c r="P251" s="28">
        <f>IF(L251=1,IF(IFERROR(INDEX(PARTNERS!$D$2:$D$88,MATCH(B251,PARTNERS!$A$2:$A$88,0)),"")="NO SLOTS",1,IF(AND(IFERROR(INDEX(PARTNERS!$D$2:$D$88,MATCH(B251,PARTNERS!$A$2:$A$88,0)),"")&lt;&gt;"REOPENED",COUNTIFS(LOG!$E$2:$E$2001,B251,LOG!$D$2:$D$2001,"NO_SLOTS")&gt;0),1,0)),0)</f>
        <v>0</v>
      </c>
      <c r="Q251" s="28">
        <f>IF(L251=1,COUNTIFS(LOG!$C$2:$C$2001,F251,LOG!$H$2:$H$2001,1),0)</f>
        <v>0</v>
      </c>
      <c r="R251" s="46">
        <f>IF(Q251&gt;0,_xlfn.MAXIFS(LOG!$G$2:$G$2001,LOG!$C$2:$C$2001,F251,LOG!$H$2:$H$2001,1),0)</f>
        <v>0</v>
      </c>
      <c r="S251" s="28" t="str">
        <f>IF(Q251&gt;0,IFERROR(INDEX(LOG!$D$2:$D$2001,MATCH(F251&amp;"|"&amp;Q251,LOG!$I$2:$I$2001,0)),""),"")</f>
        <v/>
      </c>
      <c r="T251" s="28">
        <f>IF(S251="",0,IFERROR(VLOOKUP(S251,LISTS!$A$2:$E$10,4,FALSE),0))</f>
        <v>0</v>
      </c>
      <c r="U251" s="46">
        <f t="shared" si="35"/>
        <v>0</v>
      </c>
      <c r="V251" s="46">
        <f>IF(L251=1,H251+SETTINGS!$B$5/24,"")</f>
        <v>46309.82708333333</v>
      </c>
      <c r="W251" s="28">
        <f ca="1">IF(L251=1,(V251-SETTINGS!$B$4)*24,"")</f>
        <v>-1.6666666720993817E-2</v>
      </c>
      <c r="X251" s="28">
        <f ca="1">IF(AND(L251=1,K251="OK",M251=0,N251=0,O251=0,P251=0,SETTINGS!$B$4&lt;V251,Q251&lt;SETTINGS!$B$6),1,0)</f>
        <v>0</v>
      </c>
      <c r="Y251" s="28">
        <f ca="1">IF(AND(X251=1,SETTINGS!$B$4&gt;=H251,SETTINGS!$B$4&gt;=U251,ROUND(MOD(SETTINGS!$B$4,1)*1440,0)&gt;=ROUND(SETTINGS!$B$7*1440,0),ROUND(MOD(SETTINGS!$B$4,1)*1440,0)&lt;ROUND(SETTINGS!$B$8*1440,0)),1,0)</f>
        <v>0</v>
      </c>
      <c r="Z251" s="28" t="str">
        <f ca="1">IF(B251="","",IF(ROUND(MOD(SETTINGS!$B$4,1)*1440,0)&lt;ROUND(SETTINGS!$B$11*1440,0),"Ram",IF(ROUND(MOD(SETTINGS!$B$4,1)*1440,0)&gt;=ROUND(SETTINGS!$B$10*1440,0),"Shyam",IF(MOD(IFERROR(VALUE(RIGHT(F251,2)),0),2)=0,"Ram","Shyam"))))</f>
        <v>Shyam</v>
      </c>
      <c r="AA251" s="28">
        <f t="shared" ca="1" si="36"/>
        <v>0</v>
      </c>
      <c r="AB251" s="28">
        <f ca="1">IF(X251=1,COUNTIFS($F$2:F251,F251,$X$2:X251,1),0)</f>
        <v>0</v>
      </c>
      <c r="AC251" s="28" t="str">
        <f>IF(L251=1,IF(IFERROR(INDEX(PARTNERS!$C$2:$C$88,MATCH(B251,PARTNERS!$A$2:$A$88,0)),"")="YES","YES","NO"),"")</f>
        <v>YES</v>
      </c>
      <c r="AD251" s="28" t="str">
        <f>IF(L251=1,IFERROR(INDEX(PARTNERS!$B$2:$B$88,MATCH(B251,PARTNERS!$A$2:$A$88,0)),""),"")</f>
        <v>https://calendly.com/partner017/interview</v>
      </c>
      <c r="AE251" s="28">
        <f ca="1">IF(X251=1,IFERROR(INDEX(SETTINGS!$B$34:$D$36,MATCH(I251,SETTINGS!$A$34:$A$36,0),MIN(Q251,2)+1),SETTINGS!$B$36),0)</f>
        <v>0</v>
      </c>
      <c r="AF251" s="28">
        <f t="shared" si="37"/>
        <v>1</v>
      </c>
      <c r="AG251" s="28">
        <f ca="1">IF(AND(Y251=1,AB251=1),ROUND(AA251*AE251*IF(AF251&gt;1,SETTINGS!$B$16,1)*IF(W251&lt;=SETTINGS!$B$14,SETTINGS!$B$15,1)*IF(AU251=1,SETTINGS!$B$21,1),6),0)</f>
        <v>0</v>
      </c>
      <c r="AH251" s="28" t="str">
        <f ca="1">IF(AG251&gt;0,COUNTIFS($Z$2:$Z$601,Z251,$AG$2:$AG$601,"&gt;"&amp;AG251)+COUNTIFS($Z$2:Z251,Z251,$AG$2:AG251,AG251),"")</f>
        <v/>
      </c>
      <c r="AI251" s="28" t="str">
        <f t="shared" ca="1" si="38"/>
        <v/>
      </c>
      <c r="AJ251" s="28" t="str">
        <f t="shared" ca="1" si="39"/>
        <v/>
      </c>
      <c r="AK251" s="28">
        <f>IF(L251=1,IF(COUNTIFS($F$2:F251,F251,$L$2:L251,1)=1,1,0),0)</f>
        <v>1</v>
      </c>
      <c r="AL251" s="28" t="str">
        <f ca="1">IF(B251="","",IF(K251="DUPLICATE","Duplicate (removed)",IF(AO251=1,"Scheduled within 24h",IF(M251=1,"Scheduled late",IF(K251="BAD CONTACT","Bad contact details",IF(O251=1,"Stopped / wrong number",IF(N251=1,"Not interested",IF(P251=1,"Partner has no slots",IF(SETTINGS!$B$4&gt;=V251,IF(Q251=0,"Missed deadline: never tried","Missed deadline: tried, not booked"),IF(Q251&gt;=SETTINGS!$B$6,"No reply after max tries","Open"))))))))))</f>
        <v>Missed deadline: never tried</v>
      </c>
      <c r="AM251" s="46" t="str">
        <f>IF(M251=1,IF(_xlfn.MINIFS(LOG!$G$2:$G$2001,LOG!$C$2:$C$2001,F251,LOG!$E$2:$E$2001,B251,LOG!$D$2:$D$2001,"*BOOKED")=0,_xlfn.MINIFS(LOG!$G$2:$G$2001,LOG!$C$2:$C$2001,F251,LOG!$E$2:$E$2001,"",LOG!$D$2:$D$2001,"*BOOKED"),IF(_xlfn.MINIFS(LOG!$G$2:$G$2001,LOG!$C$2:$C$2001,F251,LOG!$E$2:$E$2001,"",LOG!$D$2:$D$2001,"*BOOKED")=0,_xlfn.MINIFS(LOG!$G$2:$G$2001,LOG!$C$2:$C$2001,F251,LOG!$E$2:$E$2001,B251,LOG!$D$2:$D$2001,"*BOOKED"),MIN(_xlfn.MINIFS(LOG!$G$2:$G$2001,LOG!$C$2:$C$2001,F251,LOG!$E$2:$E$2001,B251,LOG!$D$2:$D$2001,"*BOOKED"),_xlfn.MINIFS(LOG!$G$2:$G$2001,LOG!$C$2:$C$2001,F251,LOG!$E$2:$E$2001,"",LOG!$D$2:$D$2001,"*BOOKED")))),"")</f>
        <v/>
      </c>
      <c r="AN251" s="28" t="str">
        <f t="shared" si="40"/>
        <v/>
      </c>
      <c r="AO251" s="28">
        <f>IF(AND(M251=1,AN251&lt;&gt;""),IF(AN251&lt;=SETTINGS!$B$5,1,0),0)</f>
        <v>0</v>
      </c>
      <c r="AP251" s="28">
        <f>IF(M251=1,IF(COUNTIFS(LOG!$C$2:$C$2001,F251,LOG!$E$2:$E$2001,B251,LOG!$D$2:$D$2001,"BOOKED")+COUNTIFS(LOG!$C$2:$C$2001,F251,LOG!$E$2:$E$2001,"",LOG!$D$2:$D$2001,"BOOKED")&gt;0,1,0),0)</f>
        <v>0</v>
      </c>
      <c r="AQ251" s="28" t="str">
        <f t="shared" si="41"/>
        <v>Yash</v>
      </c>
      <c r="AR251" s="28">
        <f>IF(AND(AK251=1,K251="OK"),COUNTIFS($AK$2:AK251,1,$K$2:K251,"OK"),"")</f>
        <v>219</v>
      </c>
      <c r="AS251" s="28" t="str">
        <f>IF(L251=1,IFERROR(INDEX(MESSAGES!$J$9:$J$1008,MATCH(F251,MESSAGES!$M$9:$M$1008,0))&amp;"",""),"")</f>
        <v/>
      </c>
      <c r="AT251" s="28" t="str">
        <f>IF(L251=1,IFERROR(INDEX(MESSAGES!$K$9:$K$1008,MATCH(F251,MESSAGES!$M$9:$M$1008,0))&amp;"",""),"")</f>
        <v/>
      </c>
      <c r="AU251" s="28">
        <f t="shared" ca="1" si="42"/>
        <v>0</v>
      </c>
      <c r="AV251" s="28" t="str">
        <f t="shared" si="43"/>
        <v>HOLD</v>
      </c>
    </row>
    <row r="252" spans="1:48" x14ac:dyDescent="0.35">
      <c r="A252" s="28">
        <v>251</v>
      </c>
      <c r="B252" s="28" t="str">
        <f>IF(INPUT!A252="","",TRIM(INPUT!A252))</f>
        <v>Partner 005</v>
      </c>
      <c r="C252" s="28" t="str">
        <f>IF(B252="","",INPUT!C252)</f>
        <v>interviewer0@partner005.example.com</v>
      </c>
      <c r="D252" s="28" t="str">
        <f>IF(B252="","",INPUT!D252)</f>
        <v>Diya K.</v>
      </c>
      <c r="E252" s="28" t="str">
        <f>IF(B252="","",INPUT!E252)</f>
        <v>diya.k271@example.com</v>
      </c>
      <c r="F252" s="43" t="str">
        <f>IF(B252="","",TRIM(INPUT!F252&amp;""))</f>
        <v>9000003530</v>
      </c>
      <c r="G252" s="28" t="str">
        <f>IF(B252="","",INPUT!H252)</f>
        <v>Round1</v>
      </c>
      <c r="H252" s="46">
        <f>IF(B252="","",INPUT!I252)</f>
        <v>46308.82708333333</v>
      </c>
      <c r="I252" s="28" t="str">
        <f>IF(B252="","",IF(INPUT!J252="","None",INPUT!J252))</f>
        <v>Clicked</v>
      </c>
      <c r="J252" s="28" t="str">
        <f t="shared" si="33"/>
        <v>diya.k271@example.com|partner 005|Round1|interviewer0@partner005.example.com</v>
      </c>
      <c r="K252" s="28" t="str">
        <f>IF(B252="","",IF(SUMPRODUCT(($J$2:$J$601=J252)*($H$2:$H$601&lt;H252))+SUMPRODUCT(($J$2:J252=J252)*($H$2:H252=H252))-1&gt;0,"DUPLICATE",IF(AND(ISNUMBER(SEARCH("@",E252)),ISNUMBER(SEARCH(".",E252)),LEN(F252)=10,ISNUMBER(VALUE(F252))),"OK","BAD CONTACT")))</f>
        <v>OK</v>
      </c>
      <c r="L252" s="28">
        <f t="shared" si="34"/>
        <v>1</v>
      </c>
      <c r="M252" s="28">
        <f>IF(L252=1,IF(COUNTIFS(LOG!$C$2:$C$2001,F252,LOG!$E$2:$E$2001,B252,LOG!$D$2:$D$2001,"*BOOKED")+COUNTIFS(LOG!$C$2:$C$2001,F252,LOG!$E$2:$E$2001,"",LOG!$D$2:$D$2001,"*BOOKED")&gt;0,1,0),0)</f>
        <v>1</v>
      </c>
      <c r="N252" s="28">
        <f>IF(L252=1,IF(COUNTIFS(LOG!$C$2:$C$2001,F252,LOG!$E$2:$E$2001,B252,LOG!$D$2:$D$2001,"NOT_INTERESTED")+COUNTIFS(LOG!$C$2:$C$2001,F252,LOG!$E$2:$E$2001,"",LOG!$D$2:$D$2001,"NOT_INTERESTED")&gt;0,1,0),0)</f>
        <v>0</v>
      </c>
      <c r="O252" s="28">
        <f>IF(L252=1,IF(COUNTIFS(LOG!$C$2:$C$2001,F252,LOG!$D$2:$D$2001,"STOP")+COUNTIFS(LOG!$C$2:$C$2001,F252,LOG!$D$2:$D$2001,"WRONG_NUMBER")&gt;0,1,IF(ISNUMBER(SEARCH("STOP",AT252)),1,0)),0)</f>
        <v>0</v>
      </c>
      <c r="P252" s="28">
        <f>IF(L252=1,IF(IFERROR(INDEX(PARTNERS!$D$2:$D$88,MATCH(B252,PARTNERS!$A$2:$A$88,0)),"")="NO SLOTS",1,IF(AND(IFERROR(INDEX(PARTNERS!$D$2:$D$88,MATCH(B252,PARTNERS!$A$2:$A$88,0)),"")&lt;&gt;"REOPENED",COUNTIFS(LOG!$E$2:$E$2001,B252,LOG!$D$2:$D$2001,"NO_SLOTS")&gt;0),1,0)),0)</f>
        <v>0</v>
      </c>
      <c r="Q252" s="28">
        <f>IF(L252=1,COUNTIFS(LOG!$C$2:$C$2001,F252,LOG!$H$2:$H$2001,1),0)</f>
        <v>1</v>
      </c>
      <c r="R252" s="46">
        <f>IF(Q252&gt;0,_xlfn.MAXIFS(LOG!$G$2:$G$2001,LOG!$C$2:$C$2001,F252,LOG!$H$2:$H$2001,1),0)</f>
        <v>46309.445155305628</v>
      </c>
      <c r="S252" s="28" t="str">
        <f>IF(Q252&gt;0,IFERROR(INDEX(LOG!$D$2:$D$2001,MATCH(F252&amp;"|"&amp;Q252,LOG!$I$2:$I$2001,0)),""),"")</f>
        <v>BOOKED</v>
      </c>
      <c r="T252" s="28">
        <f>IF(S252="",0,IFERROR(VLOOKUP(S252,LISTS!$A$2:$E$10,4,FALSE),0))</f>
        <v>0</v>
      </c>
      <c r="U252" s="46">
        <f t="shared" si="35"/>
        <v>46309.445155305628</v>
      </c>
      <c r="V252" s="46">
        <f>IF(L252=1,H252+SETTINGS!$B$5/24,"")</f>
        <v>46309.82708333333</v>
      </c>
      <c r="W252" s="28">
        <f ca="1">IF(L252=1,(V252-SETTINGS!$B$4)*24,"")</f>
        <v>-1.6666666720993817E-2</v>
      </c>
      <c r="X252" s="28">
        <f ca="1">IF(AND(L252=1,K252="OK",M252=0,N252=0,O252=0,P252=0,SETTINGS!$B$4&lt;V252,Q252&lt;SETTINGS!$B$6),1,0)</f>
        <v>0</v>
      </c>
      <c r="Y252" s="28">
        <f ca="1">IF(AND(X252=1,SETTINGS!$B$4&gt;=H252,SETTINGS!$B$4&gt;=U252,ROUND(MOD(SETTINGS!$B$4,1)*1440,0)&gt;=ROUND(SETTINGS!$B$7*1440,0),ROUND(MOD(SETTINGS!$B$4,1)*1440,0)&lt;ROUND(SETTINGS!$B$8*1440,0)),1,0)</f>
        <v>0</v>
      </c>
      <c r="Z252" s="28" t="str">
        <f ca="1">IF(B252="","",IF(ROUND(MOD(SETTINGS!$B$4,1)*1440,0)&lt;ROUND(SETTINGS!$B$11*1440,0),"Ram",IF(ROUND(MOD(SETTINGS!$B$4,1)*1440,0)&gt;=ROUND(SETTINGS!$B$10*1440,0),"Shyam",IF(MOD(IFERROR(VALUE(RIGHT(F252,2)),0),2)=0,"Ram","Shyam"))))</f>
        <v>Shyam</v>
      </c>
      <c r="AA252" s="28">
        <f t="shared" ca="1" si="36"/>
        <v>0</v>
      </c>
      <c r="AB252" s="28">
        <f ca="1">IF(X252=1,COUNTIFS($F$2:F252,F252,$X$2:X252,1),0)</f>
        <v>0</v>
      </c>
      <c r="AC252" s="28" t="str">
        <f>IF(L252=1,IF(IFERROR(INDEX(PARTNERS!$C$2:$C$88,MATCH(B252,PARTNERS!$A$2:$A$88,0)),"")="YES","YES","NO"),"")</f>
        <v>YES</v>
      </c>
      <c r="AD252" s="28" t="str">
        <f>IF(L252=1,IFERROR(INDEX(PARTNERS!$B$2:$B$88,MATCH(B252,PARTNERS!$A$2:$A$88,0)),""),"")</f>
        <v>https://calendly.com/partner005/interview</v>
      </c>
      <c r="AE252" s="28">
        <f ca="1">IF(X252=1,IFERROR(INDEX(SETTINGS!$B$34:$D$36,MATCH(I252,SETTINGS!$A$34:$A$36,0),MIN(Q252,2)+1),SETTINGS!$B$36),0)</f>
        <v>0</v>
      </c>
      <c r="AF252" s="28">
        <f t="shared" si="37"/>
        <v>1</v>
      </c>
      <c r="AG252" s="28">
        <f ca="1">IF(AND(Y252=1,AB252=1),ROUND(AA252*AE252*IF(AF252&gt;1,SETTINGS!$B$16,1)*IF(W252&lt;=SETTINGS!$B$14,SETTINGS!$B$15,1)*IF(AU252=1,SETTINGS!$B$21,1),6),0)</f>
        <v>0</v>
      </c>
      <c r="AH252" s="28" t="str">
        <f ca="1">IF(AG252&gt;0,COUNTIFS($Z$2:$Z$601,Z252,$AG$2:$AG$601,"&gt;"&amp;AG252)+COUNTIFS($Z$2:Z252,Z252,$AG$2:AG252,AG252),"")</f>
        <v/>
      </c>
      <c r="AI252" s="28" t="str">
        <f t="shared" ca="1" si="38"/>
        <v/>
      </c>
      <c r="AJ252" s="28" t="str">
        <f t="shared" ca="1" si="39"/>
        <v/>
      </c>
      <c r="AK252" s="28">
        <f>IF(L252=1,IF(COUNTIFS($F$2:F252,F252,$L$2:L252,1)=1,1,0),0)</f>
        <v>0</v>
      </c>
      <c r="AL252" s="28" t="str">
        <f>IF(B252="","",IF(K252="DUPLICATE","Duplicate (removed)",IF(AO252=1,"Scheduled within 24h",IF(M252=1,"Scheduled late",IF(K252="BAD CONTACT","Bad contact details",IF(O252=1,"Stopped / wrong number",IF(N252=1,"Not interested",IF(P252=1,"Partner has no slots",IF(SETTINGS!$B$4&gt;=V252,IF(Q252=0,"Missed deadline: never tried","Missed deadline: tried, not booked"),IF(Q252&gt;=SETTINGS!$B$6,"No reply after max tries","Open"))))))))))</f>
        <v>Scheduled within 24h</v>
      </c>
      <c r="AM252" s="46">
        <f>IF(M252=1,IF(_xlfn.MINIFS(LOG!$G$2:$G$2001,LOG!$C$2:$C$2001,F252,LOG!$E$2:$E$2001,B252,LOG!$D$2:$D$2001,"*BOOKED")=0,_xlfn.MINIFS(LOG!$G$2:$G$2001,LOG!$C$2:$C$2001,F252,LOG!$E$2:$E$2001,"",LOG!$D$2:$D$2001,"*BOOKED"),IF(_xlfn.MINIFS(LOG!$G$2:$G$2001,LOG!$C$2:$C$2001,F252,LOG!$E$2:$E$2001,"",LOG!$D$2:$D$2001,"*BOOKED")=0,_xlfn.MINIFS(LOG!$G$2:$G$2001,LOG!$C$2:$C$2001,F252,LOG!$E$2:$E$2001,B252,LOG!$D$2:$D$2001,"*BOOKED"),MIN(_xlfn.MINIFS(LOG!$G$2:$G$2001,LOG!$C$2:$C$2001,F252,LOG!$E$2:$E$2001,B252,LOG!$D$2:$D$2001,"*BOOKED"),_xlfn.MINIFS(LOG!$G$2:$G$2001,LOG!$C$2:$C$2001,F252,LOG!$E$2:$E$2001,"",LOG!$D$2:$D$2001,"*BOOKED")))),"")</f>
        <v>46309.445155305628</v>
      </c>
      <c r="AN252" s="28">
        <f t="shared" si="40"/>
        <v>14.833727335149888</v>
      </c>
      <c r="AO252" s="28">
        <f>IF(AND(M252=1,AN252&lt;&gt;""),IF(AN252&lt;=SETTINGS!$B$5,1,0),0)</f>
        <v>1</v>
      </c>
      <c r="AP252" s="28">
        <f>IF(M252=1,IF(COUNTIFS(LOG!$C$2:$C$2001,F252,LOG!$E$2:$E$2001,B252,LOG!$D$2:$D$2001,"BOOKED")+COUNTIFS(LOG!$C$2:$C$2001,F252,LOG!$E$2:$E$2001,"",LOG!$D$2:$D$2001,"BOOKED")&gt;0,1,0),0)</f>
        <v>1</v>
      </c>
      <c r="AQ252" s="28" t="str">
        <f t="shared" si="41"/>
        <v>Diya</v>
      </c>
      <c r="AR252" s="28" t="str">
        <f>IF(AND(AK252=1,K252="OK"),COUNTIFS($AK$2:AK252,1,$K$2:K252,"OK"),"")</f>
        <v/>
      </c>
      <c r="AS252" s="28" t="str">
        <f>IF(L252=1,IFERROR(INDEX(MESSAGES!$J$9:$J$1008,MATCH(F252,MESSAGES!$M$9:$M$1008,0))&amp;"",""),"")</f>
        <v/>
      </c>
      <c r="AT252" s="28" t="str">
        <f>IF(L252=1,IFERROR(INDEX(MESSAGES!$K$9:$K$1008,MATCH(F252,MESSAGES!$M$9:$M$1008,0))&amp;"",""),"")</f>
        <v/>
      </c>
      <c r="AU252" s="28">
        <f t="shared" ca="1" si="42"/>
        <v>0</v>
      </c>
      <c r="AV252" s="28" t="str">
        <f t="shared" si="43"/>
        <v>HOLD</v>
      </c>
    </row>
    <row r="253" spans="1:48" x14ac:dyDescent="0.35">
      <c r="A253" s="28">
        <v>252</v>
      </c>
      <c r="B253" s="28" t="str">
        <f>IF(INPUT!A253="","",TRIM(INPUT!A253))</f>
        <v>Partner 038</v>
      </c>
      <c r="C253" s="28" t="str">
        <f>IF(B253="","",INPUT!C253)</f>
        <v>interviewer2@partner038.example.com</v>
      </c>
      <c r="D253" s="28" t="str">
        <f>IF(B253="","",INPUT!D253)</f>
        <v>Pooja D.</v>
      </c>
      <c r="E253" s="28" t="str">
        <f>IF(B253="","",INPUT!E253)</f>
        <v>pooja.d111@example.com</v>
      </c>
      <c r="F253" s="43" t="str">
        <f>IF(B253="","",TRIM(INPUT!F253&amp;""))</f>
        <v>9000001450</v>
      </c>
      <c r="G253" s="28" t="str">
        <f>IF(B253="","",INPUT!H253)</f>
        <v>Round1</v>
      </c>
      <c r="H253" s="46">
        <f>IF(B253="","",INPUT!I253)</f>
        <v>46308.82708333333</v>
      </c>
      <c r="I253" s="28" t="str">
        <f>IF(B253="","",IF(INPUT!J253="","None",INPUT!J253))</f>
        <v>Opened</v>
      </c>
      <c r="J253" s="28" t="str">
        <f t="shared" si="33"/>
        <v>pooja.d111@example.com|partner 038|Round1|interviewer2@partner038.example.com</v>
      </c>
      <c r="K253" s="28" t="str">
        <f>IF(B253="","",IF(SUMPRODUCT(($J$2:$J$601=J253)*($H$2:$H$601&lt;H253))+SUMPRODUCT(($J$2:J253=J253)*($H$2:H253=H253))-1&gt;0,"DUPLICATE",IF(AND(ISNUMBER(SEARCH("@",E253)),ISNUMBER(SEARCH(".",E253)),LEN(F253)=10,ISNUMBER(VALUE(F253))),"OK","BAD CONTACT")))</f>
        <v>OK</v>
      </c>
      <c r="L253" s="28">
        <f t="shared" si="34"/>
        <v>1</v>
      </c>
      <c r="M253" s="28">
        <f>IF(L253=1,IF(COUNTIFS(LOG!$C$2:$C$2001,F253,LOG!$E$2:$E$2001,B253,LOG!$D$2:$D$2001,"*BOOKED")+COUNTIFS(LOG!$C$2:$C$2001,F253,LOG!$E$2:$E$2001,"",LOG!$D$2:$D$2001,"*BOOKED")&gt;0,1,0),0)</f>
        <v>1</v>
      </c>
      <c r="N253" s="28">
        <f>IF(L253=1,IF(COUNTIFS(LOG!$C$2:$C$2001,F253,LOG!$E$2:$E$2001,B253,LOG!$D$2:$D$2001,"NOT_INTERESTED")+COUNTIFS(LOG!$C$2:$C$2001,F253,LOG!$E$2:$E$2001,"",LOG!$D$2:$D$2001,"NOT_INTERESTED")&gt;0,1,0),0)</f>
        <v>0</v>
      </c>
      <c r="O253" s="28">
        <f>IF(L253=1,IF(COUNTIFS(LOG!$C$2:$C$2001,F253,LOG!$D$2:$D$2001,"STOP")+COUNTIFS(LOG!$C$2:$C$2001,F253,LOG!$D$2:$D$2001,"WRONG_NUMBER")&gt;0,1,IF(ISNUMBER(SEARCH("STOP",AT253)),1,0)),0)</f>
        <v>0</v>
      </c>
      <c r="P253" s="28">
        <f>IF(L253=1,IF(IFERROR(INDEX(PARTNERS!$D$2:$D$88,MATCH(B253,PARTNERS!$A$2:$A$88,0)),"")="NO SLOTS",1,IF(AND(IFERROR(INDEX(PARTNERS!$D$2:$D$88,MATCH(B253,PARTNERS!$A$2:$A$88,0)),"")&lt;&gt;"REOPENED",COUNTIFS(LOG!$E$2:$E$2001,B253,LOG!$D$2:$D$2001,"NO_SLOTS")&gt;0),1,0)),0)</f>
        <v>0</v>
      </c>
      <c r="Q253" s="28">
        <f>IF(L253=1,COUNTIFS(LOG!$C$2:$C$2001,F253,LOG!$H$2:$H$2001,1),0)</f>
        <v>0</v>
      </c>
      <c r="R253" s="46">
        <f>IF(Q253&gt;0,_xlfn.MAXIFS(LOG!$G$2:$G$2001,LOG!$C$2:$C$2001,F253,LOG!$H$2:$H$2001,1),0)</f>
        <v>0</v>
      </c>
      <c r="S253" s="28" t="str">
        <f>IF(Q253&gt;0,IFERROR(INDEX(LOG!$D$2:$D$2001,MATCH(F253&amp;"|"&amp;Q253,LOG!$I$2:$I$2001,0)),""),"")</f>
        <v/>
      </c>
      <c r="T253" s="28">
        <f>IF(S253="",0,IFERROR(VLOOKUP(S253,LISTS!$A$2:$E$10,4,FALSE),0))</f>
        <v>0</v>
      </c>
      <c r="U253" s="46">
        <f t="shared" si="35"/>
        <v>0</v>
      </c>
      <c r="V253" s="46">
        <f>IF(L253=1,H253+SETTINGS!$B$5/24,"")</f>
        <v>46309.82708333333</v>
      </c>
      <c r="W253" s="28">
        <f ca="1">IF(L253=1,(V253-SETTINGS!$B$4)*24,"")</f>
        <v>-1.6666666720993817E-2</v>
      </c>
      <c r="X253" s="28">
        <f ca="1">IF(AND(L253=1,K253="OK",M253=0,N253=0,O253=0,P253=0,SETTINGS!$B$4&lt;V253,Q253&lt;SETTINGS!$B$6),1,0)</f>
        <v>0</v>
      </c>
      <c r="Y253" s="28">
        <f ca="1">IF(AND(X253=1,SETTINGS!$B$4&gt;=H253,SETTINGS!$B$4&gt;=U253,ROUND(MOD(SETTINGS!$B$4,1)*1440,0)&gt;=ROUND(SETTINGS!$B$7*1440,0),ROUND(MOD(SETTINGS!$B$4,1)*1440,0)&lt;ROUND(SETTINGS!$B$8*1440,0)),1,0)</f>
        <v>0</v>
      </c>
      <c r="Z253" s="28" t="str">
        <f ca="1">IF(B253="","",IF(ROUND(MOD(SETTINGS!$B$4,1)*1440,0)&lt;ROUND(SETTINGS!$B$11*1440,0),"Ram",IF(ROUND(MOD(SETTINGS!$B$4,1)*1440,0)&gt;=ROUND(SETTINGS!$B$10*1440,0),"Shyam",IF(MOD(IFERROR(VALUE(RIGHT(F253,2)),0),2)=0,"Ram","Shyam"))))</f>
        <v>Shyam</v>
      </c>
      <c r="AA253" s="28">
        <f t="shared" ca="1" si="36"/>
        <v>0</v>
      </c>
      <c r="AB253" s="28">
        <f ca="1">IF(X253=1,COUNTIFS($F$2:F253,F253,$X$2:X253,1),0)</f>
        <v>0</v>
      </c>
      <c r="AC253" s="28" t="str">
        <f>IF(L253=1,IF(IFERROR(INDEX(PARTNERS!$C$2:$C$88,MATCH(B253,PARTNERS!$A$2:$A$88,0)),"")="YES","YES","NO"),"")</f>
        <v>NO</v>
      </c>
      <c r="AD253" s="28" t="str">
        <f>IF(L253=1,IFERROR(INDEX(PARTNERS!$B$2:$B$88,MATCH(B253,PARTNERS!$A$2:$A$88,0)),""),"")</f>
        <v>https://calendly.com/partner038/interview</v>
      </c>
      <c r="AE253" s="28">
        <f ca="1">IF(X253=1,IFERROR(INDEX(SETTINGS!$B$34:$D$36,MATCH(I253,SETTINGS!$A$34:$A$36,0),MIN(Q253,2)+1),SETTINGS!$B$36),0)</f>
        <v>0</v>
      </c>
      <c r="AF253" s="28">
        <f t="shared" si="37"/>
        <v>1</v>
      </c>
      <c r="AG253" s="28">
        <f ca="1">IF(AND(Y253=1,AB253=1),ROUND(AA253*AE253*IF(AF253&gt;1,SETTINGS!$B$16,1)*IF(W253&lt;=SETTINGS!$B$14,SETTINGS!$B$15,1)*IF(AU253=1,SETTINGS!$B$21,1),6),0)</f>
        <v>0</v>
      </c>
      <c r="AH253" s="28" t="str">
        <f ca="1">IF(AG253&gt;0,COUNTIFS($Z$2:$Z$601,Z253,$AG$2:$AG$601,"&gt;"&amp;AG253)+COUNTIFS($Z$2:Z253,Z253,$AG$2:AG253,AG253),"")</f>
        <v/>
      </c>
      <c r="AI253" s="28" t="str">
        <f t="shared" ca="1" si="38"/>
        <v/>
      </c>
      <c r="AJ253" s="28" t="str">
        <f t="shared" ca="1" si="39"/>
        <v/>
      </c>
      <c r="AK253" s="28">
        <f>IF(L253=1,IF(COUNTIFS($F$2:F253,F253,$L$2:L253,1)=1,1,0),0)</f>
        <v>1</v>
      </c>
      <c r="AL253" s="28" t="str">
        <f>IF(B253="","",IF(K253="DUPLICATE","Duplicate (removed)",IF(AO253=1,"Scheduled within 24h",IF(M253=1,"Scheduled late",IF(K253="BAD CONTACT","Bad contact details",IF(O253=1,"Stopped / wrong number",IF(N253=1,"Not interested",IF(P253=1,"Partner has no slots",IF(SETTINGS!$B$4&gt;=V253,IF(Q253=0,"Missed deadline: never tried","Missed deadline: tried, not booked"),IF(Q253&gt;=SETTINGS!$B$6,"No reply after max tries","Open"))))))))))</f>
        <v>Scheduled within 24h</v>
      </c>
      <c r="AM253" s="46">
        <f>IF(M253=1,IF(_xlfn.MINIFS(LOG!$G$2:$G$2001,LOG!$C$2:$C$2001,F253,LOG!$E$2:$E$2001,B253,LOG!$D$2:$D$2001,"*BOOKED")=0,_xlfn.MINIFS(LOG!$G$2:$G$2001,LOG!$C$2:$C$2001,F253,LOG!$E$2:$E$2001,"",LOG!$D$2:$D$2001,"*BOOKED"),IF(_xlfn.MINIFS(LOG!$G$2:$G$2001,LOG!$C$2:$C$2001,F253,LOG!$E$2:$E$2001,"",LOG!$D$2:$D$2001,"*BOOKED")=0,_xlfn.MINIFS(LOG!$G$2:$G$2001,LOG!$C$2:$C$2001,F253,LOG!$E$2:$E$2001,B253,LOG!$D$2:$D$2001,"*BOOKED"),MIN(_xlfn.MINIFS(LOG!$G$2:$G$2001,LOG!$C$2:$C$2001,F253,LOG!$E$2:$E$2001,B253,LOG!$D$2:$D$2001,"*BOOKED"),_xlfn.MINIFS(LOG!$G$2:$G$2001,LOG!$C$2:$C$2001,F253,LOG!$E$2:$E$2001,"",LOG!$D$2:$D$2001,"*BOOKED")))),"")</f>
        <v>46309.33888341362</v>
      </c>
      <c r="AN253" s="28">
        <f t="shared" si="40"/>
        <v>12.283201926969923</v>
      </c>
      <c r="AO253" s="28">
        <f>IF(AND(M253=1,AN253&lt;&gt;""),IF(AN253&lt;=SETTINGS!$B$5,1,0),0)</f>
        <v>1</v>
      </c>
      <c r="AP253" s="28">
        <f>IF(M253=1,IF(COUNTIFS(LOG!$C$2:$C$2001,F253,LOG!$E$2:$E$2001,B253,LOG!$D$2:$D$2001,"BOOKED")+COUNTIFS(LOG!$C$2:$C$2001,F253,LOG!$E$2:$E$2001,"",LOG!$D$2:$D$2001,"BOOKED")&gt;0,1,0),0)</f>
        <v>0</v>
      </c>
      <c r="AQ253" s="28" t="str">
        <f t="shared" si="41"/>
        <v>Pooja</v>
      </c>
      <c r="AR253" s="28">
        <f>IF(AND(AK253=1,K253="OK"),COUNTIFS($AK$2:AK253,1,$K$2:K253,"OK"),"")</f>
        <v>220</v>
      </c>
      <c r="AS253" s="28" t="str">
        <f>IF(L253=1,IFERROR(INDEX(MESSAGES!$J$9:$J$1008,MATCH(F253,MESSAGES!$M$9:$M$1008,0))&amp;"",""),"")</f>
        <v/>
      </c>
      <c r="AT253" s="28" t="str">
        <f>IF(L253=1,IFERROR(INDEX(MESSAGES!$K$9:$K$1008,MATCH(F253,MESSAGES!$M$9:$M$1008,0))&amp;"",""),"")</f>
        <v/>
      </c>
      <c r="AU253" s="28">
        <f t="shared" ca="1" si="42"/>
        <v>0</v>
      </c>
      <c r="AV253" s="28" t="str">
        <f t="shared" si="43"/>
        <v>HOLD</v>
      </c>
    </row>
    <row r="254" spans="1:48" x14ac:dyDescent="0.35">
      <c r="A254" s="28">
        <v>253</v>
      </c>
      <c r="B254" s="28" t="str">
        <f>IF(INPUT!A254="","",TRIM(INPUT!A254))</f>
        <v>Partner 013</v>
      </c>
      <c r="C254" s="28" t="str">
        <f>IF(B254="","",INPUT!C254)</f>
        <v>interviewer0@partner013.example.com</v>
      </c>
      <c r="D254" s="28" t="str">
        <f>IF(B254="","",INPUT!D254)</f>
        <v>Kabir E.</v>
      </c>
      <c r="E254" s="28" t="str">
        <f>IF(B254="","",INPUT!E254)</f>
        <v>kabir.e122@example.com</v>
      </c>
      <c r="F254" s="43" t="str">
        <f>IF(B254="","",TRIM(INPUT!F254&amp;""))</f>
        <v>9000001593</v>
      </c>
      <c r="G254" s="28" t="str">
        <f>IF(B254="","",INPUT!H254)</f>
        <v>Round1</v>
      </c>
      <c r="H254" s="46">
        <f>IF(B254="","",INPUT!I254)</f>
        <v>46308.82708333333</v>
      </c>
      <c r="I254" s="28" t="str">
        <f>IF(B254="","",IF(INPUT!J254="","None",INPUT!J254))</f>
        <v>Opened</v>
      </c>
      <c r="J254" s="28" t="str">
        <f t="shared" si="33"/>
        <v>kabir.e122@example.com|partner 013|Round1|interviewer0@partner013.example.com</v>
      </c>
      <c r="K254" s="28" t="str">
        <f>IF(B254="","",IF(SUMPRODUCT(($J$2:$J$601=J254)*($H$2:$H$601&lt;H254))+SUMPRODUCT(($J$2:J254=J254)*($H$2:H254=H254))-1&gt;0,"DUPLICATE",IF(AND(ISNUMBER(SEARCH("@",E254)),ISNUMBER(SEARCH(".",E254)),LEN(F254)=10,ISNUMBER(VALUE(F254))),"OK","BAD CONTACT")))</f>
        <v>OK</v>
      </c>
      <c r="L254" s="28">
        <f t="shared" si="34"/>
        <v>1</v>
      </c>
      <c r="M254" s="28">
        <f>IF(L254=1,IF(COUNTIFS(LOG!$C$2:$C$2001,F254,LOG!$E$2:$E$2001,B254,LOG!$D$2:$D$2001,"*BOOKED")+COUNTIFS(LOG!$C$2:$C$2001,F254,LOG!$E$2:$E$2001,"",LOG!$D$2:$D$2001,"*BOOKED")&gt;0,1,0),0)</f>
        <v>0</v>
      </c>
      <c r="N254" s="28">
        <f>IF(L254=1,IF(COUNTIFS(LOG!$C$2:$C$2001,F254,LOG!$E$2:$E$2001,B254,LOG!$D$2:$D$2001,"NOT_INTERESTED")+COUNTIFS(LOG!$C$2:$C$2001,F254,LOG!$E$2:$E$2001,"",LOG!$D$2:$D$2001,"NOT_INTERESTED")&gt;0,1,0),0)</f>
        <v>0</v>
      </c>
      <c r="O254" s="28">
        <f>IF(L254=1,IF(COUNTIFS(LOG!$C$2:$C$2001,F254,LOG!$D$2:$D$2001,"STOP")+COUNTIFS(LOG!$C$2:$C$2001,F254,LOG!$D$2:$D$2001,"WRONG_NUMBER")&gt;0,1,IF(ISNUMBER(SEARCH("STOP",AT254)),1,0)),0)</f>
        <v>0</v>
      </c>
      <c r="P254" s="28">
        <f>IF(L254=1,IF(IFERROR(INDEX(PARTNERS!$D$2:$D$88,MATCH(B254,PARTNERS!$A$2:$A$88,0)),"")="NO SLOTS",1,IF(AND(IFERROR(INDEX(PARTNERS!$D$2:$D$88,MATCH(B254,PARTNERS!$A$2:$A$88,0)),"")&lt;&gt;"REOPENED",COUNTIFS(LOG!$E$2:$E$2001,B254,LOG!$D$2:$D$2001,"NO_SLOTS")&gt;0),1,0)),0)</f>
        <v>0</v>
      </c>
      <c r="Q254" s="28">
        <f>IF(L254=1,COUNTIFS(LOG!$C$2:$C$2001,F254,LOG!$H$2:$H$2001,1),0)</f>
        <v>0</v>
      </c>
      <c r="R254" s="46">
        <f>IF(Q254&gt;0,_xlfn.MAXIFS(LOG!$G$2:$G$2001,LOG!$C$2:$C$2001,F254,LOG!$H$2:$H$2001,1),0)</f>
        <v>0</v>
      </c>
      <c r="S254" s="28" t="str">
        <f>IF(Q254&gt;0,IFERROR(INDEX(LOG!$D$2:$D$2001,MATCH(F254&amp;"|"&amp;Q254,LOG!$I$2:$I$2001,0)),""),"")</f>
        <v/>
      </c>
      <c r="T254" s="28">
        <f>IF(S254="",0,IFERROR(VLOOKUP(S254,LISTS!$A$2:$E$10,4,FALSE),0))</f>
        <v>0</v>
      </c>
      <c r="U254" s="46">
        <f t="shared" si="35"/>
        <v>0</v>
      </c>
      <c r="V254" s="46">
        <f>IF(L254=1,H254+SETTINGS!$B$5/24,"")</f>
        <v>46309.82708333333</v>
      </c>
      <c r="W254" s="28">
        <f ca="1">IF(L254=1,(V254-SETTINGS!$B$4)*24,"")</f>
        <v>-1.6666666720993817E-2</v>
      </c>
      <c r="X254" s="28">
        <f ca="1">IF(AND(L254=1,K254="OK",M254=0,N254=0,O254=0,P254=0,SETTINGS!$B$4&lt;V254,Q254&lt;SETTINGS!$B$6),1,0)</f>
        <v>0</v>
      </c>
      <c r="Y254" s="28">
        <f ca="1">IF(AND(X254=1,SETTINGS!$B$4&gt;=H254,SETTINGS!$B$4&gt;=U254,ROUND(MOD(SETTINGS!$B$4,1)*1440,0)&gt;=ROUND(SETTINGS!$B$7*1440,0),ROUND(MOD(SETTINGS!$B$4,1)*1440,0)&lt;ROUND(SETTINGS!$B$8*1440,0)),1,0)</f>
        <v>0</v>
      </c>
      <c r="Z254" s="28" t="str">
        <f ca="1">IF(B254="","",IF(ROUND(MOD(SETTINGS!$B$4,1)*1440,0)&lt;ROUND(SETTINGS!$B$11*1440,0),"Ram",IF(ROUND(MOD(SETTINGS!$B$4,1)*1440,0)&gt;=ROUND(SETTINGS!$B$10*1440,0),"Shyam",IF(MOD(IFERROR(VALUE(RIGHT(F254,2)),0),2)=0,"Ram","Shyam"))))</f>
        <v>Shyam</v>
      </c>
      <c r="AA254" s="28">
        <f t="shared" ca="1" si="36"/>
        <v>0</v>
      </c>
      <c r="AB254" s="28">
        <f ca="1">IF(X254=1,COUNTIFS($F$2:F254,F254,$X$2:X254,1),0)</f>
        <v>0</v>
      </c>
      <c r="AC254" s="28" t="str">
        <f>IF(L254=1,IF(IFERROR(INDEX(PARTNERS!$C$2:$C$88,MATCH(B254,PARTNERS!$A$2:$A$88,0)),"")="YES","YES","NO"),"")</f>
        <v>YES</v>
      </c>
      <c r="AD254" s="28" t="str">
        <f>IF(L254=1,IFERROR(INDEX(PARTNERS!$B$2:$B$88,MATCH(B254,PARTNERS!$A$2:$A$88,0)),""),"")</f>
        <v>https://calendly.com/partner013/interview</v>
      </c>
      <c r="AE254" s="28">
        <f ca="1">IF(X254=1,IFERROR(INDEX(SETTINGS!$B$34:$D$36,MATCH(I254,SETTINGS!$A$34:$A$36,0),MIN(Q254,2)+1),SETTINGS!$B$36),0)</f>
        <v>0</v>
      </c>
      <c r="AF254" s="28">
        <f t="shared" si="37"/>
        <v>1</v>
      </c>
      <c r="AG254" s="28">
        <f ca="1">IF(AND(Y254=1,AB254=1),ROUND(AA254*AE254*IF(AF254&gt;1,SETTINGS!$B$16,1)*IF(W254&lt;=SETTINGS!$B$14,SETTINGS!$B$15,1)*IF(AU254=1,SETTINGS!$B$21,1),6),0)</f>
        <v>0</v>
      </c>
      <c r="AH254" s="28" t="str">
        <f ca="1">IF(AG254&gt;0,COUNTIFS($Z$2:$Z$601,Z254,$AG$2:$AG$601,"&gt;"&amp;AG254)+COUNTIFS($Z$2:Z254,Z254,$AG$2:AG254,AG254),"")</f>
        <v/>
      </c>
      <c r="AI254" s="28" t="str">
        <f t="shared" ca="1" si="38"/>
        <v/>
      </c>
      <c r="AJ254" s="28" t="str">
        <f t="shared" ca="1" si="39"/>
        <v/>
      </c>
      <c r="AK254" s="28">
        <f>IF(L254=1,IF(COUNTIFS($F$2:F254,F254,$L$2:L254,1)=1,1,0),0)</f>
        <v>1</v>
      </c>
      <c r="AL254" s="28" t="str">
        <f ca="1">IF(B254="","",IF(K254="DUPLICATE","Duplicate (removed)",IF(AO254=1,"Scheduled within 24h",IF(M254=1,"Scheduled late",IF(K254="BAD CONTACT","Bad contact details",IF(O254=1,"Stopped / wrong number",IF(N254=1,"Not interested",IF(P254=1,"Partner has no slots",IF(SETTINGS!$B$4&gt;=V254,IF(Q254=0,"Missed deadline: never tried","Missed deadline: tried, not booked"),IF(Q254&gt;=SETTINGS!$B$6,"No reply after max tries","Open"))))))))))</f>
        <v>Missed deadline: never tried</v>
      </c>
      <c r="AM254" s="46" t="str">
        <f>IF(M254=1,IF(_xlfn.MINIFS(LOG!$G$2:$G$2001,LOG!$C$2:$C$2001,F254,LOG!$E$2:$E$2001,B254,LOG!$D$2:$D$2001,"*BOOKED")=0,_xlfn.MINIFS(LOG!$G$2:$G$2001,LOG!$C$2:$C$2001,F254,LOG!$E$2:$E$2001,"",LOG!$D$2:$D$2001,"*BOOKED"),IF(_xlfn.MINIFS(LOG!$G$2:$G$2001,LOG!$C$2:$C$2001,F254,LOG!$E$2:$E$2001,"",LOG!$D$2:$D$2001,"*BOOKED")=0,_xlfn.MINIFS(LOG!$G$2:$G$2001,LOG!$C$2:$C$2001,F254,LOG!$E$2:$E$2001,B254,LOG!$D$2:$D$2001,"*BOOKED"),MIN(_xlfn.MINIFS(LOG!$G$2:$G$2001,LOG!$C$2:$C$2001,F254,LOG!$E$2:$E$2001,B254,LOG!$D$2:$D$2001,"*BOOKED"),_xlfn.MINIFS(LOG!$G$2:$G$2001,LOG!$C$2:$C$2001,F254,LOG!$E$2:$E$2001,"",LOG!$D$2:$D$2001,"*BOOKED")))),"")</f>
        <v/>
      </c>
      <c r="AN254" s="28" t="str">
        <f t="shared" si="40"/>
        <v/>
      </c>
      <c r="AO254" s="28">
        <f>IF(AND(M254=1,AN254&lt;&gt;""),IF(AN254&lt;=SETTINGS!$B$5,1,0),0)</f>
        <v>0</v>
      </c>
      <c r="AP254" s="28">
        <f>IF(M254=1,IF(COUNTIFS(LOG!$C$2:$C$2001,F254,LOG!$E$2:$E$2001,B254,LOG!$D$2:$D$2001,"BOOKED")+COUNTIFS(LOG!$C$2:$C$2001,F254,LOG!$E$2:$E$2001,"",LOG!$D$2:$D$2001,"BOOKED")&gt;0,1,0),0)</f>
        <v>0</v>
      </c>
      <c r="AQ254" s="28" t="str">
        <f t="shared" si="41"/>
        <v>Kabir</v>
      </c>
      <c r="AR254" s="28">
        <f>IF(AND(AK254=1,K254="OK"),COUNTIFS($AK$2:AK254,1,$K$2:K254,"OK"),"")</f>
        <v>221</v>
      </c>
      <c r="AS254" s="28" t="str">
        <f>IF(L254=1,IFERROR(INDEX(MESSAGES!$J$9:$J$1008,MATCH(F254,MESSAGES!$M$9:$M$1008,0))&amp;"",""),"")</f>
        <v/>
      </c>
      <c r="AT254" s="28" t="str">
        <f>IF(L254=1,IFERROR(INDEX(MESSAGES!$K$9:$K$1008,MATCH(F254,MESSAGES!$M$9:$M$1008,0))&amp;"",""),"")</f>
        <v/>
      </c>
      <c r="AU254" s="28">
        <f t="shared" ca="1" si="42"/>
        <v>0</v>
      </c>
      <c r="AV254" s="28" t="str">
        <f t="shared" si="43"/>
        <v>HOLD</v>
      </c>
    </row>
    <row r="255" spans="1:48" x14ac:dyDescent="0.35">
      <c r="A255" s="28">
        <v>254</v>
      </c>
      <c r="B255" s="28" t="str">
        <f>IF(INPUT!A255="","",TRIM(INPUT!A255))</f>
        <v>Partner 059</v>
      </c>
      <c r="C255" s="28" t="str">
        <f>IF(B255="","",INPUT!C255)</f>
        <v>interviewer1@partner059.example.com</v>
      </c>
      <c r="D255" s="28" t="str">
        <f>IF(B255="","",INPUT!D255)</f>
        <v>Zoya H.</v>
      </c>
      <c r="E255" s="28" t="str">
        <f>IF(B255="","",INPUT!E255)</f>
        <v>zoya.h227@example.com</v>
      </c>
      <c r="F255" s="43" t="str">
        <f>IF(B255="","",TRIM(INPUT!F255&amp;""))</f>
        <v>9000002958</v>
      </c>
      <c r="G255" s="28" t="str">
        <f>IF(B255="","",INPUT!H255)</f>
        <v>Round1</v>
      </c>
      <c r="H255" s="46">
        <f>IF(B255="","",INPUT!I255)</f>
        <v>46308.82708333333</v>
      </c>
      <c r="I255" s="28" t="str">
        <f>IF(B255="","",IF(INPUT!J255="","None",INPUT!J255))</f>
        <v>None</v>
      </c>
      <c r="J255" s="28" t="str">
        <f t="shared" si="33"/>
        <v>zoya.h227@example.com|partner 059|Round1|interviewer1@partner059.example.com</v>
      </c>
      <c r="K255" s="28" t="str">
        <f>IF(B255="","",IF(SUMPRODUCT(($J$2:$J$601=J255)*($H$2:$H$601&lt;H255))+SUMPRODUCT(($J$2:J255=J255)*($H$2:H255=H255))-1&gt;0,"DUPLICATE",IF(AND(ISNUMBER(SEARCH("@",E255)),ISNUMBER(SEARCH(".",E255)),LEN(F255)=10,ISNUMBER(VALUE(F255))),"OK","BAD CONTACT")))</f>
        <v>OK</v>
      </c>
      <c r="L255" s="28">
        <f t="shared" si="34"/>
        <v>1</v>
      </c>
      <c r="M255" s="28">
        <f>IF(L255=1,IF(COUNTIFS(LOG!$C$2:$C$2001,F255,LOG!$E$2:$E$2001,B255,LOG!$D$2:$D$2001,"*BOOKED")+COUNTIFS(LOG!$C$2:$C$2001,F255,LOG!$E$2:$E$2001,"",LOG!$D$2:$D$2001,"*BOOKED")&gt;0,1,0),0)</f>
        <v>0</v>
      </c>
      <c r="N255" s="28">
        <f>IF(L255=1,IF(COUNTIFS(LOG!$C$2:$C$2001,F255,LOG!$E$2:$E$2001,B255,LOG!$D$2:$D$2001,"NOT_INTERESTED")+COUNTIFS(LOG!$C$2:$C$2001,F255,LOG!$E$2:$E$2001,"",LOG!$D$2:$D$2001,"NOT_INTERESTED")&gt;0,1,0),0)</f>
        <v>0</v>
      </c>
      <c r="O255" s="28">
        <f>IF(L255=1,IF(COUNTIFS(LOG!$C$2:$C$2001,F255,LOG!$D$2:$D$2001,"STOP")+COUNTIFS(LOG!$C$2:$C$2001,F255,LOG!$D$2:$D$2001,"WRONG_NUMBER")&gt;0,1,IF(ISNUMBER(SEARCH("STOP",AT255)),1,0)),0)</f>
        <v>0</v>
      </c>
      <c r="P255" s="28">
        <f>IF(L255=1,IF(IFERROR(INDEX(PARTNERS!$D$2:$D$88,MATCH(B255,PARTNERS!$A$2:$A$88,0)),"")="NO SLOTS",1,IF(AND(IFERROR(INDEX(PARTNERS!$D$2:$D$88,MATCH(B255,PARTNERS!$A$2:$A$88,0)),"")&lt;&gt;"REOPENED",COUNTIFS(LOG!$E$2:$E$2001,B255,LOG!$D$2:$D$2001,"NO_SLOTS")&gt;0),1,0)),0)</f>
        <v>0</v>
      </c>
      <c r="Q255" s="28">
        <f>IF(L255=1,COUNTIFS(LOG!$C$2:$C$2001,F255,LOG!$H$2:$H$2001,1),0)</f>
        <v>3</v>
      </c>
      <c r="R255" s="46">
        <f>IF(Q255&gt;0,_xlfn.MAXIFS(LOG!$G$2:$G$2001,LOG!$C$2:$C$2001,F255,LOG!$H$2:$H$2001,1),0)</f>
        <v>46309.67092024631</v>
      </c>
      <c r="S255" s="28" t="str">
        <f>IF(Q255&gt;0,IFERROR(INDEX(LOG!$D$2:$D$2001,MATCH(F255&amp;"|"&amp;Q255,LOG!$I$2:$I$2001,0)),""),"")</f>
        <v>NO_ANSWER</v>
      </c>
      <c r="T255" s="28">
        <f>IF(S255="",0,IFERROR(VLOOKUP(S255,LISTS!$A$2:$E$10,4,FALSE),0))</f>
        <v>120</v>
      </c>
      <c r="U255" s="46">
        <f t="shared" si="35"/>
        <v>46309.754253579646</v>
      </c>
      <c r="V255" s="46">
        <f>IF(L255=1,H255+SETTINGS!$B$5/24,"")</f>
        <v>46309.82708333333</v>
      </c>
      <c r="W255" s="28">
        <f ca="1">IF(L255=1,(V255-SETTINGS!$B$4)*24,"")</f>
        <v>-1.6666666720993817E-2</v>
      </c>
      <c r="X255" s="28">
        <f ca="1">IF(AND(L255=1,K255="OK",M255=0,N255=0,O255=0,P255=0,SETTINGS!$B$4&lt;V255,Q255&lt;SETTINGS!$B$6),1,0)</f>
        <v>0</v>
      </c>
      <c r="Y255" s="28">
        <f ca="1">IF(AND(X255=1,SETTINGS!$B$4&gt;=H255,SETTINGS!$B$4&gt;=U255,ROUND(MOD(SETTINGS!$B$4,1)*1440,0)&gt;=ROUND(SETTINGS!$B$7*1440,0),ROUND(MOD(SETTINGS!$B$4,1)*1440,0)&lt;ROUND(SETTINGS!$B$8*1440,0)),1,0)</f>
        <v>0</v>
      </c>
      <c r="Z255" s="28" t="str">
        <f ca="1">IF(B255="","",IF(ROUND(MOD(SETTINGS!$B$4,1)*1440,0)&lt;ROUND(SETTINGS!$B$11*1440,0),"Ram",IF(ROUND(MOD(SETTINGS!$B$4,1)*1440,0)&gt;=ROUND(SETTINGS!$B$10*1440,0),"Shyam",IF(MOD(IFERROR(VALUE(RIGHT(F255,2)),0),2)=0,"Ram","Shyam"))))</f>
        <v>Shyam</v>
      </c>
      <c r="AA255" s="28">
        <f t="shared" ca="1" si="36"/>
        <v>0</v>
      </c>
      <c r="AB255" s="28">
        <f ca="1">IF(X255=1,COUNTIFS($F$2:F255,F255,$X$2:X255,1),0)</f>
        <v>0</v>
      </c>
      <c r="AC255" s="28" t="str">
        <f>IF(L255=1,IF(IFERROR(INDEX(PARTNERS!$C$2:$C$88,MATCH(B255,PARTNERS!$A$2:$A$88,0)),"")="YES","YES","NO"),"")</f>
        <v>YES</v>
      </c>
      <c r="AD255" s="28" t="str">
        <f>IF(L255=1,IFERROR(INDEX(PARTNERS!$B$2:$B$88,MATCH(B255,PARTNERS!$A$2:$A$88,0)),""),"")</f>
        <v>https://calendly.com/partner059/interview</v>
      </c>
      <c r="AE255" s="28">
        <f ca="1">IF(X255=1,IFERROR(INDEX(SETTINGS!$B$34:$D$36,MATCH(I255,SETTINGS!$A$34:$A$36,0),MIN(Q255,2)+1),SETTINGS!$B$36),0)</f>
        <v>0</v>
      </c>
      <c r="AF255" s="28">
        <f t="shared" si="37"/>
        <v>1</v>
      </c>
      <c r="AG255" s="28">
        <f ca="1">IF(AND(Y255=1,AB255=1),ROUND(AA255*AE255*IF(AF255&gt;1,SETTINGS!$B$16,1)*IF(W255&lt;=SETTINGS!$B$14,SETTINGS!$B$15,1)*IF(AU255=1,SETTINGS!$B$21,1),6),0)</f>
        <v>0</v>
      </c>
      <c r="AH255" s="28" t="str">
        <f ca="1">IF(AG255&gt;0,COUNTIFS($Z$2:$Z$601,Z255,$AG$2:$AG$601,"&gt;"&amp;AG255)+COUNTIFS($Z$2:Z255,Z255,$AG$2:AG255,AG255),"")</f>
        <v/>
      </c>
      <c r="AI255" s="28" t="str">
        <f t="shared" ca="1" si="38"/>
        <v/>
      </c>
      <c r="AJ255" s="28" t="str">
        <f t="shared" ca="1" si="39"/>
        <v/>
      </c>
      <c r="AK255" s="28">
        <f>IF(L255=1,IF(COUNTIFS($F$2:F255,F255,$L$2:L255,1)=1,1,0),0)</f>
        <v>0</v>
      </c>
      <c r="AL255" s="28" t="str">
        <f ca="1">IF(B255="","",IF(K255="DUPLICATE","Duplicate (removed)",IF(AO255=1,"Scheduled within 24h",IF(M255=1,"Scheduled late",IF(K255="BAD CONTACT","Bad contact details",IF(O255=1,"Stopped / wrong number",IF(N255=1,"Not interested",IF(P255=1,"Partner has no slots",IF(SETTINGS!$B$4&gt;=V255,IF(Q255=0,"Missed deadline: never tried","Missed deadline: tried, not booked"),IF(Q255&gt;=SETTINGS!$B$6,"No reply after max tries","Open"))))))))))</f>
        <v>Missed deadline: tried, not booked</v>
      </c>
      <c r="AM255" s="46" t="str">
        <f>IF(M255=1,IF(_xlfn.MINIFS(LOG!$G$2:$G$2001,LOG!$C$2:$C$2001,F255,LOG!$E$2:$E$2001,B255,LOG!$D$2:$D$2001,"*BOOKED")=0,_xlfn.MINIFS(LOG!$G$2:$G$2001,LOG!$C$2:$C$2001,F255,LOG!$E$2:$E$2001,"",LOG!$D$2:$D$2001,"*BOOKED"),IF(_xlfn.MINIFS(LOG!$G$2:$G$2001,LOG!$C$2:$C$2001,F255,LOG!$E$2:$E$2001,"",LOG!$D$2:$D$2001,"*BOOKED")=0,_xlfn.MINIFS(LOG!$G$2:$G$2001,LOG!$C$2:$C$2001,F255,LOG!$E$2:$E$2001,B255,LOG!$D$2:$D$2001,"*BOOKED"),MIN(_xlfn.MINIFS(LOG!$G$2:$G$2001,LOG!$C$2:$C$2001,F255,LOG!$E$2:$E$2001,B255,LOG!$D$2:$D$2001,"*BOOKED"),_xlfn.MINIFS(LOG!$G$2:$G$2001,LOG!$C$2:$C$2001,F255,LOG!$E$2:$E$2001,"",LOG!$D$2:$D$2001,"*BOOKED")))),"")</f>
        <v/>
      </c>
      <c r="AN255" s="28" t="str">
        <f t="shared" si="40"/>
        <v/>
      </c>
      <c r="AO255" s="28">
        <f>IF(AND(M255=1,AN255&lt;&gt;""),IF(AN255&lt;=SETTINGS!$B$5,1,0),0)</f>
        <v>0</v>
      </c>
      <c r="AP255" s="28">
        <f>IF(M255=1,IF(COUNTIFS(LOG!$C$2:$C$2001,F255,LOG!$E$2:$E$2001,B255,LOG!$D$2:$D$2001,"BOOKED")+COUNTIFS(LOG!$C$2:$C$2001,F255,LOG!$E$2:$E$2001,"",LOG!$D$2:$D$2001,"BOOKED")&gt;0,1,0),0)</f>
        <v>0</v>
      </c>
      <c r="AQ255" s="28" t="str">
        <f t="shared" si="41"/>
        <v>Zoya</v>
      </c>
      <c r="AR255" s="28" t="str">
        <f>IF(AND(AK255=1,K255="OK"),COUNTIFS($AK$2:AK255,1,$K$2:K255,"OK"),"")</f>
        <v/>
      </c>
      <c r="AS255" s="28" t="str">
        <f>IF(L255=1,IFERROR(INDEX(MESSAGES!$J$9:$J$1008,MATCH(F255,MESSAGES!$M$9:$M$1008,0))&amp;"",""),"")</f>
        <v/>
      </c>
      <c r="AT255" s="28" t="str">
        <f>IF(L255=1,IFERROR(INDEX(MESSAGES!$K$9:$K$1008,MATCH(F255,MESSAGES!$M$9:$M$1008,0))&amp;"",""),"")</f>
        <v/>
      </c>
      <c r="AU255" s="28">
        <f t="shared" ca="1" si="42"/>
        <v>0</v>
      </c>
      <c r="AV255" s="28" t="str">
        <f t="shared" si="43"/>
        <v>HOLD</v>
      </c>
    </row>
    <row r="256" spans="1:48" x14ac:dyDescent="0.35">
      <c r="A256" s="28">
        <v>255</v>
      </c>
      <c r="B256" s="28" t="str">
        <f>IF(INPUT!A256="","",TRIM(INPUT!A256))</f>
        <v>Partner 000</v>
      </c>
      <c r="C256" s="28" t="str">
        <f>IF(B256="","",INPUT!C256)</f>
        <v>interviewer1@partner000.example.com</v>
      </c>
      <c r="D256" s="28" t="str">
        <f>IF(B256="","",INPUT!D256)</f>
        <v>Diya A.</v>
      </c>
      <c r="E256" s="28" t="str">
        <f>IF(B256="","",INPUT!E256)</f>
        <v>diya.a001@example.com</v>
      </c>
      <c r="F256" s="43" t="str">
        <f>IF(B256="","",TRIM(INPUT!F256&amp;""))</f>
        <v>9000000020</v>
      </c>
      <c r="G256" s="28" t="str">
        <f>IF(B256="","",INPUT!H256)</f>
        <v>Round1</v>
      </c>
      <c r="H256" s="46">
        <f>IF(B256="","",INPUT!I256)</f>
        <v>46308.82708333333</v>
      </c>
      <c r="I256" s="28" t="str">
        <f>IF(B256="","",IF(INPUT!J256="","None",INPUT!J256))</f>
        <v>None</v>
      </c>
      <c r="J256" s="28" t="str">
        <f t="shared" si="33"/>
        <v>diya.a001@example.com|partner 000|Round1|interviewer1@partner000.example.com</v>
      </c>
      <c r="K256" s="28" t="str">
        <f>IF(B256="","",IF(SUMPRODUCT(($J$2:$J$601=J256)*($H$2:$H$601&lt;H256))+SUMPRODUCT(($J$2:J256=J256)*($H$2:H256=H256))-1&gt;0,"DUPLICATE",IF(AND(ISNUMBER(SEARCH("@",E256)),ISNUMBER(SEARCH(".",E256)),LEN(F256)=10,ISNUMBER(VALUE(F256))),"OK","BAD CONTACT")))</f>
        <v>OK</v>
      </c>
      <c r="L256" s="28">
        <f t="shared" si="34"/>
        <v>1</v>
      </c>
      <c r="M256" s="28">
        <f>IF(L256=1,IF(COUNTIFS(LOG!$C$2:$C$2001,F256,LOG!$E$2:$E$2001,B256,LOG!$D$2:$D$2001,"*BOOKED")+COUNTIFS(LOG!$C$2:$C$2001,F256,LOG!$E$2:$E$2001,"",LOG!$D$2:$D$2001,"*BOOKED")&gt;0,1,0),0)</f>
        <v>0</v>
      </c>
      <c r="N256" s="28">
        <f>IF(L256=1,IF(COUNTIFS(LOG!$C$2:$C$2001,F256,LOG!$E$2:$E$2001,B256,LOG!$D$2:$D$2001,"NOT_INTERESTED")+COUNTIFS(LOG!$C$2:$C$2001,F256,LOG!$E$2:$E$2001,"",LOG!$D$2:$D$2001,"NOT_INTERESTED")&gt;0,1,0),0)</f>
        <v>0</v>
      </c>
      <c r="O256" s="28">
        <f>IF(L256=1,IF(COUNTIFS(LOG!$C$2:$C$2001,F256,LOG!$D$2:$D$2001,"STOP")+COUNTIFS(LOG!$C$2:$C$2001,F256,LOG!$D$2:$D$2001,"WRONG_NUMBER")&gt;0,1,IF(ISNUMBER(SEARCH("STOP",AT256)),1,0)),0)</f>
        <v>0</v>
      </c>
      <c r="P256" s="28">
        <f>IF(L256=1,IF(IFERROR(INDEX(PARTNERS!$D$2:$D$88,MATCH(B256,PARTNERS!$A$2:$A$88,0)),"")="NO SLOTS",1,IF(AND(IFERROR(INDEX(PARTNERS!$D$2:$D$88,MATCH(B256,PARTNERS!$A$2:$A$88,0)),"")&lt;&gt;"REOPENED",COUNTIFS(LOG!$E$2:$E$2001,B256,LOG!$D$2:$D$2001,"NO_SLOTS")&gt;0),1,0)),0)</f>
        <v>0</v>
      </c>
      <c r="Q256" s="28">
        <f>IF(L256=1,COUNTIFS(LOG!$C$2:$C$2001,F256,LOG!$H$2:$H$2001,1),0)</f>
        <v>0</v>
      </c>
      <c r="R256" s="46">
        <f>IF(Q256&gt;0,_xlfn.MAXIFS(LOG!$G$2:$G$2001,LOG!$C$2:$C$2001,F256,LOG!$H$2:$H$2001,1),0)</f>
        <v>0</v>
      </c>
      <c r="S256" s="28" t="str">
        <f>IF(Q256&gt;0,IFERROR(INDEX(LOG!$D$2:$D$2001,MATCH(F256&amp;"|"&amp;Q256,LOG!$I$2:$I$2001,0)),""),"")</f>
        <v/>
      </c>
      <c r="T256" s="28">
        <f>IF(S256="",0,IFERROR(VLOOKUP(S256,LISTS!$A$2:$E$10,4,FALSE),0))</f>
        <v>0</v>
      </c>
      <c r="U256" s="46">
        <f t="shared" si="35"/>
        <v>0</v>
      </c>
      <c r="V256" s="46">
        <f>IF(L256=1,H256+SETTINGS!$B$5/24,"")</f>
        <v>46309.82708333333</v>
      </c>
      <c r="W256" s="28">
        <f ca="1">IF(L256=1,(V256-SETTINGS!$B$4)*24,"")</f>
        <v>-1.6666666720993817E-2</v>
      </c>
      <c r="X256" s="28">
        <f ca="1">IF(AND(L256=1,K256="OK",M256=0,N256=0,O256=0,P256=0,SETTINGS!$B$4&lt;V256,Q256&lt;SETTINGS!$B$6),1,0)</f>
        <v>0</v>
      </c>
      <c r="Y256" s="28">
        <f ca="1">IF(AND(X256=1,SETTINGS!$B$4&gt;=H256,SETTINGS!$B$4&gt;=U256,ROUND(MOD(SETTINGS!$B$4,1)*1440,0)&gt;=ROUND(SETTINGS!$B$7*1440,0),ROUND(MOD(SETTINGS!$B$4,1)*1440,0)&lt;ROUND(SETTINGS!$B$8*1440,0)),1,0)</f>
        <v>0</v>
      </c>
      <c r="Z256" s="28" t="str">
        <f ca="1">IF(B256="","",IF(ROUND(MOD(SETTINGS!$B$4,1)*1440,0)&lt;ROUND(SETTINGS!$B$11*1440,0),"Ram",IF(ROUND(MOD(SETTINGS!$B$4,1)*1440,0)&gt;=ROUND(SETTINGS!$B$10*1440,0),"Shyam",IF(MOD(IFERROR(VALUE(RIGHT(F256,2)),0),2)=0,"Ram","Shyam"))))</f>
        <v>Shyam</v>
      </c>
      <c r="AA256" s="28">
        <f t="shared" ca="1" si="36"/>
        <v>0</v>
      </c>
      <c r="AB256" s="28">
        <f ca="1">IF(X256=1,COUNTIFS($F$2:F256,F256,$X$2:X256,1),0)</f>
        <v>0</v>
      </c>
      <c r="AC256" s="28" t="str">
        <f>IF(L256=1,IF(IFERROR(INDEX(PARTNERS!$C$2:$C$88,MATCH(B256,PARTNERS!$A$2:$A$88,0)),"")="YES","YES","NO"),"")</f>
        <v>NO</v>
      </c>
      <c r="AD256" s="28" t="str">
        <f>IF(L256=1,IFERROR(INDEX(PARTNERS!$B$2:$B$88,MATCH(B256,PARTNERS!$A$2:$A$88,0)),""),"")</f>
        <v>https://calendly.com/partner000/interview</v>
      </c>
      <c r="AE256" s="28">
        <f ca="1">IF(X256=1,IFERROR(INDEX(SETTINGS!$B$34:$D$36,MATCH(I256,SETTINGS!$A$34:$A$36,0),MIN(Q256,2)+1),SETTINGS!$B$36),0)</f>
        <v>0</v>
      </c>
      <c r="AF256" s="28">
        <f t="shared" si="37"/>
        <v>1</v>
      </c>
      <c r="AG256" s="28">
        <f ca="1">IF(AND(Y256=1,AB256=1),ROUND(AA256*AE256*IF(AF256&gt;1,SETTINGS!$B$16,1)*IF(W256&lt;=SETTINGS!$B$14,SETTINGS!$B$15,1)*IF(AU256=1,SETTINGS!$B$21,1),6),0)</f>
        <v>0</v>
      </c>
      <c r="AH256" s="28" t="str">
        <f ca="1">IF(AG256&gt;0,COUNTIFS($Z$2:$Z$601,Z256,$AG$2:$AG$601,"&gt;"&amp;AG256)+COUNTIFS($Z$2:Z256,Z256,$AG$2:AG256,AG256),"")</f>
        <v/>
      </c>
      <c r="AI256" s="28" t="str">
        <f t="shared" ca="1" si="38"/>
        <v/>
      </c>
      <c r="AJ256" s="28" t="str">
        <f t="shared" ca="1" si="39"/>
        <v/>
      </c>
      <c r="AK256" s="28">
        <f>IF(L256=1,IF(COUNTIFS($F$2:F256,F256,$L$2:L256,1)=1,1,0),0)</f>
        <v>1</v>
      </c>
      <c r="AL256" s="28" t="str">
        <f ca="1">IF(B256="","",IF(K256="DUPLICATE","Duplicate (removed)",IF(AO256=1,"Scheduled within 24h",IF(M256=1,"Scheduled late",IF(K256="BAD CONTACT","Bad contact details",IF(O256=1,"Stopped / wrong number",IF(N256=1,"Not interested",IF(P256=1,"Partner has no slots",IF(SETTINGS!$B$4&gt;=V256,IF(Q256=0,"Missed deadline: never tried","Missed deadline: tried, not booked"),IF(Q256&gt;=SETTINGS!$B$6,"No reply after max tries","Open"))))))))))</f>
        <v>Missed deadline: never tried</v>
      </c>
      <c r="AM256" s="46" t="str">
        <f>IF(M256=1,IF(_xlfn.MINIFS(LOG!$G$2:$G$2001,LOG!$C$2:$C$2001,F256,LOG!$E$2:$E$2001,B256,LOG!$D$2:$D$2001,"*BOOKED")=0,_xlfn.MINIFS(LOG!$G$2:$G$2001,LOG!$C$2:$C$2001,F256,LOG!$E$2:$E$2001,"",LOG!$D$2:$D$2001,"*BOOKED"),IF(_xlfn.MINIFS(LOG!$G$2:$G$2001,LOG!$C$2:$C$2001,F256,LOG!$E$2:$E$2001,"",LOG!$D$2:$D$2001,"*BOOKED")=0,_xlfn.MINIFS(LOG!$G$2:$G$2001,LOG!$C$2:$C$2001,F256,LOG!$E$2:$E$2001,B256,LOG!$D$2:$D$2001,"*BOOKED"),MIN(_xlfn.MINIFS(LOG!$G$2:$G$2001,LOG!$C$2:$C$2001,F256,LOG!$E$2:$E$2001,B256,LOG!$D$2:$D$2001,"*BOOKED"),_xlfn.MINIFS(LOG!$G$2:$G$2001,LOG!$C$2:$C$2001,F256,LOG!$E$2:$E$2001,"",LOG!$D$2:$D$2001,"*BOOKED")))),"")</f>
        <v/>
      </c>
      <c r="AN256" s="28" t="str">
        <f t="shared" si="40"/>
        <v/>
      </c>
      <c r="AO256" s="28">
        <f>IF(AND(M256=1,AN256&lt;&gt;""),IF(AN256&lt;=SETTINGS!$B$5,1,0),0)</f>
        <v>0</v>
      </c>
      <c r="AP256" s="28">
        <f>IF(M256=1,IF(COUNTIFS(LOG!$C$2:$C$2001,F256,LOG!$E$2:$E$2001,B256,LOG!$D$2:$D$2001,"BOOKED")+COUNTIFS(LOG!$C$2:$C$2001,F256,LOG!$E$2:$E$2001,"",LOG!$D$2:$D$2001,"BOOKED")&gt;0,1,0),0)</f>
        <v>0</v>
      </c>
      <c r="AQ256" s="28" t="str">
        <f t="shared" si="41"/>
        <v>Diya</v>
      </c>
      <c r="AR256" s="28">
        <f>IF(AND(AK256=1,K256="OK"),COUNTIFS($AK$2:AK256,1,$K$2:K256,"OK"),"")</f>
        <v>222</v>
      </c>
      <c r="AS256" s="28" t="str">
        <f>IF(L256=1,IFERROR(INDEX(MESSAGES!$J$9:$J$1008,MATCH(F256,MESSAGES!$M$9:$M$1008,0))&amp;"",""),"")</f>
        <v/>
      </c>
      <c r="AT256" s="28" t="str">
        <f>IF(L256=1,IFERROR(INDEX(MESSAGES!$K$9:$K$1008,MATCH(F256,MESSAGES!$M$9:$M$1008,0))&amp;"",""),"")</f>
        <v/>
      </c>
      <c r="AU256" s="28">
        <f t="shared" ca="1" si="42"/>
        <v>0</v>
      </c>
      <c r="AV256" s="28" t="str">
        <f t="shared" si="43"/>
        <v>SEND</v>
      </c>
    </row>
    <row r="257" spans="1:48" x14ac:dyDescent="0.35">
      <c r="A257" s="28">
        <v>256</v>
      </c>
      <c r="B257" s="28" t="str">
        <f>IF(INPUT!A257="","",TRIM(INPUT!A257))</f>
        <v>Partner 028</v>
      </c>
      <c r="C257" s="28" t="str">
        <f>IF(B257="","",INPUT!C257)</f>
        <v>interviewer0@partner028.example.com</v>
      </c>
      <c r="D257" s="28" t="str">
        <f>IF(B257="","",INPUT!D257)</f>
        <v>Ishaan J.</v>
      </c>
      <c r="E257" s="28" t="str">
        <f>IF(B257="","",INPUT!E257)</f>
        <v>ishaan.j254@example.com</v>
      </c>
      <c r="F257" s="43" t="str">
        <f>IF(B257="","",TRIM(INPUT!F257&amp;""))</f>
        <v>9000003309</v>
      </c>
      <c r="G257" s="28" t="str">
        <f>IF(B257="","",INPUT!H257)</f>
        <v>Round1</v>
      </c>
      <c r="H257" s="46">
        <f>IF(B257="","",INPUT!I257)</f>
        <v>46308.82708333333</v>
      </c>
      <c r="I257" s="28" t="str">
        <f>IF(B257="","",IF(INPUT!J257="","None",INPUT!J257))</f>
        <v>Clicked</v>
      </c>
      <c r="J257" s="28" t="str">
        <f t="shared" si="33"/>
        <v>ishaan.j254@example.com|partner 028|Round1|interviewer0@partner028.example.com</v>
      </c>
      <c r="K257" s="28" t="str">
        <f>IF(B257="","",IF(SUMPRODUCT(($J$2:$J$601=J257)*($H$2:$H$601&lt;H257))+SUMPRODUCT(($J$2:J257=J257)*($H$2:H257=H257))-1&gt;0,"DUPLICATE",IF(AND(ISNUMBER(SEARCH("@",E257)),ISNUMBER(SEARCH(".",E257)),LEN(F257)=10,ISNUMBER(VALUE(F257))),"OK","BAD CONTACT")))</f>
        <v>OK</v>
      </c>
      <c r="L257" s="28">
        <f t="shared" si="34"/>
        <v>1</v>
      </c>
      <c r="M257" s="28">
        <f>IF(L257=1,IF(COUNTIFS(LOG!$C$2:$C$2001,F257,LOG!$E$2:$E$2001,B257,LOG!$D$2:$D$2001,"*BOOKED")+COUNTIFS(LOG!$C$2:$C$2001,F257,LOG!$E$2:$E$2001,"",LOG!$D$2:$D$2001,"*BOOKED")&gt;0,1,0),0)</f>
        <v>1</v>
      </c>
      <c r="N257" s="28">
        <f>IF(L257=1,IF(COUNTIFS(LOG!$C$2:$C$2001,F257,LOG!$E$2:$E$2001,B257,LOG!$D$2:$D$2001,"NOT_INTERESTED")+COUNTIFS(LOG!$C$2:$C$2001,F257,LOG!$E$2:$E$2001,"",LOG!$D$2:$D$2001,"NOT_INTERESTED")&gt;0,1,0),0)</f>
        <v>0</v>
      </c>
      <c r="O257" s="28">
        <f>IF(L257=1,IF(COUNTIFS(LOG!$C$2:$C$2001,F257,LOG!$D$2:$D$2001,"STOP")+COUNTIFS(LOG!$C$2:$C$2001,F257,LOG!$D$2:$D$2001,"WRONG_NUMBER")&gt;0,1,IF(ISNUMBER(SEARCH("STOP",AT257)),1,0)),0)</f>
        <v>0</v>
      </c>
      <c r="P257" s="28">
        <f>IF(L257=1,IF(IFERROR(INDEX(PARTNERS!$D$2:$D$88,MATCH(B257,PARTNERS!$A$2:$A$88,0)),"")="NO SLOTS",1,IF(AND(IFERROR(INDEX(PARTNERS!$D$2:$D$88,MATCH(B257,PARTNERS!$A$2:$A$88,0)),"")&lt;&gt;"REOPENED",COUNTIFS(LOG!$E$2:$E$2001,B257,LOG!$D$2:$D$2001,"NO_SLOTS")&gt;0),1,0)),0)</f>
        <v>0</v>
      </c>
      <c r="Q257" s="28">
        <f>IF(L257=1,COUNTIFS(LOG!$C$2:$C$2001,F257,LOG!$H$2:$H$2001,1),0)</f>
        <v>0</v>
      </c>
      <c r="R257" s="46">
        <f>IF(Q257&gt;0,_xlfn.MAXIFS(LOG!$G$2:$G$2001,LOG!$C$2:$C$2001,F257,LOG!$H$2:$H$2001,1),0)</f>
        <v>0</v>
      </c>
      <c r="S257" s="28" t="str">
        <f>IF(Q257&gt;0,IFERROR(INDEX(LOG!$D$2:$D$2001,MATCH(F257&amp;"|"&amp;Q257,LOG!$I$2:$I$2001,0)),""),"")</f>
        <v/>
      </c>
      <c r="T257" s="28">
        <f>IF(S257="",0,IFERROR(VLOOKUP(S257,LISTS!$A$2:$E$10,4,FALSE),0))</f>
        <v>0</v>
      </c>
      <c r="U257" s="46">
        <f t="shared" si="35"/>
        <v>0</v>
      </c>
      <c r="V257" s="46">
        <f>IF(L257=1,H257+SETTINGS!$B$5/24,"")</f>
        <v>46309.82708333333</v>
      </c>
      <c r="W257" s="28">
        <f ca="1">IF(L257=1,(V257-SETTINGS!$B$4)*24,"")</f>
        <v>-1.6666666720993817E-2</v>
      </c>
      <c r="X257" s="28">
        <f ca="1">IF(AND(L257=1,K257="OK",M257=0,N257=0,O257=0,P257=0,SETTINGS!$B$4&lt;V257,Q257&lt;SETTINGS!$B$6),1,0)</f>
        <v>0</v>
      </c>
      <c r="Y257" s="28">
        <f ca="1">IF(AND(X257=1,SETTINGS!$B$4&gt;=H257,SETTINGS!$B$4&gt;=U257,ROUND(MOD(SETTINGS!$B$4,1)*1440,0)&gt;=ROUND(SETTINGS!$B$7*1440,0),ROUND(MOD(SETTINGS!$B$4,1)*1440,0)&lt;ROUND(SETTINGS!$B$8*1440,0)),1,0)</f>
        <v>0</v>
      </c>
      <c r="Z257" s="28" t="str">
        <f ca="1">IF(B257="","",IF(ROUND(MOD(SETTINGS!$B$4,1)*1440,0)&lt;ROUND(SETTINGS!$B$11*1440,0),"Ram",IF(ROUND(MOD(SETTINGS!$B$4,1)*1440,0)&gt;=ROUND(SETTINGS!$B$10*1440,0),"Shyam",IF(MOD(IFERROR(VALUE(RIGHT(F257,2)),0),2)=0,"Ram","Shyam"))))</f>
        <v>Shyam</v>
      </c>
      <c r="AA257" s="28">
        <f t="shared" ca="1" si="36"/>
        <v>0</v>
      </c>
      <c r="AB257" s="28">
        <f ca="1">IF(X257=1,COUNTIFS($F$2:F257,F257,$X$2:X257,1),0)</f>
        <v>0</v>
      </c>
      <c r="AC257" s="28" t="str">
        <f>IF(L257=1,IF(IFERROR(INDEX(PARTNERS!$C$2:$C$88,MATCH(B257,PARTNERS!$A$2:$A$88,0)),"")="YES","YES","NO"),"")</f>
        <v>YES</v>
      </c>
      <c r="AD257" s="28" t="str">
        <f>IF(L257=1,IFERROR(INDEX(PARTNERS!$B$2:$B$88,MATCH(B257,PARTNERS!$A$2:$A$88,0)),""),"")</f>
        <v>https://calendly.com/partner028/interview</v>
      </c>
      <c r="AE257" s="28">
        <f ca="1">IF(X257=1,IFERROR(INDEX(SETTINGS!$B$34:$D$36,MATCH(I257,SETTINGS!$A$34:$A$36,0),MIN(Q257,2)+1),SETTINGS!$B$36),0)</f>
        <v>0</v>
      </c>
      <c r="AF257" s="28">
        <f t="shared" si="37"/>
        <v>1</v>
      </c>
      <c r="AG257" s="28">
        <f ca="1">IF(AND(Y257=1,AB257=1),ROUND(AA257*AE257*IF(AF257&gt;1,SETTINGS!$B$16,1)*IF(W257&lt;=SETTINGS!$B$14,SETTINGS!$B$15,1)*IF(AU257=1,SETTINGS!$B$21,1),6),0)</f>
        <v>0</v>
      </c>
      <c r="AH257" s="28" t="str">
        <f ca="1">IF(AG257&gt;0,COUNTIFS($Z$2:$Z$601,Z257,$AG$2:$AG$601,"&gt;"&amp;AG257)+COUNTIFS($Z$2:Z257,Z257,$AG$2:AG257,AG257),"")</f>
        <v/>
      </c>
      <c r="AI257" s="28" t="str">
        <f t="shared" ca="1" si="38"/>
        <v/>
      </c>
      <c r="AJ257" s="28" t="str">
        <f t="shared" ca="1" si="39"/>
        <v/>
      </c>
      <c r="AK257" s="28">
        <f>IF(L257=1,IF(COUNTIFS($F$2:F257,F257,$L$2:L257,1)=1,1,0),0)</f>
        <v>1</v>
      </c>
      <c r="AL257" s="28" t="str">
        <f>IF(B257="","",IF(K257="DUPLICATE","Duplicate (removed)",IF(AO257=1,"Scheduled within 24h",IF(M257=1,"Scheduled late",IF(K257="BAD CONTACT","Bad contact details",IF(O257=1,"Stopped / wrong number",IF(N257=1,"Not interested",IF(P257=1,"Partner has no slots",IF(SETTINGS!$B$4&gt;=V257,IF(Q257=0,"Missed deadline: never tried","Missed deadline: tried, not booked"),IF(Q257&gt;=SETTINGS!$B$6,"No reply after max tries","Open"))))))))))</f>
        <v>Scheduled within 24h</v>
      </c>
      <c r="AM257" s="46">
        <f>IF(M257=1,IF(_xlfn.MINIFS(LOG!$G$2:$G$2001,LOG!$C$2:$C$2001,F257,LOG!$E$2:$E$2001,B257,LOG!$D$2:$D$2001,"*BOOKED")=0,_xlfn.MINIFS(LOG!$G$2:$G$2001,LOG!$C$2:$C$2001,F257,LOG!$E$2:$E$2001,"",LOG!$D$2:$D$2001,"*BOOKED"),IF(_xlfn.MINIFS(LOG!$G$2:$G$2001,LOG!$C$2:$C$2001,F257,LOG!$E$2:$E$2001,"",LOG!$D$2:$D$2001,"*BOOKED")=0,_xlfn.MINIFS(LOG!$G$2:$G$2001,LOG!$C$2:$C$2001,F257,LOG!$E$2:$E$2001,B257,LOG!$D$2:$D$2001,"*BOOKED"),MIN(_xlfn.MINIFS(LOG!$G$2:$G$2001,LOG!$C$2:$C$2001,F257,LOG!$E$2:$E$2001,B257,LOG!$D$2:$D$2001,"*BOOKED"),_xlfn.MINIFS(LOG!$G$2:$G$2001,LOG!$C$2:$C$2001,F257,LOG!$E$2:$E$2001,"",LOG!$D$2:$D$2001,"*BOOKED")))),"")</f>
        <v>46308.884493357211</v>
      </c>
      <c r="AN257" s="28">
        <f t="shared" si="40"/>
        <v>1.3778405731427483</v>
      </c>
      <c r="AO257" s="28">
        <f>IF(AND(M257=1,AN257&lt;&gt;""),IF(AN257&lt;=SETTINGS!$B$5,1,0),0)</f>
        <v>1</v>
      </c>
      <c r="AP257" s="28">
        <f>IF(M257=1,IF(COUNTIFS(LOG!$C$2:$C$2001,F257,LOG!$E$2:$E$2001,B257,LOG!$D$2:$D$2001,"BOOKED")+COUNTIFS(LOG!$C$2:$C$2001,F257,LOG!$E$2:$E$2001,"",LOG!$D$2:$D$2001,"BOOKED")&gt;0,1,0),0)</f>
        <v>0</v>
      </c>
      <c r="AQ257" s="28" t="str">
        <f t="shared" si="41"/>
        <v>Ishaan</v>
      </c>
      <c r="AR257" s="28">
        <f>IF(AND(AK257=1,K257="OK"),COUNTIFS($AK$2:AK257,1,$K$2:K257,"OK"),"")</f>
        <v>223</v>
      </c>
      <c r="AS257" s="28" t="str">
        <f>IF(L257=1,IFERROR(INDEX(MESSAGES!$J$9:$J$1008,MATCH(F257,MESSAGES!$M$9:$M$1008,0))&amp;"",""),"")</f>
        <v/>
      </c>
      <c r="AT257" s="28" t="str">
        <f>IF(L257=1,IFERROR(INDEX(MESSAGES!$K$9:$K$1008,MATCH(F257,MESSAGES!$M$9:$M$1008,0))&amp;"",""),"")</f>
        <v/>
      </c>
      <c r="AU257" s="28">
        <f t="shared" ca="1" si="42"/>
        <v>0</v>
      </c>
      <c r="AV257" s="28" t="str">
        <f t="shared" si="43"/>
        <v>SEND</v>
      </c>
    </row>
    <row r="258" spans="1:48" x14ac:dyDescent="0.35">
      <c r="A258" s="28">
        <v>257</v>
      </c>
      <c r="B258" s="28" t="str">
        <f>IF(INPUT!A258="","",TRIM(INPUT!A258))</f>
        <v>Partner 007</v>
      </c>
      <c r="C258" s="28" t="str">
        <f>IF(B258="","",INPUT!C258)</f>
        <v>interviewer0@partner007.example.com</v>
      </c>
      <c r="D258" s="28" t="str">
        <f>IF(B258="","",INPUT!D258)</f>
        <v>Ishaan N.</v>
      </c>
      <c r="E258" s="28" t="str">
        <f>IF(B258="","",INPUT!E258)</f>
        <v>ishaan.n374@example.com</v>
      </c>
      <c r="F258" s="43" t="str">
        <f>IF(B258="","",TRIM(INPUT!F258&amp;""))</f>
        <v>9000004869</v>
      </c>
      <c r="G258" s="28" t="str">
        <f>IF(B258="","",INPUT!H258)</f>
        <v>Round2</v>
      </c>
      <c r="H258" s="46">
        <f>IF(B258="","",INPUT!I258)</f>
        <v>46308.82708333333</v>
      </c>
      <c r="I258" s="28" t="str">
        <f>IF(B258="","",IF(INPUT!J258="","None",INPUT!J258))</f>
        <v>Clicked</v>
      </c>
      <c r="J258" s="28" t="str">
        <f t="shared" ref="J258:J321" si="44">IF(B258="","",LOWER(E258)&amp;"|"&amp;LOWER(B258)&amp;"|"&amp;G258&amp;"|"&amp;LOWER(C258))</f>
        <v>ishaan.n374@example.com|partner 007|Round2|interviewer0@partner007.example.com</v>
      </c>
      <c r="K258" s="28" t="str">
        <f>IF(B258="","",IF(SUMPRODUCT(($J$2:$J$601=J258)*($H$2:$H$601&lt;H258))+SUMPRODUCT(($J$2:J258=J258)*($H$2:H258=H258))-1&gt;0,"DUPLICATE",IF(AND(ISNUMBER(SEARCH("@",E258)),ISNUMBER(SEARCH(".",E258)),LEN(F258)=10,ISNUMBER(VALUE(F258))),"OK","BAD CONTACT")))</f>
        <v>OK</v>
      </c>
      <c r="L258" s="28">
        <f t="shared" ref="L258:L321" si="45">IF(B258="",0,IF(K258="DUPLICATE",0,1))</f>
        <v>1</v>
      </c>
      <c r="M258" s="28">
        <f>IF(L258=1,IF(COUNTIFS(LOG!$C$2:$C$2001,F258,LOG!$E$2:$E$2001,B258,LOG!$D$2:$D$2001,"*BOOKED")+COUNTIFS(LOG!$C$2:$C$2001,F258,LOG!$E$2:$E$2001,"",LOG!$D$2:$D$2001,"*BOOKED")&gt;0,1,0),0)</f>
        <v>0</v>
      </c>
      <c r="N258" s="28">
        <f>IF(L258=1,IF(COUNTIFS(LOG!$C$2:$C$2001,F258,LOG!$E$2:$E$2001,B258,LOG!$D$2:$D$2001,"NOT_INTERESTED")+COUNTIFS(LOG!$C$2:$C$2001,F258,LOG!$E$2:$E$2001,"",LOG!$D$2:$D$2001,"NOT_INTERESTED")&gt;0,1,0),0)</f>
        <v>0</v>
      </c>
      <c r="O258" s="28">
        <f>IF(L258=1,IF(COUNTIFS(LOG!$C$2:$C$2001,F258,LOG!$D$2:$D$2001,"STOP")+COUNTIFS(LOG!$C$2:$C$2001,F258,LOG!$D$2:$D$2001,"WRONG_NUMBER")&gt;0,1,IF(ISNUMBER(SEARCH("STOP",AT258)),1,0)),0)</f>
        <v>0</v>
      </c>
      <c r="P258" s="28">
        <f>IF(L258=1,IF(IFERROR(INDEX(PARTNERS!$D$2:$D$88,MATCH(B258,PARTNERS!$A$2:$A$88,0)),"")="NO SLOTS",1,IF(AND(IFERROR(INDEX(PARTNERS!$D$2:$D$88,MATCH(B258,PARTNERS!$A$2:$A$88,0)),"")&lt;&gt;"REOPENED",COUNTIFS(LOG!$E$2:$E$2001,B258,LOG!$D$2:$D$2001,"NO_SLOTS")&gt;0),1,0)),0)</f>
        <v>0</v>
      </c>
      <c r="Q258" s="28">
        <f>IF(L258=1,COUNTIFS(LOG!$C$2:$C$2001,F258,LOG!$H$2:$H$2001,1),0)</f>
        <v>3</v>
      </c>
      <c r="R258" s="46">
        <f>IF(Q258&gt;0,_xlfn.MAXIFS(LOG!$G$2:$G$2001,LOG!$C$2:$C$2001,F258,LOG!$H$2:$H$2001,1),0)</f>
        <v>46309.628933834108</v>
      </c>
      <c r="S258" s="28" t="str">
        <f>IF(Q258&gt;0,IFERROR(INDEX(LOG!$D$2:$D$2001,MATCH(F258&amp;"|"&amp;Q258,LOG!$I$2:$I$2001,0)),""),"")</f>
        <v>NO_ANSWER</v>
      </c>
      <c r="T258" s="28">
        <f>IF(S258="",0,IFERROR(VLOOKUP(S258,LISTS!$A$2:$E$10,4,FALSE),0))</f>
        <v>120</v>
      </c>
      <c r="U258" s="46">
        <f t="shared" ref="U258:U321" si="46">IF(Q258=0,0,R258+T258/1440)</f>
        <v>46309.712267167444</v>
      </c>
      <c r="V258" s="46">
        <f>IF(L258=1,H258+SETTINGS!$B$5/24,"")</f>
        <v>46309.82708333333</v>
      </c>
      <c r="W258" s="28">
        <f ca="1">IF(L258=1,(V258-SETTINGS!$B$4)*24,"")</f>
        <v>-1.6666666720993817E-2</v>
      </c>
      <c r="X258" s="28">
        <f ca="1">IF(AND(L258=1,K258="OK",M258=0,N258=0,O258=0,P258=0,SETTINGS!$B$4&lt;V258,Q258&lt;SETTINGS!$B$6),1,0)</f>
        <v>0</v>
      </c>
      <c r="Y258" s="28">
        <f ca="1">IF(AND(X258=1,SETTINGS!$B$4&gt;=H258,SETTINGS!$B$4&gt;=U258,ROUND(MOD(SETTINGS!$B$4,1)*1440,0)&gt;=ROUND(SETTINGS!$B$7*1440,0),ROUND(MOD(SETTINGS!$B$4,1)*1440,0)&lt;ROUND(SETTINGS!$B$8*1440,0)),1,0)</f>
        <v>0</v>
      </c>
      <c r="Z258" s="28" t="str">
        <f ca="1">IF(B258="","",IF(ROUND(MOD(SETTINGS!$B$4,1)*1440,0)&lt;ROUND(SETTINGS!$B$11*1440,0),"Ram",IF(ROUND(MOD(SETTINGS!$B$4,1)*1440,0)&gt;=ROUND(SETTINGS!$B$10*1440,0),"Shyam",IF(MOD(IFERROR(VALUE(RIGHT(F258,2)),0),2)=0,"Ram","Shyam"))))</f>
        <v>Shyam</v>
      </c>
      <c r="AA258" s="28">
        <f t="shared" ref="AA258:AA321" ca="1" si="47">IF(X258=1,COUNTIFS($F$2:$F$601,F258,$X$2:$X$601,1),0)</f>
        <v>0</v>
      </c>
      <c r="AB258" s="28">
        <f ca="1">IF(X258=1,COUNTIFS($F$2:F258,F258,$X$2:X258,1),0)</f>
        <v>0</v>
      </c>
      <c r="AC258" s="28" t="str">
        <f>IF(L258=1,IF(IFERROR(INDEX(PARTNERS!$C$2:$C$88,MATCH(B258,PARTNERS!$A$2:$A$88,0)),"")="YES","YES","NO"),"")</f>
        <v>NO</v>
      </c>
      <c r="AD258" s="28" t="str">
        <f>IF(L258=1,IFERROR(INDEX(PARTNERS!$B$2:$B$88,MATCH(B258,PARTNERS!$A$2:$A$88,0)),""),"")</f>
        <v>https://calendly.com/partner007/interview</v>
      </c>
      <c r="AE258" s="28">
        <f ca="1">IF(X258=1,IFERROR(INDEX(SETTINGS!$B$34:$D$36,MATCH(I258,SETTINGS!$A$34:$A$36,0),MIN(Q258,2)+1),SETTINGS!$B$36),0)</f>
        <v>0</v>
      </c>
      <c r="AF258" s="28">
        <f t="shared" ref="AF258:AF321" si="48">IF(L258=1,IFERROR(VALUE(RIGHT(G258,1)),1),0)</f>
        <v>2</v>
      </c>
      <c r="AG258" s="28">
        <f ca="1">IF(AND(Y258=1,AB258=1),ROUND(AA258*AE258*IF(AF258&gt;1,SETTINGS!$B$16,1)*IF(W258&lt;=SETTINGS!$B$14,SETTINGS!$B$15,1)*IF(AU258=1,SETTINGS!$B$21,1),6),0)</f>
        <v>0</v>
      </c>
      <c r="AH258" s="28" t="str">
        <f ca="1">IF(AG258&gt;0,COUNTIFS($Z$2:$Z$601,Z258,$AG$2:$AG$601,"&gt;"&amp;AG258)+COUNTIFS($Z$2:Z258,Z258,$AG$2:AG258,AG258),"")</f>
        <v/>
      </c>
      <c r="AI258" s="28" t="str">
        <f t="shared" ref="AI258:AI321" ca="1" si="49">IF(AH258&lt;&gt;"",Z258&amp;"|"&amp;AH258,"")</f>
        <v/>
      </c>
      <c r="AJ258" s="28" t="str">
        <f t="shared" ref="AJ258:AJ321" ca="1" si="50">IF(X258=1,F258&amp;"|"&amp;AB258,"")</f>
        <v/>
      </c>
      <c r="AK258" s="28">
        <f>IF(L258=1,IF(COUNTIFS($F$2:F258,F258,$L$2:L258,1)=1,1,0),0)</f>
        <v>1</v>
      </c>
      <c r="AL258" s="28" t="str">
        <f ca="1">IF(B258="","",IF(K258="DUPLICATE","Duplicate (removed)",IF(AO258=1,"Scheduled within 24h",IF(M258=1,"Scheduled late",IF(K258="BAD CONTACT","Bad contact details",IF(O258=1,"Stopped / wrong number",IF(N258=1,"Not interested",IF(P258=1,"Partner has no slots",IF(SETTINGS!$B$4&gt;=V258,IF(Q258=0,"Missed deadline: never tried","Missed deadline: tried, not booked"),IF(Q258&gt;=SETTINGS!$B$6,"No reply after max tries","Open"))))))))))</f>
        <v>Missed deadline: tried, not booked</v>
      </c>
      <c r="AM258" s="46" t="str">
        <f>IF(M258=1,IF(_xlfn.MINIFS(LOG!$G$2:$G$2001,LOG!$C$2:$C$2001,F258,LOG!$E$2:$E$2001,B258,LOG!$D$2:$D$2001,"*BOOKED")=0,_xlfn.MINIFS(LOG!$G$2:$G$2001,LOG!$C$2:$C$2001,F258,LOG!$E$2:$E$2001,"",LOG!$D$2:$D$2001,"*BOOKED"),IF(_xlfn.MINIFS(LOG!$G$2:$G$2001,LOG!$C$2:$C$2001,F258,LOG!$E$2:$E$2001,"",LOG!$D$2:$D$2001,"*BOOKED")=0,_xlfn.MINIFS(LOG!$G$2:$G$2001,LOG!$C$2:$C$2001,F258,LOG!$E$2:$E$2001,B258,LOG!$D$2:$D$2001,"*BOOKED"),MIN(_xlfn.MINIFS(LOG!$G$2:$G$2001,LOG!$C$2:$C$2001,F258,LOG!$E$2:$E$2001,B258,LOG!$D$2:$D$2001,"*BOOKED"),_xlfn.MINIFS(LOG!$G$2:$G$2001,LOG!$C$2:$C$2001,F258,LOG!$E$2:$E$2001,"",LOG!$D$2:$D$2001,"*BOOKED")))),"")</f>
        <v/>
      </c>
      <c r="AN258" s="28" t="str">
        <f t="shared" ref="AN258:AN321" si="51">IF(M258=1,(AM258-H258)*24,"")</f>
        <v/>
      </c>
      <c r="AO258" s="28">
        <f>IF(AND(M258=1,AN258&lt;&gt;""),IF(AN258&lt;=SETTINGS!$B$5,1,0),0)</f>
        <v>0</v>
      </c>
      <c r="AP258" s="28">
        <f>IF(M258=1,IF(COUNTIFS(LOG!$C$2:$C$2001,F258,LOG!$E$2:$E$2001,B258,LOG!$D$2:$D$2001,"BOOKED")+COUNTIFS(LOG!$C$2:$C$2001,F258,LOG!$E$2:$E$2001,"",LOG!$D$2:$D$2001,"BOOKED")&gt;0,1,0),0)</f>
        <v>0</v>
      </c>
      <c r="AQ258" s="28" t="str">
        <f t="shared" ref="AQ258:AQ321" si="52">IF(B258="","",LEFT(D258,FIND(" ",D258&amp;" ")-1))</f>
        <v>Ishaan</v>
      </c>
      <c r="AR258" s="28">
        <f>IF(AND(AK258=1,K258="OK"),COUNTIFS($AK$2:AK258,1,$K$2:K258,"OK"),"")</f>
        <v>224</v>
      </c>
      <c r="AS258" s="28" t="str">
        <f>IF(L258=1,IFERROR(INDEX(MESSAGES!$J$9:$J$1008,MATCH(F258,MESSAGES!$M$9:$M$1008,0))&amp;"",""),"")</f>
        <v/>
      </c>
      <c r="AT258" s="28" t="str">
        <f>IF(L258=1,IFERROR(INDEX(MESSAGES!$K$9:$K$1008,MATCH(F258,MESSAGES!$M$9:$M$1008,0))&amp;"",""),"")</f>
        <v/>
      </c>
      <c r="AU258" s="28">
        <f t="shared" ref="AU258:AU321" ca="1" si="53">IF(AND(X258=1,ISNUMBER(SEARCH("YES",AT258))),1,0)</f>
        <v>0</v>
      </c>
      <c r="AV258" s="28" t="str">
        <f t="shared" ref="AV258:AV321" si="54">IF(L258=1,IF(MOD(IFERROR(VALUE(MID(F258,9,1)),0),2)=0,"SEND","HOLD"),"")</f>
        <v>SEND</v>
      </c>
    </row>
    <row r="259" spans="1:48" x14ac:dyDescent="0.35">
      <c r="A259" s="28">
        <v>258</v>
      </c>
      <c r="B259" s="28" t="str">
        <f>IF(INPUT!A259="","",TRIM(INPUT!A259))</f>
        <v>Partner 007</v>
      </c>
      <c r="C259" s="28" t="str">
        <f>IF(B259="","",INPUT!C259)</f>
        <v>interviewer2@partner007.example.com</v>
      </c>
      <c r="D259" s="28" t="str">
        <f>IF(B259="","",INPUT!D259)</f>
        <v>Diya B.</v>
      </c>
      <c r="E259" s="28" t="str">
        <f>IF(B259="","",INPUT!E259)</f>
        <v>diya.b031@example.com</v>
      </c>
      <c r="F259" s="43" t="str">
        <f>IF(B259="","",TRIM(INPUT!F259&amp;""))</f>
        <v>9000000410</v>
      </c>
      <c r="G259" s="28" t="str">
        <f>IF(B259="","",INPUT!H259)</f>
        <v>Round1</v>
      </c>
      <c r="H259" s="46">
        <f>IF(B259="","",INPUT!I259)</f>
        <v>46308.82708333333</v>
      </c>
      <c r="I259" s="28" t="str">
        <f>IF(B259="","",IF(INPUT!J259="","None",INPUT!J259))</f>
        <v>Clicked</v>
      </c>
      <c r="J259" s="28" t="str">
        <f t="shared" si="44"/>
        <v>diya.b031@example.com|partner 007|Round1|interviewer2@partner007.example.com</v>
      </c>
      <c r="K259" s="28" t="str">
        <f>IF(B259="","",IF(SUMPRODUCT(($J$2:$J$601=J259)*($H$2:$H$601&lt;H259))+SUMPRODUCT(($J$2:J259=J259)*($H$2:H259=H259))-1&gt;0,"DUPLICATE",IF(AND(ISNUMBER(SEARCH("@",E259)),ISNUMBER(SEARCH(".",E259)),LEN(F259)=10,ISNUMBER(VALUE(F259))),"OK","BAD CONTACT")))</f>
        <v>OK</v>
      </c>
      <c r="L259" s="28">
        <f t="shared" si="45"/>
        <v>1</v>
      </c>
      <c r="M259" s="28">
        <f>IF(L259=1,IF(COUNTIFS(LOG!$C$2:$C$2001,F259,LOG!$E$2:$E$2001,B259,LOG!$D$2:$D$2001,"*BOOKED")+COUNTIFS(LOG!$C$2:$C$2001,F259,LOG!$E$2:$E$2001,"",LOG!$D$2:$D$2001,"*BOOKED")&gt;0,1,0),0)</f>
        <v>1</v>
      </c>
      <c r="N259" s="28">
        <f>IF(L259=1,IF(COUNTIFS(LOG!$C$2:$C$2001,F259,LOG!$E$2:$E$2001,B259,LOG!$D$2:$D$2001,"NOT_INTERESTED")+COUNTIFS(LOG!$C$2:$C$2001,F259,LOG!$E$2:$E$2001,"",LOG!$D$2:$D$2001,"NOT_INTERESTED")&gt;0,1,0),0)</f>
        <v>0</v>
      </c>
      <c r="O259" s="28">
        <f>IF(L259=1,IF(COUNTIFS(LOG!$C$2:$C$2001,F259,LOG!$D$2:$D$2001,"STOP")+COUNTIFS(LOG!$C$2:$C$2001,F259,LOG!$D$2:$D$2001,"WRONG_NUMBER")&gt;0,1,IF(ISNUMBER(SEARCH("STOP",AT259)),1,0)),0)</f>
        <v>0</v>
      </c>
      <c r="P259" s="28">
        <f>IF(L259=1,IF(IFERROR(INDEX(PARTNERS!$D$2:$D$88,MATCH(B259,PARTNERS!$A$2:$A$88,0)),"")="NO SLOTS",1,IF(AND(IFERROR(INDEX(PARTNERS!$D$2:$D$88,MATCH(B259,PARTNERS!$A$2:$A$88,0)),"")&lt;&gt;"REOPENED",COUNTIFS(LOG!$E$2:$E$2001,B259,LOG!$D$2:$D$2001,"NO_SLOTS")&gt;0),1,0)),0)</f>
        <v>0</v>
      </c>
      <c r="Q259" s="28">
        <f>IF(L259=1,COUNTIFS(LOG!$C$2:$C$2001,F259,LOG!$H$2:$H$2001,1),0)</f>
        <v>1</v>
      </c>
      <c r="R259" s="46">
        <f>IF(Q259&gt;0,_xlfn.MAXIFS(LOG!$G$2:$G$2001,LOG!$C$2:$C$2001,F259,LOG!$H$2:$H$2001,1),0)</f>
        <v>46309.645568782558</v>
      </c>
      <c r="S259" s="28" t="str">
        <f>IF(Q259&gt;0,IFERROR(INDEX(LOG!$D$2:$D$2001,MATCH(F259&amp;"|"&amp;Q259,LOG!$I$2:$I$2001,0)),""),"")</f>
        <v>SENT_LINK</v>
      </c>
      <c r="T259" s="28">
        <f>IF(S259="",0,IFERROR(VLOOKUP(S259,LISTS!$A$2:$E$10,4,FALSE),0))</f>
        <v>180</v>
      </c>
      <c r="U259" s="46">
        <f t="shared" si="46"/>
        <v>46309.770568782558</v>
      </c>
      <c r="V259" s="46">
        <f>IF(L259=1,H259+SETTINGS!$B$5/24,"")</f>
        <v>46309.82708333333</v>
      </c>
      <c r="W259" s="28">
        <f ca="1">IF(L259=1,(V259-SETTINGS!$B$4)*24,"")</f>
        <v>-1.6666666720993817E-2</v>
      </c>
      <c r="X259" s="28">
        <f ca="1">IF(AND(L259=1,K259="OK",M259=0,N259=0,O259=0,P259=0,SETTINGS!$B$4&lt;V259,Q259&lt;SETTINGS!$B$6),1,0)</f>
        <v>0</v>
      </c>
      <c r="Y259" s="28">
        <f ca="1">IF(AND(X259=1,SETTINGS!$B$4&gt;=H259,SETTINGS!$B$4&gt;=U259,ROUND(MOD(SETTINGS!$B$4,1)*1440,0)&gt;=ROUND(SETTINGS!$B$7*1440,0),ROUND(MOD(SETTINGS!$B$4,1)*1440,0)&lt;ROUND(SETTINGS!$B$8*1440,0)),1,0)</f>
        <v>0</v>
      </c>
      <c r="Z259" s="28" t="str">
        <f ca="1">IF(B259="","",IF(ROUND(MOD(SETTINGS!$B$4,1)*1440,0)&lt;ROUND(SETTINGS!$B$11*1440,0),"Ram",IF(ROUND(MOD(SETTINGS!$B$4,1)*1440,0)&gt;=ROUND(SETTINGS!$B$10*1440,0),"Shyam",IF(MOD(IFERROR(VALUE(RIGHT(F259,2)),0),2)=0,"Ram","Shyam"))))</f>
        <v>Shyam</v>
      </c>
      <c r="AA259" s="28">
        <f t="shared" ca="1" si="47"/>
        <v>0</v>
      </c>
      <c r="AB259" s="28">
        <f ca="1">IF(X259=1,COUNTIFS($F$2:F259,F259,$X$2:X259,1),0)</f>
        <v>0</v>
      </c>
      <c r="AC259" s="28" t="str">
        <f>IF(L259=1,IF(IFERROR(INDEX(PARTNERS!$C$2:$C$88,MATCH(B259,PARTNERS!$A$2:$A$88,0)),"")="YES","YES","NO"),"")</f>
        <v>NO</v>
      </c>
      <c r="AD259" s="28" t="str">
        <f>IF(L259=1,IFERROR(INDEX(PARTNERS!$B$2:$B$88,MATCH(B259,PARTNERS!$A$2:$A$88,0)),""),"")</f>
        <v>https://calendly.com/partner007/interview</v>
      </c>
      <c r="AE259" s="28">
        <f ca="1">IF(X259=1,IFERROR(INDEX(SETTINGS!$B$34:$D$36,MATCH(I259,SETTINGS!$A$34:$A$36,0),MIN(Q259,2)+1),SETTINGS!$B$36),0)</f>
        <v>0</v>
      </c>
      <c r="AF259" s="28">
        <f t="shared" si="48"/>
        <v>1</v>
      </c>
      <c r="AG259" s="28">
        <f ca="1">IF(AND(Y259=1,AB259=1),ROUND(AA259*AE259*IF(AF259&gt;1,SETTINGS!$B$16,1)*IF(W259&lt;=SETTINGS!$B$14,SETTINGS!$B$15,1)*IF(AU259=1,SETTINGS!$B$21,1),6),0)</f>
        <v>0</v>
      </c>
      <c r="AH259" s="28" t="str">
        <f ca="1">IF(AG259&gt;0,COUNTIFS($Z$2:$Z$601,Z259,$AG$2:$AG$601,"&gt;"&amp;AG259)+COUNTIFS($Z$2:Z259,Z259,$AG$2:AG259,AG259),"")</f>
        <v/>
      </c>
      <c r="AI259" s="28" t="str">
        <f t="shared" ca="1" si="49"/>
        <v/>
      </c>
      <c r="AJ259" s="28" t="str">
        <f t="shared" ca="1" si="50"/>
        <v/>
      </c>
      <c r="AK259" s="28">
        <f>IF(L259=1,IF(COUNTIFS($F$2:F259,F259,$L$2:L259,1)=1,1,0),0)</f>
        <v>1</v>
      </c>
      <c r="AL259" s="28" t="str">
        <f>IF(B259="","",IF(K259="DUPLICATE","Duplicate (removed)",IF(AO259=1,"Scheduled within 24h",IF(M259=1,"Scheduled late",IF(K259="BAD CONTACT","Bad contact details",IF(O259=1,"Stopped / wrong number",IF(N259=1,"Not interested",IF(P259=1,"Partner has no slots",IF(SETTINGS!$B$4&gt;=V259,IF(Q259=0,"Missed deadline: never tried","Missed deadline: tried, not booked"),IF(Q259&gt;=SETTINGS!$B$6,"No reply after max tries","Open"))))))))))</f>
        <v>Scheduled within 24h</v>
      </c>
      <c r="AM259" s="46">
        <f>IF(M259=1,IF(_xlfn.MINIFS(LOG!$G$2:$G$2001,LOG!$C$2:$C$2001,F259,LOG!$E$2:$E$2001,B259,LOG!$D$2:$D$2001,"*BOOKED")=0,_xlfn.MINIFS(LOG!$G$2:$G$2001,LOG!$C$2:$C$2001,F259,LOG!$E$2:$E$2001,"",LOG!$D$2:$D$2001,"*BOOKED"),IF(_xlfn.MINIFS(LOG!$G$2:$G$2001,LOG!$C$2:$C$2001,F259,LOG!$E$2:$E$2001,"",LOG!$D$2:$D$2001,"*BOOKED")=0,_xlfn.MINIFS(LOG!$G$2:$G$2001,LOG!$C$2:$C$2001,F259,LOG!$E$2:$E$2001,B259,LOG!$D$2:$D$2001,"*BOOKED"),MIN(_xlfn.MINIFS(LOG!$G$2:$G$2001,LOG!$C$2:$C$2001,F259,LOG!$E$2:$E$2001,B259,LOG!$D$2:$D$2001,"*BOOKED"),_xlfn.MINIFS(LOG!$G$2:$G$2001,LOG!$C$2:$C$2001,F259,LOG!$E$2:$E$2001,"",LOG!$D$2:$D$2001,"*BOOKED")))),"")</f>
        <v>46309.684042279769</v>
      </c>
      <c r="AN259" s="28">
        <f t="shared" si="51"/>
        <v>20.567014714528341</v>
      </c>
      <c r="AO259" s="28">
        <f>IF(AND(M259=1,AN259&lt;&gt;""),IF(AN259&lt;=SETTINGS!$B$5,1,0),0)</f>
        <v>1</v>
      </c>
      <c r="AP259" s="28">
        <f>IF(M259=1,IF(COUNTIFS(LOG!$C$2:$C$2001,F259,LOG!$E$2:$E$2001,B259,LOG!$D$2:$D$2001,"BOOKED")+COUNTIFS(LOG!$C$2:$C$2001,F259,LOG!$E$2:$E$2001,"",LOG!$D$2:$D$2001,"BOOKED")&gt;0,1,0),0)</f>
        <v>0</v>
      </c>
      <c r="AQ259" s="28" t="str">
        <f t="shared" si="52"/>
        <v>Diya</v>
      </c>
      <c r="AR259" s="28">
        <f>IF(AND(AK259=1,K259="OK"),COUNTIFS($AK$2:AK259,1,$K$2:K259,"OK"),"")</f>
        <v>225</v>
      </c>
      <c r="AS259" s="28" t="str">
        <f>IF(L259=1,IFERROR(INDEX(MESSAGES!$J$9:$J$1008,MATCH(F259,MESSAGES!$M$9:$M$1008,0))&amp;"",""),"")</f>
        <v/>
      </c>
      <c r="AT259" s="28" t="str">
        <f>IF(L259=1,IFERROR(INDEX(MESSAGES!$K$9:$K$1008,MATCH(F259,MESSAGES!$M$9:$M$1008,0))&amp;"",""),"")</f>
        <v/>
      </c>
      <c r="AU259" s="28">
        <f t="shared" ca="1" si="53"/>
        <v>0</v>
      </c>
      <c r="AV259" s="28" t="str">
        <f t="shared" si="54"/>
        <v>HOLD</v>
      </c>
    </row>
    <row r="260" spans="1:48" x14ac:dyDescent="0.35">
      <c r="A260" s="28">
        <v>259</v>
      </c>
      <c r="B260" s="28" t="str">
        <f>IF(INPUT!A260="","",TRIM(INPUT!A260))</f>
        <v>Partner 005</v>
      </c>
      <c r="C260" s="28" t="str">
        <f>IF(B260="","",INPUT!C260)</f>
        <v>interviewer1@partner005.example.com</v>
      </c>
      <c r="D260" s="28" t="str">
        <f>IF(B260="","",INPUT!D260)</f>
        <v>Kabir J.</v>
      </c>
      <c r="E260" s="28" t="str">
        <f>IF(B260="","",INPUT!E260)</f>
        <v>kabir.j242@example.com</v>
      </c>
      <c r="F260" s="43" t="str">
        <f>IF(B260="","",TRIM(INPUT!F260&amp;""))</f>
        <v>9000003153</v>
      </c>
      <c r="G260" s="28" t="str">
        <f>IF(B260="","",INPUT!H260)</f>
        <v>Round1</v>
      </c>
      <c r="H260" s="46">
        <f>IF(B260="","",INPUT!I260)</f>
        <v>46308.82708333333</v>
      </c>
      <c r="I260" s="28" t="str">
        <f>IF(B260="","",IF(INPUT!J260="","None",INPUT!J260))</f>
        <v>None</v>
      </c>
      <c r="J260" s="28" t="str">
        <f t="shared" si="44"/>
        <v>kabir.j242@example.com|partner 005|Round1|interviewer1@partner005.example.com</v>
      </c>
      <c r="K260" s="28" t="str">
        <f>IF(B260="","",IF(SUMPRODUCT(($J$2:$J$601=J260)*($H$2:$H$601&lt;H260))+SUMPRODUCT(($J$2:J260=J260)*($H$2:H260=H260))-1&gt;0,"DUPLICATE",IF(AND(ISNUMBER(SEARCH("@",E260)),ISNUMBER(SEARCH(".",E260)),LEN(F260)=10,ISNUMBER(VALUE(F260))),"OK","BAD CONTACT")))</f>
        <v>OK</v>
      </c>
      <c r="L260" s="28">
        <f t="shared" si="45"/>
        <v>1</v>
      </c>
      <c r="M260" s="28">
        <f>IF(L260=1,IF(COUNTIFS(LOG!$C$2:$C$2001,F260,LOG!$E$2:$E$2001,B260,LOG!$D$2:$D$2001,"*BOOKED")+COUNTIFS(LOG!$C$2:$C$2001,F260,LOG!$E$2:$E$2001,"",LOG!$D$2:$D$2001,"*BOOKED")&gt;0,1,0),0)</f>
        <v>0</v>
      </c>
      <c r="N260" s="28">
        <f>IF(L260=1,IF(COUNTIFS(LOG!$C$2:$C$2001,F260,LOG!$E$2:$E$2001,B260,LOG!$D$2:$D$2001,"NOT_INTERESTED")+COUNTIFS(LOG!$C$2:$C$2001,F260,LOG!$E$2:$E$2001,"",LOG!$D$2:$D$2001,"NOT_INTERESTED")&gt;0,1,0),0)</f>
        <v>0</v>
      </c>
      <c r="O260" s="28">
        <f>IF(L260=1,IF(COUNTIFS(LOG!$C$2:$C$2001,F260,LOG!$D$2:$D$2001,"STOP")+COUNTIFS(LOG!$C$2:$C$2001,F260,LOG!$D$2:$D$2001,"WRONG_NUMBER")&gt;0,1,IF(ISNUMBER(SEARCH("STOP",AT260)),1,0)),0)</f>
        <v>0</v>
      </c>
      <c r="P260" s="28">
        <f>IF(L260=1,IF(IFERROR(INDEX(PARTNERS!$D$2:$D$88,MATCH(B260,PARTNERS!$A$2:$A$88,0)),"")="NO SLOTS",1,IF(AND(IFERROR(INDEX(PARTNERS!$D$2:$D$88,MATCH(B260,PARTNERS!$A$2:$A$88,0)),"")&lt;&gt;"REOPENED",COUNTIFS(LOG!$E$2:$E$2001,B260,LOG!$D$2:$D$2001,"NO_SLOTS")&gt;0),1,0)),0)</f>
        <v>0</v>
      </c>
      <c r="Q260" s="28">
        <f>IF(L260=1,COUNTIFS(LOG!$C$2:$C$2001,F260,LOG!$H$2:$H$2001,1),0)</f>
        <v>2</v>
      </c>
      <c r="R260" s="46">
        <f>IF(Q260&gt;0,_xlfn.MAXIFS(LOG!$G$2:$G$2001,LOG!$C$2:$C$2001,F260,LOG!$H$2:$H$2001,1),0)</f>
        <v>46309.634030132605</v>
      </c>
      <c r="S260" s="28" t="str">
        <f>IF(Q260&gt;0,IFERROR(INDEX(LOG!$D$2:$D$2001,MATCH(F260&amp;"|"&amp;Q260,LOG!$I$2:$I$2001,0)),""),"")</f>
        <v>NO_ANSWER</v>
      </c>
      <c r="T260" s="28">
        <f>IF(S260="",0,IFERROR(VLOOKUP(S260,LISTS!$A$2:$E$10,4,FALSE),0))</f>
        <v>120</v>
      </c>
      <c r="U260" s="46">
        <f t="shared" si="46"/>
        <v>46309.717363465941</v>
      </c>
      <c r="V260" s="46">
        <f>IF(L260=1,H260+SETTINGS!$B$5/24,"")</f>
        <v>46309.82708333333</v>
      </c>
      <c r="W260" s="28">
        <f ca="1">IF(L260=1,(V260-SETTINGS!$B$4)*24,"")</f>
        <v>-1.6666666720993817E-2</v>
      </c>
      <c r="X260" s="28">
        <f ca="1">IF(AND(L260=1,K260="OK",M260=0,N260=0,O260=0,P260=0,SETTINGS!$B$4&lt;V260,Q260&lt;SETTINGS!$B$6),1,0)</f>
        <v>0</v>
      </c>
      <c r="Y260" s="28">
        <f ca="1">IF(AND(X260=1,SETTINGS!$B$4&gt;=H260,SETTINGS!$B$4&gt;=U260,ROUND(MOD(SETTINGS!$B$4,1)*1440,0)&gt;=ROUND(SETTINGS!$B$7*1440,0),ROUND(MOD(SETTINGS!$B$4,1)*1440,0)&lt;ROUND(SETTINGS!$B$8*1440,0)),1,0)</f>
        <v>0</v>
      </c>
      <c r="Z260" s="28" t="str">
        <f ca="1">IF(B260="","",IF(ROUND(MOD(SETTINGS!$B$4,1)*1440,0)&lt;ROUND(SETTINGS!$B$11*1440,0),"Ram",IF(ROUND(MOD(SETTINGS!$B$4,1)*1440,0)&gt;=ROUND(SETTINGS!$B$10*1440,0),"Shyam",IF(MOD(IFERROR(VALUE(RIGHT(F260,2)),0),2)=0,"Ram","Shyam"))))</f>
        <v>Shyam</v>
      </c>
      <c r="AA260" s="28">
        <f t="shared" ca="1" si="47"/>
        <v>0</v>
      </c>
      <c r="AB260" s="28">
        <f ca="1">IF(X260=1,COUNTIFS($F$2:F260,F260,$X$2:X260,1),0)</f>
        <v>0</v>
      </c>
      <c r="AC260" s="28" t="str">
        <f>IF(L260=1,IF(IFERROR(INDEX(PARTNERS!$C$2:$C$88,MATCH(B260,PARTNERS!$A$2:$A$88,0)),"")="YES","YES","NO"),"")</f>
        <v>YES</v>
      </c>
      <c r="AD260" s="28" t="str">
        <f>IF(L260=1,IFERROR(INDEX(PARTNERS!$B$2:$B$88,MATCH(B260,PARTNERS!$A$2:$A$88,0)),""),"")</f>
        <v>https://calendly.com/partner005/interview</v>
      </c>
      <c r="AE260" s="28">
        <f ca="1">IF(X260=1,IFERROR(INDEX(SETTINGS!$B$34:$D$36,MATCH(I260,SETTINGS!$A$34:$A$36,0),MIN(Q260,2)+1),SETTINGS!$B$36),0)</f>
        <v>0</v>
      </c>
      <c r="AF260" s="28">
        <f t="shared" si="48"/>
        <v>1</v>
      </c>
      <c r="AG260" s="28">
        <f ca="1">IF(AND(Y260=1,AB260=1),ROUND(AA260*AE260*IF(AF260&gt;1,SETTINGS!$B$16,1)*IF(W260&lt;=SETTINGS!$B$14,SETTINGS!$B$15,1)*IF(AU260=1,SETTINGS!$B$21,1),6),0)</f>
        <v>0</v>
      </c>
      <c r="AH260" s="28" t="str">
        <f ca="1">IF(AG260&gt;0,COUNTIFS($Z$2:$Z$601,Z260,$AG$2:$AG$601,"&gt;"&amp;AG260)+COUNTIFS($Z$2:Z260,Z260,$AG$2:AG260,AG260),"")</f>
        <v/>
      </c>
      <c r="AI260" s="28" t="str">
        <f t="shared" ca="1" si="49"/>
        <v/>
      </c>
      <c r="AJ260" s="28" t="str">
        <f t="shared" ca="1" si="50"/>
        <v/>
      </c>
      <c r="AK260" s="28">
        <f>IF(L260=1,IF(COUNTIFS($F$2:F260,F260,$L$2:L260,1)=1,1,0),0)</f>
        <v>1</v>
      </c>
      <c r="AL260" s="28" t="str">
        <f ca="1">IF(B260="","",IF(K260="DUPLICATE","Duplicate (removed)",IF(AO260=1,"Scheduled within 24h",IF(M260=1,"Scheduled late",IF(K260="BAD CONTACT","Bad contact details",IF(O260=1,"Stopped / wrong number",IF(N260=1,"Not interested",IF(P260=1,"Partner has no slots",IF(SETTINGS!$B$4&gt;=V260,IF(Q260=0,"Missed deadline: never tried","Missed deadline: tried, not booked"),IF(Q260&gt;=SETTINGS!$B$6,"No reply after max tries","Open"))))))))))</f>
        <v>Missed deadline: tried, not booked</v>
      </c>
      <c r="AM260" s="46" t="str">
        <f>IF(M260=1,IF(_xlfn.MINIFS(LOG!$G$2:$G$2001,LOG!$C$2:$C$2001,F260,LOG!$E$2:$E$2001,B260,LOG!$D$2:$D$2001,"*BOOKED")=0,_xlfn.MINIFS(LOG!$G$2:$G$2001,LOG!$C$2:$C$2001,F260,LOG!$E$2:$E$2001,"",LOG!$D$2:$D$2001,"*BOOKED"),IF(_xlfn.MINIFS(LOG!$G$2:$G$2001,LOG!$C$2:$C$2001,F260,LOG!$E$2:$E$2001,"",LOG!$D$2:$D$2001,"*BOOKED")=0,_xlfn.MINIFS(LOG!$G$2:$G$2001,LOG!$C$2:$C$2001,F260,LOG!$E$2:$E$2001,B260,LOG!$D$2:$D$2001,"*BOOKED"),MIN(_xlfn.MINIFS(LOG!$G$2:$G$2001,LOG!$C$2:$C$2001,F260,LOG!$E$2:$E$2001,B260,LOG!$D$2:$D$2001,"*BOOKED"),_xlfn.MINIFS(LOG!$G$2:$G$2001,LOG!$C$2:$C$2001,F260,LOG!$E$2:$E$2001,"",LOG!$D$2:$D$2001,"*BOOKED")))),"")</f>
        <v/>
      </c>
      <c r="AN260" s="28" t="str">
        <f t="shared" si="51"/>
        <v/>
      </c>
      <c r="AO260" s="28">
        <f>IF(AND(M260=1,AN260&lt;&gt;""),IF(AN260&lt;=SETTINGS!$B$5,1,0),0)</f>
        <v>0</v>
      </c>
      <c r="AP260" s="28">
        <f>IF(M260=1,IF(COUNTIFS(LOG!$C$2:$C$2001,F260,LOG!$E$2:$E$2001,B260,LOG!$D$2:$D$2001,"BOOKED")+COUNTIFS(LOG!$C$2:$C$2001,F260,LOG!$E$2:$E$2001,"",LOG!$D$2:$D$2001,"BOOKED")&gt;0,1,0),0)</f>
        <v>0</v>
      </c>
      <c r="AQ260" s="28" t="str">
        <f t="shared" si="52"/>
        <v>Kabir</v>
      </c>
      <c r="AR260" s="28">
        <f>IF(AND(AK260=1,K260="OK"),COUNTIFS($AK$2:AK260,1,$K$2:K260,"OK"),"")</f>
        <v>226</v>
      </c>
      <c r="AS260" s="28" t="str">
        <f>IF(L260=1,IFERROR(INDEX(MESSAGES!$J$9:$J$1008,MATCH(F260,MESSAGES!$M$9:$M$1008,0))&amp;"",""),"")</f>
        <v/>
      </c>
      <c r="AT260" s="28" t="str">
        <f>IF(L260=1,IFERROR(INDEX(MESSAGES!$K$9:$K$1008,MATCH(F260,MESSAGES!$M$9:$M$1008,0))&amp;"",""),"")</f>
        <v/>
      </c>
      <c r="AU260" s="28">
        <f t="shared" ca="1" si="53"/>
        <v>0</v>
      </c>
      <c r="AV260" s="28" t="str">
        <f t="shared" si="54"/>
        <v>HOLD</v>
      </c>
    </row>
    <row r="261" spans="1:48" x14ac:dyDescent="0.35">
      <c r="A261" s="28">
        <v>260</v>
      </c>
      <c r="B261" s="28" t="str">
        <f>IF(INPUT!A261="","",TRIM(INPUT!A261))</f>
        <v>Partner 000</v>
      </c>
      <c r="C261" s="28" t="str">
        <f>IF(B261="","",INPUT!C261)</f>
        <v>interviewer0@partner000.example.com</v>
      </c>
      <c r="D261" s="28" t="str">
        <f>IF(B261="","",INPUT!D261)</f>
        <v>Nisha E.</v>
      </c>
      <c r="E261" s="28" t="str">
        <f>IF(B261="","",INPUT!E261)</f>
        <v>nisha.e147@example.com</v>
      </c>
      <c r="F261" s="43" t="str">
        <f>IF(B261="","",TRIM(INPUT!F261&amp;""))</f>
        <v>9000001918</v>
      </c>
      <c r="G261" s="28" t="str">
        <f>IF(B261="","",INPUT!H261)</f>
        <v>Round1</v>
      </c>
      <c r="H261" s="46">
        <f>IF(B261="","",INPUT!I261)</f>
        <v>46308.82708333333</v>
      </c>
      <c r="I261" s="28" t="str">
        <f>IF(B261="","",IF(INPUT!J261="","None",INPUT!J261))</f>
        <v>Clicked</v>
      </c>
      <c r="J261" s="28" t="str">
        <f t="shared" si="44"/>
        <v>nisha.e147@example.com|partner 000|Round1|interviewer0@partner000.example.com</v>
      </c>
      <c r="K261" s="28" t="str">
        <f>IF(B261="","",IF(SUMPRODUCT(($J$2:$J$601=J261)*($H$2:$H$601&lt;H261))+SUMPRODUCT(($J$2:J261=J261)*($H$2:H261=H261))-1&gt;0,"DUPLICATE",IF(AND(ISNUMBER(SEARCH("@",E261)),ISNUMBER(SEARCH(".",E261)),LEN(F261)=10,ISNUMBER(VALUE(F261))),"OK","BAD CONTACT")))</f>
        <v>OK</v>
      </c>
      <c r="L261" s="28">
        <f t="shared" si="45"/>
        <v>1</v>
      </c>
      <c r="M261" s="28">
        <f>IF(L261=1,IF(COUNTIFS(LOG!$C$2:$C$2001,F261,LOG!$E$2:$E$2001,B261,LOG!$D$2:$D$2001,"*BOOKED")+COUNTIFS(LOG!$C$2:$C$2001,F261,LOG!$E$2:$E$2001,"",LOG!$D$2:$D$2001,"*BOOKED")&gt;0,1,0),0)</f>
        <v>1</v>
      </c>
      <c r="N261" s="28">
        <f>IF(L261=1,IF(COUNTIFS(LOG!$C$2:$C$2001,F261,LOG!$E$2:$E$2001,B261,LOG!$D$2:$D$2001,"NOT_INTERESTED")+COUNTIFS(LOG!$C$2:$C$2001,F261,LOG!$E$2:$E$2001,"",LOG!$D$2:$D$2001,"NOT_INTERESTED")&gt;0,1,0),0)</f>
        <v>0</v>
      </c>
      <c r="O261" s="28">
        <f>IF(L261=1,IF(COUNTIFS(LOG!$C$2:$C$2001,F261,LOG!$D$2:$D$2001,"STOP")+COUNTIFS(LOG!$C$2:$C$2001,F261,LOG!$D$2:$D$2001,"WRONG_NUMBER")&gt;0,1,IF(ISNUMBER(SEARCH("STOP",AT261)),1,0)),0)</f>
        <v>0</v>
      </c>
      <c r="P261" s="28">
        <f>IF(L261=1,IF(IFERROR(INDEX(PARTNERS!$D$2:$D$88,MATCH(B261,PARTNERS!$A$2:$A$88,0)),"")="NO SLOTS",1,IF(AND(IFERROR(INDEX(PARTNERS!$D$2:$D$88,MATCH(B261,PARTNERS!$A$2:$A$88,0)),"")&lt;&gt;"REOPENED",COUNTIFS(LOG!$E$2:$E$2001,B261,LOG!$D$2:$D$2001,"NO_SLOTS")&gt;0),1,0)),0)</f>
        <v>0</v>
      </c>
      <c r="Q261" s="28">
        <f>IF(L261=1,COUNTIFS(LOG!$C$2:$C$2001,F261,LOG!$H$2:$H$2001,1),0)</f>
        <v>1</v>
      </c>
      <c r="R261" s="46">
        <f>IF(Q261&gt;0,_xlfn.MAXIFS(LOG!$G$2:$G$2001,LOG!$C$2:$C$2001,F261,LOG!$H$2:$H$2001,1),0)</f>
        <v>46309.64977957122</v>
      </c>
      <c r="S261" s="28" t="str">
        <f>IF(Q261&gt;0,IFERROR(INDEX(LOG!$D$2:$D$2001,MATCH(F261&amp;"|"&amp;Q261,LOG!$I$2:$I$2001,0)),""),"")</f>
        <v>SENT_LINK</v>
      </c>
      <c r="T261" s="28">
        <f>IF(S261="",0,IFERROR(VLOOKUP(S261,LISTS!$A$2:$E$10,4,FALSE),0))</f>
        <v>180</v>
      </c>
      <c r="U261" s="46">
        <f t="shared" si="46"/>
        <v>46309.77477957122</v>
      </c>
      <c r="V261" s="46">
        <f>IF(L261=1,H261+SETTINGS!$B$5/24,"")</f>
        <v>46309.82708333333</v>
      </c>
      <c r="W261" s="28">
        <f ca="1">IF(L261=1,(V261-SETTINGS!$B$4)*24,"")</f>
        <v>-1.6666666720993817E-2</v>
      </c>
      <c r="X261" s="28">
        <f ca="1">IF(AND(L261=1,K261="OK",M261=0,N261=0,O261=0,P261=0,SETTINGS!$B$4&lt;V261,Q261&lt;SETTINGS!$B$6),1,0)</f>
        <v>0</v>
      </c>
      <c r="Y261" s="28">
        <f ca="1">IF(AND(X261=1,SETTINGS!$B$4&gt;=H261,SETTINGS!$B$4&gt;=U261,ROUND(MOD(SETTINGS!$B$4,1)*1440,0)&gt;=ROUND(SETTINGS!$B$7*1440,0),ROUND(MOD(SETTINGS!$B$4,1)*1440,0)&lt;ROUND(SETTINGS!$B$8*1440,0)),1,0)</f>
        <v>0</v>
      </c>
      <c r="Z261" s="28" t="str">
        <f ca="1">IF(B261="","",IF(ROUND(MOD(SETTINGS!$B$4,1)*1440,0)&lt;ROUND(SETTINGS!$B$11*1440,0),"Ram",IF(ROUND(MOD(SETTINGS!$B$4,1)*1440,0)&gt;=ROUND(SETTINGS!$B$10*1440,0),"Shyam",IF(MOD(IFERROR(VALUE(RIGHT(F261,2)),0),2)=0,"Ram","Shyam"))))</f>
        <v>Shyam</v>
      </c>
      <c r="AA261" s="28">
        <f t="shared" ca="1" si="47"/>
        <v>0</v>
      </c>
      <c r="AB261" s="28">
        <f ca="1">IF(X261=1,COUNTIFS($F$2:F261,F261,$X$2:X261,1),0)</f>
        <v>0</v>
      </c>
      <c r="AC261" s="28" t="str">
        <f>IF(L261=1,IF(IFERROR(INDEX(PARTNERS!$C$2:$C$88,MATCH(B261,PARTNERS!$A$2:$A$88,0)),"")="YES","YES","NO"),"")</f>
        <v>NO</v>
      </c>
      <c r="AD261" s="28" t="str">
        <f>IF(L261=1,IFERROR(INDEX(PARTNERS!$B$2:$B$88,MATCH(B261,PARTNERS!$A$2:$A$88,0)),""),"")</f>
        <v>https://calendly.com/partner000/interview</v>
      </c>
      <c r="AE261" s="28">
        <f ca="1">IF(X261=1,IFERROR(INDEX(SETTINGS!$B$34:$D$36,MATCH(I261,SETTINGS!$A$34:$A$36,0),MIN(Q261,2)+1),SETTINGS!$B$36),0)</f>
        <v>0</v>
      </c>
      <c r="AF261" s="28">
        <f t="shared" si="48"/>
        <v>1</v>
      </c>
      <c r="AG261" s="28">
        <f ca="1">IF(AND(Y261=1,AB261=1),ROUND(AA261*AE261*IF(AF261&gt;1,SETTINGS!$B$16,1)*IF(W261&lt;=SETTINGS!$B$14,SETTINGS!$B$15,1)*IF(AU261=1,SETTINGS!$B$21,1),6),0)</f>
        <v>0</v>
      </c>
      <c r="AH261" s="28" t="str">
        <f ca="1">IF(AG261&gt;0,COUNTIFS($Z$2:$Z$601,Z261,$AG$2:$AG$601,"&gt;"&amp;AG261)+COUNTIFS($Z$2:Z261,Z261,$AG$2:AG261,AG261),"")</f>
        <v/>
      </c>
      <c r="AI261" s="28" t="str">
        <f t="shared" ca="1" si="49"/>
        <v/>
      </c>
      <c r="AJ261" s="28" t="str">
        <f t="shared" ca="1" si="50"/>
        <v/>
      </c>
      <c r="AK261" s="28">
        <f>IF(L261=1,IF(COUNTIFS($F$2:F261,F261,$L$2:L261,1)=1,1,0),0)</f>
        <v>1</v>
      </c>
      <c r="AL261" s="28" t="str">
        <f>IF(B261="","",IF(K261="DUPLICATE","Duplicate (removed)",IF(AO261=1,"Scheduled within 24h",IF(M261=1,"Scheduled late",IF(K261="BAD CONTACT","Bad contact details",IF(O261=1,"Stopped / wrong number",IF(N261=1,"Not interested",IF(P261=1,"Partner has no slots",IF(SETTINGS!$B$4&gt;=V261,IF(Q261=0,"Missed deadline: never tried","Missed deadline: tried, not booked"),IF(Q261&gt;=SETTINGS!$B$6,"No reply after max tries","Open"))))))))))</f>
        <v>Scheduled within 24h</v>
      </c>
      <c r="AM261" s="46">
        <f>IF(M261=1,IF(_xlfn.MINIFS(LOG!$G$2:$G$2001,LOG!$C$2:$C$2001,F261,LOG!$E$2:$E$2001,B261,LOG!$D$2:$D$2001,"*BOOKED")=0,_xlfn.MINIFS(LOG!$G$2:$G$2001,LOG!$C$2:$C$2001,F261,LOG!$E$2:$E$2001,"",LOG!$D$2:$D$2001,"*BOOKED"),IF(_xlfn.MINIFS(LOG!$G$2:$G$2001,LOG!$C$2:$C$2001,F261,LOG!$E$2:$E$2001,"",LOG!$D$2:$D$2001,"*BOOKED")=0,_xlfn.MINIFS(LOG!$G$2:$G$2001,LOG!$C$2:$C$2001,F261,LOG!$E$2:$E$2001,B261,LOG!$D$2:$D$2001,"*BOOKED"),MIN(_xlfn.MINIFS(LOG!$G$2:$G$2001,LOG!$C$2:$C$2001,F261,LOG!$E$2:$E$2001,B261,LOG!$D$2:$D$2001,"*BOOKED"),_xlfn.MINIFS(LOG!$G$2:$G$2001,LOG!$C$2:$C$2001,F261,LOG!$E$2:$E$2001,"",LOG!$D$2:$D$2001,"*BOOKED")))),"")</f>
        <v>46309.759794758669</v>
      </c>
      <c r="AN261" s="28">
        <f t="shared" si="51"/>
        <v>22.385074208141305</v>
      </c>
      <c r="AO261" s="28">
        <f>IF(AND(M261=1,AN261&lt;&gt;""),IF(AN261&lt;=SETTINGS!$B$5,1,0),0)</f>
        <v>1</v>
      </c>
      <c r="AP261" s="28">
        <f>IF(M261=1,IF(COUNTIFS(LOG!$C$2:$C$2001,F261,LOG!$E$2:$E$2001,B261,LOG!$D$2:$D$2001,"BOOKED")+COUNTIFS(LOG!$C$2:$C$2001,F261,LOG!$E$2:$E$2001,"",LOG!$D$2:$D$2001,"BOOKED")&gt;0,1,0),0)</f>
        <v>0</v>
      </c>
      <c r="AQ261" s="28" t="str">
        <f t="shared" si="52"/>
        <v>Nisha</v>
      </c>
      <c r="AR261" s="28">
        <f>IF(AND(AK261=1,K261="OK"),COUNTIFS($AK$2:AK261,1,$K$2:K261,"OK"),"")</f>
        <v>227</v>
      </c>
      <c r="AS261" s="28" t="str">
        <f>IF(L261=1,IFERROR(INDEX(MESSAGES!$J$9:$J$1008,MATCH(F261,MESSAGES!$M$9:$M$1008,0))&amp;"",""),"")</f>
        <v/>
      </c>
      <c r="AT261" s="28" t="str">
        <f>IF(L261=1,IFERROR(INDEX(MESSAGES!$K$9:$K$1008,MATCH(F261,MESSAGES!$M$9:$M$1008,0))&amp;"",""),"")</f>
        <v/>
      </c>
      <c r="AU261" s="28">
        <f t="shared" ca="1" si="53"/>
        <v>0</v>
      </c>
      <c r="AV261" s="28" t="str">
        <f t="shared" si="54"/>
        <v>HOLD</v>
      </c>
    </row>
    <row r="262" spans="1:48" x14ac:dyDescent="0.35">
      <c r="A262" s="28">
        <v>261</v>
      </c>
      <c r="B262" s="28" t="str">
        <f>IF(INPUT!A262="","",TRIM(INPUT!A262))</f>
        <v>Partner 064</v>
      </c>
      <c r="C262" s="28" t="str">
        <f>IF(B262="","",INPUT!C262)</f>
        <v>interviewer2@partner064.example.com</v>
      </c>
      <c r="D262" s="28" t="str">
        <f>IF(B262="","",INPUT!D262)</f>
        <v>Vihaan E.</v>
      </c>
      <c r="E262" s="28" t="str">
        <f>IF(B262="","",INPUT!E262)</f>
        <v>vihaan.e124@example.com</v>
      </c>
      <c r="F262" s="43" t="str">
        <f>IF(B262="","",TRIM(INPUT!F262&amp;""))</f>
        <v>9000001619</v>
      </c>
      <c r="G262" s="28" t="str">
        <f>IF(B262="","",INPUT!H262)</f>
        <v>Round1</v>
      </c>
      <c r="H262" s="46">
        <f>IF(B262="","",INPUT!I262)</f>
        <v>46308.82708333333</v>
      </c>
      <c r="I262" s="28" t="str">
        <f>IF(B262="","",IF(INPUT!J262="","None",INPUT!J262))</f>
        <v>Opened</v>
      </c>
      <c r="J262" s="28" t="str">
        <f t="shared" si="44"/>
        <v>vihaan.e124@example.com|partner 064|Round1|interviewer2@partner064.example.com</v>
      </c>
      <c r="K262" s="28" t="str">
        <f>IF(B262="","",IF(SUMPRODUCT(($J$2:$J$601=J262)*($H$2:$H$601&lt;H262))+SUMPRODUCT(($J$2:J262=J262)*($H$2:H262=H262))-1&gt;0,"DUPLICATE",IF(AND(ISNUMBER(SEARCH("@",E262)),ISNUMBER(SEARCH(".",E262)),LEN(F262)=10,ISNUMBER(VALUE(F262))),"OK","BAD CONTACT")))</f>
        <v>OK</v>
      </c>
      <c r="L262" s="28">
        <f t="shared" si="45"/>
        <v>1</v>
      </c>
      <c r="M262" s="28">
        <f>IF(L262=1,IF(COUNTIFS(LOG!$C$2:$C$2001,F262,LOG!$E$2:$E$2001,B262,LOG!$D$2:$D$2001,"*BOOKED")+COUNTIFS(LOG!$C$2:$C$2001,F262,LOG!$E$2:$E$2001,"",LOG!$D$2:$D$2001,"*BOOKED")&gt;0,1,0),0)</f>
        <v>1</v>
      </c>
      <c r="N262" s="28">
        <f>IF(L262=1,IF(COUNTIFS(LOG!$C$2:$C$2001,F262,LOG!$E$2:$E$2001,B262,LOG!$D$2:$D$2001,"NOT_INTERESTED")+COUNTIFS(LOG!$C$2:$C$2001,F262,LOG!$E$2:$E$2001,"",LOG!$D$2:$D$2001,"NOT_INTERESTED")&gt;0,1,0),0)</f>
        <v>0</v>
      </c>
      <c r="O262" s="28">
        <f>IF(L262=1,IF(COUNTIFS(LOG!$C$2:$C$2001,F262,LOG!$D$2:$D$2001,"STOP")+COUNTIFS(LOG!$C$2:$C$2001,F262,LOG!$D$2:$D$2001,"WRONG_NUMBER")&gt;0,1,IF(ISNUMBER(SEARCH("STOP",AT262)),1,0)),0)</f>
        <v>0</v>
      </c>
      <c r="P262" s="28">
        <f>IF(L262=1,IF(IFERROR(INDEX(PARTNERS!$D$2:$D$88,MATCH(B262,PARTNERS!$A$2:$A$88,0)),"")="NO SLOTS",1,IF(AND(IFERROR(INDEX(PARTNERS!$D$2:$D$88,MATCH(B262,PARTNERS!$A$2:$A$88,0)),"")&lt;&gt;"REOPENED",COUNTIFS(LOG!$E$2:$E$2001,B262,LOG!$D$2:$D$2001,"NO_SLOTS")&gt;0),1,0)),0)</f>
        <v>0</v>
      </c>
      <c r="Q262" s="28">
        <f>IF(L262=1,COUNTIFS(LOG!$C$2:$C$2001,F262,LOG!$H$2:$H$2001,1),0)</f>
        <v>0</v>
      </c>
      <c r="R262" s="46">
        <f>IF(Q262&gt;0,_xlfn.MAXIFS(LOG!$G$2:$G$2001,LOG!$C$2:$C$2001,F262,LOG!$H$2:$H$2001,1),0)</f>
        <v>0</v>
      </c>
      <c r="S262" s="28" t="str">
        <f>IF(Q262&gt;0,IFERROR(INDEX(LOG!$D$2:$D$2001,MATCH(F262&amp;"|"&amp;Q262,LOG!$I$2:$I$2001,0)),""),"")</f>
        <v/>
      </c>
      <c r="T262" s="28">
        <f>IF(S262="",0,IFERROR(VLOOKUP(S262,LISTS!$A$2:$E$10,4,FALSE),0))</f>
        <v>0</v>
      </c>
      <c r="U262" s="46">
        <f t="shared" si="46"/>
        <v>0</v>
      </c>
      <c r="V262" s="46">
        <f>IF(L262=1,H262+SETTINGS!$B$5/24,"")</f>
        <v>46309.82708333333</v>
      </c>
      <c r="W262" s="28">
        <f ca="1">IF(L262=1,(V262-SETTINGS!$B$4)*24,"")</f>
        <v>-1.6666666720993817E-2</v>
      </c>
      <c r="X262" s="28">
        <f ca="1">IF(AND(L262=1,K262="OK",M262=0,N262=0,O262=0,P262=0,SETTINGS!$B$4&lt;V262,Q262&lt;SETTINGS!$B$6),1,0)</f>
        <v>0</v>
      </c>
      <c r="Y262" s="28">
        <f ca="1">IF(AND(X262=1,SETTINGS!$B$4&gt;=H262,SETTINGS!$B$4&gt;=U262,ROUND(MOD(SETTINGS!$B$4,1)*1440,0)&gt;=ROUND(SETTINGS!$B$7*1440,0),ROUND(MOD(SETTINGS!$B$4,1)*1440,0)&lt;ROUND(SETTINGS!$B$8*1440,0)),1,0)</f>
        <v>0</v>
      </c>
      <c r="Z262" s="28" t="str">
        <f ca="1">IF(B262="","",IF(ROUND(MOD(SETTINGS!$B$4,1)*1440,0)&lt;ROUND(SETTINGS!$B$11*1440,0),"Ram",IF(ROUND(MOD(SETTINGS!$B$4,1)*1440,0)&gt;=ROUND(SETTINGS!$B$10*1440,0),"Shyam",IF(MOD(IFERROR(VALUE(RIGHT(F262,2)),0),2)=0,"Ram","Shyam"))))</f>
        <v>Shyam</v>
      </c>
      <c r="AA262" s="28">
        <f t="shared" ca="1" si="47"/>
        <v>0</v>
      </c>
      <c r="AB262" s="28">
        <f ca="1">IF(X262=1,COUNTIFS($F$2:F262,F262,$X$2:X262,1),0)</f>
        <v>0</v>
      </c>
      <c r="AC262" s="28" t="str">
        <f>IF(L262=1,IF(IFERROR(INDEX(PARTNERS!$C$2:$C$88,MATCH(B262,PARTNERS!$A$2:$A$88,0)),"")="YES","YES","NO"),"")</f>
        <v>YES</v>
      </c>
      <c r="AD262" s="28" t="str">
        <f>IF(L262=1,IFERROR(INDEX(PARTNERS!$B$2:$B$88,MATCH(B262,PARTNERS!$A$2:$A$88,0)),""),"")</f>
        <v>https://calendly.com/partner064/interview</v>
      </c>
      <c r="AE262" s="28">
        <f ca="1">IF(X262=1,IFERROR(INDEX(SETTINGS!$B$34:$D$36,MATCH(I262,SETTINGS!$A$34:$A$36,0),MIN(Q262,2)+1),SETTINGS!$B$36),0)</f>
        <v>0</v>
      </c>
      <c r="AF262" s="28">
        <f t="shared" si="48"/>
        <v>1</v>
      </c>
      <c r="AG262" s="28">
        <f ca="1">IF(AND(Y262=1,AB262=1),ROUND(AA262*AE262*IF(AF262&gt;1,SETTINGS!$B$16,1)*IF(W262&lt;=SETTINGS!$B$14,SETTINGS!$B$15,1)*IF(AU262=1,SETTINGS!$B$21,1),6),0)</f>
        <v>0</v>
      </c>
      <c r="AH262" s="28" t="str">
        <f ca="1">IF(AG262&gt;0,COUNTIFS($Z$2:$Z$601,Z262,$AG$2:$AG$601,"&gt;"&amp;AG262)+COUNTIFS($Z$2:Z262,Z262,$AG$2:AG262,AG262),"")</f>
        <v/>
      </c>
      <c r="AI262" s="28" t="str">
        <f t="shared" ca="1" si="49"/>
        <v/>
      </c>
      <c r="AJ262" s="28" t="str">
        <f t="shared" ca="1" si="50"/>
        <v/>
      </c>
      <c r="AK262" s="28">
        <f>IF(L262=1,IF(COUNTIFS($F$2:F262,F262,$L$2:L262,1)=1,1,0),0)</f>
        <v>1</v>
      </c>
      <c r="AL262" s="28" t="str">
        <f>IF(B262="","",IF(K262="DUPLICATE","Duplicate (removed)",IF(AO262=1,"Scheduled within 24h",IF(M262=1,"Scheduled late",IF(K262="BAD CONTACT","Bad contact details",IF(O262=1,"Stopped / wrong number",IF(N262=1,"Not interested",IF(P262=1,"Partner has no slots",IF(SETTINGS!$B$4&gt;=V262,IF(Q262=0,"Missed deadline: never tried","Missed deadline: tried, not booked"),IF(Q262&gt;=SETTINGS!$B$6,"No reply after max tries","Open"))))))))))</f>
        <v>Scheduled within 24h</v>
      </c>
      <c r="AM262" s="46">
        <f>IF(M262=1,IF(_xlfn.MINIFS(LOG!$G$2:$G$2001,LOG!$C$2:$C$2001,F262,LOG!$E$2:$E$2001,B262,LOG!$D$2:$D$2001,"*BOOKED")=0,_xlfn.MINIFS(LOG!$G$2:$G$2001,LOG!$C$2:$C$2001,F262,LOG!$E$2:$E$2001,"",LOG!$D$2:$D$2001,"*BOOKED"),IF(_xlfn.MINIFS(LOG!$G$2:$G$2001,LOG!$C$2:$C$2001,F262,LOG!$E$2:$E$2001,"",LOG!$D$2:$D$2001,"*BOOKED")=0,_xlfn.MINIFS(LOG!$G$2:$G$2001,LOG!$C$2:$C$2001,F262,LOG!$E$2:$E$2001,B262,LOG!$D$2:$D$2001,"*BOOKED"),MIN(_xlfn.MINIFS(LOG!$G$2:$G$2001,LOG!$C$2:$C$2001,F262,LOG!$E$2:$E$2001,B262,LOG!$D$2:$D$2001,"*BOOKED"),_xlfn.MINIFS(LOG!$G$2:$G$2001,LOG!$C$2:$C$2001,F262,LOG!$E$2:$E$2001,"",LOG!$D$2:$D$2001,"*BOOKED")))),"")</f>
        <v>46309.695780528637</v>
      </c>
      <c r="AN262" s="28">
        <f t="shared" si="51"/>
        <v>20.848732687358279</v>
      </c>
      <c r="AO262" s="28">
        <f>IF(AND(M262=1,AN262&lt;&gt;""),IF(AN262&lt;=SETTINGS!$B$5,1,0),0)</f>
        <v>1</v>
      </c>
      <c r="AP262" s="28">
        <f>IF(M262=1,IF(COUNTIFS(LOG!$C$2:$C$2001,F262,LOG!$E$2:$E$2001,B262,LOG!$D$2:$D$2001,"BOOKED")+COUNTIFS(LOG!$C$2:$C$2001,F262,LOG!$E$2:$E$2001,"",LOG!$D$2:$D$2001,"BOOKED")&gt;0,1,0),0)</f>
        <v>0</v>
      </c>
      <c r="AQ262" s="28" t="str">
        <f t="shared" si="52"/>
        <v>Vihaan</v>
      </c>
      <c r="AR262" s="28">
        <f>IF(AND(AK262=1,K262="OK"),COUNTIFS($AK$2:AK262,1,$K$2:K262,"OK"),"")</f>
        <v>228</v>
      </c>
      <c r="AS262" s="28" t="str">
        <f>IF(L262=1,IFERROR(INDEX(MESSAGES!$J$9:$J$1008,MATCH(F262,MESSAGES!$M$9:$M$1008,0))&amp;"",""),"")</f>
        <v/>
      </c>
      <c r="AT262" s="28" t="str">
        <f>IF(L262=1,IFERROR(INDEX(MESSAGES!$K$9:$K$1008,MATCH(F262,MESSAGES!$M$9:$M$1008,0))&amp;"",""),"")</f>
        <v/>
      </c>
      <c r="AU262" s="28">
        <f t="shared" ca="1" si="53"/>
        <v>0</v>
      </c>
      <c r="AV262" s="28" t="str">
        <f t="shared" si="54"/>
        <v>HOLD</v>
      </c>
    </row>
    <row r="263" spans="1:48" x14ac:dyDescent="0.35">
      <c r="A263" s="28">
        <v>262</v>
      </c>
      <c r="B263" s="28" t="str">
        <f>IF(INPUT!A263="","",TRIM(INPUT!A263))</f>
        <v>Partner 001</v>
      </c>
      <c r="C263" s="28" t="str">
        <f>IF(B263="","",INPUT!C263)</f>
        <v>interviewer2@partner001.example.com</v>
      </c>
      <c r="D263" s="28" t="str">
        <f>IF(B263="","",INPUT!D263)</f>
        <v>Navya L.</v>
      </c>
      <c r="E263" s="28" t="str">
        <f>IF(B263="","",INPUT!E263)</f>
        <v>navya.l313@example.com</v>
      </c>
      <c r="F263" s="43" t="str">
        <f>IF(B263="","",TRIM(INPUT!F263&amp;""))</f>
        <v>9000004076</v>
      </c>
      <c r="G263" s="28" t="str">
        <f>IF(B263="","",INPUT!H263)</f>
        <v>Round1</v>
      </c>
      <c r="H263" s="46">
        <f>IF(B263="","",INPUT!I263)</f>
        <v>46308.82708333333</v>
      </c>
      <c r="I263" s="28" t="str">
        <f>IF(B263="","",IF(INPUT!J263="","None",INPUT!J263))</f>
        <v>Opened</v>
      </c>
      <c r="J263" s="28" t="str">
        <f t="shared" si="44"/>
        <v>navya.l313@example.com|partner 001|Round1|interviewer2@partner001.example.com</v>
      </c>
      <c r="K263" s="28" t="str">
        <f>IF(B263="","",IF(SUMPRODUCT(($J$2:$J$601=J263)*($H$2:$H$601&lt;H263))+SUMPRODUCT(($J$2:J263=J263)*($H$2:H263=H263))-1&gt;0,"DUPLICATE",IF(AND(ISNUMBER(SEARCH("@",E263)),ISNUMBER(SEARCH(".",E263)),LEN(F263)=10,ISNUMBER(VALUE(F263))),"OK","BAD CONTACT")))</f>
        <v>OK</v>
      </c>
      <c r="L263" s="28">
        <f t="shared" si="45"/>
        <v>1</v>
      </c>
      <c r="M263" s="28">
        <f>IF(L263=1,IF(COUNTIFS(LOG!$C$2:$C$2001,F263,LOG!$E$2:$E$2001,B263,LOG!$D$2:$D$2001,"*BOOKED")+COUNTIFS(LOG!$C$2:$C$2001,F263,LOG!$E$2:$E$2001,"",LOG!$D$2:$D$2001,"*BOOKED")&gt;0,1,0),0)</f>
        <v>0</v>
      </c>
      <c r="N263" s="28">
        <f>IF(L263=1,IF(COUNTIFS(LOG!$C$2:$C$2001,F263,LOG!$E$2:$E$2001,B263,LOG!$D$2:$D$2001,"NOT_INTERESTED")+COUNTIFS(LOG!$C$2:$C$2001,F263,LOG!$E$2:$E$2001,"",LOG!$D$2:$D$2001,"NOT_INTERESTED")&gt;0,1,0),0)</f>
        <v>0</v>
      </c>
      <c r="O263" s="28">
        <f>IF(L263=1,IF(COUNTIFS(LOG!$C$2:$C$2001,F263,LOG!$D$2:$D$2001,"STOP")+COUNTIFS(LOG!$C$2:$C$2001,F263,LOG!$D$2:$D$2001,"WRONG_NUMBER")&gt;0,1,IF(ISNUMBER(SEARCH("STOP",AT263)),1,0)),0)</f>
        <v>0</v>
      </c>
      <c r="P263" s="28">
        <f>IF(L263=1,IF(IFERROR(INDEX(PARTNERS!$D$2:$D$88,MATCH(B263,PARTNERS!$A$2:$A$88,0)),"")="NO SLOTS",1,IF(AND(IFERROR(INDEX(PARTNERS!$D$2:$D$88,MATCH(B263,PARTNERS!$A$2:$A$88,0)),"")&lt;&gt;"REOPENED",COUNTIFS(LOG!$E$2:$E$2001,B263,LOG!$D$2:$D$2001,"NO_SLOTS")&gt;0),1,0)),0)</f>
        <v>0</v>
      </c>
      <c r="Q263" s="28">
        <f>IF(L263=1,COUNTIFS(LOG!$C$2:$C$2001,F263,LOG!$H$2:$H$2001,1),0)</f>
        <v>3</v>
      </c>
      <c r="R263" s="46">
        <f>IF(Q263&gt;0,_xlfn.MAXIFS(LOG!$G$2:$G$2001,LOG!$C$2:$C$2001,F263,LOG!$H$2:$H$2001,1),0)</f>
        <v>46309.713070908059</v>
      </c>
      <c r="S263" s="28" t="str">
        <f>IF(Q263&gt;0,IFERROR(INDEX(LOG!$D$2:$D$2001,MATCH(F263&amp;"|"&amp;Q263,LOG!$I$2:$I$2001,0)),""),"")</f>
        <v>NO_ANSWER</v>
      </c>
      <c r="T263" s="28">
        <f>IF(S263="",0,IFERROR(VLOOKUP(S263,LISTS!$A$2:$E$10,4,FALSE),0))</f>
        <v>120</v>
      </c>
      <c r="U263" s="46">
        <f t="shared" si="46"/>
        <v>46309.796404241395</v>
      </c>
      <c r="V263" s="46">
        <f>IF(L263=1,H263+SETTINGS!$B$5/24,"")</f>
        <v>46309.82708333333</v>
      </c>
      <c r="W263" s="28">
        <f ca="1">IF(L263=1,(V263-SETTINGS!$B$4)*24,"")</f>
        <v>-1.6666666720993817E-2</v>
      </c>
      <c r="X263" s="28">
        <f ca="1">IF(AND(L263=1,K263="OK",M263=0,N263=0,O263=0,P263=0,SETTINGS!$B$4&lt;V263,Q263&lt;SETTINGS!$B$6),1,0)</f>
        <v>0</v>
      </c>
      <c r="Y263" s="28">
        <f ca="1">IF(AND(X263=1,SETTINGS!$B$4&gt;=H263,SETTINGS!$B$4&gt;=U263,ROUND(MOD(SETTINGS!$B$4,1)*1440,0)&gt;=ROUND(SETTINGS!$B$7*1440,0),ROUND(MOD(SETTINGS!$B$4,1)*1440,0)&lt;ROUND(SETTINGS!$B$8*1440,0)),1,0)</f>
        <v>0</v>
      </c>
      <c r="Z263" s="28" t="str">
        <f ca="1">IF(B263="","",IF(ROUND(MOD(SETTINGS!$B$4,1)*1440,0)&lt;ROUND(SETTINGS!$B$11*1440,0),"Ram",IF(ROUND(MOD(SETTINGS!$B$4,1)*1440,0)&gt;=ROUND(SETTINGS!$B$10*1440,0),"Shyam",IF(MOD(IFERROR(VALUE(RIGHT(F263,2)),0),2)=0,"Ram","Shyam"))))</f>
        <v>Shyam</v>
      </c>
      <c r="AA263" s="28">
        <f t="shared" ca="1" si="47"/>
        <v>0</v>
      </c>
      <c r="AB263" s="28">
        <f ca="1">IF(X263=1,COUNTIFS($F$2:F263,F263,$X$2:X263,1),0)</f>
        <v>0</v>
      </c>
      <c r="AC263" s="28" t="str">
        <f>IF(L263=1,IF(IFERROR(INDEX(PARTNERS!$C$2:$C$88,MATCH(B263,PARTNERS!$A$2:$A$88,0)),"")="YES","YES","NO"),"")</f>
        <v>NO</v>
      </c>
      <c r="AD263" s="28" t="str">
        <f>IF(L263=1,IFERROR(INDEX(PARTNERS!$B$2:$B$88,MATCH(B263,PARTNERS!$A$2:$A$88,0)),""),"")</f>
        <v>https://calendly.com/partner001/interview</v>
      </c>
      <c r="AE263" s="28">
        <f ca="1">IF(X263=1,IFERROR(INDEX(SETTINGS!$B$34:$D$36,MATCH(I263,SETTINGS!$A$34:$A$36,0),MIN(Q263,2)+1),SETTINGS!$B$36),0)</f>
        <v>0</v>
      </c>
      <c r="AF263" s="28">
        <f t="shared" si="48"/>
        <v>1</v>
      </c>
      <c r="AG263" s="28">
        <f ca="1">IF(AND(Y263=1,AB263=1),ROUND(AA263*AE263*IF(AF263&gt;1,SETTINGS!$B$16,1)*IF(W263&lt;=SETTINGS!$B$14,SETTINGS!$B$15,1)*IF(AU263=1,SETTINGS!$B$21,1),6),0)</f>
        <v>0</v>
      </c>
      <c r="AH263" s="28" t="str">
        <f ca="1">IF(AG263&gt;0,COUNTIFS($Z$2:$Z$601,Z263,$AG$2:$AG$601,"&gt;"&amp;AG263)+COUNTIFS($Z$2:Z263,Z263,$AG$2:AG263,AG263),"")</f>
        <v/>
      </c>
      <c r="AI263" s="28" t="str">
        <f t="shared" ca="1" si="49"/>
        <v/>
      </c>
      <c r="AJ263" s="28" t="str">
        <f t="shared" ca="1" si="50"/>
        <v/>
      </c>
      <c r="AK263" s="28">
        <f>IF(L263=1,IF(COUNTIFS($F$2:F263,F263,$L$2:L263,1)=1,1,0),0)</f>
        <v>1</v>
      </c>
      <c r="AL263" s="28" t="str">
        <f ca="1">IF(B263="","",IF(K263="DUPLICATE","Duplicate (removed)",IF(AO263=1,"Scheduled within 24h",IF(M263=1,"Scheduled late",IF(K263="BAD CONTACT","Bad contact details",IF(O263=1,"Stopped / wrong number",IF(N263=1,"Not interested",IF(P263=1,"Partner has no slots",IF(SETTINGS!$B$4&gt;=V263,IF(Q263=0,"Missed deadline: never tried","Missed deadline: tried, not booked"),IF(Q263&gt;=SETTINGS!$B$6,"No reply after max tries","Open"))))))))))</f>
        <v>Missed deadline: tried, not booked</v>
      </c>
      <c r="AM263" s="46" t="str">
        <f>IF(M263=1,IF(_xlfn.MINIFS(LOG!$G$2:$G$2001,LOG!$C$2:$C$2001,F263,LOG!$E$2:$E$2001,B263,LOG!$D$2:$D$2001,"*BOOKED")=0,_xlfn.MINIFS(LOG!$G$2:$G$2001,LOG!$C$2:$C$2001,F263,LOG!$E$2:$E$2001,"",LOG!$D$2:$D$2001,"*BOOKED"),IF(_xlfn.MINIFS(LOG!$G$2:$G$2001,LOG!$C$2:$C$2001,F263,LOG!$E$2:$E$2001,"",LOG!$D$2:$D$2001,"*BOOKED")=0,_xlfn.MINIFS(LOG!$G$2:$G$2001,LOG!$C$2:$C$2001,F263,LOG!$E$2:$E$2001,B263,LOG!$D$2:$D$2001,"*BOOKED"),MIN(_xlfn.MINIFS(LOG!$G$2:$G$2001,LOG!$C$2:$C$2001,F263,LOG!$E$2:$E$2001,B263,LOG!$D$2:$D$2001,"*BOOKED"),_xlfn.MINIFS(LOG!$G$2:$G$2001,LOG!$C$2:$C$2001,F263,LOG!$E$2:$E$2001,"",LOG!$D$2:$D$2001,"*BOOKED")))),"")</f>
        <v/>
      </c>
      <c r="AN263" s="28" t="str">
        <f t="shared" si="51"/>
        <v/>
      </c>
      <c r="AO263" s="28">
        <f>IF(AND(M263=1,AN263&lt;&gt;""),IF(AN263&lt;=SETTINGS!$B$5,1,0),0)</f>
        <v>0</v>
      </c>
      <c r="AP263" s="28">
        <f>IF(M263=1,IF(COUNTIFS(LOG!$C$2:$C$2001,F263,LOG!$E$2:$E$2001,B263,LOG!$D$2:$D$2001,"BOOKED")+COUNTIFS(LOG!$C$2:$C$2001,F263,LOG!$E$2:$E$2001,"",LOG!$D$2:$D$2001,"BOOKED")&gt;0,1,0),0)</f>
        <v>0</v>
      </c>
      <c r="AQ263" s="28" t="str">
        <f t="shared" si="52"/>
        <v>Navya</v>
      </c>
      <c r="AR263" s="28">
        <f>IF(AND(AK263=1,K263="OK"),COUNTIFS($AK$2:AK263,1,$K$2:K263,"OK"),"")</f>
        <v>229</v>
      </c>
      <c r="AS263" s="28" t="str">
        <f>IF(L263=1,IFERROR(INDEX(MESSAGES!$J$9:$J$1008,MATCH(F263,MESSAGES!$M$9:$M$1008,0))&amp;"",""),"")</f>
        <v/>
      </c>
      <c r="AT263" s="28" t="str">
        <f>IF(L263=1,IFERROR(INDEX(MESSAGES!$K$9:$K$1008,MATCH(F263,MESSAGES!$M$9:$M$1008,0))&amp;"",""),"")</f>
        <v/>
      </c>
      <c r="AU263" s="28">
        <f t="shared" ca="1" si="53"/>
        <v>0</v>
      </c>
      <c r="AV263" s="28" t="str">
        <f t="shared" si="54"/>
        <v>HOLD</v>
      </c>
    </row>
    <row r="264" spans="1:48" x14ac:dyDescent="0.35">
      <c r="A264" s="28">
        <v>263</v>
      </c>
      <c r="B264" s="28" t="str">
        <f>IF(INPUT!A264="","",TRIM(INPUT!A264))</f>
        <v>Partner 003</v>
      </c>
      <c r="C264" s="28" t="str">
        <f>IF(B264="","",INPUT!C264)</f>
        <v>interviewer2@partner003.example.com</v>
      </c>
      <c r="D264" s="28" t="str">
        <f>IF(B264="","",INPUT!D264)</f>
        <v>Ira B.</v>
      </c>
      <c r="E264" s="28" t="str">
        <f>IF(B264="","",INPUT!E264)</f>
        <v>ira.b035@example.com</v>
      </c>
      <c r="F264" s="43" t="str">
        <f>IF(B264="","",TRIM(INPUT!F264&amp;""))</f>
        <v>9000000462</v>
      </c>
      <c r="G264" s="28" t="str">
        <f>IF(B264="","",INPUT!H264)</f>
        <v>Round1</v>
      </c>
      <c r="H264" s="46">
        <f>IF(B264="","",INPUT!I264)</f>
        <v>46308.82708333333</v>
      </c>
      <c r="I264" s="28" t="str">
        <f>IF(B264="","",IF(INPUT!J264="","None",INPUT!J264))</f>
        <v>Opened</v>
      </c>
      <c r="J264" s="28" t="str">
        <f t="shared" si="44"/>
        <v>ira.b035@example.com|partner 003|Round1|interviewer2@partner003.example.com</v>
      </c>
      <c r="K264" s="28" t="str">
        <f>IF(B264="","",IF(SUMPRODUCT(($J$2:$J$601=J264)*($H$2:$H$601&lt;H264))+SUMPRODUCT(($J$2:J264=J264)*($H$2:H264=H264))-1&gt;0,"DUPLICATE",IF(AND(ISNUMBER(SEARCH("@",E264)),ISNUMBER(SEARCH(".",E264)),LEN(F264)=10,ISNUMBER(VALUE(F264))),"OK","BAD CONTACT")))</f>
        <v>OK</v>
      </c>
      <c r="L264" s="28">
        <f t="shared" si="45"/>
        <v>1</v>
      </c>
      <c r="M264" s="28">
        <f>IF(L264=1,IF(COUNTIFS(LOG!$C$2:$C$2001,F264,LOG!$E$2:$E$2001,B264,LOG!$D$2:$D$2001,"*BOOKED")+COUNTIFS(LOG!$C$2:$C$2001,F264,LOG!$E$2:$E$2001,"",LOG!$D$2:$D$2001,"*BOOKED")&gt;0,1,0),0)</f>
        <v>1</v>
      </c>
      <c r="N264" s="28">
        <f>IF(L264=1,IF(COUNTIFS(LOG!$C$2:$C$2001,F264,LOG!$E$2:$E$2001,B264,LOG!$D$2:$D$2001,"NOT_INTERESTED")+COUNTIFS(LOG!$C$2:$C$2001,F264,LOG!$E$2:$E$2001,"",LOG!$D$2:$D$2001,"NOT_INTERESTED")&gt;0,1,0),0)</f>
        <v>0</v>
      </c>
      <c r="O264" s="28">
        <f>IF(L264=1,IF(COUNTIFS(LOG!$C$2:$C$2001,F264,LOG!$D$2:$D$2001,"STOP")+COUNTIFS(LOG!$C$2:$C$2001,F264,LOG!$D$2:$D$2001,"WRONG_NUMBER")&gt;0,1,IF(ISNUMBER(SEARCH("STOP",AT264)),1,0)),0)</f>
        <v>0</v>
      </c>
      <c r="P264" s="28">
        <f>IF(L264=1,IF(IFERROR(INDEX(PARTNERS!$D$2:$D$88,MATCH(B264,PARTNERS!$A$2:$A$88,0)),"")="NO SLOTS",1,IF(AND(IFERROR(INDEX(PARTNERS!$D$2:$D$88,MATCH(B264,PARTNERS!$A$2:$A$88,0)),"")&lt;&gt;"REOPENED",COUNTIFS(LOG!$E$2:$E$2001,B264,LOG!$D$2:$D$2001,"NO_SLOTS")&gt;0),1,0)),0)</f>
        <v>0</v>
      </c>
      <c r="Q264" s="28">
        <f>IF(L264=1,COUNTIFS(LOG!$C$2:$C$2001,F264,LOG!$H$2:$H$2001,1),0)</f>
        <v>1</v>
      </c>
      <c r="R264" s="46">
        <f>IF(Q264&gt;0,_xlfn.MAXIFS(LOG!$G$2:$G$2001,LOG!$C$2:$C$2001,F264,LOG!$H$2:$H$2001,1),0)</f>
        <v>46309.49511669093</v>
      </c>
      <c r="S264" s="28" t="str">
        <f>IF(Q264&gt;0,IFERROR(INDEX(LOG!$D$2:$D$2001,MATCH(F264&amp;"|"&amp;Q264,LOG!$I$2:$I$2001,0)),""),"")</f>
        <v>SENT_LINK</v>
      </c>
      <c r="T264" s="28">
        <f>IF(S264="",0,IFERROR(VLOOKUP(S264,LISTS!$A$2:$E$10,4,FALSE),0))</f>
        <v>180</v>
      </c>
      <c r="U264" s="46">
        <f t="shared" si="46"/>
        <v>46309.62011669093</v>
      </c>
      <c r="V264" s="46">
        <f>IF(L264=1,H264+SETTINGS!$B$5/24,"")</f>
        <v>46309.82708333333</v>
      </c>
      <c r="W264" s="28">
        <f ca="1">IF(L264=1,(V264-SETTINGS!$B$4)*24,"")</f>
        <v>-1.6666666720993817E-2</v>
      </c>
      <c r="X264" s="28">
        <f ca="1">IF(AND(L264=1,K264="OK",M264=0,N264=0,O264=0,P264=0,SETTINGS!$B$4&lt;V264,Q264&lt;SETTINGS!$B$6),1,0)</f>
        <v>0</v>
      </c>
      <c r="Y264" s="28">
        <f ca="1">IF(AND(X264=1,SETTINGS!$B$4&gt;=H264,SETTINGS!$B$4&gt;=U264,ROUND(MOD(SETTINGS!$B$4,1)*1440,0)&gt;=ROUND(SETTINGS!$B$7*1440,0),ROUND(MOD(SETTINGS!$B$4,1)*1440,0)&lt;ROUND(SETTINGS!$B$8*1440,0)),1,0)</f>
        <v>0</v>
      </c>
      <c r="Z264" s="28" t="str">
        <f ca="1">IF(B264="","",IF(ROUND(MOD(SETTINGS!$B$4,1)*1440,0)&lt;ROUND(SETTINGS!$B$11*1440,0),"Ram",IF(ROUND(MOD(SETTINGS!$B$4,1)*1440,0)&gt;=ROUND(SETTINGS!$B$10*1440,0),"Shyam",IF(MOD(IFERROR(VALUE(RIGHT(F264,2)),0),2)=0,"Ram","Shyam"))))</f>
        <v>Shyam</v>
      </c>
      <c r="AA264" s="28">
        <f t="shared" ca="1" si="47"/>
        <v>0</v>
      </c>
      <c r="AB264" s="28">
        <f ca="1">IF(X264=1,COUNTIFS($F$2:F264,F264,$X$2:X264,1),0)</f>
        <v>0</v>
      </c>
      <c r="AC264" s="28" t="str">
        <f>IF(L264=1,IF(IFERROR(INDEX(PARTNERS!$C$2:$C$88,MATCH(B264,PARTNERS!$A$2:$A$88,0)),"")="YES","YES","NO"),"")</f>
        <v>NO</v>
      </c>
      <c r="AD264" s="28" t="str">
        <f>IF(L264=1,IFERROR(INDEX(PARTNERS!$B$2:$B$88,MATCH(B264,PARTNERS!$A$2:$A$88,0)),""),"")</f>
        <v>https://calendly.com/partner003/interview</v>
      </c>
      <c r="AE264" s="28">
        <f ca="1">IF(X264=1,IFERROR(INDEX(SETTINGS!$B$34:$D$36,MATCH(I264,SETTINGS!$A$34:$A$36,0),MIN(Q264,2)+1),SETTINGS!$B$36),0)</f>
        <v>0</v>
      </c>
      <c r="AF264" s="28">
        <f t="shared" si="48"/>
        <v>1</v>
      </c>
      <c r="AG264" s="28">
        <f ca="1">IF(AND(Y264=1,AB264=1),ROUND(AA264*AE264*IF(AF264&gt;1,SETTINGS!$B$16,1)*IF(W264&lt;=SETTINGS!$B$14,SETTINGS!$B$15,1)*IF(AU264=1,SETTINGS!$B$21,1),6),0)</f>
        <v>0</v>
      </c>
      <c r="AH264" s="28" t="str">
        <f ca="1">IF(AG264&gt;0,COUNTIFS($Z$2:$Z$601,Z264,$AG$2:$AG$601,"&gt;"&amp;AG264)+COUNTIFS($Z$2:Z264,Z264,$AG$2:AG264,AG264),"")</f>
        <v/>
      </c>
      <c r="AI264" s="28" t="str">
        <f t="shared" ca="1" si="49"/>
        <v/>
      </c>
      <c r="AJ264" s="28" t="str">
        <f t="shared" ca="1" si="50"/>
        <v/>
      </c>
      <c r="AK264" s="28">
        <f>IF(L264=1,IF(COUNTIFS($F$2:F264,F264,$L$2:L264,1)=1,1,0),0)</f>
        <v>0</v>
      </c>
      <c r="AL264" s="28" t="str">
        <f>IF(B264="","",IF(K264="DUPLICATE","Duplicate (removed)",IF(AO264=1,"Scheduled within 24h",IF(M264=1,"Scheduled late",IF(K264="BAD CONTACT","Bad contact details",IF(O264=1,"Stopped / wrong number",IF(N264=1,"Not interested",IF(P264=1,"Partner has no slots",IF(SETTINGS!$B$4&gt;=V264,IF(Q264=0,"Missed deadline: never tried","Missed deadline: tried, not booked"),IF(Q264&gt;=SETTINGS!$B$6,"No reply after max tries","Open"))))))))))</f>
        <v>Scheduled within 24h</v>
      </c>
      <c r="AM264" s="46">
        <f>IF(M264=1,IF(_xlfn.MINIFS(LOG!$G$2:$G$2001,LOG!$C$2:$C$2001,F264,LOG!$E$2:$E$2001,B264,LOG!$D$2:$D$2001,"*BOOKED")=0,_xlfn.MINIFS(LOG!$G$2:$G$2001,LOG!$C$2:$C$2001,F264,LOG!$E$2:$E$2001,"",LOG!$D$2:$D$2001,"*BOOKED"),IF(_xlfn.MINIFS(LOG!$G$2:$G$2001,LOG!$C$2:$C$2001,F264,LOG!$E$2:$E$2001,"",LOG!$D$2:$D$2001,"*BOOKED")=0,_xlfn.MINIFS(LOG!$G$2:$G$2001,LOG!$C$2:$C$2001,F264,LOG!$E$2:$E$2001,B264,LOG!$D$2:$D$2001,"*BOOKED"),MIN(_xlfn.MINIFS(LOG!$G$2:$G$2001,LOG!$C$2:$C$2001,F264,LOG!$E$2:$E$2001,B264,LOG!$D$2:$D$2001,"*BOOKED"),_xlfn.MINIFS(LOG!$G$2:$G$2001,LOG!$C$2:$C$2001,F264,LOG!$E$2:$E$2001,"",LOG!$D$2:$D$2001,"*BOOKED")))),"")</f>
        <v>46309.579584930427</v>
      </c>
      <c r="AN264" s="28">
        <f t="shared" si="51"/>
        <v>18.06003833032446</v>
      </c>
      <c r="AO264" s="28">
        <f>IF(AND(M264=1,AN264&lt;&gt;""),IF(AN264&lt;=SETTINGS!$B$5,1,0),0)</f>
        <v>1</v>
      </c>
      <c r="AP264" s="28">
        <f>IF(M264=1,IF(COUNTIFS(LOG!$C$2:$C$2001,F264,LOG!$E$2:$E$2001,B264,LOG!$D$2:$D$2001,"BOOKED")+COUNTIFS(LOG!$C$2:$C$2001,F264,LOG!$E$2:$E$2001,"",LOG!$D$2:$D$2001,"BOOKED")&gt;0,1,0),0)</f>
        <v>0</v>
      </c>
      <c r="AQ264" s="28" t="str">
        <f t="shared" si="52"/>
        <v>Ira</v>
      </c>
      <c r="AR264" s="28" t="str">
        <f>IF(AND(AK264=1,K264="OK"),COUNTIFS($AK$2:AK264,1,$K$2:K264,"OK"),"")</f>
        <v/>
      </c>
      <c r="AS264" s="28" t="str">
        <f>IF(L264=1,IFERROR(INDEX(MESSAGES!$J$9:$J$1008,MATCH(F264,MESSAGES!$M$9:$M$1008,0))&amp;"",""),"")</f>
        <v/>
      </c>
      <c r="AT264" s="28" t="str">
        <f>IF(L264=1,IFERROR(INDEX(MESSAGES!$K$9:$K$1008,MATCH(F264,MESSAGES!$M$9:$M$1008,0))&amp;"",""),"")</f>
        <v/>
      </c>
      <c r="AU264" s="28">
        <f t="shared" ca="1" si="53"/>
        <v>0</v>
      </c>
      <c r="AV264" s="28" t="str">
        <f t="shared" si="54"/>
        <v>SEND</v>
      </c>
    </row>
    <row r="265" spans="1:48" x14ac:dyDescent="0.35">
      <c r="A265" s="28">
        <v>264</v>
      </c>
      <c r="B265" s="28" t="str">
        <f>IF(INPUT!A265="","",TRIM(INPUT!A265))</f>
        <v>Partner 000</v>
      </c>
      <c r="C265" s="28" t="str">
        <f>IF(B265="","",INPUT!C265)</f>
        <v>interviewer0@partner000.example.com</v>
      </c>
      <c r="D265" s="28" t="str">
        <f>IF(B265="","",INPUT!D265)</f>
        <v>Aarav K.</v>
      </c>
      <c r="E265" s="28" t="str">
        <f>IF(B265="","",INPUT!E265)</f>
        <v>aarav.k270@example.com</v>
      </c>
      <c r="F265" s="43" t="str">
        <f>IF(B265="","",TRIM(INPUT!F265&amp;""))</f>
        <v>9000003517</v>
      </c>
      <c r="G265" s="28" t="str">
        <f>IF(B265="","",INPUT!H265)</f>
        <v>Round1</v>
      </c>
      <c r="H265" s="46">
        <f>IF(B265="","",INPUT!I265)</f>
        <v>46308.82708333333</v>
      </c>
      <c r="I265" s="28" t="str">
        <f>IF(B265="","",IF(INPUT!J265="","None",INPUT!J265))</f>
        <v>Opened</v>
      </c>
      <c r="J265" s="28" t="str">
        <f t="shared" si="44"/>
        <v>aarav.k270@example.com|partner 000|Round1|interviewer0@partner000.example.com</v>
      </c>
      <c r="K265" s="28" t="str">
        <f>IF(B265="","",IF(SUMPRODUCT(($J$2:$J$601=J265)*($H$2:$H$601&lt;H265))+SUMPRODUCT(($J$2:J265=J265)*($H$2:H265=H265))-1&gt;0,"DUPLICATE",IF(AND(ISNUMBER(SEARCH("@",E265)),ISNUMBER(SEARCH(".",E265)),LEN(F265)=10,ISNUMBER(VALUE(F265))),"OK","BAD CONTACT")))</f>
        <v>OK</v>
      </c>
      <c r="L265" s="28">
        <f t="shared" si="45"/>
        <v>1</v>
      </c>
      <c r="M265" s="28">
        <f>IF(L265=1,IF(COUNTIFS(LOG!$C$2:$C$2001,F265,LOG!$E$2:$E$2001,B265,LOG!$D$2:$D$2001,"*BOOKED")+COUNTIFS(LOG!$C$2:$C$2001,F265,LOG!$E$2:$E$2001,"",LOG!$D$2:$D$2001,"*BOOKED")&gt;0,1,0),0)</f>
        <v>1</v>
      </c>
      <c r="N265" s="28">
        <f>IF(L265=1,IF(COUNTIFS(LOG!$C$2:$C$2001,F265,LOG!$E$2:$E$2001,B265,LOG!$D$2:$D$2001,"NOT_INTERESTED")+COUNTIFS(LOG!$C$2:$C$2001,F265,LOG!$E$2:$E$2001,"",LOG!$D$2:$D$2001,"NOT_INTERESTED")&gt;0,1,0),0)</f>
        <v>0</v>
      </c>
      <c r="O265" s="28">
        <f>IF(L265=1,IF(COUNTIFS(LOG!$C$2:$C$2001,F265,LOG!$D$2:$D$2001,"STOP")+COUNTIFS(LOG!$C$2:$C$2001,F265,LOG!$D$2:$D$2001,"WRONG_NUMBER")&gt;0,1,IF(ISNUMBER(SEARCH("STOP",AT265)),1,0)),0)</f>
        <v>0</v>
      </c>
      <c r="P265" s="28">
        <f>IF(L265=1,IF(IFERROR(INDEX(PARTNERS!$D$2:$D$88,MATCH(B265,PARTNERS!$A$2:$A$88,0)),"")="NO SLOTS",1,IF(AND(IFERROR(INDEX(PARTNERS!$D$2:$D$88,MATCH(B265,PARTNERS!$A$2:$A$88,0)),"")&lt;&gt;"REOPENED",COUNTIFS(LOG!$E$2:$E$2001,B265,LOG!$D$2:$D$2001,"NO_SLOTS")&gt;0),1,0)),0)</f>
        <v>0</v>
      </c>
      <c r="Q265" s="28">
        <f>IF(L265=1,COUNTIFS(LOG!$C$2:$C$2001,F265,LOG!$H$2:$H$2001,1),0)</f>
        <v>0</v>
      </c>
      <c r="R265" s="46">
        <f>IF(Q265&gt;0,_xlfn.MAXIFS(LOG!$G$2:$G$2001,LOG!$C$2:$C$2001,F265,LOG!$H$2:$H$2001,1),0)</f>
        <v>0</v>
      </c>
      <c r="S265" s="28" t="str">
        <f>IF(Q265&gt;0,IFERROR(INDEX(LOG!$D$2:$D$2001,MATCH(F265&amp;"|"&amp;Q265,LOG!$I$2:$I$2001,0)),""),"")</f>
        <v/>
      </c>
      <c r="T265" s="28">
        <f>IF(S265="",0,IFERROR(VLOOKUP(S265,LISTS!$A$2:$E$10,4,FALSE),0))</f>
        <v>0</v>
      </c>
      <c r="U265" s="46">
        <f t="shared" si="46"/>
        <v>0</v>
      </c>
      <c r="V265" s="46">
        <f>IF(L265=1,H265+SETTINGS!$B$5/24,"")</f>
        <v>46309.82708333333</v>
      </c>
      <c r="W265" s="28">
        <f ca="1">IF(L265=1,(V265-SETTINGS!$B$4)*24,"")</f>
        <v>-1.6666666720993817E-2</v>
      </c>
      <c r="X265" s="28">
        <f ca="1">IF(AND(L265=1,K265="OK",M265=0,N265=0,O265=0,P265=0,SETTINGS!$B$4&lt;V265,Q265&lt;SETTINGS!$B$6),1,0)</f>
        <v>0</v>
      </c>
      <c r="Y265" s="28">
        <f ca="1">IF(AND(X265=1,SETTINGS!$B$4&gt;=H265,SETTINGS!$B$4&gt;=U265,ROUND(MOD(SETTINGS!$B$4,1)*1440,0)&gt;=ROUND(SETTINGS!$B$7*1440,0),ROUND(MOD(SETTINGS!$B$4,1)*1440,0)&lt;ROUND(SETTINGS!$B$8*1440,0)),1,0)</f>
        <v>0</v>
      </c>
      <c r="Z265" s="28" t="str">
        <f ca="1">IF(B265="","",IF(ROUND(MOD(SETTINGS!$B$4,1)*1440,0)&lt;ROUND(SETTINGS!$B$11*1440,0),"Ram",IF(ROUND(MOD(SETTINGS!$B$4,1)*1440,0)&gt;=ROUND(SETTINGS!$B$10*1440,0),"Shyam",IF(MOD(IFERROR(VALUE(RIGHT(F265,2)),0),2)=0,"Ram","Shyam"))))</f>
        <v>Shyam</v>
      </c>
      <c r="AA265" s="28">
        <f t="shared" ca="1" si="47"/>
        <v>0</v>
      </c>
      <c r="AB265" s="28">
        <f ca="1">IF(X265=1,COUNTIFS($F$2:F265,F265,$X$2:X265,1),0)</f>
        <v>0</v>
      </c>
      <c r="AC265" s="28" t="str">
        <f>IF(L265=1,IF(IFERROR(INDEX(PARTNERS!$C$2:$C$88,MATCH(B265,PARTNERS!$A$2:$A$88,0)),"")="YES","YES","NO"),"")</f>
        <v>NO</v>
      </c>
      <c r="AD265" s="28" t="str">
        <f>IF(L265=1,IFERROR(INDEX(PARTNERS!$B$2:$B$88,MATCH(B265,PARTNERS!$A$2:$A$88,0)),""),"")</f>
        <v>https://calendly.com/partner000/interview</v>
      </c>
      <c r="AE265" s="28">
        <f ca="1">IF(X265=1,IFERROR(INDEX(SETTINGS!$B$34:$D$36,MATCH(I265,SETTINGS!$A$34:$A$36,0),MIN(Q265,2)+1),SETTINGS!$B$36),0)</f>
        <v>0</v>
      </c>
      <c r="AF265" s="28">
        <f t="shared" si="48"/>
        <v>1</v>
      </c>
      <c r="AG265" s="28">
        <f ca="1">IF(AND(Y265=1,AB265=1),ROUND(AA265*AE265*IF(AF265&gt;1,SETTINGS!$B$16,1)*IF(W265&lt;=SETTINGS!$B$14,SETTINGS!$B$15,1)*IF(AU265=1,SETTINGS!$B$21,1),6),0)</f>
        <v>0</v>
      </c>
      <c r="AH265" s="28" t="str">
        <f ca="1">IF(AG265&gt;0,COUNTIFS($Z$2:$Z$601,Z265,$AG$2:$AG$601,"&gt;"&amp;AG265)+COUNTIFS($Z$2:Z265,Z265,$AG$2:AG265,AG265),"")</f>
        <v/>
      </c>
      <c r="AI265" s="28" t="str">
        <f t="shared" ca="1" si="49"/>
        <v/>
      </c>
      <c r="AJ265" s="28" t="str">
        <f t="shared" ca="1" si="50"/>
        <v/>
      </c>
      <c r="AK265" s="28">
        <f>IF(L265=1,IF(COUNTIFS($F$2:F265,F265,$L$2:L265,1)=1,1,0),0)</f>
        <v>1</v>
      </c>
      <c r="AL265" s="28" t="str">
        <f>IF(B265="","",IF(K265="DUPLICATE","Duplicate (removed)",IF(AO265=1,"Scheduled within 24h",IF(M265=1,"Scheduled late",IF(K265="BAD CONTACT","Bad contact details",IF(O265=1,"Stopped / wrong number",IF(N265=1,"Not interested",IF(P265=1,"Partner has no slots",IF(SETTINGS!$B$4&gt;=V265,IF(Q265=0,"Missed deadline: never tried","Missed deadline: tried, not booked"),IF(Q265&gt;=SETTINGS!$B$6,"No reply after max tries","Open"))))))))))</f>
        <v>Scheduled within 24h</v>
      </c>
      <c r="AM265" s="46">
        <f>IF(M265=1,IF(_xlfn.MINIFS(LOG!$G$2:$G$2001,LOG!$C$2:$C$2001,F265,LOG!$E$2:$E$2001,B265,LOG!$D$2:$D$2001,"*BOOKED")=0,_xlfn.MINIFS(LOG!$G$2:$G$2001,LOG!$C$2:$C$2001,F265,LOG!$E$2:$E$2001,"",LOG!$D$2:$D$2001,"*BOOKED"),IF(_xlfn.MINIFS(LOG!$G$2:$G$2001,LOG!$C$2:$C$2001,F265,LOG!$E$2:$E$2001,"",LOG!$D$2:$D$2001,"*BOOKED")=0,_xlfn.MINIFS(LOG!$G$2:$G$2001,LOG!$C$2:$C$2001,F265,LOG!$E$2:$E$2001,B265,LOG!$D$2:$D$2001,"*BOOKED"),MIN(_xlfn.MINIFS(LOG!$G$2:$G$2001,LOG!$C$2:$C$2001,F265,LOG!$E$2:$E$2001,B265,LOG!$D$2:$D$2001,"*BOOKED"),_xlfn.MINIFS(LOG!$G$2:$G$2001,LOG!$C$2:$C$2001,F265,LOG!$E$2:$E$2001,"",LOG!$D$2:$D$2001,"*BOOKED")))),"")</f>
        <v>46309.388954054411</v>
      </c>
      <c r="AN265" s="28">
        <f t="shared" si="51"/>
        <v>13.48489730595611</v>
      </c>
      <c r="AO265" s="28">
        <f>IF(AND(M265=1,AN265&lt;&gt;""),IF(AN265&lt;=SETTINGS!$B$5,1,0),0)</f>
        <v>1</v>
      </c>
      <c r="AP265" s="28">
        <f>IF(M265=1,IF(COUNTIFS(LOG!$C$2:$C$2001,F265,LOG!$E$2:$E$2001,B265,LOG!$D$2:$D$2001,"BOOKED")+COUNTIFS(LOG!$C$2:$C$2001,F265,LOG!$E$2:$E$2001,"",LOG!$D$2:$D$2001,"BOOKED")&gt;0,1,0),0)</f>
        <v>0</v>
      </c>
      <c r="AQ265" s="28" t="str">
        <f t="shared" si="52"/>
        <v>Aarav</v>
      </c>
      <c r="AR265" s="28">
        <f>IF(AND(AK265=1,K265="OK"),COUNTIFS($AK$2:AK265,1,$K$2:K265,"OK"),"")</f>
        <v>230</v>
      </c>
      <c r="AS265" s="28" t="str">
        <f>IF(L265=1,IFERROR(INDEX(MESSAGES!$J$9:$J$1008,MATCH(F265,MESSAGES!$M$9:$M$1008,0))&amp;"",""),"")</f>
        <v/>
      </c>
      <c r="AT265" s="28" t="str">
        <f>IF(L265=1,IFERROR(INDEX(MESSAGES!$K$9:$K$1008,MATCH(F265,MESSAGES!$M$9:$M$1008,0))&amp;"",""),"")</f>
        <v/>
      </c>
      <c r="AU265" s="28">
        <f t="shared" ca="1" si="53"/>
        <v>0</v>
      </c>
      <c r="AV265" s="28" t="str">
        <f t="shared" si="54"/>
        <v>HOLD</v>
      </c>
    </row>
    <row r="266" spans="1:48" x14ac:dyDescent="0.35">
      <c r="A266" s="28">
        <v>265</v>
      </c>
      <c r="B266" s="28" t="str">
        <f>IF(INPUT!A266="","",TRIM(INPUT!A266))</f>
        <v>Partner 000</v>
      </c>
      <c r="C266" s="28" t="str">
        <f>IF(B266="","",INPUT!C266)</f>
        <v>interviewer2@partner000.example.com</v>
      </c>
      <c r="D266" s="28" t="str">
        <f>IF(B266="","",INPUT!D266)</f>
        <v>Ira L.</v>
      </c>
      <c r="E266" s="28" t="str">
        <f>IF(B266="","",INPUT!E266)</f>
        <v>ira.l305@example.com</v>
      </c>
      <c r="F266" s="43" t="str">
        <f>IF(B266="","",TRIM(INPUT!F266&amp;""))</f>
        <v>9000003972</v>
      </c>
      <c r="G266" s="28" t="str">
        <f>IF(B266="","",INPUT!H266)</f>
        <v>Round1</v>
      </c>
      <c r="H266" s="46">
        <f>IF(B266="","",INPUT!I266)</f>
        <v>46308.82708333333</v>
      </c>
      <c r="I266" s="28" t="str">
        <f>IF(B266="","",IF(INPUT!J266="","None",INPUT!J266))</f>
        <v>Opened</v>
      </c>
      <c r="J266" s="28" t="str">
        <f t="shared" si="44"/>
        <v>ira.l305@example.com|partner 000|Round1|interviewer2@partner000.example.com</v>
      </c>
      <c r="K266" s="28" t="str">
        <f>IF(B266="","",IF(SUMPRODUCT(($J$2:$J$601=J266)*($H$2:$H$601&lt;H266))+SUMPRODUCT(($J$2:J266=J266)*($H$2:H266=H266))-1&gt;0,"DUPLICATE",IF(AND(ISNUMBER(SEARCH("@",E266)),ISNUMBER(SEARCH(".",E266)),LEN(F266)=10,ISNUMBER(VALUE(F266))),"OK","BAD CONTACT")))</f>
        <v>OK</v>
      </c>
      <c r="L266" s="28">
        <f t="shared" si="45"/>
        <v>1</v>
      </c>
      <c r="M266" s="28">
        <f>IF(L266=1,IF(COUNTIFS(LOG!$C$2:$C$2001,F266,LOG!$E$2:$E$2001,B266,LOG!$D$2:$D$2001,"*BOOKED")+COUNTIFS(LOG!$C$2:$C$2001,F266,LOG!$E$2:$E$2001,"",LOG!$D$2:$D$2001,"*BOOKED")&gt;0,1,0),0)</f>
        <v>1</v>
      </c>
      <c r="N266" s="28">
        <f>IF(L266=1,IF(COUNTIFS(LOG!$C$2:$C$2001,F266,LOG!$E$2:$E$2001,B266,LOG!$D$2:$D$2001,"NOT_INTERESTED")+COUNTIFS(LOG!$C$2:$C$2001,F266,LOG!$E$2:$E$2001,"",LOG!$D$2:$D$2001,"NOT_INTERESTED")&gt;0,1,0),0)</f>
        <v>0</v>
      </c>
      <c r="O266" s="28">
        <f>IF(L266=1,IF(COUNTIFS(LOG!$C$2:$C$2001,F266,LOG!$D$2:$D$2001,"STOP")+COUNTIFS(LOG!$C$2:$C$2001,F266,LOG!$D$2:$D$2001,"WRONG_NUMBER")&gt;0,1,IF(ISNUMBER(SEARCH("STOP",AT266)),1,0)),0)</f>
        <v>0</v>
      </c>
      <c r="P266" s="28">
        <f>IF(L266=1,IF(IFERROR(INDEX(PARTNERS!$D$2:$D$88,MATCH(B266,PARTNERS!$A$2:$A$88,0)),"")="NO SLOTS",1,IF(AND(IFERROR(INDEX(PARTNERS!$D$2:$D$88,MATCH(B266,PARTNERS!$A$2:$A$88,0)),"")&lt;&gt;"REOPENED",COUNTIFS(LOG!$E$2:$E$2001,B266,LOG!$D$2:$D$2001,"NO_SLOTS")&gt;0),1,0)),0)</f>
        <v>0</v>
      </c>
      <c r="Q266" s="28">
        <f>IF(L266=1,COUNTIFS(LOG!$C$2:$C$2001,F266,LOG!$H$2:$H$2001,1),0)</f>
        <v>0</v>
      </c>
      <c r="R266" s="46">
        <f>IF(Q266&gt;0,_xlfn.MAXIFS(LOG!$G$2:$G$2001,LOG!$C$2:$C$2001,F266,LOG!$H$2:$H$2001,1),0)</f>
        <v>0</v>
      </c>
      <c r="S266" s="28" t="str">
        <f>IF(Q266&gt;0,IFERROR(INDEX(LOG!$D$2:$D$2001,MATCH(F266&amp;"|"&amp;Q266,LOG!$I$2:$I$2001,0)),""),"")</f>
        <v/>
      </c>
      <c r="T266" s="28">
        <f>IF(S266="",0,IFERROR(VLOOKUP(S266,LISTS!$A$2:$E$10,4,FALSE),0))</f>
        <v>0</v>
      </c>
      <c r="U266" s="46">
        <f t="shared" si="46"/>
        <v>0</v>
      </c>
      <c r="V266" s="46">
        <f>IF(L266=1,H266+SETTINGS!$B$5/24,"")</f>
        <v>46309.82708333333</v>
      </c>
      <c r="W266" s="28">
        <f ca="1">IF(L266=1,(V266-SETTINGS!$B$4)*24,"")</f>
        <v>-1.6666666720993817E-2</v>
      </c>
      <c r="X266" s="28">
        <f ca="1">IF(AND(L266=1,K266="OK",M266=0,N266=0,O266=0,P266=0,SETTINGS!$B$4&lt;V266,Q266&lt;SETTINGS!$B$6),1,0)</f>
        <v>0</v>
      </c>
      <c r="Y266" s="28">
        <f ca="1">IF(AND(X266=1,SETTINGS!$B$4&gt;=H266,SETTINGS!$B$4&gt;=U266,ROUND(MOD(SETTINGS!$B$4,1)*1440,0)&gt;=ROUND(SETTINGS!$B$7*1440,0),ROUND(MOD(SETTINGS!$B$4,1)*1440,0)&lt;ROUND(SETTINGS!$B$8*1440,0)),1,0)</f>
        <v>0</v>
      </c>
      <c r="Z266" s="28" t="str">
        <f ca="1">IF(B266="","",IF(ROUND(MOD(SETTINGS!$B$4,1)*1440,0)&lt;ROUND(SETTINGS!$B$11*1440,0),"Ram",IF(ROUND(MOD(SETTINGS!$B$4,1)*1440,0)&gt;=ROUND(SETTINGS!$B$10*1440,0),"Shyam",IF(MOD(IFERROR(VALUE(RIGHT(F266,2)),0),2)=0,"Ram","Shyam"))))</f>
        <v>Shyam</v>
      </c>
      <c r="AA266" s="28">
        <f t="shared" ca="1" si="47"/>
        <v>0</v>
      </c>
      <c r="AB266" s="28">
        <f ca="1">IF(X266=1,COUNTIFS($F$2:F266,F266,$X$2:X266,1),0)</f>
        <v>0</v>
      </c>
      <c r="AC266" s="28" t="str">
        <f>IF(L266=1,IF(IFERROR(INDEX(PARTNERS!$C$2:$C$88,MATCH(B266,PARTNERS!$A$2:$A$88,0)),"")="YES","YES","NO"),"")</f>
        <v>NO</v>
      </c>
      <c r="AD266" s="28" t="str">
        <f>IF(L266=1,IFERROR(INDEX(PARTNERS!$B$2:$B$88,MATCH(B266,PARTNERS!$A$2:$A$88,0)),""),"")</f>
        <v>https://calendly.com/partner000/interview</v>
      </c>
      <c r="AE266" s="28">
        <f ca="1">IF(X266=1,IFERROR(INDEX(SETTINGS!$B$34:$D$36,MATCH(I266,SETTINGS!$A$34:$A$36,0),MIN(Q266,2)+1),SETTINGS!$B$36),0)</f>
        <v>0</v>
      </c>
      <c r="AF266" s="28">
        <f t="shared" si="48"/>
        <v>1</v>
      </c>
      <c r="AG266" s="28">
        <f ca="1">IF(AND(Y266=1,AB266=1),ROUND(AA266*AE266*IF(AF266&gt;1,SETTINGS!$B$16,1)*IF(W266&lt;=SETTINGS!$B$14,SETTINGS!$B$15,1)*IF(AU266=1,SETTINGS!$B$21,1),6),0)</f>
        <v>0</v>
      </c>
      <c r="AH266" s="28" t="str">
        <f ca="1">IF(AG266&gt;0,COUNTIFS($Z$2:$Z$601,Z266,$AG$2:$AG$601,"&gt;"&amp;AG266)+COUNTIFS($Z$2:Z266,Z266,$AG$2:AG266,AG266),"")</f>
        <v/>
      </c>
      <c r="AI266" s="28" t="str">
        <f t="shared" ca="1" si="49"/>
        <v/>
      </c>
      <c r="AJ266" s="28" t="str">
        <f t="shared" ca="1" si="50"/>
        <v/>
      </c>
      <c r="AK266" s="28">
        <f>IF(L266=1,IF(COUNTIFS($F$2:F266,F266,$L$2:L266,1)=1,1,0),0)</f>
        <v>1</v>
      </c>
      <c r="AL266" s="28" t="str">
        <f>IF(B266="","",IF(K266="DUPLICATE","Duplicate (removed)",IF(AO266=1,"Scheduled within 24h",IF(M266=1,"Scheduled late",IF(K266="BAD CONTACT","Bad contact details",IF(O266=1,"Stopped / wrong number",IF(N266=1,"Not interested",IF(P266=1,"Partner has no slots",IF(SETTINGS!$B$4&gt;=V266,IF(Q266=0,"Missed deadline: never tried","Missed deadline: tried, not booked"),IF(Q266&gt;=SETTINGS!$B$6,"No reply after max tries","Open"))))))))))</f>
        <v>Scheduled within 24h</v>
      </c>
      <c r="AM266" s="46">
        <f>IF(M266=1,IF(_xlfn.MINIFS(LOG!$G$2:$G$2001,LOG!$C$2:$C$2001,F266,LOG!$E$2:$E$2001,B266,LOG!$D$2:$D$2001,"*BOOKED")=0,_xlfn.MINIFS(LOG!$G$2:$G$2001,LOG!$C$2:$C$2001,F266,LOG!$E$2:$E$2001,"",LOG!$D$2:$D$2001,"*BOOKED"),IF(_xlfn.MINIFS(LOG!$G$2:$G$2001,LOG!$C$2:$C$2001,F266,LOG!$E$2:$E$2001,"",LOG!$D$2:$D$2001,"*BOOKED")=0,_xlfn.MINIFS(LOG!$G$2:$G$2001,LOG!$C$2:$C$2001,F266,LOG!$E$2:$E$2001,B266,LOG!$D$2:$D$2001,"*BOOKED"),MIN(_xlfn.MINIFS(LOG!$G$2:$G$2001,LOG!$C$2:$C$2001,F266,LOG!$E$2:$E$2001,B266,LOG!$D$2:$D$2001,"*BOOKED"),_xlfn.MINIFS(LOG!$G$2:$G$2001,LOG!$C$2:$C$2001,F266,LOG!$E$2:$E$2001,"",LOG!$D$2:$D$2001,"*BOOKED")))),"")</f>
        <v>46309.549783891045</v>
      </c>
      <c r="AN266" s="28">
        <f t="shared" si="51"/>
        <v>17.344813385163434</v>
      </c>
      <c r="AO266" s="28">
        <f>IF(AND(M266=1,AN266&lt;&gt;""),IF(AN266&lt;=SETTINGS!$B$5,1,0),0)</f>
        <v>1</v>
      </c>
      <c r="AP266" s="28">
        <f>IF(M266=1,IF(COUNTIFS(LOG!$C$2:$C$2001,F266,LOG!$E$2:$E$2001,B266,LOG!$D$2:$D$2001,"BOOKED")+COUNTIFS(LOG!$C$2:$C$2001,F266,LOG!$E$2:$E$2001,"",LOG!$D$2:$D$2001,"BOOKED")&gt;0,1,0),0)</f>
        <v>0</v>
      </c>
      <c r="AQ266" s="28" t="str">
        <f t="shared" si="52"/>
        <v>Ira</v>
      </c>
      <c r="AR266" s="28">
        <f>IF(AND(AK266=1,K266="OK"),COUNTIFS($AK$2:AK266,1,$K$2:K266,"OK"),"")</f>
        <v>231</v>
      </c>
      <c r="AS266" s="28" t="str">
        <f>IF(L266=1,IFERROR(INDEX(MESSAGES!$J$9:$J$1008,MATCH(F266,MESSAGES!$M$9:$M$1008,0))&amp;"",""),"")</f>
        <v/>
      </c>
      <c r="AT266" s="28" t="str">
        <f>IF(L266=1,IFERROR(INDEX(MESSAGES!$K$9:$K$1008,MATCH(F266,MESSAGES!$M$9:$M$1008,0))&amp;"",""),"")</f>
        <v/>
      </c>
      <c r="AU266" s="28">
        <f t="shared" ca="1" si="53"/>
        <v>0</v>
      </c>
      <c r="AV266" s="28" t="str">
        <f t="shared" si="54"/>
        <v>HOLD</v>
      </c>
    </row>
    <row r="267" spans="1:48" x14ac:dyDescent="0.35">
      <c r="A267" s="28">
        <v>266</v>
      </c>
      <c r="B267" s="28" t="str">
        <f>IF(INPUT!A267="","",TRIM(INPUT!A267))</f>
        <v>Partner 001</v>
      </c>
      <c r="C267" s="28" t="str">
        <f>IF(B267="","",INPUT!C267)</f>
        <v>interviewer2@partner001.example.com</v>
      </c>
      <c r="D267" s="28" t="str">
        <f>IF(B267="","",INPUT!D267)</f>
        <v>Diya M.</v>
      </c>
      <c r="E267" s="28" t="str">
        <f>IF(B267="","",INPUT!E267)</f>
        <v>diya.m331@example.com</v>
      </c>
      <c r="F267" s="43" t="str">
        <f>IF(B267="","",TRIM(INPUT!F267&amp;""))</f>
        <v>9000004310</v>
      </c>
      <c r="G267" s="28" t="str">
        <f>IF(B267="","",INPUT!H267)</f>
        <v>Round1</v>
      </c>
      <c r="H267" s="46">
        <f>IF(B267="","",INPUT!I267)</f>
        <v>46308.82708333333</v>
      </c>
      <c r="I267" s="28" t="str">
        <f>IF(B267="","",IF(INPUT!J267="","None",INPUT!J267))</f>
        <v>Opened</v>
      </c>
      <c r="J267" s="28" t="str">
        <f t="shared" si="44"/>
        <v>diya.m331@example.com|partner 001|Round1|interviewer2@partner001.example.com</v>
      </c>
      <c r="K267" s="28" t="str">
        <f>IF(B267="","",IF(SUMPRODUCT(($J$2:$J$601=J267)*($H$2:$H$601&lt;H267))+SUMPRODUCT(($J$2:J267=J267)*($H$2:H267=H267))-1&gt;0,"DUPLICATE",IF(AND(ISNUMBER(SEARCH("@",E267)),ISNUMBER(SEARCH(".",E267)),LEN(F267)=10,ISNUMBER(VALUE(F267))),"OK","BAD CONTACT")))</f>
        <v>OK</v>
      </c>
      <c r="L267" s="28">
        <f t="shared" si="45"/>
        <v>1</v>
      </c>
      <c r="M267" s="28">
        <f>IF(L267=1,IF(COUNTIFS(LOG!$C$2:$C$2001,F267,LOG!$E$2:$E$2001,B267,LOG!$D$2:$D$2001,"*BOOKED")+COUNTIFS(LOG!$C$2:$C$2001,F267,LOG!$E$2:$E$2001,"",LOG!$D$2:$D$2001,"*BOOKED")&gt;0,1,0),0)</f>
        <v>0</v>
      </c>
      <c r="N267" s="28">
        <f>IF(L267=1,IF(COUNTIFS(LOG!$C$2:$C$2001,F267,LOG!$E$2:$E$2001,B267,LOG!$D$2:$D$2001,"NOT_INTERESTED")+COUNTIFS(LOG!$C$2:$C$2001,F267,LOG!$E$2:$E$2001,"",LOG!$D$2:$D$2001,"NOT_INTERESTED")&gt;0,1,0),0)</f>
        <v>0</v>
      </c>
      <c r="O267" s="28">
        <f>IF(L267=1,IF(COUNTIFS(LOG!$C$2:$C$2001,F267,LOG!$D$2:$D$2001,"STOP")+COUNTIFS(LOG!$C$2:$C$2001,F267,LOG!$D$2:$D$2001,"WRONG_NUMBER")&gt;0,1,IF(ISNUMBER(SEARCH("STOP",AT267)),1,0)),0)</f>
        <v>0</v>
      </c>
      <c r="P267" s="28">
        <f>IF(L267=1,IF(IFERROR(INDEX(PARTNERS!$D$2:$D$88,MATCH(B267,PARTNERS!$A$2:$A$88,0)),"")="NO SLOTS",1,IF(AND(IFERROR(INDEX(PARTNERS!$D$2:$D$88,MATCH(B267,PARTNERS!$A$2:$A$88,0)),"")&lt;&gt;"REOPENED",COUNTIFS(LOG!$E$2:$E$2001,B267,LOG!$D$2:$D$2001,"NO_SLOTS")&gt;0),1,0)),0)</f>
        <v>0</v>
      </c>
      <c r="Q267" s="28">
        <f>IF(L267=1,COUNTIFS(LOG!$C$2:$C$2001,F267,LOG!$H$2:$H$2001,1),0)</f>
        <v>3</v>
      </c>
      <c r="R267" s="46">
        <f>IF(Q267&gt;0,_xlfn.MAXIFS(LOG!$G$2:$G$2001,LOG!$C$2:$C$2001,F267,LOG!$H$2:$H$2001,1),0)</f>
        <v>46309.717381614013</v>
      </c>
      <c r="S267" s="28" t="str">
        <f>IF(Q267&gt;0,IFERROR(INDEX(LOG!$D$2:$D$2001,MATCH(F267&amp;"|"&amp;Q267,LOG!$I$2:$I$2001,0)),""),"")</f>
        <v>NO_ANSWER</v>
      </c>
      <c r="T267" s="28">
        <f>IF(S267="",0,IFERROR(VLOOKUP(S267,LISTS!$A$2:$E$10,4,FALSE),0))</f>
        <v>120</v>
      </c>
      <c r="U267" s="46">
        <f t="shared" si="46"/>
        <v>46309.800714947349</v>
      </c>
      <c r="V267" s="46">
        <f>IF(L267=1,H267+SETTINGS!$B$5/24,"")</f>
        <v>46309.82708333333</v>
      </c>
      <c r="W267" s="28">
        <f ca="1">IF(L267=1,(V267-SETTINGS!$B$4)*24,"")</f>
        <v>-1.6666666720993817E-2</v>
      </c>
      <c r="X267" s="28">
        <f ca="1">IF(AND(L267=1,K267="OK",M267=0,N267=0,O267=0,P267=0,SETTINGS!$B$4&lt;V267,Q267&lt;SETTINGS!$B$6),1,0)</f>
        <v>0</v>
      </c>
      <c r="Y267" s="28">
        <f ca="1">IF(AND(X267=1,SETTINGS!$B$4&gt;=H267,SETTINGS!$B$4&gt;=U267,ROUND(MOD(SETTINGS!$B$4,1)*1440,0)&gt;=ROUND(SETTINGS!$B$7*1440,0),ROUND(MOD(SETTINGS!$B$4,1)*1440,0)&lt;ROUND(SETTINGS!$B$8*1440,0)),1,0)</f>
        <v>0</v>
      </c>
      <c r="Z267" s="28" t="str">
        <f ca="1">IF(B267="","",IF(ROUND(MOD(SETTINGS!$B$4,1)*1440,0)&lt;ROUND(SETTINGS!$B$11*1440,0),"Ram",IF(ROUND(MOD(SETTINGS!$B$4,1)*1440,0)&gt;=ROUND(SETTINGS!$B$10*1440,0),"Shyam",IF(MOD(IFERROR(VALUE(RIGHT(F267,2)),0),2)=0,"Ram","Shyam"))))</f>
        <v>Shyam</v>
      </c>
      <c r="AA267" s="28">
        <f t="shared" ca="1" si="47"/>
        <v>0</v>
      </c>
      <c r="AB267" s="28">
        <f ca="1">IF(X267=1,COUNTIFS($F$2:F267,F267,$X$2:X267,1),0)</f>
        <v>0</v>
      </c>
      <c r="AC267" s="28" t="str">
        <f>IF(L267=1,IF(IFERROR(INDEX(PARTNERS!$C$2:$C$88,MATCH(B267,PARTNERS!$A$2:$A$88,0)),"")="YES","YES","NO"),"")</f>
        <v>NO</v>
      </c>
      <c r="AD267" s="28" t="str">
        <f>IF(L267=1,IFERROR(INDEX(PARTNERS!$B$2:$B$88,MATCH(B267,PARTNERS!$A$2:$A$88,0)),""),"")</f>
        <v>https://calendly.com/partner001/interview</v>
      </c>
      <c r="AE267" s="28">
        <f ca="1">IF(X267=1,IFERROR(INDEX(SETTINGS!$B$34:$D$36,MATCH(I267,SETTINGS!$A$34:$A$36,0),MIN(Q267,2)+1),SETTINGS!$B$36),0)</f>
        <v>0</v>
      </c>
      <c r="AF267" s="28">
        <f t="shared" si="48"/>
        <v>1</v>
      </c>
      <c r="AG267" s="28">
        <f ca="1">IF(AND(Y267=1,AB267=1),ROUND(AA267*AE267*IF(AF267&gt;1,SETTINGS!$B$16,1)*IF(W267&lt;=SETTINGS!$B$14,SETTINGS!$B$15,1)*IF(AU267=1,SETTINGS!$B$21,1),6),0)</f>
        <v>0</v>
      </c>
      <c r="AH267" s="28" t="str">
        <f ca="1">IF(AG267&gt;0,COUNTIFS($Z$2:$Z$601,Z267,$AG$2:$AG$601,"&gt;"&amp;AG267)+COUNTIFS($Z$2:Z267,Z267,$AG$2:AG267,AG267),"")</f>
        <v/>
      </c>
      <c r="AI267" s="28" t="str">
        <f t="shared" ca="1" si="49"/>
        <v/>
      </c>
      <c r="AJ267" s="28" t="str">
        <f t="shared" ca="1" si="50"/>
        <v/>
      </c>
      <c r="AK267" s="28">
        <f>IF(L267=1,IF(COUNTIFS($F$2:F267,F267,$L$2:L267,1)=1,1,0),0)</f>
        <v>1</v>
      </c>
      <c r="AL267" s="28" t="str">
        <f ca="1">IF(B267="","",IF(K267="DUPLICATE","Duplicate (removed)",IF(AO267=1,"Scheduled within 24h",IF(M267=1,"Scheduled late",IF(K267="BAD CONTACT","Bad contact details",IF(O267=1,"Stopped / wrong number",IF(N267=1,"Not interested",IF(P267=1,"Partner has no slots",IF(SETTINGS!$B$4&gt;=V267,IF(Q267=0,"Missed deadline: never tried","Missed deadline: tried, not booked"),IF(Q267&gt;=SETTINGS!$B$6,"No reply after max tries","Open"))))))))))</f>
        <v>Missed deadline: tried, not booked</v>
      </c>
      <c r="AM267" s="46" t="str">
        <f>IF(M267=1,IF(_xlfn.MINIFS(LOG!$G$2:$G$2001,LOG!$C$2:$C$2001,F267,LOG!$E$2:$E$2001,B267,LOG!$D$2:$D$2001,"*BOOKED")=0,_xlfn.MINIFS(LOG!$G$2:$G$2001,LOG!$C$2:$C$2001,F267,LOG!$E$2:$E$2001,"",LOG!$D$2:$D$2001,"*BOOKED"),IF(_xlfn.MINIFS(LOG!$G$2:$G$2001,LOG!$C$2:$C$2001,F267,LOG!$E$2:$E$2001,"",LOG!$D$2:$D$2001,"*BOOKED")=0,_xlfn.MINIFS(LOG!$G$2:$G$2001,LOG!$C$2:$C$2001,F267,LOG!$E$2:$E$2001,B267,LOG!$D$2:$D$2001,"*BOOKED"),MIN(_xlfn.MINIFS(LOG!$G$2:$G$2001,LOG!$C$2:$C$2001,F267,LOG!$E$2:$E$2001,B267,LOG!$D$2:$D$2001,"*BOOKED"),_xlfn.MINIFS(LOG!$G$2:$G$2001,LOG!$C$2:$C$2001,F267,LOG!$E$2:$E$2001,"",LOG!$D$2:$D$2001,"*BOOKED")))),"")</f>
        <v/>
      </c>
      <c r="AN267" s="28" t="str">
        <f t="shared" si="51"/>
        <v/>
      </c>
      <c r="AO267" s="28">
        <f>IF(AND(M267=1,AN267&lt;&gt;""),IF(AN267&lt;=SETTINGS!$B$5,1,0),0)</f>
        <v>0</v>
      </c>
      <c r="AP267" s="28">
        <f>IF(M267=1,IF(COUNTIFS(LOG!$C$2:$C$2001,F267,LOG!$E$2:$E$2001,B267,LOG!$D$2:$D$2001,"BOOKED")+COUNTIFS(LOG!$C$2:$C$2001,F267,LOG!$E$2:$E$2001,"",LOG!$D$2:$D$2001,"BOOKED")&gt;0,1,0),0)</f>
        <v>0</v>
      </c>
      <c r="AQ267" s="28" t="str">
        <f t="shared" si="52"/>
        <v>Diya</v>
      </c>
      <c r="AR267" s="28">
        <f>IF(AND(AK267=1,K267="OK"),COUNTIFS($AK$2:AK267,1,$K$2:K267,"OK"),"")</f>
        <v>232</v>
      </c>
      <c r="AS267" s="28" t="str">
        <f>IF(L267=1,IFERROR(INDEX(MESSAGES!$J$9:$J$1008,MATCH(F267,MESSAGES!$M$9:$M$1008,0))&amp;"",""),"")</f>
        <v/>
      </c>
      <c r="AT267" s="28" t="str">
        <f>IF(L267=1,IFERROR(INDEX(MESSAGES!$K$9:$K$1008,MATCH(F267,MESSAGES!$M$9:$M$1008,0))&amp;"",""),"")</f>
        <v/>
      </c>
      <c r="AU267" s="28">
        <f t="shared" ca="1" si="53"/>
        <v>0</v>
      </c>
      <c r="AV267" s="28" t="str">
        <f t="shared" si="54"/>
        <v>HOLD</v>
      </c>
    </row>
    <row r="268" spans="1:48" x14ac:dyDescent="0.35">
      <c r="A268" s="28">
        <v>267</v>
      </c>
      <c r="B268" s="28" t="str">
        <f>IF(INPUT!A268="","",TRIM(INPUT!A268))</f>
        <v>Partner 035</v>
      </c>
      <c r="C268" s="28" t="str">
        <f>IF(B268="","",INPUT!C268)</f>
        <v>interviewer0@partner035.example.com</v>
      </c>
      <c r="D268" s="28" t="str">
        <f>IF(B268="","",INPUT!D268)</f>
        <v>Diya B.</v>
      </c>
      <c r="E268" s="28" t="str">
        <f>IF(B268="","",INPUT!E268)</f>
        <v>diya.b031@example.com</v>
      </c>
      <c r="F268" s="43" t="str">
        <f>IF(B268="","",TRIM(INPUT!F268&amp;""))</f>
        <v>9000000410</v>
      </c>
      <c r="G268" s="28" t="str">
        <f>IF(B268="","",INPUT!H268)</f>
        <v>Round1</v>
      </c>
      <c r="H268" s="46">
        <f>IF(B268="","",INPUT!I268)</f>
        <v>46308.82708333333</v>
      </c>
      <c r="I268" s="28" t="str">
        <f>IF(B268="","",IF(INPUT!J268="","None",INPUT!J268))</f>
        <v>Clicked</v>
      </c>
      <c r="J268" s="28" t="str">
        <f t="shared" si="44"/>
        <v>diya.b031@example.com|partner 035|Round1|interviewer0@partner035.example.com</v>
      </c>
      <c r="K268" s="28" t="str">
        <f>IF(B268="","",IF(SUMPRODUCT(($J$2:$J$601=J268)*($H$2:$H$601&lt;H268))+SUMPRODUCT(($J$2:J268=J268)*($H$2:H268=H268))-1&gt;0,"DUPLICATE",IF(AND(ISNUMBER(SEARCH("@",E268)),ISNUMBER(SEARCH(".",E268)),LEN(F268)=10,ISNUMBER(VALUE(F268))),"OK","BAD CONTACT")))</f>
        <v>OK</v>
      </c>
      <c r="L268" s="28">
        <f t="shared" si="45"/>
        <v>1</v>
      </c>
      <c r="M268" s="28">
        <f>IF(L268=1,IF(COUNTIFS(LOG!$C$2:$C$2001,F268,LOG!$E$2:$E$2001,B268,LOG!$D$2:$D$2001,"*BOOKED")+COUNTIFS(LOG!$C$2:$C$2001,F268,LOG!$E$2:$E$2001,"",LOG!$D$2:$D$2001,"*BOOKED")&gt;0,1,0),0)</f>
        <v>1</v>
      </c>
      <c r="N268" s="28">
        <f>IF(L268=1,IF(COUNTIFS(LOG!$C$2:$C$2001,F268,LOG!$E$2:$E$2001,B268,LOG!$D$2:$D$2001,"NOT_INTERESTED")+COUNTIFS(LOG!$C$2:$C$2001,F268,LOG!$E$2:$E$2001,"",LOG!$D$2:$D$2001,"NOT_INTERESTED")&gt;0,1,0),0)</f>
        <v>0</v>
      </c>
      <c r="O268" s="28">
        <f>IF(L268=1,IF(COUNTIFS(LOG!$C$2:$C$2001,F268,LOG!$D$2:$D$2001,"STOP")+COUNTIFS(LOG!$C$2:$C$2001,F268,LOG!$D$2:$D$2001,"WRONG_NUMBER")&gt;0,1,IF(ISNUMBER(SEARCH("STOP",AT268)),1,0)),0)</f>
        <v>0</v>
      </c>
      <c r="P268" s="28">
        <f>IF(L268=1,IF(IFERROR(INDEX(PARTNERS!$D$2:$D$88,MATCH(B268,PARTNERS!$A$2:$A$88,0)),"")="NO SLOTS",1,IF(AND(IFERROR(INDEX(PARTNERS!$D$2:$D$88,MATCH(B268,PARTNERS!$A$2:$A$88,0)),"")&lt;&gt;"REOPENED",COUNTIFS(LOG!$E$2:$E$2001,B268,LOG!$D$2:$D$2001,"NO_SLOTS")&gt;0),1,0)),0)</f>
        <v>0</v>
      </c>
      <c r="Q268" s="28">
        <f>IF(L268=1,COUNTIFS(LOG!$C$2:$C$2001,F268,LOG!$H$2:$H$2001,1),0)</f>
        <v>1</v>
      </c>
      <c r="R268" s="46">
        <f>IF(Q268&gt;0,_xlfn.MAXIFS(LOG!$G$2:$G$2001,LOG!$C$2:$C$2001,F268,LOG!$H$2:$H$2001,1),0)</f>
        <v>46309.645568782558</v>
      </c>
      <c r="S268" s="28" t="str">
        <f>IF(Q268&gt;0,IFERROR(INDEX(LOG!$D$2:$D$2001,MATCH(F268&amp;"|"&amp;Q268,LOG!$I$2:$I$2001,0)),""),"")</f>
        <v>SENT_LINK</v>
      </c>
      <c r="T268" s="28">
        <f>IF(S268="",0,IFERROR(VLOOKUP(S268,LISTS!$A$2:$E$10,4,FALSE),0))</f>
        <v>180</v>
      </c>
      <c r="U268" s="46">
        <f t="shared" si="46"/>
        <v>46309.770568782558</v>
      </c>
      <c r="V268" s="46">
        <f>IF(L268=1,H268+SETTINGS!$B$5/24,"")</f>
        <v>46309.82708333333</v>
      </c>
      <c r="W268" s="28">
        <f ca="1">IF(L268=1,(V268-SETTINGS!$B$4)*24,"")</f>
        <v>-1.6666666720993817E-2</v>
      </c>
      <c r="X268" s="28">
        <f ca="1">IF(AND(L268=1,K268="OK",M268=0,N268=0,O268=0,P268=0,SETTINGS!$B$4&lt;V268,Q268&lt;SETTINGS!$B$6),1,0)</f>
        <v>0</v>
      </c>
      <c r="Y268" s="28">
        <f ca="1">IF(AND(X268=1,SETTINGS!$B$4&gt;=H268,SETTINGS!$B$4&gt;=U268,ROUND(MOD(SETTINGS!$B$4,1)*1440,0)&gt;=ROUND(SETTINGS!$B$7*1440,0),ROUND(MOD(SETTINGS!$B$4,1)*1440,0)&lt;ROUND(SETTINGS!$B$8*1440,0)),1,0)</f>
        <v>0</v>
      </c>
      <c r="Z268" s="28" t="str">
        <f ca="1">IF(B268="","",IF(ROUND(MOD(SETTINGS!$B$4,1)*1440,0)&lt;ROUND(SETTINGS!$B$11*1440,0),"Ram",IF(ROUND(MOD(SETTINGS!$B$4,1)*1440,0)&gt;=ROUND(SETTINGS!$B$10*1440,0),"Shyam",IF(MOD(IFERROR(VALUE(RIGHT(F268,2)),0),2)=0,"Ram","Shyam"))))</f>
        <v>Shyam</v>
      </c>
      <c r="AA268" s="28">
        <f t="shared" ca="1" si="47"/>
        <v>0</v>
      </c>
      <c r="AB268" s="28">
        <f ca="1">IF(X268=1,COUNTIFS($F$2:F268,F268,$X$2:X268,1),0)</f>
        <v>0</v>
      </c>
      <c r="AC268" s="28" t="str">
        <f>IF(L268=1,IF(IFERROR(INDEX(PARTNERS!$C$2:$C$88,MATCH(B268,PARTNERS!$A$2:$A$88,0)),"")="YES","YES","NO"),"")</f>
        <v>NO</v>
      </c>
      <c r="AD268" s="28" t="str">
        <f>IF(L268=1,IFERROR(INDEX(PARTNERS!$B$2:$B$88,MATCH(B268,PARTNERS!$A$2:$A$88,0)),""),"")</f>
        <v>https://calendly.com/partner035/interview</v>
      </c>
      <c r="AE268" s="28">
        <f ca="1">IF(X268=1,IFERROR(INDEX(SETTINGS!$B$34:$D$36,MATCH(I268,SETTINGS!$A$34:$A$36,0),MIN(Q268,2)+1),SETTINGS!$B$36),0)</f>
        <v>0</v>
      </c>
      <c r="AF268" s="28">
        <f t="shared" si="48"/>
        <v>1</v>
      </c>
      <c r="AG268" s="28">
        <f ca="1">IF(AND(Y268=1,AB268=1),ROUND(AA268*AE268*IF(AF268&gt;1,SETTINGS!$B$16,1)*IF(W268&lt;=SETTINGS!$B$14,SETTINGS!$B$15,1)*IF(AU268=1,SETTINGS!$B$21,1),6),0)</f>
        <v>0</v>
      </c>
      <c r="AH268" s="28" t="str">
        <f ca="1">IF(AG268&gt;0,COUNTIFS($Z$2:$Z$601,Z268,$AG$2:$AG$601,"&gt;"&amp;AG268)+COUNTIFS($Z$2:Z268,Z268,$AG$2:AG268,AG268),"")</f>
        <v/>
      </c>
      <c r="AI268" s="28" t="str">
        <f t="shared" ca="1" si="49"/>
        <v/>
      </c>
      <c r="AJ268" s="28" t="str">
        <f t="shared" ca="1" si="50"/>
        <v/>
      </c>
      <c r="AK268" s="28">
        <f>IF(L268=1,IF(COUNTIFS($F$2:F268,F268,$L$2:L268,1)=1,1,0),0)</f>
        <v>0</v>
      </c>
      <c r="AL268" s="28" t="str">
        <f>IF(B268="","",IF(K268="DUPLICATE","Duplicate (removed)",IF(AO268=1,"Scheduled within 24h",IF(M268=1,"Scheduled late",IF(K268="BAD CONTACT","Bad contact details",IF(O268=1,"Stopped / wrong number",IF(N268=1,"Not interested",IF(P268=1,"Partner has no slots",IF(SETTINGS!$B$4&gt;=V268,IF(Q268=0,"Missed deadline: never tried","Missed deadline: tried, not booked"),IF(Q268&gt;=SETTINGS!$B$6,"No reply after max tries","Open"))))))))))</f>
        <v>Scheduled within 24h</v>
      </c>
      <c r="AM268" s="46">
        <f>IF(M268=1,IF(_xlfn.MINIFS(LOG!$G$2:$G$2001,LOG!$C$2:$C$2001,F268,LOG!$E$2:$E$2001,B268,LOG!$D$2:$D$2001,"*BOOKED")=0,_xlfn.MINIFS(LOG!$G$2:$G$2001,LOG!$C$2:$C$2001,F268,LOG!$E$2:$E$2001,"",LOG!$D$2:$D$2001,"*BOOKED"),IF(_xlfn.MINIFS(LOG!$G$2:$G$2001,LOG!$C$2:$C$2001,F268,LOG!$E$2:$E$2001,"",LOG!$D$2:$D$2001,"*BOOKED")=0,_xlfn.MINIFS(LOG!$G$2:$G$2001,LOG!$C$2:$C$2001,F268,LOG!$E$2:$E$2001,B268,LOG!$D$2:$D$2001,"*BOOKED"),MIN(_xlfn.MINIFS(LOG!$G$2:$G$2001,LOG!$C$2:$C$2001,F268,LOG!$E$2:$E$2001,B268,LOG!$D$2:$D$2001,"*BOOKED"),_xlfn.MINIFS(LOG!$G$2:$G$2001,LOG!$C$2:$C$2001,F268,LOG!$E$2:$E$2001,"",LOG!$D$2:$D$2001,"*BOOKED")))),"")</f>
        <v>46308.927663649207</v>
      </c>
      <c r="AN268" s="28">
        <f t="shared" si="51"/>
        <v>2.4139275810448453</v>
      </c>
      <c r="AO268" s="28">
        <f>IF(AND(M268=1,AN268&lt;&gt;""),IF(AN268&lt;=SETTINGS!$B$5,1,0),0)</f>
        <v>1</v>
      </c>
      <c r="AP268" s="28">
        <f>IF(M268=1,IF(COUNTIFS(LOG!$C$2:$C$2001,F268,LOG!$E$2:$E$2001,B268,LOG!$D$2:$D$2001,"BOOKED")+COUNTIFS(LOG!$C$2:$C$2001,F268,LOG!$E$2:$E$2001,"",LOG!$D$2:$D$2001,"BOOKED")&gt;0,1,0),0)</f>
        <v>0</v>
      </c>
      <c r="AQ268" s="28" t="str">
        <f t="shared" si="52"/>
        <v>Diya</v>
      </c>
      <c r="AR268" s="28" t="str">
        <f>IF(AND(AK268=1,K268="OK"),COUNTIFS($AK$2:AK268,1,$K$2:K268,"OK"),"")</f>
        <v/>
      </c>
      <c r="AS268" s="28" t="str">
        <f>IF(L268=1,IFERROR(INDEX(MESSAGES!$J$9:$J$1008,MATCH(F268,MESSAGES!$M$9:$M$1008,0))&amp;"",""),"")</f>
        <v/>
      </c>
      <c r="AT268" s="28" t="str">
        <f>IF(L268=1,IFERROR(INDEX(MESSAGES!$K$9:$K$1008,MATCH(F268,MESSAGES!$M$9:$M$1008,0))&amp;"",""),"")</f>
        <v/>
      </c>
      <c r="AU268" s="28">
        <f t="shared" ca="1" si="53"/>
        <v>0</v>
      </c>
      <c r="AV268" s="28" t="str">
        <f t="shared" si="54"/>
        <v>HOLD</v>
      </c>
    </row>
    <row r="269" spans="1:48" x14ac:dyDescent="0.35">
      <c r="A269" s="28">
        <v>268</v>
      </c>
      <c r="B269" s="28" t="str">
        <f>IF(INPUT!A269="","",TRIM(INPUT!A269))</f>
        <v>Partner 023</v>
      </c>
      <c r="C269" s="28" t="str">
        <f>IF(B269="","",INPUT!C269)</f>
        <v>interviewer2@partner023.example.com</v>
      </c>
      <c r="D269" s="28" t="str">
        <f>IF(B269="","",INPUT!D269)</f>
        <v>Saanvi D.</v>
      </c>
      <c r="E269" s="28" t="str">
        <f>IF(B269="","",INPUT!E269)</f>
        <v>saanvi.d099@example.com</v>
      </c>
      <c r="F269" s="43" t="str">
        <f>IF(B269="","",TRIM(INPUT!F269&amp;""))</f>
        <v>9000001294</v>
      </c>
      <c r="G269" s="28" t="str">
        <f>IF(B269="","",INPUT!H269)</f>
        <v>Round1</v>
      </c>
      <c r="H269" s="46">
        <f>IF(B269="","",INPUT!I269)</f>
        <v>46308.82708333333</v>
      </c>
      <c r="I269" s="28" t="str">
        <f>IF(B269="","",IF(INPUT!J269="","None",INPUT!J269))</f>
        <v>Opened</v>
      </c>
      <c r="J269" s="28" t="str">
        <f t="shared" si="44"/>
        <v>saanvi.d099@example.com|partner 023|Round1|interviewer2@partner023.example.com</v>
      </c>
      <c r="K269" s="28" t="str">
        <f>IF(B269="","",IF(SUMPRODUCT(($J$2:$J$601=J269)*($H$2:$H$601&lt;H269))+SUMPRODUCT(($J$2:J269=J269)*($H$2:H269=H269))-1&gt;0,"DUPLICATE",IF(AND(ISNUMBER(SEARCH("@",E269)),ISNUMBER(SEARCH(".",E269)),LEN(F269)=10,ISNUMBER(VALUE(F269))),"OK","BAD CONTACT")))</f>
        <v>OK</v>
      </c>
      <c r="L269" s="28">
        <f t="shared" si="45"/>
        <v>1</v>
      </c>
      <c r="M269" s="28">
        <f>IF(L269=1,IF(COUNTIFS(LOG!$C$2:$C$2001,F269,LOG!$E$2:$E$2001,B269,LOG!$D$2:$D$2001,"*BOOKED")+COUNTIFS(LOG!$C$2:$C$2001,F269,LOG!$E$2:$E$2001,"",LOG!$D$2:$D$2001,"*BOOKED")&gt;0,1,0),0)</f>
        <v>0</v>
      </c>
      <c r="N269" s="28">
        <f>IF(L269=1,IF(COUNTIFS(LOG!$C$2:$C$2001,F269,LOG!$E$2:$E$2001,B269,LOG!$D$2:$D$2001,"NOT_INTERESTED")+COUNTIFS(LOG!$C$2:$C$2001,F269,LOG!$E$2:$E$2001,"",LOG!$D$2:$D$2001,"NOT_INTERESTED")&gt;0,1,0),0)</f>
        <v>0</v>
      </c>
      <c r="O269" s="28">
        <f>IF(L269=1,IF(COUNTIFS(LOG!$C$2:$C$2001,F269,LOG!$D$2:$D$2001,"STOP")+COUNTIFS(LOG!$C$2:$C$2001,F269,LOG!$D$2:$D$2001,"WRONG_NUMBER")&gt;0,1,IF(ISNUMBER(SEARCH("STOP",AT269)),1,0)),0)</f>
        <v>0</v>
      </c>
      <c r="P269" s="28">
        <f>IF(L269=1,IF(IFERROR(INDEX(PARTNERS!$D$2:$D$88,MATCH(B269,PARTNERS!$A$2:$A$88,0)),"")="NO SLOTS",1,IF(AND(IFERROR(INDEX(PARTNERS!$D$2:$D$88,MATCH(B269,PARTNERS!$A$2:$A$88,0)),"")&lt;&gt;"REOPENED",COUNTIFS(LOG!$E$2:$E$2001,B269,LOG!$D$2:$D$2001,"NO_SLOTS")&gt;0),1,0)),0)</f>
        <v>0</v>
      </c>
      <c r="Q269" s="28">
        <f>IF(L269=1,COUNTIFS(LOG!$C$2:$C$2001,F269,LOG!$H$2:$H$2001,1),0)</f>
        <v>0</v>
      </c>
      <c r="R269" s="46">
        <f>IF(Q269&gt;0,_xlfn.MAXIFS(LOG!$G$2:$G$2001,LOG!$C$2:$C$2001,F269,LOG!$H$2:$H$2001,1),0)</f>
        <v>0</v>
      </c>
      <c r="S269" s="28" t="str">
        <f>IF(Q269&gt;0,IFERROR(INDEX(LOG!$D$2:$D$2001,MATCH(F269&amp;"|"&amp;Q269,LOG!$I$2:$I$2001,0)),""),"")</f>
        <v/>
      </c>
      <c r="T269" s="28">
        <f>IF(S269="",0,IFERROR(VLOOKUP(S269,LISTS!$A$2:$E$10,4,FALSE),0))</f>
        <v>0</v>
      </c>
      <c r="U269" s="46">
        <f t="shared" si="46"/>
        <v>0</v>
      </c>
      <c r="V269" s="46">
        <f>IF(L269=1,H269+SETTINGS!$B$5/24,"")</f>
        <v>46309.82708333333</v>
      </c>
      <c r="W269" s="28">
        <f ca="1">IF(L269=1,(V269-SETTINGS!$B$4)*24,"")</f>
        <v>-1.6666666720993817E-2</v>
      </c>
      <c r="X269" s="28">
        <f ca="1">IF(AND(L269=1,K269="OK",M269=0,N269=0,O269=0,P269=0,SETTINGS!$B$4&lt;V269,Q269&lt;SETTINGS!$B$6),1,0)</f>
        <v>0</v>
      </c>
      <c r="Y269" s="28">
        <f ca="1">IF(AND(X269=1,SETTINGS!$B$4&gt;=H269,SETTINGS!$B$4&gt;=U269,ROUND(MOD(SETTINGS!$B$4,1)*1440,0)&gt;=ROUND(SETTINGS!$B$7*1440,0),ROUND(MOD(SETTINGS!$B$4,1)*1440,0)&lt;ROUND(SETTINGS!$B$8*1440,0)),1,0)</f>
        <v>0</v>
      </c>
      <c r="Z269" s="28" t="str">
        <f ca="1">IF(B269="","",IF(ROUND(MOD(SETTINGS!$B$4,1)*1440,0)&lt;ROUND(SETTINGS!$B$11*1440,0),"Ram",IF(ROUND(MOD(SETTINGS!$B$4,1)*1440,0)&gt;=ROUND(SETTINGS!$B$10*1440,0),"Shyam",IF(MOD(IFERROR(VALUE(RIGHT(F269,2)),0),2)=0,"Ram","Shyam"))))</f>
        <v>Shyam</v>
      </c>
      <c r="AA269" s="28">
        <f t="shared" ca="1" si="47"/>
        <v>0</v>
      </c>
      <c r="AB269" s="28">
        <f ca="1">IF(X269=1,COUNTIFS($F$2:F269,F269,$X$2:X269,1),0)</f>
        <v>0</v>
      </c>
      <c r="AC269" s="28" t="str">
        <f>IF(L269=1,IF(IFERROR(INDEX(PARTNERS!$C$2:$C$88,MATCH(B269,PARTNERS!$A$2:$A$88,0)),"")="YES","YES","NO"),"")</f>
        <v>YES</v>
      </c>
      <c r="AD269" s="28" t="str">
        <f>IF(L269=1,IFERROR(INDEX(PARTNERS!$B$2:$B$88,MATCH(B269,PARTNERS!$A$2:$A$88,0)),""),"")</f>
        <v>https://calendly.com/partner023/interview</v>
      </c>
      <c r="AE269" s="28">
        <f ca="1">IF(X269=1,IFERROR(INDEX(SETTINGS!$B$34:$D$36,MATCH(I269,SETTINGS!$A$34:$A$36,0),MIN(Q269,2)+1),SETTINGS!$B$36),0)</f>
        <v>0</v>
      </c>
      <c r="AF269" s="28">
        <f t="shared" si="48"/>
        <v>1</v>
      </c>
      <c r="AG269" s="28">
        <f ca="1">IF(AND(Y269=1,AB269=1),ROUND(AA269*AE269*IF(AF269&gt;1,SETTINGS!$B$16,1)*IF(W269&lt;=SETTINGS!$B$14,SETTINGS!$B$15,1)*IF(AU269=1,SETTINGS!$B$21,1),6),0)</f>
        <v>0</v>
      </c>
      <c r="AH269" s="28" t="str">
        <f ca="1">IF(AG269&gt;0,COUNTIFS($Z$2:$Z$601,Z269,$AG$2:$AG$601,"&gt;"&amp;AG269)+COUNTIFS($Z$2:Z269,Z269,$AG$2:AG269,AG269),"")</f>
        <v/>
      </c>
      <c r="AI269" s="28" t="str">
        <f t="shared" ca="1" si="49"/>
        <v/>
      </c>
      <c r="AJ269" s="28" t="str">
        <f t="shared" ca="1" si="50"/>
        <v/>
      </c>
      <c r="AK269" s="28">
        <f>IF(L269=1,IF(COUNTIFS($F$2:F269,F269,$L$2:L269,1)=1,1,0),0)</f>
        <v>1</v>
      </c>
      <c r="AL269" s="28" t="str">
        <f ca="1">IF(B269="","",IF(K269="DUPLICATE","Duplicate (removed)",IF(AO269=1,"Scheduled within 24h",IF(M269=1,"Scheduled late",IF(K269="BAD CONTACT","Bad contact details",IF(O269=1,"Stopped / wrong number",IF(N269=1,"Not interested",IF(P269=1,"Partner has no slots",IF(SETTINGS!$B$4&gt;=V269,IF(Q269=0,"Missed deadline: never tried","Missed deadline: tried, not booked"),IF(Q269&gt;=SETTINGS!$B$6,"No reply after max tries","Open"))))))))))</f>
        <v>Missed deadline: never tried</v>
      </c>
      <c r="AM269" s="46" t="str">
        <f>IF(M269=1,IF(_xlfn.MINIFS(LOG!$G$2:$G$2001,LOG!$C$2:$C$2001,F269,LOG!$E$2:$E$2001,B269,LOG!$D$2:$D$2001,"*BOOKED")=0,_xlfn.MINIFS(LOG!$G$2:$G$2001,LOG!$C$2:$C$2001,F269,LOG!$E$2:$E$2001,"",LOG!$D$2:$D$2001,"*BOOKED"),IF(_xlfn.MINIFS(LOG!$G$2:$G$2001,LOG!$C$2:$C$2001,F269,LOG!$E$2:$E$2001,"",LOG!$D$2:$D$2001,"*BOOKED")=0,_xlfn.MINIFS(LOG!$G$2:$G$2001,LOG!$C$2:$C$2001,F269,LOG!$E$2:$E$2001,B269,LOG!$D$2:$D$2001,"*BOOKED"),MIN(_xlfn.MINIFS(LOG!$G$2:$G$2001,LOG!$C$2:$C$2001,F269,LOG!$E$2:$E$2001,B269,LOG!$D$2:$D$2001,"*BOOKED"),_xlfn.MINIFS(LOG!$G$2:$G$2001,LOG!$C$2:$C$2001,F269,LOG!$E$2:$E$2001,"",LOG!$D$2:$D$2001,"*BOOKED")))),"")</f>
        <v/>
      </c>
      <c r="AN269" s="28" t="str">
        <f t="shared" si="51"/>
        <v/>
      </c>
      <c r="AO269" s="28">
        <f>IF(AND(M269=1,AN269&lt;&gt;""),IF(AN269&lt;=SETTINGS!$B$5,1,0),0)</f>
        <v>0</v>
      </c>
      <c r="AP269" s="28">
        <f>IF(M269=1,IF(COUNTIFS(LOG!$C$2:$C$2001,F269,LOG!$E$2:$E$2001,B269,LOG!$D$2:$D$2001,"BOOKED")+COUNTIFS(LOG!$C$2:$C$2001,F269,LOG!$E$2:$E$2001,"",LOG!$D$2:$D$2001,"BOOKED")&gt;0,1,0),0)</f>
        <v>0</v>
      </c>
      <c r="AQ269" s="28" t="str">
        <f t="shared" si="52"/>
        <v>Saanvi</v>
      </c>
      <c r="AR269" s="28">
        <f>IF(AND(AK269=1,K269="OK"),COUNTIFS($AK$2:AK269,1,$K$2:K269,"OK"),"")</f>
        <v>233</v>
      </c>
      <c r="AS269" s="28" t="str">
        <f>IF(L269=1,IFERROR(INDEX(MESSAGES!$J$9:$J$1008,MATCH(F269,MESSAGES!$M$9:$M$1008,0))&amp;"",""),"")</f>
        <v/>
      </c>
      <c r="AT269" s="28" t="str">
        <f>IF(L269=1,IFERROR(INDEX(MESSAGES!$K$9:$K$1008,MATCH(F269,MESSAGES!$M$9:$M$1008,0))&amp;"",""),"")</f>
        <v/>
      </c>
      <c r="AU269" s="28">
        <f t="shared" ca="1" si="53"/>
        <v>0</v>
      </c>
      <c r="AV269" s="28" t="str">
        <f t="shared" si="54"/>
        <v>HOLD</v>
      </c>
    </row>
    <row r="270" spans="1:48" x14ac:dyDescent="0.35">
      <c r="A270" s="28">
        <v>269</v>
      </c>
      <c r="B270" s="28" t="str">
        <f>IF(INPUT!A270="","",TRIM(INPUT!A270))</f>
        <v>Partner 000</v>
      </c>
      <c r="C270" s="28" t="str">
        <f>IF(B270="","",INPUT!C270)</f>
        <v>interviewer2@partner000.example.com</v>
      </c>
      <c r="D270" s="28" t="str">
        <f>IF(B270="","",INPUT!D270)</f>
        <v>Ira A.</v>
      </c>
      <c r="E270" s="28" t="str">
        <f>IF(B270="","",INPUT!E270)</f>
        <v>ira.a005@example.com</v>
      </c>
      <c r="F270" s="43" t="str">
        <f>IF(B270="","",TRIM(INPUT!F270&amp;""))</f>
        <v>9000000072</v>
      </c>
      <c r="G270" s="28" t="str">
        <f>IF(B270="","",INPUT!H270)</f>
        <v>Round1</v>
      </c>
      <c r="H270" s="46">
        <f>IF(B270="","",INPUT!I270)</f>
        <v>46308.82708333333</v>
      </c>
      <c r="I270" s="28" t="str">
        <f>IF(B270="","",IF(INPUT!J270="","None",INPUT!J270))</f>
        <v>None</v>
      </c>
      <c r="J270" s="28" t="str">
        <f t="shared" si="44"/>
        <v>ira.a005@example.com|partner 000|Round1|interviewer2@partner000.example.com</v>
      </c>
      <c r="K270" s="28" t="str">
        <f>IF(B270="","",IF(SUMPRODUCT(($J$2:$J$601=J270)*($H$2:$H$601&lt;H270))+SUMPRODUCT(($J$2:J270=J270)*($H$2:H270=H270))-1&gt;0,"DUPLICATE",IF(AND(ISNUMBER(SEARCH("@",E270)),ISNUMBER(SEARCH(".",E270)),LEN(F270)=10,ISNUMBER(VALUE(F270))),"OK","BAD CONTACT")))</f>
        <v>OK</v>
      </c>
      <c r="L270" s="28">
        <f t="shared" si="45"/>
        <v>1</v>
      </c>
      <c r="M270" s="28">
        <f>IF(L270=1,IF(COUNTIFS(LOG!$C$2:$C$2001,F270,LOG!$E$2:$E$2001,B270,LOG!$D$2:$D$2001,"*BOOKED")+COUNTIFS(LOG!$C$2:$C$2001,F270,LOG!$E$2:$E$2001,"",LOG!$D$2:$D$2001,"*BOOKED")&gt;0,1,0),0)</f>
        <v>1</v>
      </c>
      <c r="N270" s="28">
        <f>IF(L270=1,IF(COUNTIFS(LOG!$C$2:$C$2001,F270,LOG!$E$2:$E$2001,B270,LOG!$D$2:$D$2001,"NOT_INTERESTED")+COUNTIFS(LOG!$C$2:$C$2001,F270,LOG!$E$2:$E$2001,"",LOG!$D$2:$D$2001,"NOT_INTERESTED")&gt;0,1,0),0)</f>
        <v>0</v>
      </c>
      <c r="O270" s="28">
        <f>IF(L270=1,IF(COUNTIFS(LOG!$C$2:$C$2001,F270,LOG!$D$2:$D$2001,"STOP")+COUNTIFS(LOG!$C$2:$C$2001,F270,LOG!$D$2:$D$2001,"WRONG_NUMBER")&gt;0,1,IF(ISNUMBER(SEARCH("STOP",AT270)),1,0)),0)</f>
        <v>0</v>
      </c>
      <c r="P270" s="28">
        <f>IF(L270=1,IF(IFERROR(INDEX(PARTNERS!$D$2:$D$88,MATCH(B270,PARTNERS!$A$2:$A$88,0)),"")="NO SLOTS",1,IF(AND(IFERROR(INDEX(PARTNERS!$D$2:$D$88,MATCH(B270,PARTNERS!$A$2:$A$88,0)),"")&lt;&gt;"REOPENED",COUNTIFS(LOG!$E$2:$E$2001,B270,LOG!$D$2:$D$2001,"NO_SLOTS")&gt;0),1,0)),0)</f>
        <v>0</v>
      </c>
      <c r="Q270" s="28">
        <f>IF(L270=1,COUNTIFS(LOG!$C$2:$C$2001,F270,LOG!$H$2:$H$2001,1),0)</f>
        <v>0</v>
      </c>
      <c r="R270" s="46">
        <f>IF(Q270&gt;0,_xlfn.MAXIFS(LOG!$G$2:$G$2001,LOG!$C$2:$C$2001,F270,LOG!$H$2:$H$2001,1),0)</f>
        <v>0</v>
      </c>
      <c r="S270" s="28" t="str">
        <f>IF(Q270&gt;0,IFERROR(INDEX(LOG!$D$2:$D$2001,MATCH(F270&amp;"|"&amp;Q270,LOG!$I$2:$I$2001,0)),""),"")</f>
        <v/>
      </c>
      <c r="T270" s="28">
        <f>IF(S270="",0,IFERROR(VLOOKUP(S270,LISTS!$A$2:$E$10,4,FALSE),0))</f>
        <v>0</v>
      </c>
      <c r="U270" s="46">
        <f t="shared" si="46"/>
        <v>0</v>
      </c>
      <c r="V270" s="46">
        <f>IF(L270=1,H270+SETTINGS!$B$5/24,"")</f>
        <v>46309.82708333333</v>
      </c>
      <c r="W270" s="28">
        <f ca="1">IF(L270=1,(V270-SETTINGS!$B$4)*24,"")</f>
        <v>-1.6666666720993817E-2</v>
      </c>
      <c r="X270" s="28">
        <f ca="1">IF(AND(L270=1,K270="OK",M270=0,N270=0,O270=0,P270=0,SETTINGS!$B$4&lt;V270,Q270&lt;SETTINGS!$B$6),1,0)</f>
        <v>0</v>
      </c>
      <c r="Y270" s="28">
        <f ca="1">IF(AND(X270=1,SETTINGS!$B$4&gt;=H270,SETTINGS!$B$4&gt;=U270,ROUND(MOD(SETTINGS!$B$4,1)*1440,0)&gt;=ROUND(SETTINGS!$B$7*1440,0),ROUND(MOD(SETTINGS!$B$4,1)*1440,0)&lt;ROUND(SETTINGS!$B$8*1440,0)),1,0)</f>
        <v>0</v>
      </c>
      <c r="Z270" s="28" t="str">
        <f ca="1">IF(B270="","",IF(ROUND(MOD(SETTINGS!$B$4,1)*1440,0)&lt;ROUND(SETTINGS!$B$11*1440,0),"Ram",IF(ROUND(MOD(SETTINGS!$B$4,1)*1440,0)&gt;=ROUND(SETTINGS!$B$10*1440,0),"Shyam",IF(MOD(IFERROR(VALUE(RIGHT(F270,2)),0),2)=0,"Ram","Shyam"))))</f>
        <v>Shyam</v>
      </c>
      <c r="AA270" s="28">
        <f t="shared" ca="1" si="47"/>
        <v>0</v>
      </c>
      <c r="AB270" s="28">
        <f ca="1">IF(X270=1,COUNTIFS($F$2:F270,F270,$X$2:X270,1),0)</f>
        <v>0</v>
      </c>
      <c r="AC270" s="28" t="str">
        <f>IF(L270=1,IF(IFERROR(INDEX(PARTNERS!$C$2:$C$88,MATCH(B270,PARTNERS!$A$2:$A$88,0)),"")="YES","YES","NO"),"")</f>
        <v>NO</v>
      </c>
      <c r="AD270" s="28" t="str">
        <f>IF(L270=1,IFERROR(INDEX(PARTNERS!$B$2:$B$88,MATCH(B270,PARTNERS!$A$2:$A$88,0)),""),"")</f>
        <v>https://calendly.com/partner000/interview</v>
      </c>
      <c r="AE270" s="28">
        <f ca="1">IF(X270=1,IFERROR(INDEX(SETTINGS!$B$34:$D$36,MATCH(I270,SETTINGS!$A$34:$A$36,0),MIN(Q270,2)+1),SETTINGS!$B$36),0)</f>
        <v>0</v>
      </c>
      <c r="AF270" s="28">
        <f t="shared" si="48"/>
        <v>1</v>
      </c>
      <c r="AG270" s="28">
        <f ca="1">IF(AND(Y270=1,AB270=1),ROUND(AA270*AE270*IF(AF270&gt;1,SETTINGS!$B$16,1)*IF(W270&lt;=SETTINGS!$B$14,SETTINGS!$B$15,1)*IF(AU270=1,SETTINGS!$B$21,1),6),0)</f>
        <v>0</v>
      </c>
      <c r="AH270" s="28" t="str">
        <f ca="1">IF(AG270&gt;0,COUNTIFS($Z$2:$Z$601,Z270,$AG$2:$AG$601,"&gt;"&amp;AG270)+COUNTIFS($Z$2:Z270,Z270,$AG$2:AG270,AG270),"")</f>
        <v/>
      </c>
      <c r="AI270" s="28" t="str">
        <f t="shared" ca="1" si="49"/>
        <v/>
      </c>
      <c r="AJ270" s="28" t="str">
        <f t="shared" ca="1" si="50"/>
        <v/>
      </c>
      <c r="AK270" s="28">
        <f>IF(L270=1,IF(COUNTIFS($F$2:F270,F270,$L$2:L270,1)=1,1,0),0)</f>
        <v>1</v>
      </c>
      <c r="AL270" s="28" t="str">
        <f>IF(B270="","",IF(K270="DUPLICATE","Duplicate (removed)",IF(AO270=1,"Scheduled within 24h",IF(M270=1,"Scheduled late",IF(K270="BAD CONTACT","Bad contact details",IF(O270=1,"Stopped / wrong number",IF(N270=1,"Not interested",IF(P270=1,"Partner has no slots",IF(SETTINGS!$B$4&gt;=V270,IF(Q270=0,"Missed deadline: never tried","Missed deadline: tried, not booked"),IF(Q270&gt;=SETTINGS!$B$6,"No reply after max tries","Open"))))))))))</f>
        <v>Scheduled within 24h</v>
      </c>
      <c r="AM270" s="46">
        <f>IF(M270=1,IF(_xlfn.MINIFS(LOG!$G$2:$G$2001,LOG!$C$2:$C$2001,F270,LOG!$E$2:$E$2001,B270,LOG!$D$2:$D$2001,"*BOOKED")=0,_xlfn.MINIFS(LOG!$G$2:$G$2001,LOG!$C$2:$C$2001,F270,LOG!$E$2:$E$2001,"",LOG!$D$2:$D$2001,"*BOOKED"),IF(_xlfn.MINIFS(LOG!$G$2:$G$2001,LOG!$C$2:$C$2001,F270,LOG!$E$2:$E$2001,"",LOG!$D$2:$D$2001,"*BOOKED")=0,_xlfn.MINIFS(LOG!$G$2:$G$2001,LOG!$C$2:$C$2001,F270,LOG!$E$2:$E$2001,B270,LOG!$D$2:$D$2001,"*BOOKED"),MIN(_xlfn.MINIFS(LOG!$G$2:$G$2001,LOG!$C$2:$C$2001,F270,LOG!$E$2:$E$2001,B270,LOG!$D$2:$D$2001,"*BOOKED"),_xlfn.MINIFS(LOG!$G$2:$G$2001,LOG!$C$2:$C$2001,F270,LOG!$E$2:$E$2001,"",LOG!$D$2:$D$2001,"*BOOKED")))),"")</f>
        <v>46308.938518768904</v>
      </c>
      <c r="AN270" s="28">
        <f t="shared" si="51"/>
        <v>2.6744504537782632</v>
      </c>
      <c r="AO270" s="28">
        <f>IF(AND(M270=1,AN270&lt;&gt;""),IF(AN270&lt;=SETTINGS!$B$5,1,0),0)</f>
        <v>1</v>
      </c>
      <c r="AP270" s="28">
        <f>IF(M270=1,IF(COUNTIFS(LOG!$C$2:$C$2001,F270,LOG!$E$2:$E$2001,B270,LOG!$D$2:$D$2001,"BOOKED")+COUNTIFS(LOG!$C$2:$C$2001,F270,LOG!$E$2:$E$2001,"",LOG!$D$2:$D$2001,"BOOKED")&gt;0,1,0),0)</f>
        <v>0</v>
      </c>
      <c r="AQ270" s="28" t="str">
        <f t="shared" si="52"/>
        <v>Ira</v>
      </c>
      <c r="AR270" s="28">
        <f>IF(AND(AK270=1,K270="OK"),COUNTIFS($AK$2:AK270,1,$K$2:K270,"OK"),"")</f>
        <v>234</v>
      </c>
      <c r="AS270" s="28" t="str">
        <f>IF(L270=1,IFERROR(INDEX(MESSAGES!$J$9:$J$1008,MATCH(F270,MESSAGES!$M$9:$M$1008,0))&amp;"",""),"")</f>
        <v/>
      </c>
      <c r="AT270" s="28" t="str">
        <f>IF(L270=1,IFERROR(INDEX(MESSAGES!$K$9:$K$1008,MATCH(F270,MESSAGES!$M$9:$M$1008,0))&amp;"",""),"")</f>
        <v/>
      </c>
      <c r="AU270" s="28">
        <f t="shared" ca="1" si="53"/>
        <v>0</v>
      </c>
      <c r="AV270" s="28" t="str">
        <f t="shared" si="54"/>
        <v>HOLD</v>
      </c>
    </row>
    <row r="271" spans="1:48" x14ac:dyDescent="0.35">
      <c r="A271" s="28">
        <v>270</v>
      </c>
      <c r="B271" s="28" t="str">
        <f>IF(INPUT!A271="","",TRIM(INPUT!A271))</f>
        <v>Partner 029</v>
      </c>
      <c r="C271" s="28" t="str">
        <f>IF(B271="","",INPUT!C271)</f>
        <v>interviewer1@partner029.example.com</v>
      </c>
      <c r="D271" s="28" t="str">
        <f>IF(B271="","",INPUT!D271)</f>
        <v>Kabir H.</v>
      </c>
      <c r="E271" s="28" t="str">
        <f>IF(B271="","",INPUT!E271)</f>
        <v>kabir.h212@example.com</v>
      </c>
      <c r="F271" s="43" t="str">
        <f>IF(B271="","",TRIM(INPUT!F271&amp;""))</f>
        <v>9000002763</v>
      </c>
      <c r="G271" s="28" t="str">
        <f>IF(B271="","",INPUT!H271)</f>
        <v>Round1</v>
      </c>
      <c r="H271" s="46">
        <f>IF(B271="","",INPUT!I271)</f>
        <v>46308.82708333333</v>
      </c>
      <c r="I271" s="28" t="str">
        <f>IF(B271="","",IF(INPUT!J271="","None",INPUT!J271))</f>
        <v>Clicked</v>
      </c>
      <c r="J271" s="28" t="str">
        <f t="shared" si="44"/>
        <v>kabir.h212@example.com|partner 029|Round1|interviewer1@partner029.example.com</v>
      </c>
      <c r="K271" s="28" t="str">
        <f>IF(B271="","",IF(SUMPRODUCT(($J$2:$J$601=J271)*($H$2:$H$601&lt;H271))+SUMPRODUCT(($J$2:J271=J271)*($H$2:H271=H271))-1&gt;0,"DUPLICATE",IF(AND(ISNUMBER(SEARCH("@",E271)),ISNUMBER(SEARCH(".",E271)),LEN(F271)=10,ISNUMBER(VALUE(F271))),"OK","BAD CONTACT")))</f>
        <v>OK</v>
      </c>
      <c r="L271" s="28">
        <f t="shared" si="45"/>
        <v>1</v>
      </c>
      <c r="M271" s="28">
        <f>IF(L271=1,IF(COUNTIFS(LOG!$C$2:$C$2001,F271,LOG!$E$2:$E$2001,B271,LOG!$D$2:$D$2001,"*BOOKED")+COUNTIFS(LOG!$C$2:$C$2001,F271,LOG!$E$2:$E$2001,"",LOG!$D$2:$D$2001,"*BOOKED")&gt;0,1,0),0)</f>
        <v>1</v>
      </c>
      <c r="N271" s="28">
        <f>IF(L271=1,IF(COUNTIFS(LOG!$C$2:$C$2001,F271,LOG!$E$2:$E$2001,B271,LOG!$D$2:$D$2001,"NOT_INTERESTED")+COUNTIFS(LOG!$C$2:$C$2001,F271,LOG!$E$2:$E$2001,"",LOG!$D$2:$D$2001,"NOT_INTERESTED")&gt;0,1,0),0)</f>
        <v>0</v>
      </c>
      <c r="O271" s="28">
        <f>IF(L271=1,IF(COUNTIFS(LOG!$C$2:$C$2001,F271,LOG!$D$2:$D$2001,"STOP")+COUNTIFS(LOG!$C$2:$C$2001,F271,LOG!$D$2:$D$2001,"WRONG_NUMBER")&gt;0,1,IF(ISNUMBER(SEARCH("STOP",AT271)),1,0)),0)</f>
        <v>0</v>
      </c>
      <c r="P271" s="28">
        <f>IF(L271=1,IF(IFERROR(INDEX(PARTNERS!$D$2:$D$88,MATCH(B271,PARTNERS!$A$2:$A$88,0)),"")="NO SLOTS",1,IF(AND(IFERROR(INDEX(PARTNERS!$D$2:$D$88,MATCH(B271,PARTNERS!$A$2:$A$88,0)),"")&lt;&gt;"REOPENED",COUNTIFS(LOG!$E$2:$E$2001,B271,LOG!$D$2:$D$2001,"NO_SLOTS")&gt;0),1,0)),0)</f>
        <v>0</v>
      </c>
      <c r="Q271" s="28">
        <f>IF(L271=1,COUNTIFS(LOG!$C$2:$C$2001,F271,LOG!$H$2:$H$2001,1),0)</f>
        <v>1</v>
      </c>
      <c r="R271" s="46">
        <f>IF(Q271&gt;0,_xlfn.MAXIFS(LOG!$G$2:$G$2001,LOG!$C$2:$C$2001,F271,LOG!$H$2:$H$2001,1),0)</f>
        <v>46309.644765567769</v>
      </c>
      <c r="S271" s="28" t="str">
        <f>IF(Q271&gt;0,IFERROR(INDEX(LOG!$D$2:$D$2001,MATCH(F271&amp;"|"&amp;Q271,LOG!$I$2:$I$2001,0)),""),"")</f>
        <v>BOOKED</v>
      </c>
      <c r="T271" s="28">
        <f>IF(S271="",0,IFERROR(VLOOKUP(S271,LISTS!$A$2:$E$10,4,FALSE),0))</f>
        <v>0</v>
      </c>
      <c r="U271" s="46">
        <f t="shared" si="46"/>
        <v>46309.644765567769</v>
      </c>
      <c r="V271" s="46">
        <f>IF(L271=1,H271+SETTINGS!$B$5/24,"")</f>
        <v>46309.82708333333</v>
      </c>
      <c r="W271" s="28">
        <f ca="1">IF(L271=1,(V271-SETTINGS!$B$4)*24,"")</f>
        <v>-1.6666666720993817E-2</v>
      </c>
      <c r="X271" s="28">
        <f ca="1">IF(AND(L271=1,K271="OK",M271=0,N271=0,O271=0,P271=0,SETTINGS!$B$4&lt;V271,Q271&lt;SETTINGS!$B$6),1,0)</f>
        <v>0</v>
      </c>
      <c r="Y271" s="28">
        <f ca="1">IF(AND(X271=1,SETTINGS!$B$4&gt;=H271,SETTINGS!$B$4&gt;=U271,ROUND(MOD(SETTINGS!$B$4,1)*1440,0)&gt;=ROUND(SETTINGS!$B$7*1440,0),ROUND(MOD(SETTINGS!$B$4,1)*1440,0)&lt;ROUND(SETTINGS!$B$8*1440,0)),1,0)</f>
        <v>0</v>
      </c>
      <c r="Z271" s="28" t="str">
        <f ca="1">IF(B271="","",IF(ROUND(MOD(SETTINGS!$B$4,1)*1440,0)&lt;ROUND(SETTINGS!$B$11*1440,0),"Ram",IF(ROUND(MOD(SETTINGS!$B$4,1)*1440,0)&gt;=ROUND(SETTINGS!$B$10*1440,0),"Shyam",IF(MOD(IFERROR(VALUE(RIGHT(F271,2)),0),2)=0,"Ram","Shyam"))))</f>
        <v>Shyam</v>
      </c>
      <c r="AA271" s="28">
        <f t="shared" ca="1" si="47"/>
        <v>0</v>
      </c>
      <c r="AB271" s="28">
        <f ca="1">IF(X271=1,COUNTIFS($F$2:F271,F271,$X$2:X271,1),0)</f>
        <v>0</v>
      </c>
      <c r="AC271" s="28" t="str">
        <f>IF(L271=1,IF(IFERROR(INDEX(PARTNERS!$C$2:$C$88,MATCH(B271,PARTNERS!$A$2:$A$88,0)),"")="YES","YES","NO"),"")</f>
        <v>YES</v>
      </c>
      <c r="AD271" s="28" t="str">
        <f>IF(L271=1,IFERROR(INDEX(PARTNERS!$B$2:$B$88,MATCH(B271,PARTNERS!$A$2:$A$88,0)),""),"")</f>
        <v>https://calendly.com/partner029/interview</v>
      </c>
      <c r="AE271" s="28">
        <f ca="1">IF(X271=1,IFERROR(INDEX(SETTINGS!$B$34:$D$36,MATCH(I271,SETTINGS!$A$34:$A$36,0),MIN(Q271,2)+1),SETTINGS!$B$36),0)</f>
        <v>0</v>
      </c>
      <c r="AF271" s="28">
        <f t="shared" si="48"/>
        <v>1</v>
      </c>
      <c r="AG271" s="28">
        <f ca="1">IF(AND(Y271=1,AB271=1),ROUND(AA271*AE271*IF(AF271&gt;1,SETTINGS!$B$16,1)*IF(W271&lt;=SETTINGS!$B$14,SETTINGS!$B$15,1)*IF(AU271=1,SETTINGS!$B$21,1),6),0)</f>
        <v>0</v>
      </c>
      <c r="AH271" s="28" t="str">
        <f ca="1">IF(AG271&gt;0,COUNTIFS($Z$2:$Z$601,Z271,$AG$2:$AG$601,"&gt;"&amp;AG271)+COUNTIFS($Z$2:Z271,Z271,$AG$2:AG271,AG271),"")</f>
        <v/>
      </c>
      <c r="AI271" s="28" t="str">
        <f t="shared" ca="1" si="49"/>
        <v/>
      </c>
      <c r="AJ271" s="28" t="str">
        <f t="shared" ca="1" si="50"/>
        <v/>
      </c>
      <c r="AK271" s="28">
        <f>IF(L271=1,IF(COUNTIFS($F$2:F271,F271,$L$2:L271,1)=1,1,0),0)</f>
        <v>1</v>
      </c>
      <c r="AL271" s="28" t="str">
        <f>IF(B271="","",IF(K271="DUPLICATE","Duplicate (removed)",IF(AO271=1,"Scheduled within 24h",IF(M271=1,"Scheduled late",IF(K271="BAD CONTACT","Bad contact details",IF(O271=1,"Stopped / wrong number",IF(N271=1,"Not interested",IF(P271=1,"Partner has no slots",IF(SETTINGS!$B$4&gt;=V271,IF(Q271=0,"Missed deadline: never tried","Missed deadline: tried, not booked"),IF(Q271&gt;=SETTINGS!$B$6,"No reply after max tries","Open"))))))))))</f>
        <v>Scheduled within 24h</v>
      </c>
      <c r="AM271" s="46">
        <f>IF(M271=1,IF(_xlfn.MINIFS(LOG!$G$2:$G$2001,LOG!$C$2:$C$2001,F271,LOG!$E$2:$E$2001,B271,LOG!$D$2:$D$2001,"*BOOKED")=0,_xlfn.MINIFS(LOG!$G$2:$G$2001,LOG!$C$2:$C$2001,F271,LOG!$E$2:$E$2001,"",LOG!$D$2:$D$2001,"*BOOKED"),IF(_xlfn.MINIFS(LOG!$G$2:$G$2001,LOG!$C$2:$C$2001,F271,LOG!$E$2:$E$2001,"",LOG!$D$2:$D$2001,"*BOOKED")=0,_xlfn.MINIFS(LOG!$G$2:$G$2001,LOG!$C$2:$C$2001,F271,LOG!$E$2:$E$2001,B271,LOG!$D$2:$D$2001,"*BOOKED"),MIN(_xlfn.MINIFS(LOG!$G$2:$G$2001,LOG!$C$2:$C$2001,F271,LOG!$E$2:$E$2001,B271,LOG!$D$2:$D$2001,"*BOOKED"),_xlfn.MINIFS(LOG!$G$2:$G$2001,LOG!$C$2:$C$2001,F271,LOG!$E$2:$E$2001,"",LOG!$D$2:$D$2001,"*BOOKED")))),"")</f>
        <v>46309.644765567769</v>
      </c>
      <c r="AN271" s="28">
        <f t="shared" si="51"/>
        <v>19.624373626546003</v>
      </c>
      <c r="AO271" s="28">
        <f>IF(AND(M271=1,AN271&lt;&gt;""),IF(AN271&lt;=SETTINGS!$B$5,1,0),0)</f>
        <v>1</v>
      </c>
      <c r="AP271" s="28">
        <f>IF(M271=1,IF(COUNTIFS(LOG!$C$2:$C$2001,F271,LOG!$E$2:$E$2001,B271,LOG!$D$2:$D$2001,"BOOKED")+COUNTIFS(LOG!$C$2:$C$2001,F271,LOG!$E$2:$E$2001,"",LOG!$D$2:$D$2001,"BOOKED")&gt;0,1,0),0)</f>
        <v>1</v>
      </c>
      <c r="AQ271" s="28" t="str">
        <f t="shared" si="52"/>
        <v>Kabir</v>
      </c>
      <c r="AR271" s="28">
        <f>IF(AND(AK271=1,K271="OK"),COUNTIFS($AK$2:AK271,1,$K$2:K271,"OK"),"")</f>
        <v>235</v>
      </c>
      <c r="AS271" s="28" t="str">
        <f>IF(L271=1,IFERROR(INDEX(MESSAGES!$J$9:$J$1008,MATCH(F271,MESSAGES!$M$9:$M$1008,0))&amp;"",""),"")</f>
        <v/>
      </c>
      <c r="AT271" s="28" t="str">
        <f>IF(L271=1,IFERROR(INDEX(MESSAGES!$K$9:$K$1008,MATCH(F271,MESSAGES!$M$9:$M$1008,0))&amp;"",""),"")</f>
        <v/>
      </c>
      <c r="AU271" s="28">
        <f t="shared" ca="1" si="53"/>
        <v>0</v>
      </c>
      <c r="AV271" s="28" t="str">
        <f t="shared" si="54"/>
        <v>SEND</v>
      </c>
    </row>
    <row r="272" spans="1:48" x14ac:dyDescent="0.35">
      <c r="A272" s="28">
        <v>271</v>
      </c>
      <c r="B272" s="28" t="str">
        <f>IF(INPUT!A272="","",TRIM(INPUT!A272))</f>
        <v>Partner 001</v>
      </c>
      <c r="C272" s="28" t="str">
        <f>IF(B272="","",INPUT!C272)</f>
        <v>interviewer1@partner001.example.com</v>
      </c>
      <c r="D272" s="28" t="str">
        <f>IF(B272="","",INPUT!D272)</f>
        <v>Neil P.</v>
      </c>
      <c r="E272" s="28" t="str">
        <f>IF(B272="","",INPUT!E272)</f>
        <v>neil.p408@example.com</v>
      </c>
      <c r="F272" s="43" t="str">
        <f>IF(B272="","",TRIM(INPUT!F272&amp;""))</f>
        <v>9000005311</v>
      </c>
      <c r="G272" s="28" t="str">
        <f>IF(B272="","",INPUT!H272)</f>
        <v>Round1</v>
      </c>
      <c r="H272" s="46">
        <f>IF(B272="","",INPUT!I272)</f>
        <v>46308.82708333333</v>
      </c>
      <c r="I272" s="28" t="str">
        <f>IF(B272="","",IF(INPUT!J272="","None",INPUT!J272))</f>
        <v>None</v>
      </c>
      <c r="J272" s="28" t="str">
        <f t="shared" si="44"/>
        <v>neil.p408@example.com|partner 001|Round1|interviewer1@partner001.example.com</v>
      </c>
      <c r="K272" s="28" t="str">
        <f>IF(B272="","",IF(SUMPRODUCT(($J$2:$J$601=J272)*($H$2:$H$601&lt;H272))+SUMPRODUCT(($J$2:J272=J272)*($H$2:H272=H272))-1&gt;0,"DUPLICATE",IF(AND(ISNUMBER(SEARCH("@",E272)),ISNUMBER(SEARCH(".",E272)),LEN(F272)=10,ISNUMBER(VALUE(F272))),"OK","BAD CONTACT")))</f>
        <v>OK</v>
      </c>
      <c r="L272" s="28">
        <f t="shared" si="45"/>
        <v>1</v>
      </c>
      <c r="M272" s="28">
        <f>IF(L272=1,IF(COUNTIFS(LOG!$C$2:$C$2001,F272,LOG!$E$2:$E$2001,B272,LOG!$D$2:$D$2001,"*BOOKED")+COUNTIFS(LOG!$C$2:$C$2001,F272,LOG!$E$2:$E$2001,"",LOG!$D$2:$D$2001,"*BOOKED")&gt;0,1,0),0)</f>
        <v>0</v>
      </c>
      <c r="N272" s="28">
        <f>IF(L272=1,IF(COUNTIFS(LOG!$C$2:$C$2001,F272,LOG!$E$2:$E$2001,B272,LOG!$D$2:$D$2001,"NOT_INTERESTED")+COUNTIFS(LOG!$C$2:$C$2001,F272,LOG!$E$2:$E$2001,"",LOG!$D$2:$D$2001,"NOT_INTERESTED")&gt;0,1,0),0)</f>
        <v>0</v>
      </c>
      <c r="O272" s="28">
        <f>IF(L272=1,IF(COUNTIFS(LOG!$C$2:$C$2001,F272,LOG!$D$2:$D$2001,"STOP")+COUNTIFS(LOG!$C$2:$C$2001,F272,LOG!$D$2:$D$2001,"WRONG_NUMBER")&gt;0,1,IF(ISNUMBER(SEARCH("STOP",AT272)),1,0)),0)</f>
        <v>0</v>
      </c>
      <c r="P272" s="28">
        <f>IF(L272=1,IF(IFERROR(INDEX(PARTNERS!$D$2:$D$88,MATCH(B272,PARTNERS!$A$2:$A$88,0)),"")="NO SLOTS",1,IF(AND(IFERROR(INDEX(PARTNERS!$D$2:$D$88,MATCH(B272,PARTNERS!$A$2:$A$88,0)),"")&lt;&gt;"REOPENED",COUNTIFS(LOG!$E$2:$E$2001,B272,LOG!$D$2:$D$2001,"NO_SLOTS")&gt;0),1,0)),0)</f>
        <v>0</v>
      </c>
      <c r="Q272" s="28">
        <f>IF(L272=1,COUNTIFS(LOG!$C$2:$C$2001,F272,LOG!$H$2:$H$2001,1),0)</f>
        <v>0</v>
      </c>
      <c r="R272" s="46">
        <f>IF(Q272&gt;0,_xlfn.MAXIFS(LOG!$G$2:$G$2001,LOG!$C$2:$C$2001,F272,LOG!$H$2:$H$2001,1),0)</f>
        <v>0</v>
      </c>
      <c r="S272" s="28" t="str">
        <f>IF(Q272&gt;0,IFERROR(INDEX(LOG!$D$2:$D$2001,MATCH(F272&amp;"|"&amp;Q272,LOG!$I$2:$I$2001,0)),""),"")</f>
        <v/>
      </c>
      <c r="T272" s="28">
        <f>IF(S272="",0,IFERROR(VLOOKUP(S272,LISTS!$A$2:$E$10,4,FALSE),0))</f>
        <v>0</v>
      </c>
      <c r="U272" s="46">
        <f t="shared" si="46"/>
        <v>0</v>
      </c>
      <c r="V272" s="46">
        <f>IF(L272=1,H272+SETTINGS!$B$5/24,"")</f>
        <v>46309.82708333333</v>
      </c>
      <c r="W272" s="28">
        <f ca="1">IF(L272=1,(V272-SETTINGS!$B$4)*24,"")</f>
        <v>-1.6666666720993817E-2</v>
      </c>
      <c r="X272" s="28">
        <f ca="1">IF(AND(L272=1,K272="OK",M272=0,N272=0,O272=0,P272=0,SETTINGS!$B$4&lt;V272,Q272&lt;SETTINGS!$B$6),1,0)</f>
        <v>0</v>
      </c>
      <c r="Y272" s="28">
        <f ca="1">IF(AND(X272=1,SETTINGS!$B$4&gt;=H272,SETTINGS!$B$4&gt;=U272,ROUND(MOD(SETTINGS!$B$4,1)*1440,0)&gt;=ROUND(SETTINGS!$B$7*1440,0),ROUND(MOD(SETTINGS!$B$4,1)*1440,0)&lt;ROUND(SETTINGS!$B$8*1440,0)),1,0)</f>
        <v>0</v>
      </c>
      <c r="Z272" s="28" t="str">
        <f ca="1">IF(B272="","",IF(ROUND(MOD(SETTINGS!$B$4,1)*1440,0)&lt;ROUND(SETTINGS!$B$11*1440,0),"Ram",IF(ROUND(MOD(SETTINGS!$B$4,1)*1440,0)&gt;=ROUND(SETTINGS!$B$10*1440,0),"Shyam",IF(MOD(IFERROR(VALUE(RIGHT(F272,2)),0),2)=0,"Ram","Shyam"))))</f>
        <v>Shyam</v>
      </c>
      <c r="AA272" s="28">
        <f t="shared" ca="1" si="47"/>
        <v>0</v>
      </c>
      <c r="AB272" s="28">
        <f ca="1">IF(X272=1,COUNTIFS($F$2:F272,F272,$X$2:X272,1),0)</f>
        <v>0</v>
      </c>
      <c r="AC272" s="28" t="str">
        <f>IF(L272=1,IF(IFERROR(INDEX(PARTNERS!$C$2:$C$88,MATCH(B272,PARTNERS!$A$2:$A$88,0)),"")="YES","YES","NO"),"")</f>
        <v>NO</v>
      </c>
      <c r="AD272" s="28" t="str">
        <f>IF(L272=1,IFERROR(INDEX(PARTNERS!$B$2:$B$88,MATCH(B272,PARTNERS!$A$2:$A$88,0)),""),"")</f>
        <v>https://calendly.com/partner001/interview</v>
      </c>
      <c r="AE272" s="28">
        <f ca="1">IF(X272=1,IFERROR(INDEX(SETTINGS!$B$34:$D$36,MATCH(I272,SETTINGS!$A$34:$A$36,0),MIN(Q272,2)+1),SETTINGS!$B$36),0)</f>
        <v>0</v>
      </c>
      <c r="AF272" s="28">
        <f t="shared" si="48"/>
        <v>1</v>
      </c>
      <c r="AG272" s="28">
        <f ca="1">IF(AND(Y272=1,AB272=1),ROUND(AA272*AE272*IF(AF272&gt;1,SETTINGS!$B$16,1)*IF(W272&lt;=SETTINGS!$B$14,SETTINGS!$B$15,1)*IF(AU272=1,SETTINGS!$B$21,1),6),0)</f>
        <v>0</v>
      </c>
      <c r="AH272" s="28" t="str">
        <f ca="1">IF(AG272&gt;0,COUNTIFS($Z$2:$Z$601,Z272,$AG$2:$AG$601,"&gt;"&amp;AG272)+COUNTIFS($Z$2:Z272,Z272,$AG$2:AG272,AG272),"")</f>
        <v/>
      </c>
      <c r="AI272" s="28" t="str">
        <f t="shared" ca="1" si="49"/>
        <v/>
      </c>
      <c r="AJ272" s="28" t="str">
        <f t="shared" ca="1" si="50"/>
        <v/>
      </c>
      <c r="AK272" s="28">
        <f>IF(L272=1,IF(COUNTIFS($F$2:F272,F272,$L$2:L272,1)=1,1,0),0)</f>
        <v>1</v>
      </c>
      <c r="AL272" s="28" t="str">
        <f ca="1">IF(B272="","",IF(K272="DUPLICATE","Duplicate (removed)",IF(AO272=1,"Scheduled within 24h",IF(M272=1,"Scheduled late",IF(K272="BAD CONTACT","Bad contact details",IF(O272=1,"Stopped / wrong number",IF(N272=1,"Not interested",IF(P272=1,"Partner has no slots",IF(SETTINGS!$B$4&gt;=V272,IF(Q272=0,"Missed deadline: never tried","Missed deadline: tried, not booked"),IF(Q272&gt;=SETTINGS!$B$6,"No reply after max tries","Open"))))))))))</f>
        <v>Missed deadline: never tried</v>
      </c>
      <c r="AM272" s="46" t="str">
        <f>IF(M272=1,IF(_xlfn.MINIFS(LOG!$G$2:$G$2001,LOG!$C$2:$C$2001,F272,LOG!$E$2:$E$2001,B272,LOG!$D$2:$D$2001,"*BOOKED")=0,_xlfn.MINIFS(LOG!$G$2:$G$2001,LOG!$C$2:$C$2001,F272,LOG!$E$2:$E$2001,"",LOG!$D$2:$D$2001,"*BOOKED"),IF(_xlfn.MINIFS(LOG!$G$2:$G$2001,LOG!$C$2:$C$2001,F272,LOG!$E$2:$E$2001,"",LOG!$D$2:$D$2001,"*BOOKED")=0,_xlfn.MINIFS(LOG!$G$2:$G$2001,LOG!$C$2:$C$2001,F272,LOG!$E$2:$E$2001,B272,LOG!$D$2:$D$2001,"*BOOKED"),MIN(_xlfn.MINIFS(LOG!$G$2:$G$2001,LOG!$C$2:$C$2001,F272,LOG!$E$2:$E$2001,B272,LOG!$D$2:$D$2001,"*BOOKED"),_xlfn.MINIFS(LOG!$G$2:$G$2001,LOG!$C$2:$C$2001,F272,LOG!$E$2:$E$2001,"",LOG!$D$2:$D$2001,"*BOOKED")))),"")</f>
        <v/>
      </c>
      <c r="AN272" s="28" t="str">
        <f t="shared" si="51"/>
        <v/>
      </c>
      <c r="AO272" s="28">
        <f>IF(AND(M272=1,AN272&lt;&gt;""),IF(AN272&lt;=SETTINGS!$B$5,1,0),0)</f>
        <v>0</v>
      </c>
      <c r="AP272" s="28">
        <f>IF(M272=1,IF(COUNTIFS(LOG!$C$2:$C$2001,F272,LOG!$E$2:$E$2001,B272,LOG!$D$2:$D$2001,"BOOKED")+COUNTIFS(LOG!$C$2:$C$2001,F272,LOG!$E$2:$E$2001,"",LOG!$D$2:$D$2001,"BOOKED")&gt;0,1,0),0)</f>
        <v>0</v>
      </c>
      <c r="AQ272" s="28" t="str">
        <f t="shared" si="52"/>
        <v>Neil</v>
      </c>
      <c r="AR272" s="28">
        <f>IF(AND(AK272=1,K272="OK"),COUNTIFS($AK$2:AK272,1,$K$2:K272,"OK"),"")</f>
        <v>236</v>
      </c>
      <c r="AS272" s="28" t="str">
        <f>IF(L272=1,IFERROR(INDEX(MESSAGES!$J$9:$J$1008,MATCH(F272,MESSAGES!$M$9:$M$1008,0))&amp;"",""),"")</f>
        <v/>
      </c>
      <c r="AT272" s="28" t="str">
        <f>IF(L272=1,IFERROR(INDEX(MESSAGES!$K$9:$K$1008,MATCH(F272,MESSAGES!$M$9:$M$1008,0))&amp;"",""),"")</f>
        <v/>
      </c>
      <c r="AU272" s="28">
        <f t="shared" ca="1" si="53"/>
        <v>0</v>
      </c>
      <c r="AV272" s="28" t="str">
        <f t="shared" si="54"/>
        <v>HOLD</v>
      </c>
    </row>
    <row r="273" spans="1:48" x14ac:dyDescent="0.35">
      <c r="A273" s="28">
        <v>272</v>
      </c>
      <c r="B273" s="28" t="str">
        <f>IF(INPUT!A273="","",TRIM(INPUT!A273))</f>
        <v>Partner 000</v>
      </c>
      <c r="C273" s="28" t="str">
        <f>IF(B273="","",INPUT!C273)</f>
        <v>interviewer2@partner000.example.com</v>
      </c>
      <c r="D273" s="28" t="str">
        <f>IF(B273="","",INPUT!D273)</f>
        <v>Sneha N.</v>
      </c>
      <c r="E273" s="28" t="str">
        <f>IF(B273="","",INPUT!E273)</f>
        <v>sneha.n383@example.com</v>
      </c>
      <c r="F273" s="43" t="str">
        <f>IF(B273="","",TRIM(INPUT!F273&amp;""))</f>
        <v>9000004986</v>
      </c>
      <c r="G273" s="28" t="str">
        <f>IF(B273="","",INPUT!H273)</f>
        <v>Round1</v>
      </c>
      <c r="H273" s="46">
        <f>IF(B273="","",INPUT!I273)</f>
        <v>46308.82708333333</v>
      </c>
      <c r="I273" s="28" t="str">
        <f>IF(B273="","",IF(INPUT!J273="","None",INPUT!J273))</f>
        <v>None</v>
      </c>
      <c r="J273" s="28" t="str">
        <f t="shared" si="44"/>
        <v>sneha.n383@example.com|partner 000|Round1|interviewer2@partner000.example.com</v>
      </c>
      <c r="K273" s="28" t="str">
        <f>IF(B273="","",IF(SUMPRODUCT(($J$2:$J$601=J273)*($H$2:$H$601&lt;H273))+SUMPRODUCT(($J$2:J273=J273)*($H$2:H273=H273))-1&gt;0,"DUPLICATE",IF(AND(ISNUMBER(SEARCH("@",E273)),ISNUMBER(SEARCH(".",E273)),LEN(F273)=10,ISNUMBER(VALUE(F273))),"OK","BAD CONTACT")))</f>
        <v>OK</v>
      </c>
      <c r="L273" s="28">
        <f t="shared" si="45"/>
        <v>1</v>
      </c>
      <c r="M273" s="28">
        <f>IF(L273=1,IF(COUNTIFS(LOG!$C$2:$C$2001,F273,LOG!$E$2:$E$2001,B273,LOG!$D$2:$D$2001,"*BOOKED")+COUNTIFS(LOG!$C$2:$C$2001,F273,LOG!$E$2:$E$2001,"",LOG!$D$2:$D$2001,"*BOOKED")&gt;0,1,0),0)</f>
        <v>0</v>
      </c>
      <c r="N273" s="28">
        <f>IF(L273=1,IF(COUNTIFS(LOG!$C$2:$C$2001,F273,LOG!$E$2:$E$2001,B273,LOG!$D$2:$D$2001,"NOT_INTERESTED")+COUNTIFS(LOG!$C$2:$C$2001,F273,LOG!$E$2:$E$2001,"",LOG!$D$2:$D$2001,"NOT_INTERESTED")&gt;0,1,0),0)</f>
        <v>0</v>
      </c>
      <c r="O273" s="28">
        <f>IF(L273=1,IF(COUNTIFS(LOG!$C$2:$C$2001,F273,LOG!$D$2:$D$2001,"STOP")+COUNTIFS(LOG!$C$2:$C$2001,F273,LOG!$D$2:$D$2001,"WRONG_NUMBER")&gt;0,1,IF(ISNUMBER(SEARCH("STOP",AT273)),1,0)),0)</f>
        <v>0</v>
      </c>
      <c r="P273" s="28">
        <f>IF(L273=1,IF(IFERROR(INDEX(PARTNERS!$D$2:$D$88,MATCH(B273,PARTNERS!$A$2:$A$88,0)),"")="NO SLOTS",1,IF(AND(IFERROR(INDEX(PARTNERS!$D$2:$D$88,MATCH(B273,PARTNERS!$A$2:$A$88,0)),"")&lt;&gt;"REOPENED",COUNTIFS(LOG!$E$2:$E$2001,B273,LOG!$D$2:$D$2001,"NO_SLOTS")&gt;0),1,0)),0)</f>
        <v>0</v>
      </c>
      <c r="Q273" s="28">
        <f>IF(L273=1,COUNTIFS(LOG!$C$2:$C$2001,F273,LOG!$H$2:$H$2001,1),0)</f>
        <v>0</v>
      </c>
      <c r="R273" s="46">
        <f>IF(Q273&gt;0,_xlfn.MAXIFS(LOG!$G$2:$G$2001,LOG!$C$2:$C$2001,F273,LOG!$H$2:$H$2001,1),0)</f>
        <v>0</v>
      </c>
      <c r="S273" s="28" t="str">
        <f>IF(Q273&gt;0,IFERROR(INDEX(LOG!$D$2:$D$2001,MATCH(F273&amp;"|"&amp;Q273,LOG!$I$2:$I$2001,0)),""),"")</f>
        <v/>
      </c>
      <c r="T273" s="28">
        <f>IF(S273="",0,IFERROR(VLOOKUP(S273,LISTS!$A$2:$E$10,4,FALSE),0))</f>
        <v>0</v>
      </c>
      <c r="U273" s="46">
        <f t="shared" si="46"/>
        <v>0</v>
      </c>
      <c r="V273" s="46">
        <f>IF(L273=1,H273+SETTINGS!$B$5/24,"")</f>
        <v>46309.82708333333</v>
      </c>
      <c r="W273" s="28">
        <f ca="1">IF(L273=1,(V273-SETTINGS!$B$4)*24,"")</f>
        <v>-1.6666666720993817E-2</v>
      </c>
      <c r="X273" s="28">
        <f ca="1">IF(AND(L273=1,K273="OK",M273=0,N273=0,O273=0,P273=0,SETTINGS!$B$4&lt;V273,Q273&lt;SETTINGS!$B$6),1,0)</f>
        <v>0</v>
      </c>
      <c r="Y273" s="28">
        <f ca="1">IF(AND(X273=1,SETTINGS!$B$4&gt;=H273,SETTINGS!$B$4&gt;=U273,ROUND(MOD(SETTINGS!$B$4,1)*1440,0)&gt;=ROUND(SETTINGS!$B$7*1440,0),ROUND(MOD(SETTINGS!$B$4,1)*1440,0)&lt;ROUND(SETTINGS!$B$8*1440,0)),1,0)</f>
        <v>0</v>
      </c>
      <c r="Z273" s="28" t="str">
        <f ca="1">IF(B273="","",IF(ROUND(MOD(SETTINGS!$B$4,1)*1440,0)&lt;ROUND(SETTINGS!$B$11*1440,0),"Ram",IF(ROUND(MOD(SETTINGS!$B$4,1)*1440,0)&gt;=ROUND(SETTINGS!$B$10*1440,0),"Shyam",IF(MOD(IFERROR(VALUE(RIGHT(F273,2)),0),2)=0,"Ram","Shyam"))))</f>
        <v>Shyam</v>
      </c>
      <c r="AA273" s="28">
        <f t="shared" ca="1" si="47"/>
        <v>0</v>
      </c>
      <c r="AB273" s="28">
        <f ca="1">IF(X273=1,COUNTIFS($F$2:F273,F273,$X$2:X273,1),0)</f>
        <v>0</v>
      </c>
      <c r="AC273" s="28" t="str">
        <f>IF(L273=1,IF(IFERROR(INDEX(PARTNERS!$C$2:$C$88,MATCH(B273,PARTNERS!$A$2:$A$88,0)),"")="YES","YES","NO"),"")</f>
        <v>NO</v>
      </c>
      <c r="AD273" s="28" t="str">
        <f>IF(L273=1,IFERROR(INDEX(PARTNERS!$B$2:$B$88,MATCH(B273,PARTNERS!$A$2:$A$88,0)),""),"")</f>
        <v>https://calendly.com/partner000/interview</v>
      </c>
      <c r="AE273" s="28">
        <f ca="1">IF(X273=1,IFERROR(INDEX(SETTINGS!$B$34:$D$36,MATCH(I273,SETTINGS!$A$34:$A$36,0),MIN(Q273,2)+1),SETTINGS!$B$36),0)</f>
        <v>0</v>
      </c>
      <c r="AF273" s="28">
        <f t="shared" si="48"/>
        <v>1</v>
      </c>
      <c r="AG273" s="28">
        <f ca="1">IF(AND(Y273=1,AB273=1),ROUND(AA273*AE273*IF(AF273&gt;1,SETTINGS!$B$16,1)*IF(W273&lt;=SETTINGS!$B$14,SETTINGS!$B$15,1)*IF(AU273=1,SETTINGS!$B$21,1),6),0)</f>
        <v>0</v>
      </c>
      <c r="AH273" s="28" t="str">
        <f ca="1">IF(AG273&gt;0,COUNTIFS($Z$2:$Z$601,Z273,$AG$2:$AG$601,"&gt;"&amp;AG273)+COUNTIFS($Z$2:Z273,Z273,$AG$2:AG273,AG273),"")</f>
        <v/>
      </c>
      <c r="AI273" s="28" t="str">
        <f t="shared" ca="1" si="49"/>
        <v/>
      </c>
      <c r="AJ273" s="28" t="str">
        <f t="shared" ca="1" si="50"/>
        <v/>
      </c>
      <c r="AK273" s="28">
        <f>IF(L273=1,IF(COUNTIFS($F$2:F273,F273,$L$2:L273,1)=1,1,0),0)</f>
        <v>1</v>
      </c>
      <c r="AL273" s="28" t="str">
        <f ca="1">IF(B273="","",IF(K273="DUPLICATE","Duplicate (removed)",IF(AO273=1,"Scheduled within 24h",IF(M273=1,"Scheduled late",IF(K273="BAD CONTACT","Bad contact details",IF(O273=1,"Stopped / wrong number",IF(N273=1,"Not interested",IF(P273=1,"Partner has no slots",IF(SETTINGS!$B$4&gt;=V273,IF(Q273=0,"Missed deadline: never tried","Missed deadline: tried, not booked"),IF(Q273&gt;=SETTINGS!$B$6,"No reply after max tries","Open"))))))))))</f>
        <v>Missed deadline: never tried</v>
      </c>
      <c r="AM273" s="46" t="str">
        <f>IF(M273=1,IF(_xlfn.MINIFS(LOG!$G$2:$G$2001,LOG!$C$2:$C$2001,F273,LOG!$E$2:$E$2001,B273,LOG!$D$2:$D$2001,"*BOOKED")=0,_xlfn.MINIFS(LOG!$G$2:$G$2001,LOG!$C$2:$C$2001,F273,LOG!$E$2:$E$2001,"",LOG!$D$2:$D$2001,"*BOOKED"),IF(_xlfn.MINIFS(LOG!$G$2:$G$2001,LOG!$C$2:$C$2001,F273,LOG!$E$2:$E$2001,"",LOG!$D$2:$D$2001,"*BOOKED")=0,_xlfn.MINIFS(LOG!$G$2:$G$2001,LOG!$C$2:$C$2001,F273,LOG!$E$2:$E$2001,B273,LOG!$D$2:$D$2001,"*BOOKED"),MIN(_xlfn.MINIFS(LOG!$G$2:$G$2001,LOG!$C$2:$C$2001,F273,LOG!$E$2:$E$2001,B273,LOG!$D$2:$D$2001,"*BOOKED"),_xlfn.MINIFS(LOG!$G$2:$G$2001,LOG!$C$2:$C$2001,F273,LOG!$E$2:$E$2001,"",LOG!$D$2:$D$2001,"*BOOKED")))),"")</f>
        <v/>
      </c>
      <c r="AN273" s="28" t="str">
        <f t="shared" si="51"/>
        <v/>
      </c>
      <c r="AO273" s="28">
        <f>IF(AND(M273=1,AN273&lt;&gt;""),IF(AN273&lt;=SETTINGS!$B$5,1,0),0)</f>
        <v>0</v>
      </c>
      <c r="AP273" s="28">
        <f>IF(M273=1,IF(COUNTIFS(LOG!$C$2:$C$2001,F273,LOG!$E$2:$E$2001,B273,LOG!$D$2:$D$2001,"BOOKED")+COUNTIFS(LOG!$C$2:$C$2001,F273,LOG!$E$2:$E$2001,"",LOG!$D$2:$D$2001,"BOOKED")&gt;0,1,0),0)</f>
        <v>0</v>
      </c>
      <c r="AQ273" s="28" t="str">
        <f t="shared" si="52"/>
        <v>Sneha</v>
      </c>
      <c r="AR273" s="28">
        <f>IF(AND(AK273=1,K273="OK"),COUNTIFS($AK$2:AK273,1,$K$2:K273,"OK"),"")</f>
        <v>237</v>
      </c>
      <c r="AS273" s="28" t="str">
        <f>IF(L273=1,IFERROR(INDEX(MESSAGES!$J$9:$J$1008,MATCH(F273,MESSAGES!$M$9:$M$1008,0))&amp;"",""),"")</f>
        <v/>
      </c>
      <c r="AT273" s="28" t="str">
        <f>IF(L273=1,IFERROR(INDEX(MESSAGES!$K$9:$K$1008,MATCH(F273,MESSAGES!$M$9:$M$1008,0))&amp;"",""),"")</f>
        <v/>
      </c>
      <c r="AU273" s="28">
        <f t="shared" ca="1" si="53"/>
        <v>0</v>
      </c>
      <c r="AV273" s="28" t="str">
        <f t="shared" si="54"/>
        <v>SEND</v>
      </c>
    </row>
    <row r="274" spans="1:48" x14ac:dyDescent="0.35">
      <c r="A274" s="28">
        <v>273</v>
      </c>
      <c r="B274" s="28" t="str">
        <f>IF(INPUT!A274="","",TRIM(INPUT!A274))</f>
        <v>Partner 000</v>
      </c>
      <c r="C274" s="28" t="str">
        <f>IF(B274="","",INPUT!C274)</f>
        <v>interviewer2@partner000.example.com</v>
      </c>
      <c r="D274" s="28" t="str">
        <f>IF(B274="","",INPUT!D274)</f>
        <v>Zoya B.</v>
      </c>
      <c r="E274" s="28" t="str">
        <f>IF(B274="","",INPUT!E274)</f>
        <v>zoya.b047@example.com</v>
      </c>
      <c r="F274" s="43" t="str">
        <f>IF(B274="","",TRIM(INPUT!F274&amp;""))</f>
        <v>9000000618</v>
      </c>
      <c r="G274" s="28" t="str">
        <f>IF(B274="","",INPUT!H274)</f>
        <v>Round2</v>
      </c>
      <c r="H274" s="46">
        <f>IF(B274="","",INPUT!I274)</f>
        <v>46308.82708333333</v>
      </c>
      <c r="I274" s="28" t="str">
        <f>IF(B274="","",IF(INPUT!J274="","None",INPUT!J274))</f>
        <v>None</v>
      </c>
      <c r="J274" s="28" t="str">
        <f t="shared" si="44"/>
        <v>zoya.b047@example.com|partner 000|Round2|interviewer2@partner000.example.com</v>
      </c>
      <c r="K274" s="28" t="str">
        <f>IF(B274="","",IF(SUMPRODUCT(($J$2:$J$601=J274)*($H$2:$H$601&lt;H274))+SUMPRODUCT(($J$2:J274=J274)*($H$2:H274=H274))-1&gt;0,"DUPLICATE",IF(AND(ISNUMBER(SEARCH("@",E274)),ISNUMBER(SEARCH(".",E274)),LEN(F274)=10,ISNUMBER(VALUE(F274))),"OK","BAD CONTACT")))</f>
        <v>OK</v>
      </c>
      <c r="L274" s="28">
        <f t="shared" si="45"/>
        <v>1</v>
      </c>
      <c r="M274" s="28">
        <f>IF(L274=1,IF(COUNTIFS(LOG!$C$2:$C$2001,F274,LOG!$E$2:$E$2001,B274,LOG!$D$2:$D$2001,"*BOOKED")+COUNTIFS(LOG!$C$2:$C$2001,F274,LOG!$E$2:$E$2001,"",LOG!$D$2:$D$2001,"*BOOKED")&gt;0,1,0),0)</f>
        <v>0</v>
      </c>
      <c r="N274" s="28">
        <f>IF(L274=1,IF(COUNTIFS(LOG!$C$2:$C$2001,F274,LOG!$E$2:$E$2001,B274,LOG!$D$2:$D$2001,"NOT_INTERESTED")+COUNTIFS(LOG!$C$2:$C$2001,F274,LOG!$E$2:$E$2001,"",LOG!$D$2:$D$2001,"NOT_INTERESTED")&gt;0,1,0),0)</f>
        <v>0</v>
      </c>
      <c r="O274" s="28">
        <f>IF(L274=1,IF(COUNTIFS(LOG!$C$2:$C$2001,F274,LOG!$D$2:$D$2001,"STOP")+COUNTIFS(LOG!$C$2:$C$2001,F274,LOG!$D$2:$D$2001,"WRONG_NUMBER")&gt;0,1,IF(ISNUMBER(SEARCH("STOP",AT274)),1,0)),0)</f>
        <v>0</v>
      </c>
      <c r="P274" s="28">
        <f>IF(L274=1,IF(IFERROR(INDEX(PARTNERS!$D$2:$D$88,MATCH(B274,PARTNERS!$A$2:$A$88,0)),"")="NO SLOTS",1,IF(AND(IFERROR(INDEX(PARTNERS!$D$2:$D$88,MATCH(B274,PARTNERS!$A$2:$A$88,0)),"")&lt;&gt;"REOPENED",COUNTIFS(LOG!$E$2:$E$2001,B274,LOG!$D$2:$D$2001,"NO_SLOTS")&gt;0),1,0)),0)</f>
        <v>0</v>
      </c>
      <c r="Q274" s="28">
        <f>IF(L274=1,COUNTIFS(LOG!$C$2:$C$2001,F274,LOG!$H$2:$H$2001,1),0)</f>
        <v>0</v>
      </c>
      <c r="R274" s="46">
        <f>IF(Q274&gt;0,_xlfn.MAXIFS(LOG!$G$2:$G$2001,LOG!$C$2:$C$2001,F274,LOG!$H$2:$H$2001,1),0)</f>
        <v>0</v>
      </c>
      <c r="S274" s="28" t="str">
        <f>IF(Q274&gt;0,IFERROR(INDEX(LOG!$D$2:$D$2001,MATCH(F274&amp;"|"&amp;Q274,LOG!$I$2:$I$2001,0)),""),"")</f>
        <v/>
      </c>
      <c r="T274" s="28">
        <f>IF(S274="",0,IFERROR(VLOOKUP(S274,LISTS!$A$2:$E$10,4,FALSE),0))</f>
        <v>0</v>
      </c>
      <c r="U274" s="46">
        <f t="shared" si="46"/>
        <v>0</v>
      </c>
      <c r="V274" s="46">
        <f>IF(L274=1,H274+SETTINGS!$B$5/24,"")</f>
        <v>46309.82708333333</v>
      </c>
      <c r="W274" s="28">
        <f ca="1">IF(L274=1,(V274-SETTINGS!$B$4)*24,"")</f>
        <v>-1.6666666720993817E-2</v>
      </c>
      <c r="X274" s="28">
        <f ca="1">IF(AND(L274=1,K274="OK",M274=0,N274=0,O274=0,P274=0,SETTINGS!$B$4&lt;V274,Q274&lt;SETTINGS!$B$6),1,0)</f>
        <v>0</v>
      </c>
      <c r="Y274" s="28">
        <f ca="1">IF(AND(X274=1,SETTINGS!$B$4&gt;=H274,SETTINGS!$B$4&gt;=U274,ROUND(MOD(SETTINGS!$B$4,1)*1440,0)&gt;=ROUND(SETTINGS!$B$7*1440,0),ROUND(MOD(SETTINGS!$B$4,1)*1440,0)&lt;ROUND(SETTINGS!$B$8*1440,0)),1,0)</f>
        <v>0</v>
      </c>
      <c r="Z274" s="28" t="str">
        <f ca="1">IF(B274="","",IF(ROUND(MOD(SETTINGS!$B$4,1)*1440,0)&lt;ROUND(SETTINGS!$B$11*1440,0),"Ram",IF(ROUND(MOD(SETTINGS!$B$4,1)*1440,0)&gt;=ROUND(SETTINGS!$B$10*1440,0),"Shyam",IF(MOD(IFERROR(VALUE(RIGHT(F274,2)),0),2)=0,"Ram","Shyam"))))</f>
        <v>Shyam</v>
      </c>
      <c r="AA274" s="28">
        <f t="shared" ca="1" si="47"/>
        <v>0</v>
      </c>
      <c r="AB274" s="28">
        <f ca="1">IF(X274=1,COUNTIFS($F$2:F274,F274,$X$2:X274,1),0)</f>
        <v>0</v>
      </c>
      <c r="AC274" s="28" t="str">
        <f>IF(L274=1,IF(IFERROR(INDEX(PARTNERS!$C$2:$C$88,MATCH(B274,PARTNERS!$A$2:$A$88,0)),"")="YES","YES","NO"),"")</f>
        <v>NO</v>
      </c>
      <c r="AD274" s="28" t="str">
        <f>IF(L274=1,IFERROR(INDEX(PARTNERS!$B$2:$B$88,MATCH(B274,PARTNERS!$A$2:$A$88,0)),""),"")</f>
        <v>https://calendly.com/partner000/interview</v>
      </c>
      <c r="AE274" s="28">
        <f ca="1">IF(X274=1,IFERROR(INDEX(SETTINGS!$B$34:$D$36,MATCH(I274,SETTINGS!$A$34:$A$36,0),MIN(Q274,2)+1),SETTINGS!$B$36),0)</f>
        <v>0</v>
      </c>
      <c r="AF274" s="28">
        <f t="shared" si="48"/>
        <v>2</v>
      </c>
      <c r="AG274" s="28">
        <f ca="1">IF(AND(Y274=1,AB274=1),ROUND(AA274*AE274*IF(AF274&gt;1,SETTINGS!$B$16,1)*IF(W274&lt;=SETTINGS!$B$14,SETTINGS!$B$15,1)*IF(AU274=1,SETTINGS!$B$21,1),6),0)</f>
        <v>0</v>
      </c>
      <c r="AH274" s="28" t="str">
        <f ca="1">IF(AG274&gt;0,COUNTIFS($Z$2:$Z$601,Z274,$AG$2:$AG$601,"&gt;"&amp;AG274)+COUNTIFS($Z$2:Z274,Z274,$AG$2:AG274,AG274),"")</f>
        <v/>
      </c>
      <c r="AI274" s="28" t="str">
        <f t="shared" ca="1" si="49"/>
        <v/>
      </c>
      <c r="AJ274" s="28" t="str">
        <f t="shared" ca="1" si="50"/>
        <v/>
      </c>
      <c r="AK274" s="28">
        <f>IF(L274=1,IF(COUNTIFS($F$2:F274,F274,$L$2:L274,1)=1,1,0),0)</f>
        <v>1</v>
      </c>
      <c r="AL274" s="28" t="str">
        <f ca="1">IF(B274="","",IF(K274="DUPLICATE","Duplicate (removed)",IF(AO274=1,"Scheduled within 24h",IF(M274=1,"Scheduled late",IF(K274="BAD CONTACT","Bad contact details",IF(O274=1,"Stopped / wrong number",IF(N274=1,"Not interested",IF(P274=1,"Partner has no slots",IF(SETTINGS!$B$4&gt;=V274,IF(Q274=0,"Missed deadline: never tried","Missed deadline: tried, not booked"),IF(Q274&gt;=SETTINGS!$B$6,"No reply after max tries","Open"))))))))))</f>
        <v>Missed deadline: never tried</v>
      </c>
      <c r="AM274" s="46" t="str">
        <f>IF(M274=1,IF(_xlfn.MINIFS(LOG!$G$2:$G$2001,LOG!$C$2:$C$2001,F274,LOG!$E$2:$E$2001,B274,LOG!$D$2:$D$2001,"*BOOKED")=0,_xlfn.MINIFS(LOG!$G$2:$G$2001,LOG!$C$2:$C$2001,F274,LOG!$E$2:$E$2001,"",LOG!$D$2:$D$2001,"*BOOKED"),IF(_xlfn.MINIFS(LOG!$G$2:$G$2001,LOG!$C$2:$C$2001,F274,LOG!$E$2:$E$2001,"",LOG!$D$2:$D$2001,"*BOOKED")=0,_xlfn.MINIFS(LOG!$G$2:$G$2001,LOG!$C$2:$C$2001,F274,LOG!$E$2:$E$2001,B274,LOG!$D$2:$D$2001,"*BOOKED"),MIN(_xlfn.MINIFS(LOG!$G$2:$G$2001,LOG!$C$2:$C$2001,F274,LOG!$E$2:$E$2001,B274,LOG!$D$2:$D$2001,"*BOOKED"),_xlfn.MINIFS(LOG!$G$2:$G$2001,LOG!$C$2:$C$2001,F274,LOG!$E$2:$E$2001,"",LOG!$D$2:$D$2001,"*BOOKED")))),"")</f>
        <v/>
      </c>
      <c r="AN274" s="28" t="str">
        <f t="shared" si="51"/>
        <v/>
      </c>
      <c r="AO274" s="28">
        <f>IF(AND(M274=1,AN274&lt;&gt;""),IF(AN274&lt;=SETTINGS!$B$5,1,0),0)</f>
        <v>0</v>
      </c>
      <c r="AP274" s="28">
        <f>IF(M274=1,IF(COUNTIFS(LOG!$C$2:$C$2001,F274,LOG!$E$2:$E$2001,B274,LOG!$D$2:$D$2001,"BOOKED")+COUNTIFS(LOG!$C$2:$C$2001,F274,LOG!$E$2:$E$2001,"",LOG!$D$2:$D$2001,"BOOKED")&gt;0,1,0),0)</f>
        <v>0</v>
      </c>
      <c r="AQ274" s="28" t="str">
        <f t="shared" si="52"/>
        <v>Zoya</v>
      </c>
      <c r="AR274" s="28">
        <f>IF(AND(AK274=1,K274="OK"),COUNTIFS($AK$2:AK274,1,$K$2:K274,"OK"),"")</f>
        <v>238</v>
      </c>
      <c r="AS274" s="28" t="str">
        <f>IF(L274=1,IFERROR(INDEX(MESSAGES!$J$9:$J$1008,MATCH(F274,MESSAGES!$M$9:$M$1008,0))&amp;"",""),"")</f>
        <v/>
      </c>
      <c r="AT274" s="28" t="str">
        <f>IF(L274=1,IFERROR(INDEX(MESSAGES!$K$9:$K$1008,MATCH(F274,MESSAGES!$M$9:$M$1008,0))&amp;"",""),"")</f>
        <v/>
      </c>
      <c r="AU274" s="28">
        <f t="shared" ca="1" si="53"/>
        <v>0</v>
      </c>
      <c r="AV274" s="28" t="str">
        <f t="shared" si="54"/>
        <v>HOLD</v>
      </c>
    </row>
    <row r="275" spans="1:48" x14ac:dyDescent="0.35">
      <c r="A275" s="28">
        <v>274</v>
      </c>
      <c r="B275" s="28" t="str">
        <f>IF(INPUT!A275="","",TRIM(INPUT!A275))</f>
        <v>Partner 000</v>
      </c>
      <c r="C275" s="28" t="str">
        <f>IF(B275="","",INPUT!C275)</f>
        <v>interviewer0@partner000.example.com</v>
      </c>
      <c r="D275" s="28" t="str">
        <f>IF(B275="","",INPUT!D275)</f>
        <v>Ananya L.</v>
      </c>
      <c r="E275" s="28" t="str">
        <f>IF(B275="","",INPUT!E275)</f>
        <v>ananya.l303@example.com</v>
      </c>
      <c r="F275" s="43" t="str">
        <f>IF(B275="","",TRIM(INPUT!F275&amp;""))</f>
        <v>9000003946</v>
      </c>
      <c r="G275" s="28" t="str">
        <f>IF(B275="","",INPUT!H275)</f>
        <v>Round1</v>
      </c>
      <c r="H275" s="46">
        <f>IF(B275="","",INPUT!I275)</f>
        <v>46308.82708333333</v>
      </c>
      <c r="I275" s="28" t="str">
        <f>IF(B275="","",IF(INPUT!J275="","None",INPUT!J275))</f>
        <v>Clicked</v>
      </c>
      <c r="J275" s="28" t="str">
        <f t="shared" si="44"/>
        <v>ananya.l303@example.com|partner 000|Round1|interviewer0@partner000.example.com</v>
      </c>
      <c r="K275" s="28" t="str">
        <f>IF(B275="","",IF(SUMPRODUCT(($J$2:$J$601=J275)*($H$2:$H$601&lt;H275))+SUMPRODUCT(($J$2:J275=J275)*($H$2:H275=H275))-1&gt;0,"DUPLICATE",IF(AND(ISNUMBER(SEARCH("@",E275)),ISNUMBER(SEARCH(".",E275)),LEN(F275)=10,ISNUMBER(VALUE(F275))),"OK","BAD CONTACT")))</f>
        <v>OK</v>
      </c>
      <c r="L275" s="28">
        <f t="shared" si="45"/>
        <v>1</v>
      </c>
      <c r="M275" s="28">
        <f>IF(L275=1,IF(COUNTIFS(LOG!$C$2:$C$2001,F275,LOG!$E$2:$E$2001,B275,LOG!$D$2:$D$2001,"*BOOKED")+COUNTIFS(LOG!$C$2:$C$2001,F275,LOG!$E$2:$E$2001,"",LOG!$D$2:$D$2001,"*BOOKED")&gt;0,1,0),0)</f>
        <v>0</v>
      </c>
      <c r="N275" s="28">
        <f>IF(L275=1,IF(COUNTIFS(LOG!$C$2:$C$2001,F275,LOG!$E$2:$E$2001,B275,LOG!$D$2:$D$2001,"NOT_INTERESTED")+COUNTIFS(LOG!$C$2:$C$2001,F275,LOG!$E$2:$E$2001,"",LOG!$D$2:$D$2001,"NOT_INTERESTED")&gt;0,1,0),0)</f>
        <v>0</v>
      </c>
      <c r="O275" s="28">
        <f>IF(L275=1,IF(COUNTIFS(LOG!$C$2:$C$2001,F275,LOG!$D$2:$D$2001,"STOP")+COUNTIFS(LOG!$C$2:$C$2001,F275,LOG!$D$2:$D$2001,"WRONG_NUMBER")&gt;0,1,IF(ISNUMBER(SEARCH("STOP",AT275)),1,0)),0)</f>
        <v>0</v>
      </c>
      <c r="P275" s="28">
        <f>IF(L275=1,IF(IFERROR(INDEX(PARTNERS!$D$2:$D$88,MATCH(B275,PARTNERS!$A$2:$A$88,0)),"")="NO SLOTS",1,IF(AND(IFERROR(INDEX(PARTNERS!$D$2:$D$88,MATCH(B275,PARTNERS!$A$2:$A$88,0)),"")&lt;&gt;"REOPENED",COUNTIFS(LOG!$E$2:$E$2001,B275,LOG!$D$2:$D$2001,"NO_SLOTS")&gt;0),1,0)),0)</f>
        <v>0</v>
      </c>
      <c r="Q275" s="28">
        <f>IF(L275=1,COUNTIFS(LOG!$C$2:$C$2001,F275,LOG!$H$2:$H$2001,1),0)</f>
        <v>2</v>
      </c>
      <c r="R275" s="46">
        <f>IF(Q275&gt;0,_xlfn.MAXIFS(LOG!$G$2:$G$2001,LOG!$C$2:$C$2001,F275,LOG!$H$2:$H$2001,1),0)</f>
        <v>46309.752302675508</v>
      </c>
      <c r="S275" s="28" t="str">
        <f>IF(Q275&gt;0,IFERROR(INDEX(LOG!$D$2:$D$2001,MATCH(F275&amp;"|"&amp;Q275,LOG!$I$2:$I$2001,0)),""),"")</f>
        <v>NO_ANSWER</v>
      </c>
      <c r="T275" s="28">
        <f>IF(S275="",0,IFERROR(VLOOKUP(S275,LISTS!$A$2:$E$10,4,FALSE),0))</f>
        <v>120</v>
      </c>
      <c r="U275" s="46">
        <f t="shared" si="46"/>
        <v>46309.835636008844</v>
      </c>
      <c r="V275" s="46">
        <f>IF(L275=1,H275+SETTINGS!$B$5/24,"")</f>
        <v>46309.82708333333</v>
      </c>
      <c r="W275" s="28">
        <f ca="1">IF(L275=1,(V275-SETTINGS!$B$4)*24,"")</f>
        <v>-1.6666666720993817E-2</v>
      </c>
      <c r="X275" s="28">
        <f ca="1">IF(AND(L275=1,K275="OK",M275=0,N275=0,O275=0,P275=0,SETTINGS!$B$4&lt;V275,Q275&lt;SETTINGS!$B$6),1,0)</f>
        <v>0</v>
      </c>
      <c r="Y275" s="28">
        <f ca="1">IF(AND(X275=1,SETTINGS!$B$4&gt;=H275,SETTINGS!$B$4&gt;=U275,ROUND(MOD(SETTINGS!$B$4,1)*1440,0)&gt;=ROUND(SETTINGS!$B$7*1440,0),ROUND(MOD(SETTINGS!$B$4,1)*1440,0)&lt;ROUND(SETTINGS!$B$8*1440,0)),1,0)</f>
        <v>0</v>
      </c>
      <c r="Z275" s="28" t="str">
        <f ca="1">IF(B275="","",IF(ROUND(MOD(SETTINGS!$B$4,1)*1440,0)&lt;ROUND(SETTINGS!$B$11*1440,0),"Ram",IF(ROUND(MOD(SETTINGS!$B$4,1)*1440,0)&gt;=ROUND(SETTINGS!$B$10*1440,0),"Shyam",IF(MOD(IFERROR(VALUE(RIGHT(F275,2)),0),2)=0,"Ram","Shyam"))))</f>
        <v>Shyam</v>
      </c>
      <c r="AA275" s="28">
        <f t="shared" ca="1" si="47"/>
        <v>0</v>
      </c>
      <c r="AB275" s="28">
        <f ca="1">IF(X275=1,COUNTIFS($F$2:F275,F275,$X$2:X275,1),0)</f>
        <v>0</v>
      </c>
      <c r="AC275" s="28" t="str">
        <f>IF(L275=1,IF(IFERROR(INDEX(PARTNERS!$C$2:$C$88,MATCH(B275,PARTNERS!$A$2:$A$88,0)),"")="YES","YES","NO"),"")</f>
        <v>NO</v>
      </c>
      <c r="AD275" s="28" t="str">
        <f>IF(L275=1,IFERROR(INDEX(PARTNERS!$B$2:$B$88,MATCH(B275,PARTNERS!$A$2:$A$88,0)),""),"")</f>
        <v>https://calendly.com/partner000/interview</v>
      </c>
      <c r="AE275" s="28">
        <f ca="1">IF(X275=1,IFERROR(INDEX(SETTINGS!$B$34:$D$36,MATCH(I275,SETTINGS!$A$34:$A$36,0),MIN(Q275,2)+1),SETTINGS!$B$36),0)</f>
        <v>0</v>
      </c>
      <c r="AF275" s="28">
        <f t="shared" si="48"/>
        <v>1</v>
      </c>
      <c r="AG275" s="28">
        <f ca="1">IF(AND(Y275=1,AB275=1),ROUND(AA275*AE275*IF(AF275&gt;1,SETTINGS!$B$16,1)*IF(W275&lt;=SETTINGS!$B$14,SETTINGS!$B$15,1)*IF(AU275=1,SETTINGS!$B$21,1),6),0)</f>
        <v>0</v>
      </c>
      <c r="AH275" s="28" t="str">
        <f ca="1">IF(AG275&gt;0,COUNTIFS($Z$2:$Z$601,Z275,$AG$2:$AG$601,"&gt;"&amp;AG275)+COUNTIFS($Z$2:Z275,Z275,$AG$2:AG275,AG275),"")</f>
        <v/>
      </c>
      <c r="AI275" s="28" t="str">
        <f t="shared" ca="1" si="49"/>
        <v/>
      </c>
      <c r="AJ275" s="28" t="str">
        <f t="shared" ca="1" si="50"/>
        <v/>
      </c>
      <c r="AK275" s="28">
        <f>IF(L275=1,IF(COUNTIFS($F$2:F275,F275,$L$2:L275,1)=1,1,0),0)</f>
        <v>1</v>
      </c>
      <c r="AL275" s="28" t="str">
        <f ca="1">IF(B275="","",IF(K275="DUPLICATE","Duplicate (removed)",IF(AO275=1,"Scheduled within 24h",IF(M275=1,"Scheduled late",IF(K275="BAD CONTACT","Bad contact details",IF(O275=1,"Stopped / wrong number",IF(N275=1,"Not interested",IF(P275=1,"Partner has no slots",IF(SETTINGS!$B$4&gt;=V275,IF(Q275=0,"Missed deadline: never tried","Missed deadline: tried, not booked"),IF(Q275&gt;=SETTINGS!$B$6,"No reply after max tries","Open"))))))))))</f>
        <v>Missed deadline: tried, not booked</v>
      </c>
      <c r="AM275" s="46" t="str">
        <f>IF(M275=1,IF(_xlfn.MINIFS(LOG!$G$2:$G$2001,LOG!$C$2:$C$2001,F275,LOG!$E$2:$E$2001,B275,LOG!$D$2:$D$2001,"*BOOKED")=0,_xlfn.MINIFS(LOG!$G$2:$G$2001,LOG!$C$2:$C$2001,F275,LOG!$E$2:$E$2001,"",LOG!$D$2:$D$2001,"*BOOKED"),IF(_xlfn.MINIFS(LOG!$G$2:$G$2001,LOG!$C$2:$C$2001,F275,LOG!$E$2:$E$2001,"",LOG!$D$2:$D$2001,"*BOOKED")=0,_xlfn.MINIFS(LOG!$G$2:$G$2001,LOG!$C$2:$C$2001,F275,LOG!$E$2:$E$2001,B275,LOG!$D$2:$D$2001,"*BOOKED"),MIN(_xlfn.MINIFS(LOG!$G$2:$G$2001,LOG!$C$2:$C$2001,F275,LOG!$E$2:$E$2001,B275,LOG!$D$2:$D$2001,"*BOOKED"),_xlfn.MINIFS(LOG!$G$2:$G$2001,LOG!$C$2:$C$2001,F275,LOG!$E$2:$E$2001,"",LOG!$D$2:$D$2001,"*BOOKED")))),"")</f>
        <v/>
      </c>
      <c r="AN275" s="28" t="str">
        <f t="shared" si="51"/>
        <v/>
      </c>
      <c r="AO275" s="28">
        <f>IF(AND(M275=1,AN275&lt;&gt;""),IF(AN275&lt;=SETTINGS!$B$5,1,0),0)</f>
        <v>0</v>
      </c>
      <c r="AP275" s="28">
        <f>IF(M275=1,IF(COUNTIFS(LOG!$C$2:$C$2001,F275,LOG!$E$2:$E$2001,B275,LOG!$D$2:$D$2001,"BOOKED")+COUNTIFS(LOG!$C$2:$C$2001,F275,LOG!$E$2:$E$2001,"",LOG!$D$2:$D$2001,"BOOKED")&gt;0,1,0),0)</f>
        <v>0</v>
      </c>
      <c r="AQ275" s="28" t="str">
        <f t="shared" si="52"/>
        <v>Ananya</v>
      </c>
      <c r="AR275" s="28">
        <f>IF(AND(AK275=1,K275="OK"),COUNTIFS($AK$2:AK275,1,$K$2:K275,"OK"),"")</f>
        <v>239</v>
      </c>
      <c r="AS275" s="28" t="str">
        <f>IF(L275=1,IFERROR(INDEX(MESSAGES!$J$9:$J$1008,MATCH(F275,MESSAGES!$M$9:$M$1008,0))&amp;"",""),"")</f>
        <v/>
      </c>
      <c r="AT275" s="28" t="str">
        <f>IF(L275=1,IFERROR(INDEX(MESSAGES!$K$9:$K$1008,MATCH(F275,MESSAGES!$M$9:$M$1008,0))&amp;"",""),"")</f>
        <v/>
      </c>
      <c r="AU275" s="28">
        <f t="shared" ca="1" si="53"/>
        <v>0</v>
      </c>
      <c r="AV275" s="28" t="str">
        <f t="shared" si="54"/>
        <v>SEND</v>
      </c>
    </row>
    <row r="276" spans="1:48" x14ac:dyDescent="0.35">
      <c r="A276" s="28">
        <v>275</v>
      </c>
      <c r="B276" s="28" t="str">
        <f>IF(INPUT!A276="","",TRIM(INPUT!A276))</f>
        <v>Partner 063</v>
      </c>
      <c r="C276" s="28" t="str">
        <f>IF(B276="","",INPUT!C276)</f>
        <v>interviewer2@partner063.example.com</v>
      </c>
      <c r="D276" s="28" t="str">
        <f>IF(B276="","",INPUT!D276)</f>
        <v>Kabir A.</v>
      </c>
      <c r="E276" s="28" t="str">
        <f>IF(B276="","",INPUT!E276)</f>
        <v>kabir.a002@example.com</v>
      </c>
      <c r="F276" s="43" t="str">
        <f>IF(B276="","",TRIM(INPUT!F276&amp;""))</f>
        <v>9000000033</v>
      </c>
      <c r="G276" s="28" t="str">
        <f>IF(B276="","",INPUT!H276)</f>
        <v>Round1</v>
      </c>
      <c r="H276" s="46">
        <f>IF(B276="","",INPUT!I276)</f>
        <v>46308.82708333333</v>
      </c>
      <c r="I276" s="28" t="str">
        <f>IF(B276="","",IF(INPUT!J276="","None",INPUT!J276))</f>
        <v>Opened</v>
      </c>
      <c r="J276" s="28" t="str">
        <f t="shared" si="44"/>
        <v>kabir.a002@example.com|partner 063|Round1|interviewer2@partner063.example.com</v>
      </c>
      <c r="K276" s="28" t="str">
        <f>IF(B276="","",IF(SUMPRODUCT(($J$2:$J$601=J276)*($H$2:$H$601&lt;H276))+SUMPRODUCT(($J$2:J276=J276)*($H$2:H276=H276))-1&gt;0,"DUPLICATE",IF(AND(ISNUMBER(SEARCH("@",E276)),ISNUMBER(SEARCH(".",E276)),LEN(F276)=10,ISNUMBER(VALUE(F276))),"OK","BAD CONTACT")))</f>
        <v>OK</v>
      </c>
      <c r="L276" s="28">
        <f t="shared" si="45"/>
        <v>1</v>
      </c>
      <c r="M276" s="28">
        <f>IF(L276=1,IF(COUNTIFS(LOG!$C$2:$C$2001,F276,LOG!$E$2:$E$2001,B276,LOG!$D$2:$D$2001,"*BOOKED")+COUNTIFS(LOG!$C$2:$C$2001,F276,LOG!$E$2:$E$2001,"",LOG!$D$2:$D$2001,"*BOOKED")&gt;0,1,0),0)</f>
        <v>1</v>
      </c>
      <c r="N276" s="28">
        <f>IF(L276=1,IF(COUNTIFS(LOG!$C$2:$C$2001,F276,LOG!$E$2:$E$2001,B276,LOG!$D$2:$D$2001,"NOT_INTERESTED")+COUNTIFS(LOG!$C$2:$C$2001,F276,LOG!$E$2:$E$2001,"",LOG!$D$2:$D$2001,"NOT_INTERESTED")&gt;0,1,0),0)</f>
        <v>0</v>
      </c>
      <c r="O276" s="28">
        <f>IF(L276=1,IF(COUNTIFS(LOG!$C$2:$C$2001,F276,LOG!$D$2:$D$2001,"STOP")+COUNTIFS(LOG!$C$2:$C$2001,F276,LOG!$D$2:$D$2001,"WRONG_NUMBER")&gt;0,1,IF(ISNUMBER(SEARCH("STOP",AT276)),1,0)),0)</f>
        <v>0</v>
      </c>
      <c r="P276" s="28">
        <f>IF(L276=1,IF(IFERROR(INDEX(PARTNERS!$D$2:$D$88,MATCH(B276,PARTNERS!$A$2:$A$88,0)),"")="NO SLOTS",1,IF(AND(IFERROR(INDEX(PARTNERS!$D$2:$D$88,MATCH(B276,PARTNERS!$A$2:$A$88,0)),"")&lt;&gt;"REOPENED",COUNTIFS(LOG!$E$2:$E$2001,B276,LOG!$D$2:$D$2001,"NO_SLOTS")&gt;0),1,0)),0)</f>
        <v>0</v>
      </c>
      <c r="Q276" s="28">
        <f>IF(L276=1,COUNTIFS(LOG!$C$2:$C$2001,F276,LOG!$H$2:$H$2001,1),0)</f>
        <v>0</v>
      </c>
      <c r="R276" s="46">
        <f>IF(Q276&gt;0,_xlfn.MAXIFS(LOG!$G$2:$G$2001,LOG!$C$2:$C$2001,F276,LOG!$H$2:$H$2001,1),0)</f>
        <v>0</v>
      </c>
      <c r="S276" s="28" t="str">
        <f>IF(Q276&gt;0,IFERROR(INDEX(LOG!$D$2:$D$2001,MATCH(F276&amp;"|"&amp;Q276,LOG!$I$2:$I$2001,0)),""),"")</f>
        <v/>
      </c>
      <c r="T276" s="28">
        <f>IF(S276="",0,IFERROR(VLOOKUP(S276,LISTS!$A$2:$E$10,4,FALSE),0))</f>
        <v>0</v>
      </c>
      <c r="U276" s="46">
        <f t="shared" si="46"/>
        <v>0</v>
      </c>
      <c r="V276" s="46">
        <f>IF(L276=1,H276+SETTINGS!$B$5/24,"")</f>
        <v>46309.82708333333</v>
      </c>
      <c r="W276" s="28">
        <f ca="1">IF(L276=1,(V276-SETTINGS!$B$4)*24,"")</f>
        <v>-1.6666666720993817E-2</v>
      </c>
      <c r="X276" s="28">
        <f ca="1">IF(AND(L276=1,K276="OK",M276=0,N276=0,O276=0,P276=0,SETTINGS!$B$4&lt;V276,Q276&lt;SETTINGS!$B$6),1,0)</f>
        <v>0</v>
      </c>
      <c r="Y276" s="28">
        <f ca="1">IF(AND(X276=1,SETTINGS!$B$4&gt;=H276,SETTINGS!$B$4&gt;=U276,ROUND(MOD(SETTINGS!$B$4,1)*1440,0)&gt;=ROUND(SETTINGS!$B$7*1440,0),ROUND(MOD(SETTINGS!$B$4,1)*1440,0)&lt;ROUND(SETTINGS!$B$8*1440,0)),1,0)</f>
        <v>0</v>
      </c>
      <c r="Z276" s="28" t="str">
        <f ca="1">IF(B276="","",IF(ROUND(MOD(SETTINGS!$B$4,1)*1440,0)&lt;ROUND(SETTINGS!$B$11*1440,0),"Ram",IF(ROUND(MOD(SETTINGS!$B$4,1)*1440,0)&gt;=ROUND(SETTINGS!$B$10*1440,0),"Shyam",IF(MOD(IFERROR(VALUE(RIGHT(F276,2)),0),2)=0,"Ram","Shyam"))))</f>
        <v>Shyam</v>
      </c>
      <c r="AA276" s="28">
        <f t="shared" ca="1" si="47"/>
        <v>0</v>
      </c>
      <c r="AB276" s="28">
        <f ca="1">IF(X276=1,COUNTIFS($F$2:F276,F276,$X$2:X276,1),0)</f>
        <v>0</v>
      </c>
      <c r="AC276" s="28" t="str">
        <f>IF(L276=1,IF(IFERROR(INDEX(PARTNERS!$C$2:$C$88,MATCH(B276,PARTNERS!$A$2:$A$88,0)),"")="YES","YES","NO"),"")</f>
        <v>NO</v>
      </c>
      <c r="AD276" s="28" t="str">
        <f>IF(L276=1,IFERROR(INDEX(PARTNERS!$B$2:$B$88,MATCH(B276,PARTNERS!$A$2:$A$88,0)),""),"")</f>
        <v>https://calendly.com/partner063/interview</v>
      </c>
      <c r="AE276" s="28">
        <f ca="1">IF(X276=1,IFERROR(INDEX(SETTINGS!$B$34:$D$36,MATCH(I276,SETTINGS!$A$34:$A$36,0),MIN(Q276,2)+1),SETTINGS!$B$36),0)</f>
        <v>0</v>
      </c>
      <c r="AF276" s="28">
        <f t="shared" si="48"/>
        <v>1</v>
      </c>
      <c r="AG276" s="28">
        <f ca="1">IF(AND(Y276=1,AB276=1),ROUND(AA276*AE276*IF(AF276&gt;1,SETTINGS!$B$16,1)*IF(W276&lt;=SETTINGS!$B$14,SETTINGS!$B$15,1)*IF(AU276=1,SETTINGS!$B$21,1),6),0)</f>
        <v>0</v>
      </c>
      <c r="AH276" s="28" t="str">
        <f ca="1">IF(AG276&gt;0,COUNTIFS($Z$2:$Z$601,Z276,$AG$2:$AG$601,"&gt;"&amp;AG276)+COUNTIFS($Z$2:Z276,Z276,$AG$2:AG276,AG276),"")</f>
        <v/>
      </c>
      <c r="AI276" s="28" t="str">
        <f t="shared" ca="1" si="49"/>
        <v/>
      </c>
      <c r="AJ276" s="28" t="str">
        <f t="shared" ca="1" si="50"/>
        <v/>
      </c>
      <c r="AK276" s="28">
        <f>IF(L276=1,IF(COUNTIFS($F$2:F276,F276,$L$2:L276,1)=1,1,0),0)</f>
        <v>1</v>
      </c>
      <c r="AL276" s="28" t="str">
        <f>IF(B276="","",IF(K276="DUPLICATE","Duplicate (removed)",IF(AO276=1,"Scheduled within 24h",IF(M276=1,"Scheduled late",IF(K276="BAD CONTACT","Bad contact details",IF(O276=1,"Stopped / wrong number",IF(N276=1,"Not interested",IF(P276=1,"Partner has no slots",IF(SETTINGS!$B$4&gt;=V276,IF(Q276=0,"Missed deadline: never tried","Missed deadline: tried, not booked"),IF(Q276&gt;=SETTINGS!$B$6,"No reply after max tries","Open"))))))))))</f>
        <v>Scheduled within 24h</v>
      </c>
      <c r="AM276" s="46">
        <f>IF(M276=1,IF(_xlfn.MINIFS(LOG!$G$2:$G$2001,LOG!$C$2:$C$2001,F276,LOG!$E$2:$E$2001,B276,LOG!$D$2:$D$2001,"*BOOKED")=0,_xlfn.MINIFS(LOG!$G$2:$G$2001,LOG!$C$2:$C$2001,F276,LOG!$E$2:$E$2001,"",LOG!$D$2:$D$2001,"*BOOKED"),IF(_xlfn.MINIFS(LOG!$G$2:$G$2001,LOG!$C$2:$C$2001,F276,LOG!$E$2:$E$2001,"",LOG!$D$2:$D$2001,"*BOOKED")=0,_xlfn.MINIFS(LOG!$G$2:$G$2001,LOG!$C$2:$C$2001,F276,LOG!$E$2:$E$2001,B276,LOG!$D$2:$D$2001,"*BOOKED"),MIN(_xlfn.MINIFS(LOG!$G$2:$G$2001,LOG!$C$2:$C$2001,F276,LOG!$E$2:$E$2001,B276,LOG!$D$2:$D$2001,"*BOOKED"),_xlfn.MINIFS(LOG!$G$2:$G$2001,LOG!$C$2:$C$2001,F276,LOG!$E$2:$E$2001,"",LOG!$D$2:$D$2001,"*BOOKED")))),"")</f>
        <v>46308.936038917069</v>
      </c>
      <c r="AN276" s="28">
        <f t="shared" si="51"/>
        <v>2.6149340097326785</v>
      </c>
      <c r="AO276" s="28">
        <f>IF(AND(M276=1,AN276&lt;&gt;""),IF(AN276&lt;=SETTINGS!$B$5,1,0),0)</f>
        <v>1</v>
      </c>
      <c r="AP276" s="28">
        <f>IF(M276=1,IF(COUNTIFS(LOG!$C$2:$C$2001,F276,LOG!$E$2:$E$2001,B276,LOG!$D$2:$D$2001,"BOOKED")+COUNTIFS(LOG!$C$2:$C$2001,F276,LOG!$E$2:$E$2001,"",LOG!$D$2:$D$2001,"BOOKED")&gt;0,1,0),0)</f>
        <v>0</v>
      </c>
      <c r="AQ276" s="28" t="str">
        <f t="shared" si="52"/>
        <v>Kabir</v>
      </c>
      <c r="AR276" s="28">
        <f>IF(AND(AK276=1,K276="OK"),COUNTIFS($AK$2:AK276,1,$K$2:K276,"OK"),"")</f>
        <v>240</v>
      </c>
      <c r="AS276" s="28" t="str">
        <f>IF(L276=1,IFERROR(INDEX(MESSAGES!$J$9:$J$1008,MATCH(F276,MESSAGES!$M$9:$M$1008,0))&amp;"",""),"")</f>
        <v/>
      </c>
      <c r="AT276" s="28" t="str">
        <f>IF(L276=1,IFERROR(INDEX(MESSAGES!$K$9:$K$1008,MATCH(F276,MESSAGES!$M$9:$M$1008,0))&amp;"",""),"")</f>
        <v/>
      </c>
      <c r="AU276" s="28">
        <f t="shared" ca="1" si="53"/>
        <v>0</v>
      </c>
      <c r="AV276" s="28" t="str">
        <f t="shared" si="54"/>
        <v>HOLD</v>
      </c>
    </row>
    <row r="277" spans="1:48" x14ac:dyDescent="0.35">
      <c r="A277" s="28">
        <v>276</v>
      </c>
      <c r="B277" s="28" t="str">
        <f>IF(INPUT!A277="","",TRIM(INPUT!A277))</f>
        <v>Partner 011</v>
      </c>
      <c r="C277" s="28" t="str">
        <f>IF(B277="","",INPUT!C277)</f>
        <v>interviewer1@partner011.example.com</v>
      </c>
      <c r="D277" s="28" t="str">
        <f>IF(B277="","",INPUT!D277)</f>
        <v>Kiara J.</v>
      </c>
      <c r="E277" s="28" t="str">
        <f>IF(B277="","",INPUT!E277)</f>
        <v>kiara.j251@example.com</v>
      </c>
      <c r="F277" s="43" t="str">
        <f>IF(B277="","",TRIM(INPUT!F277&amp;""))</f>
        <v>9000003270</v>
      </c>
      <c r="G277" s="28" t="str">
        <f>IF(B277="","",INPUT!H277)</f>
        <v>Round1</v>
      </c>
      <c r="H277" s="46">
        <f>IF(B277="","",INPUT!I277)</f>
        <v>46308.82708333333</v>
      </c>
      <c r="I277" s="28" t="str">
        <f>IF(B277="","",IF(INPUT!J277="","None",INPUT!J277))</f>
        <v>Opened</v>
      </c>
      <c r="J277" s="28" t="str">
        <f t="shared" si="44"/>
        <v>kiara.j251@example.com|partner 011|Round1|interviewer1@partner011.example.com</v>
      </c>
      <c r="K277" s="28" t="str">
        <f>IF(B277="","",IF(SUMPRODUCT(($J$2:$J$601=J277)*($H$2:$H$601&lt;H277))+SUMPRODUCT(($J$2:J277=J277)*($H$2:H277=H277))-1&gt;0,"DUPLICATE",IF(AND(ISNUMBER(SEARCH("@",E277)),ISNUMBER(SEARCH(".",E277)),LEN(F277)=10,ISNUMBER(VALUE(F277))),"OK","BAD CONTACT")))</f>
        <v>OK</v>
      </c>
      <c r="L277" s="28">
        <f t="shared" si="45"/>
        <v>1</v>
      </c>
      <c r="M277" s="28">
        <f>IF(L277=1,IF(COUNTIFS(LOG!$C$2:$C$2001,F277,LOG!$E$2:$E$2001,B277,LOG!$D$2:$D$2001,"*BOOKED")+COUNTIFS(LOG!$C$2:$C$2001,F277,LOG!$E$2:$E$2001,"",LOG!$D$2:$D$2001,"*BOOKED")&gt;0,1,0),0)</f>
        <v>0</v>
      </c>
      <c r="N277" s="28">
        <f>IF(L277=1,IF(COUNTIFS(LOG!$C$2:$C$2001,F277,LOG!$E$2:$E$2001,B277,LOG!$D$2:$D$2001,"NOT_INTERESTED")+COUNTIFS(LOG!$C$2:$C$2001,F277,LOG!$E$2:$E$2001,"",LOG!$D$2:$D$2001,"NOT_INTERESTED")&gt;0,1,0),0)</f>
        <v>0</v>
      </c>
      <c r="O277" s="28">
        <f>IF(L277=1,IF(COUNTIFS(LOG!$C$2:$C$2001,F277,LOG!$D$2:$D$2001,"STOP")+COUNTIFS(LOG!$C$2:$C$2001,F277,LOG!$D$2:$D$2001,"WRONG_NUMBER")&gt;0,1,IF(ISNUMBER(SEARCH("STOP",AT277)),1,0)),0)</f>
        <v>0</v>
      </c>
      <c r="P277" s="28">
        <f>IF(L277=1,IF(IFERROR(INDEX(PARTNERS!$D$2:$D$88,MATCH(B277,PARTNERS!$A$2:$A$88,0)),"")="NO SLOTS",1,IF(AND(IFERROR(INDEX(PARTNERS!$D$2:$D$88,MATCH(B277,PARTNERS!$A$2:$A$88,0)),"")&lt;&gt;"REOPENED",COUNTIFS(LOG!$E$2:$E$2001,B277,LOG!$D$2:$D$2001,"NO_SLOTS")&gt;0),1,0)),0)</f>
        <v>0</v>
      </c>
      <c r="Q277" s="28">
        <f>IF(L277=1,COUNTIFS(LOG!$C$2:$C$2001,F277,LOG!$H$2:$H$2001,1),0)</f>
        <v>0</v>
      </c>
      <c r="R277" s="46">
        <f>IF(Q277&gt;0,_xlfn.MAXIFS(LOG!$G$2:$G$2001,LOG!$C$2:$C$2001,F277,LOG!$H$2:$H$2001,1),0)</f>
        <v>0</v>
      </c>
      <c r="S277" s="28" t="str">
        <f>IF(Q277&gt;0,IFERROR(INDEX(LOG!$D$2:$D$2001,MATCH(F277&amp;"|"&amp;Q277,LOG!$I$2:$I$2001,0)),""),"")</f>
        <v/>
      </c>
      <c r="T277" s="28">
        <f>IF(S277="",0,IFERROR(VLOOKUP(S277,LISTS!$A$2:$E$10,4,FALSE),0))</f>
        <v>0</v>
      </c>
      <c r="U277" s="46">
        <f t="shared" si="46"/>
        <v>0</v>
      </c>
      <c r="V277" s="46">
        <f>IF(L277=1,H277+SETTINGS!$B$5/24,"")</f>
        <v>46309.82708333333</v>
      </c>
      <c r="W277" s="28">
        <f ca="1">IF(L277=1,(V277-SETTINGS!$B$4)*24,"")</f>
        <v>-1.6666666720993817E-2</v>
      </c>
      <c r="X277" s="28">
        <f ca="1">IF(AND(L277=1,K277="OK",M277=0,N277=0,O277=0,P277=0,SETTINGS!$B$4&lt;V277,Q277&lt;SETTINGS!$B$6),1,0)</f>
        <v>0</v>
      </c>
      <c r="Y277" s="28">
        <f ca="1">IF(AND(X277=1,SETTINGS!$B$4&gt;=H277,SETTINGS!$B$4&gt;=U277,ROUND(MOD(SETTINGS!$B$4,1)*1440,0)&gt;=ROUND(SETTINGS!$B$7*1440,0),ROUND(MOD(SETTINGS!$B$4,1)*1440,0)&lt;ROUND(SETTINGS!$B$8*1440,0)),1,0)</f>
        <v>0</v>
      </c>
      <c r="Z277" s="28" t="str">
        <f ca="1">IF(B277="","",IF(ROUND(MOD(SETTINGS!$B$4,1)*1440,0)&lt;ROUND(SETTINGS!$B$11*1440,0),"Ram",IF(ROUND(MOD(SETTINGS!$B$4,1)*1440,0)&gt;=ROUND(SETTINGS!$B$10*1440,0),"Shyam",IF(MOD(IFERROR(VALUE(RIGHT(F277,2)),0),2)=0,"Ram","Shyam"))))</f>
        <v>Shyam</v>
      </c>
      <c r="AA277" s="28">
        <f t="shared" ca="1" si="47"/>
        <v>0</v>
      </c>
      <c r="AB277" s="28">
        <f ca="1">IF(X277=1,COUNTIFS($F$2:F277,F277,$X$2:X277,1),0)</f>
        <v>0</v>
      </c>
      <c r="AC277" s="28" t="str">
        <f>IF(L277=1,IF(IFERROR(INDEX(PARTNERS!$C$2:$C$88,MATCH(B277,PARTNERS!$A$2:$A$88,0)),"")="YES","YES","NO"),"")</f>
        <v>YES</v>
      </c>
      <c r="AD277" s="28" t="str">
        <f>IF(L277=1,IFERROR(INDEX(PARTNERS!$B$2:$B$88,MATCH(B277,PARTNERS!$A$2:$A$88,0)),""),"")</f>
        <v>https://calendly.com/partner011/interview</v>
      </c>
      <c r="AE277" s="28">
        <f ca="1">IF(X277=1,IFERROR(INDEX(SETTINGS!$B$34:$D$36,MATCH(I277,SETTINGS!$A$34:$A$36,0),MIN(Q277,2)+1),SETTINGS!$B$36),0)</f>
        <v>0</v>
      </c>
      <c r="AF277" s="28">
        <f t="shared" si="48"/>
        <v>1</v>
      </c>
      <c r="AG277" s="28">
        <f ca="1">IF(AND(Y277=1,AB277=1),ROUND(AA277*AE277*IF(AF277&gt;1,SETTINGS!$B$16,1)*IF(W277&lt;=SETTINGS!$B$14,SETTINGS!$B$15,1)*IF(AU277=1,SETTINGS!$B$21,1),6),0)</f>
        <v>0</v>
      </c>
      <c r="AH277" s="28" t="str">
        <f ca="1">IF(AG277&gt;0,COUNTIFS($Z$2:$Z$601,Z277,$AG$2:$AG$601,"&gt;"&amp;AG277)+COUNTIFS($Z$2:Z277,Z277,$AG$2:AG277,AG277),"")</f>
        <v/>
      </c>
      <c r="AI277" s="28" t="str">
        <f t="shared" ca="1" si="49"/>
        <v/>
      </c>
      <c r="AJ277" s="28" t="str">
        <f t="shared" ca="1" si="50"/>
        <v/>
      </c>
      <c r="AK277" s="28">
        <f>IF(L277=1,IF(COUNTIFS($F$2:F277,F277,$L$2:L277,1)=1,1,0),0)</f>
        <v>1</v>
      </c>
      <c r="AL277" s="28" t="str">
        <f ca="1">IF(B277="","",IF(K277="DUPLICATE","Duplicate (removed)",IF(AO277=1,"Scheduled within 24h",IF(M277=1,"Scheduled late",IF(K277="BAD CONTACT","Bad contact details",IF(O277=1,"Stopped / wrong number",IF(N277=1,"Not interested",IF(P277=1,"Partner has no slots",IF(SETTINGS!$B$4&gt;=V277,IF(Q277=0,"Missed deadline: never tried","Missed deadline: tried, not booked"),IF(Q277&gt;=SETTINGS!$B$6,"No reply after max tries","Open"))))))))))</f>
        <v>Missed deadline: never tried</v>
      </c>
      <c r="AM277" s="46" t="str">
        <f>IF(M277=1,IF(_xlfn.MINIFS(LOG!$G$2:$G$2001,LOG!$C$2:$C$2001,F277,LOG!$E$2:$E$2001,B277,LOG!$D$2:$D$2001,"*BOOKED")=0,_xlfn.MINIFS(LOG!$G$2:$G$2001,LOG!$C$2:$C$2001,F277,LOG!$E$2:$E$2001,"",LOG!$D$2:$D$2001,"*BOOKED"),IF(_xlfn.MINIFS(LOG!$G$2:$G$2001,LOG!$C$2:$C$2001,F277,LOG!$E$2:$E$2001,"",LOG!$D$2:$D$2001,"*BOOKED")=0,_xlfn.MINIFS(LOG!$G$2:$G$2001,LOG!$C$2:$C$2001,F277,LOG!$E$2:$E$2001,B277,LOG!$D$2:$D$2001,"*BOOKED"),MIN(_xlfn.MINIFS(LOG!$G$2:$G$2001,LOG!$C$2:$C$2001,F277,LOG!$E$2:$E$2001,B277,LOG!$D$2:$D$2001,"*BOOKED"),_xlfn.MINIFS(LOG!$G$2:$G$2001,LOG!$C$2:$C$2001,F277,LOG!$E$2:$E$2001,"",LOG!$D$2:$D$2001,"*BOOKED")))),"")</f>
        <v/>
      </c>
      <c r="AN277" s="28" t="str">
        <f t="shared" si="51"/>
        <v/>
      </c>
      <c r="AO277" s="28">
        <f>IF(AND(M277=1,AN277&lt;&gt;""),IF(AN277&lt;=SETTINGS!$B$5,1,0),0)</f>
        <v>0</v>
      </c>
      <c r="AP277" s="28">
        <f>IF(M277=1,IF(COUNTIFS(LOG!$C$2:$C$2001,F277,LOG!$E$2:$E$2001,B277,LOG!$D$2:$D$2001,"BOOKED")+COUNTIFS(LOG!$C$2:$C$2001,F277,LOG!$E$2:$E$2001,"",LOG!$D$2:$D$2001,"BOOKED")&gt;0,1,0),0)</f>
        <v>0</v>
      </c>
      <c r="AQ277" s="28" t="str">
        <f t="shared" si="52"/>
        <v>Kiara</v>
      </c>
      <c r="AR277" s="28">
        <f>IF(AND(AK277=1,K277="OK"),COUNTIFS($AK$2:AK277,1,$K$2:K277,"OK"),"")</f>
        <v>241</v>
      </c>
      <c r="AS277" s="28" t="str">
        <f>IF(L277=1,IFERROR(INDEX(MESSAGES!$J$9:$J$1008,MATCH(F277,MESSAGES!$M$9:$M$1008,0))&amp;"",""),"")</f>
        <v/>
      </c>
      <c r="AT277" s="28" t="str">
        <f>IF(L277=1,IFERROR(INDEX(MESSAGES!$K$9:$K$1008,MATCH(F277,MESSAGES!$M$9:$M$1008,0))&amp;"",""),"")</f>
        <v/>
      </c>
      <c r="AU277" s="28">
        <f t="shared" ca="1" si="53"/>
        <v>0</v>
      </c>
      <c r="AV277" s="28" t="str">
        <f t="shared" si="54"/>
        <v>HOLD</v>
      </c>
    </row>
    <row r="278" spans="1:48" x14ac:dyDescent="0.35">
      <c r="A278" s="28">
        <v>277</v>
      </c>
      <c r="B278" s="28" t="str">
        <f>IF(INPUT!A278="","",TRIM(INPUT!A278))</f>
        <v>Partner 086</v>
      </c>
      <c r="C278" s="28" t="str">
        <f>IF(B278="","",INPUT!C278)</f>
        <v>interviewer0@partner086.example.com</v>
      </c>
      <c r="D278" s="28" t="str">
        <f>IF(B278="","",INPUT!D278)</f>
        <v>Varun C.</v>
      </c>
      <c r="E278" s="28" t="str">
        <f>IF(B278="","",INPUT!E278)</f>
        <v>varun.c088@example.com</v>
      </c>
      <c r="F278" s="43" t="str">
        <f>IF(B278="","",TRIM(INPUT!F278&amp;""))</f>
        <v>9000001151</v>
      </c>
      <c r="G278" s="28" t="str">
        <f>IF(B278="","",INPUT!H278)</f>
        <v>Round1</v>
      </c>
      <c r="H278" s="46">
        <f>IF(B278="","",INPUT!I278)</f>
        <v>46308.82708333333</v>
      </c>
      <c r="I278" s="28" t="str">
        <f>IF(B278="","",IF(INPUT!J278="","None",INPUT!J278))</f>
        <v>Clicked</v>
      </c>
      <c r="J278" s="28" t="str">
        <f t="shared" si="44"/>
        <v>varun.c088@example.com|partner 086|Round1|interviewer0@partner086.example.com</v>
      </c>
      <c r="K278" s="28" t="str">
        <f>IF(B278="","",IF(SUMPRODUCT(($J$2:$J$601=J278)*($H$2:$H$601&lt;H278))+SUMPRODUCT(($J$2:J278=J278)*($H$2:H278=H278))-1&gt;0,"DUPLICATE",IF(AND(ISNUMBER(SEARCH("@",E278)),ISNUMBER(SEARCH(".",E278)),LEN(F278)=10,ISNUMBER(VALUE(F278))),"OK","BAD CONTACT")))</f>
        <v>OK</v>
      </c>
      <c r="L278" s="28">
        <f t="shared" si="45"/>
        <v>1</v>
      </c>
      <c r="M278" s="28">
        <f>IF(L278=1,IF(COUNTIFS(LOG!$C$2:$C$2001,F278,LOG!$E$2:$E$2001,B278,LOG!$D$2:$D$2001,"*BOOKED")+COUNTIFS(LOG!$C$2:$C$2001,F278,LOG!$E$2:$E$2001,"",LOG!$D$2:$D$2001,"*BOOKED")&gt;0,1,0),0)</f>
        <v>1</v>
      </c>
      <c r="N278" s="28">
        <f>IF(L278=1,IF(COUNTIFS(LOG!$C$2:$C$2001,F278,LOG!$E$2:$E$2001,B278,LOG!$D$2:$D$2001,"NOT_INTERESTED")+COUNTIFS(LOG!$C$2:$C$2001,F278,LOG!$E$2:$E$2001,"",LOG!$D$2:$D$2001,"NOT_INTERESTED")&gt;0,1,0),0)</f>
        <v>0</v>
      </c>
      <c r="O278" s="28">
        <f>IF(L278=1,IF(COUNTIFS(LOG!$C$2:$C$2001,F278,LOG!$D$2:$D$2001,"STOP")+COUNTIFS(LOG!$C$2:$C$2001,F278,LOG!$D$2:$D$2001,"WRONG_NUMBER")&gt;0,1,IF(ISNUMBER(SEARCH("STOP",AT278)),1,0)),0)</f>
        <v>0</v>
      </c>
      <c r="P278" s="28">
        <f>IF(L278=1,IF(IFERROR(INDEX(PARTNERS!$D$2:$D$88,MATCH(B278,PARTNERS!$A$2:$A$88,0)),"")="NO SLOTS",1,IF(AND(IFERROR(INDEX(PARTNERS!$D$2:$D$88,MATCH(B278,PARTNERS!$A$2:$A$88,0)),"")&lt;&gt;"REOPENED",COUNTIFS(LOG!$E$2:$E$2001,B278,LOG!$D$2:$D$2001,"NO_SLOTS")&gt;0),1,0)),0)</f>
        <v>0</v>
      </c>
      <c r="Q278" s="28">
        <f>IF(L278=1,COUNTIFS(LOG!$C$2:$C$2001,F278,LOG!$H$2:$H$2001,1),0)</f>
        <v>0</v>
      </c>
      <c r="R278" s="46">
        <f>IF(Q278&gt;0,_xlfn.MAXIFS(LOG!$G$2:$G$2001,LOG!$C$2:$C$2001,F278,LOG!$H$2:$H$2001,1),0)</f>
        <v>0</v>
      </c>
      <c r="S278" s="28" t="str">
        <f>IF(Q278&gt;0,IFERROR(INDEX(LOG!$D$2:$D$2001,MATCH(F278&amp;"|"&amp;Q278,LOG!$I$2:$I$2001,0)),""),"")</f>
        <v/>
      </c>
      <c r="T278" s="28">
        <f>IF(S278="",0,IFERROR(VLOOKUP(S278,LISTS!$A$2:$E$10,4,FALSE),0))</f>
        <v>0</v>
      </c>
      <c r="U278" s="46">
        <f t="shared" si="46"/>
        <v>0</v>
      </c>
      <c r="V278" s="46">
        <f>IF(L278=1,H278+SETTINGS!$B$5/24,"")</f>
        <v>46309.82708333333</v>
      </c>
      <c r="W278" s="28">
        <f ca="1">IF(L278=1,(V278-SETTINGS!$B$4)*24,"")</f>
        <v>-1.6666666720993817E-2</v>
      </c>
      <c r="X278" s="28">
        <f ca="1">IF(AND(L278=1,K278="OK",M278=0,N278=0,O278=0,P278=0,SETTINGS!$B$4&lt;V278,Q278&lt;SETTINGS!$B$6),1,0)</f>
        <v>0</v>
      </c>
      <c r="Y278" s="28">
        <f ca="1">IF(AND(X278=1,SETTINGS!$B$4&gt;=H278,SETTINGS!$B$4&gt;=U278,ROUND(MOD(SETTINGS!$B$4,1)*1440,0)&gt;=ROUND(SETTINGS!$B$7*1440,0),ROUND(MOD(SETTINGS!$B$4,1)*1440,0)&lt;ROUND(SETTINGS!$B$8*1440,0)),1,0)</f>
        <v>0</v>
      </c>
      <c r="Z278" s="28" t="str">
        <f ca="1">IF(B278="","",IF(ROUND(MOD(SETTINGS!$B$4,1)*1440,0)&lt;ROUND(SETTINGS!$B$11*1440,0),"Ram",IF(ROUND(MOD(SETTINGS!$B$4,1)*1440,0)&gt;=ROUND(SETTINGS!$B$10*1440,0),"Shyam",IF(MOD(IFERROR(VALUE(RIGHT(F278,2)),0),2)=0,"Ram","Shyam"))))</f>
        <v>Shyam</v>
      </c>
      <c r="AA278" s="28">
        <f t="shared" ca="1" si="47"/>
        <v>0</v>
      </c>
      <c r="AB278" s="28">
        <f ca="1">IF(X278=1,COUNTIFS($F$2:F278,F278,$X$2:X278,1),0)</f>
        <v>0</v>
      </c>
      <c r="AC278" s="28" t="str">
        <f>IF(L278=1,IF(IFERROR(INDEX(PARTNERS!$C$2:$C$88,MATCH(B278,PARTNERS!$A$2:$A$88,0)),"")="YES","YES","NO"),"")</f>
        <v>YES</v>
      </c>
      <c r="AD278" s="28" t="str">
        <f>IF(L278=1,IFERROR(INDEX(PARTNERS!$B$2:$B$88,MATCH(B278,PARTNERS!$A$2:$A$88,0)),""),"")</f>
        <v>https://calendly.com/partner086/interview</v>
      </c>
      <c r="AE278" s="28">
        <f ca="1">IF(X278=1,IFERROR(INDEX(SETTINGS!$B$34:$D$36,MATCH(I278,SETTINGS!$A$34:$A$36,0),MIN(Q278,2)+1),SETTINGS!$B$36),0)</f>
        <v>0</v>
      </c>
      <c r="AF278" s="28">
        <f t="shared" si="48"/>
        <v>1</v>
      </c>
      <c r="AG278" s="28">
        <f ca="1">IF(AND(Y278=1,AB278=1),ROUND(AA278*AE278*IF(AF278&gt;1,SETTINGS!$B$16,1)*IF(W278&lt;=SETTINGS!$B$14,SETTINGS!$B$15,1)*IF(AU278=1,SETTINGS!$B$21,1),6),0)</f>
        <v>0</v>
      </c>
      <c r="AH278" s="28" t="str">
        <f ca="1">IF(AG278&gt;0,COUNTIFS($Z$2:$Z$601,Z278,$AG$2:$AG$601,"&gt;"&amp;AG278)+COUNTIFS($Z$2:Z278,Z278,$AG$2:AG278,AG278),"")</f>
        <v/>
      </c>
      <c r="AI278" s="28" t="str">
        <f t="shared" ca="1" si="49"/>
        <v/>
      </c>
      <c r="AJ278" s="28" t="str">
        <f t="shared" ca="1" si="50"/>
        <v/>
      </c>
      <c r="AK278" s="28">
        <f>IF(L278=1,IF(COUNTIFS($F$2:F278,F278,$L$2:L278,1)=1,1,0),0)</f>
        <v>1</v>
      </c>
      <c r="AL278" s="28" t="str">
        <f>IF(B278="","",IF(K278="DUPLICATE","Duplicate (removed)",IF(AO278=1,"Scheduled within 24h",IF(M278=1,"Scheduled late",IF(K278="BAD CONTACT","Bad contact details",IF(O278=1,"Stopped / wrong number",IF(N278=1,"Not interested",IF(P278=1,"Partner has no slots",IF(SETTINGS!$B$4&gt;=V278,IF(Q278=0,"Missed deadline: never tried","Missed deadline: tried, not booked"),IF(Q278&gt;=SETTINGS!$B$6,"No reply after max tries","Open"))))))))))</f>
        <v>Scheduled within 24h</v>
      </c>
      <c r="AM278" s="46">
        <f>IF(M278=1,IF(_xlfn.MINIFS(LOG!$G$2:$G$2001,LOG!$C$2:$C$2001,F278,LOG!$E$2:$E$2001,B278,LOG!$D$2:$D$2001,"*BOOKED")=0,_xlfn.MINIFS(LOG!$G$2:$G$2001,LOG!$C$2:$C$2001,F278,LOG!$E$2:$E$2001,"",LOG!$D$2:$D$2001,"*BOOKED"),IF(_xlfn.MINIFS(LOG!$G$2:$G$2001,LOG!$C$2:$C$2001,F278,LOG!$E$2:$E$2001,"",LOG!$D$2:$D$2001,"*BOOKED")=0,_xlfn.MINIFS(LOG!$G$2:$G$2001,LOG!$C$2:$C$2001,F278,LOG!$E$2:$E$2001,B278,LOG!$D$2:$D$2001,"*BOOKED"),MIN(_xlfn.MINIFS(LOG!$G$2:$G$2001,LOG!$C$2:$C$2001,F278,LOG!$E$2:$E$2001,B278,LOG!$D$2:$D$2001,"*BOOKED"),_xlfn.MINIFS(LOG!$G$2:$G$2001,LOG!$C$2:$C$2001,F278,LOG!$E$2:$E$2001,"",LOG!$D$2:$D$2001,"*BOOKED")))),"")</f>
        <v>46309.302666550604</v>
      </c>
      <c r="AN278" s="28">
        <f t="shared" si="51"/>
        <v>11.413997214578558</v>
      </c>
      <c r="AO278" s="28">
        <f>IF(AND(M278=1,AN278&lt;&gt;""),IF(AN278&lt;=SETTINGS!$B$5,1,0),0)</f>
        <v>1</v>
      </c>
      <c r="AP278" s="28">
        <f>IF(M278=1,IF(COUNTIFS(LOG!$C$2:$C$2001,F278,LOG!$E$2:$E$2001,B278,LOG!$D$2:$D$2001,"BOOKED")+COUNTIFS(LOG!$C$2:$C$2001,F278,LOG!$E$2:$E$2001,"",LOG!$D$2:$D$2001,"BOOKED")&gt;0,1,0),0)</f>
        <v>0</v>
      </c>
      <c r="AQ278" s="28" t="str">
        <f t="shared" si="52"/>
        <v>Varun</v>
      </c>
      <c r="AR278" s="28">
        <f>IF(AND(AK278=1,K278="OK"),COUNTIFS($AK$2:AK278,1,$K$2:K278,"OK"),"")</f>
        <v>242</v>
      </c>
      <c r="AS278" s="28" t="str">
        <f>IF(L278=1,IFERROR(INDEX(MESSAGES!$J$9:$J$1008,MATCH(F278,MESSAGES!$M$9:$M$1008,0))&amp;"",""),"")</f>
        <v/>
      </c>
      <c r="AT278" s="28" t="str">
        <f>IF(L278=1,IFERROR(INDEX(MESSAGES!$K$9:$K$1008,MATCH(F278,MESSAGES!$M$9:$M$1008,0))&amp;"",""),"")</f>
        <v/>
      </c>
      <c r="AU278" s="28">
        <f t="shared" ca="1" si="53"/>
        <v>0</v>
      </c>
      <c r="AV278" s="28" t="str">
        <f t="shared" si="54"/>
        <v>HOLD</v>
      </c>
    </row>
    <row r="279" spans="1:48" x14ac:dyDescent="0.35">
      <c r="A279" s="28">
        <v>278</v>
      </c>
      <c r="B279" s="28" t="str">
        <f>IF(INPUT!A279="","",TRIM(INPUT!A279))</f>
        <v>Partner 007</v>
      </c>
      <c r="C279" s="28" t="str">
        <f>IF(B279="","",INPUT!C279)</f>
        <v>interviewer2@partner007.example.com</v>
      </c>
      <c r="D279" s="28" t="str">
        <f>IF(B279="","",INPUT!D279)</f>
        <v>Meera D.</v>
      </c>
      <c r="E279" s="28" t="str">
        <f>IF(B279="","",INPUT!E279)</f>
        <v>meera.d097@example.com</v>
      </c>
      <c r="F279" s="43" t="str">
        <f>IF(B279="","",TRIM(INPUT!F279&amp;""))</f>
        <v>9000001268</v>
      </c>
      <c r="G279" s="28" t="str">
        <f>IF(B279="","",INPUT!H279)</f>
        <v>Round1</v>
      </c>
      <c r="H279" s="46">
        <f>IF(B279="","",INPUT!I279)</f>
        <v>46308.82708333333</v>
      </c>
      <c r="I279" s="28" t="str">
        <f>IF(B279="","",IF(INPUT!J279="","None",INPUT!J279))</f>
        <v>Opened</v>
      </c>
      <c r="J279" s="28" t="str">
        <f t="shared" si="44"/>
        <v>meera.d097@example.com|partner 007|Round1|interviewer2@partner007.example.com</v>
      </c>
      <c r="K279" s="28" t="str">
        <f>IF(B279="","",IF(SUMPRODUCT(($J$2:$J$601=J279)*($H$2:$H$601&lt;H279))+SUMPRODUCT(($J$2:J279=J279)*($H$2:H279=H279))-1&gt;0,"DUPLICATE",IF(AND(ISNUMBER(SEARCH("@",E279)),ISNUMBER(SEARCH(".",E279)),LEN(F279)=10,ISNUMBER(VALUE(F279))),"OK","BAD CONTACT")))</f>
        <v>OK</v>
      </c>
      <c r="L279" s="28">
        <f t="shared" si="45"/>
        <v>1</v>
      </c>
      <c r="M279" s="28">
        <f>IF(L279=1,IF(COUNTIFS(LOG!$C$2:$C$2001,F279,LOG!$E$2:$E$2001,B279,LOG!$D$2:$D$2001,"*BOOKED")+COUNTIFS(LOG!$C$2:$C$2001,F279,LOG!$E$2:$E$2001,"",LOG!$D$2:$D$2001,"*BOOKED")&gt;0,1,0),0)</f>
        <v>1</v>
      </c>
      <c r="N279" s="28">
        <f>IF(L279=1,IF(COUNTIFS(LOG!$C$2:$C$2001,F279,LOG!$E$2:$E$2001,B279,LOG!$D$2:$D$2001,"NOT_INTERESTED")+COUNTIFS(LOG!$C$2:$C$2001,F279,LOG!$E$2:$E$2001,"",LOG!$D$2:$D$2001,"NOT_INTERESTED")&gt;0,1,0),0)</f>
        <v>0</v>
      </c>
      <c r="O279" s="28">
        <f>IF(L279=1,IF(COUNTIFS(LOG!$C$2:$C$2001,F279,LOG!$D$2:$D$2001,"STOP")+COUNTIFS(LOG!$C$2:$C$2001,F279,LOG!$D$2:$D$2001,"WRONG_NUMBER")&gt;0,1,IF(ISNUMBER(SEARCH("STOP",AT279)),1,0)),0)</f>
        <v>0</v>
      </c>
      <c r="P279" s="28">
        <f>IF(L279=1,IF(IFERROR(INDEX(PARTNERS!$D$2:$D$88,MATCH(B279,PARTNERS!$A$2:$A$88,0)),"")="NO SLOTS",1,IF(AND(IFERROR(INDEX(PARTNERS!$D$2:$D$88,MATCH(B279,PARTNERS!$A$2:$A$88,0)),"")&lt;&gt;"REOPENED",COUNTIFS(LOG!$E$2:$E$2001,B279,LOG!$D$2:$D$2001,"NO_SLOTS")&gt;0),1,0)),0)</f>
        <v>0</v>
      </c>
      <c r="Q279" s="28">
        <f>IF(L279=1,COUNTIFS(LOG!$C$2:$C$2001,F279,LOG!$H$2:$H$2001,1),0)</f>
        <v>2</v>
      </c>
      <c r="R279" s="46">
        <f>IF(Q279&gt;0,_xlfn.MAXIFS(LOG!$G$2:$G$2001,LOG!$C$2:$C$2001,F279,LOG!$H$2:$H$2001,1),0)</f>
        <v>46309.614530894469</v>
      </c>
      <c r="S279" s="28" t="str">
        <f>IF(Q279&gt;0,IFERROR(INDEX(LOG!$D$2:$D$2001,MATCH(F279&amp;"|"&amp;Q279,LOG!$I$2:$I$2001,0)),""),"")</f>
        <v>SENT_LINK</v>
      </c>
      <c r="T279" s="28">
        <f>IF(S279="",0,IFERROR(VLOOKUP(S279,LISTS!$A$2:$E$10,4,FALSE),0))</f>
        <v>180</v>
      </c>
      <c r="U279" s="46">
        <f t="shared" si="46"/>
        <v>46309.739530894469</v>
      </c>
      <c r="V279" s="46">
        <f>IF(L279=1,H279+SETTINGS!$B$5/24,"")</f>
        <v>46309.82708333333</v>
      </c>
      <c r="W279" s="28">
        <f ca="1">IF(L279=1,(V279-SETTINGS!$B$4)*24,"")</f>
        <v>-1.6666666720993817E-2</v>
      </c>
      <c r="X279" s="28">
        <f ca="1">IF(AND(L279=1,K279="OK",M279=0,N279=0,O279=0,P279=0,SETTINGS!$B$4&lt;V279,Q279&lt;SETTINGS!$B$6),1,0)</f>
        <v>0</v>
      </c>
      <c r="Y279" s="28">
        <f ca="1">IF(AND(X279=1,SETTINGS!$B$4&gt;=H279,SETTINGS!$B$4&gt;=U279,ROUND(MOD(SETTINGS!$B$4,1)*1440,0)&gt;=ROUND(SETTINGS!$B$7*1440,0),ROUND(MOD(SETTINGS!$B$4,1)*1440,0)&lt;ROUND(SETTINGS!$B$8*1440,0)),1,0)</f>
        <v>0</v>
      </c>
      <c r="Z279" s="28" t="str">
        <f ca="1">IF(B279="","",IF(ROUND(MOD(SETTINGS!$B$4,1)*1440,0)&lt;ROUND(SETTINGS!$B$11*1440,0),"Ram",IF(ROUND(MOD(SETTINGS!$B$4,1)*1440,0)&gt;=ROUND(SETTINGS!$B$10*1440,0),"Shyam",IF(MOD(IFERROR(VALUE(RIGHT(F279,2)),0),2)=0,"Ram","Shyam"))))</f>
        <v>Shyam</v>
      </c>
      <c r="AA279" s="28">
        <f t="shared" ca="1" si="47"/>
        <v>0</v>
      </c>
      <c r="AB279" s="28">
        <f ca="1">IF(X279=1,COUNTIFS($F$2:F279,F279,$X$2:X279,1),0)</f>
        <v>0</v>
      </c>
      <c r="AC279" s="28" t="str">
        <f>IF(L279=1,IF(IFERROR(INDEX(PARTNERS!$C$2:$C$88,MATCH(B279,PARTNERS!$A$2:$A$88,0)),"")="YES","YES","NO"),"")</f>
        <v>NO</v>
      </c>
      <c r="AD279" s="28" t="str">
        <f>IF(L279=1,IFERROR(INDEX(PARTNERS!$B$2:$B$88,MATCH(B279,PARTNERS!$A$2:$A$88,0)),""),"")</f>
        <v>https://calendly.com/partner007/interview</v>
      </c>
      <c r="AE279" s="28">
        <f ca="1">IF(X279=1,IFERROR(INDEX(SETTINGS!$B$34:$D$36,MATCH(I279,SETTINGS!$A$34:$A$36,0),MIN(Q279,2)+1),SETTINGS!$B$36),0)</f>
        <v>0</v>
      </c>
      <c r="AF279" s="28">
        <f t="shared" si="48"/>
        <v>1</v>
      </c>
      <c r="AG279" s="28">
        <f ca="1">IF(AND(Y279=1,AB279=1),ROUND(AA279*AE279*IF(AF279&gt;1,SETTINGS!$B$16,1)*IF(W279&lt;=SETTINGS!$B$14,SETTINGS!$B$15,1)*IF(AU279=1,SETTINGS!$B$21,1),6),0)</f>
        <v>0</v>
      </c>
      <c r="AH279" s="28" t="str">
        <f ca="1">IF(AG279&gt;0,COUNTIFS($Z$2:$Z$601,Z279,$AG$2:$AG$601,"&gt;"&amp;AG279)+COUNTIFS($Z$2:Z279,Z279,$AG$2:AG279,AG279),"")</f>
        <v/>
      </c>
      <c r="AI279" s="28" t="str">
        <f t="shared" ca="1" si="49"/>
        <v/>
      </c>
      <c r="AJ279" s="28" t="str">
        <f t="shared" ca="1" si="50"/>
        <v/>
      </c>
      <c r="AK279" s="28">
        <f>IF(L279=1,IF(COUNTIFS($F$2:F279,F279,$L$2:L279,1)=1,1,0),0)</f>
        <v>1</v>
      </c>
      <c r="AL279" s="28" t="str">
        <f>IF(B279="","",IF(K279="DUPLICATE","Duplicate (removed)",IF(AO279=1,"Scheduled within 24h",IF(M279=1,"Scheduled late",IF(K279="BAD CONTACT","Bad contact details",IF(O279=1,"Stopped / wrong number",IF(N279=1,"Not interested",IF(P279=1,"Partner has no slots",IF(SETTINGS!$B$4&gt;=V279,IF(Q279=0,"Missed deadline: never tried","Missed deadline: tried, not booked"),IF(Q279&gt;=SETTINGS!$B$6,"No reply after max tries","Open"))))))))))</f>
        <v>Scheduled within 24h</v>
      </c>
      <c r="AM279" s="46">
        <f>IF(M279=1,IF(_xlfn.MINIFS(LOG!$G$2:$G$2001,LOG!$C$2:$C$2001,F279,LOG!$E$2:$E$2001,B279,LOG!$D$2:$D$2001,"*BOOKED")=0,_xlfn.MINIFS(LOG!$G$2:$G$2001,LOG!$C$2:$C$2001,F279,LOG!$E$2:$E$2001,"",LOG!$D$2:$D$2001,"*BOOKED"),IF(_xlfn.MINIFS(LOG!$G$2:$G$2001,LOG!$C$2:$C$2001,F279,LOG!$E$2:$E$2001,"",LOG!$D$2:$D$2001,"*BOOKED")=0,_xlfn.MINIFS(LOG!$G$2:$G$2001,LOG!$C$2:$C$2001,F279,LOG!$E$2:$E$2001,B279,LOG!$D$2:$D$2001,"*BOOKED"),MIN(_xlfn.MINIFS(LOG!$G$2:$G$2001,LOG!$C$2:$C$2001,F279,LOG!$E$2:$E$2001,B279,LOG!$D$2:$D$2001,"*BOOKED"),_xlfn.MINIFS(LOG!$G$2:$G$2001,LOG!$C$2:$C$2001,F279,LOG!$E$2:$E$2001,"",LOG!$D$2:$D$2001,"*BOOKED")))),"")</f>
        <v>46309.733894051045</v>
      </c>
      <c r="AN279" s="28">
        <f t="shared" si="51"/>
        <v>21.763457225169986</v>
      </c>
      <c r="AO279" s="28">
        <f>IF(AND(M279=1,AN279&lt;&gt;""),IF(AN279&lt;=SETTINGS!$B$5,1,0),0)</f>
        <v>1</v>
      </c>
      <c r="AP279" s="28">
        <f>IF(M279=1,IF(COUNTIFS(LOG!$C$2:$C$2001,F279,LOG!$E$2:$E$2001,B279,LOG!$D$2:$D$2001,"BOOKED")+COUNTIFS(LOG!$C$2:$C$2001,F279,LOG!$E$2:$E$2001,"",LOG!$D$2:$D$2001,"BOOKED")&gt;0,1,0),0)</f>
        <v>0</v>
      </c>
      <c r="AQ279" s="28" t="str">
        <f t="shared" si="52"/>
        <v>Meera</v>
      </c>
      <c r="AR279" s="28">
        <f>IF(AND(AK279=1,K279="OK"),COUNTIFS($AK$2:AK279,1,$K$2:K279,"OK"),"")</f>
        <v>243</v>
      </c>
      <c r="AS279" s="28" t="str">
        <f>IF(L279=1,IFERROR(INDEX(MESSAGES!$J$9:$J$1008,MATCH(F279,MESSAGES!$M$9:$M$1008,0))&amp;"",""),"")</f>
        <v/>
      </c>
      <c r="AT279" s="28" t="str">
        <f>IF(L279=1,IFERROR(INDEX(MESSAGES!$K$9:$K$1008,MATCH(F279,MESSAGES!$M$9:$M$1008,0))&amp;"",""),"")</f>
        <v/>
      </c>
      <c r="AU279" s="28">
        <f t="shared" ca="1" si="53"/>
        <v>0</v>
      </c>
      <c r="AV279" s="28" t="str">
        <f t="shared" si="54"/>
        <v>SEND</v>
      </c>
    </row>
    <row r="280" spans="1:48" x14ac:dyDescent="0.35">
      <c r="A280" s="28">
        <v>279</v>
      </c>
      <c r="B280" s="28" t="str">
        <f>IF(INPUT!A280="","",TRIM(INPUT!A280))</f>
        <v>Partner 035</v>
      </c>
      <c r="C280" s="28" t="str">
        <f>IF(B280="","",INPUT!C280)</f>
        <v>interviewer0@partner035.example.com</v>
      </c>
      <c r="D280" s="28" t="str">
        <f>IF(B280="","",INPUT!D280)</f>
        <v>Yash B.</v>
      </c>
      <c r="E280" s="28" t="str">
        <f>IF(B280="","",INPUT!E280)</f>
        <v>yash.b046@example.com</v>
      </c>
      <c r="F280" s="43" t="str">
        <f>IF(B280="","",TRIM(INPUT!F280&amp;""))</f>
        <v>900000060</v>
      </c>
      <c r="G280" s="28" t="str">
        <f>IF(B280="","",INPUT!H280)</f>
        <v>Round1</v>
      </c>
      <c r="H280" s="46">
        <f>IF(B280="","",INPUT!I280)</f>
        <v>46308.82708333333</v>
      </c>
      <c r="I280" s="28" t="str">
        <f>IF(B280="","",IF(INPUT!J280="","None",INPUT!J280))</f>
        <v>Opened</v>
      </c>
      <c r="J280" s="28" t="str">
        <f t="shared" si="44"/>
        <v>yash.b046@example.com|partner 035|Round1|interviewer0@partner035.example.com</v>
      </c>
      <c r="K280" s="28" t="str">
        <f>IF(B280="","",IF(SUMPRODUCT(($J$2:$J$601=J280)*($H$2:$H$601&lt;H280))+SUMPRODUCT(($J$2:J280=J280)*($H$2:H280=H280))-1&gt;0,"DUPLICATE",IF(AND(ISNUMBER(SEARCH("@",E280)),ISNUMBER(SEARCH(".",E280)),LEN(F280)=10,ISNUMBER(VALUE(F280))),"OK","BAD CONTACT")))</f>
        <v>BAD CONTACT</v>
      </c>
      <c r="L280" s="28">
        <f t="shared" si="45"/>
        <v>1</v>
      </c>
      <c r="M280" s="28">
        <f>IF(L280=1,IF(COUNTIFS(LOG!$C$2:$C$2001,F280,LOG!$E$2:$E$2001,B280,LOG!$D$2:$D$2001,"*BOOKED")+COUNTIFS(LOG!$C$2:$C$2001,F280,LOG!$E$2:$E$2001,"",LOG!$D$2:$D$2001,"*BOOKED")&gt;0,1,0),0)</f>
        <v>0</v>
      </c>
      <c r="N280" s="28">
        <f>IF(L280=1,IF(COUNTIFS(LOG!$C$2:$C$2001,F280,LOG!$E$2:$E$2001,B280,LOG!$D$2:$D$2001,"NOT_INTERESTED")+COUNTIFS(LOG!$C$2:$C$2001,F280,LOG!$E$2:$E$2001,"",LOG!$D$2:$D$2001,"NOT_INTERESTED")&gt;0,1,0),0)</f>
        <v>0</v>
      </c>
      <c r="O280" s="28">
        <f>IF(L280=1,IF(COUNTIFS(LOG!$C$2:$C$2001,F280,LOG!$D$2:$D$2001,"STOP")+COUNTIFS(LOG!$C$2:$C$2001,F280,LOG!$D$2:$D$2001,"WRONG_NUMBER")&gt;0,1,IF(ISNUMBER(SEARCH("STOP",AT280)),1,0)),0)</f>
        <v>0</v>
      </c>
      <c r="P280" s="28">
        <f>IF(L280=1,IF(IFERROR(INDEX(PARTNERS!$D$2:$D$88,MATCH(B280,PARTNERS!$A$2:$A$88,0)),"")="NO SLOTS",1,IF(AND(IFERROR(INDEX(PARTNERS!$D$2:$D$88,MATCH(B280,PARTNERS!$A$2:$A$88,0)),"")&lt;&gt;"REOPENED",COUNTIFS(LOG!$E$2:$E$2001,B280,LOG!$D$2:$D$2001,"NO_SLOTS")&gt;0),1,0)),0)</f>
        <v>0</v>
      </c>
      <c r="Q280" s="28">
        <f>IF(L280=1,COUNTIFS(LOG!$C$2:$C$2001,F280,LOG!$H$2:$H$2001,1),0)</f>
        <v>0</v>
      </c>
      <c r="R280" s="46">
        <f>IF(Q280&gt;0,_xlfn.MAXIFS(LOG!$G$2:$G$2001,LOG!$C$2:$C$2001,F280,LOG!$H$2:$H$2001,1),0)</f>
        <v>0</v>
      </c>
      <c r="S280" s="28" t="str">
        <f>IF(Q280&gt;0,IFERROR(INDEX(LOG!$D$2:$D$2001,MATCH(F280&amp;"|"&amp;Q280,LOG!$I$2:$I$2001,0)),""),"")</f>
        <v/>
      </c>
      <c r="T280" s="28">
        <f>IF(S280="",0,IFERROR(VLOOKUP(S280,LISTS!$A$2:$E$10,4,FALSE),0))</f>
        <v>0</v>
      </c>
      <c r="U280" s="46">
        <f t="shared" si="46"/>
        <v>0</v>
      </c>
      <c r="V280" s="46">
        <f>IF(L280=1,H280+SETTINGS!$B$5/24,"")</f>
        <v>46309.82708333333</v>
      </c>
      <c r="W280" s="28">
        <f ca="1">IF(L280=1,(V280-SETTINGS!$B$4)*24,"")</f>
        <v>-1.6666666720993817E-2</v>
      </c>
      <c r="X280" s="28">
        <f ca="1">IF(AND(L280=1,K280="OK",M280=0,N280=0,O280=0,P280=0,SETTINGS!$B$4&lt;V280,Q280&lt;SETTINGS!$B$6),1,0)</f>
        <v>0</v>
      </c>
      <c r="Y280" s="28">
        <f ca="1">IF(AND(X280=1,SETTINGS!$B$4&gt;=H280,SETTINGS!$B$4&gt;=U280,ROUND(MOD(SETTINGS!$B$4,1)*1440,0)&gt;=ROUND(SETTINGS!$B$7*1440,0),ROUND(MOD(SETTINGS!$B$4,1)*1440,0)&lt;ROUND(SETTINGS!$B$8*1440,0)),1,0)</f>
        <v>0</v>
      </c>
      <c r="Z280" s="28" t="str">
        <f ca="1">IF(B280="","",IF(ROUND(MOD(SETTINGS!$B$4,1)*1440,0)&lt;ROUND(SETTINGS!$B$11*1440,0),"Ram",IF(ROUND(MOD(SETTINGS!$B$4,1)*1440,0)&gt;=ROUND(SETTINGS!$B$10*1440,0),"Shyam",IF(MOD(IFERROR(VALUE(RIGHT(F280,2)),0),2)=0,"Ram","Shyam"))))</f>
        <v>Shyam</v>
      </c>
      <c r="AA280" s="28">
        <f t="shared" ca="1" si="47"/>
        <v>0</v>
      </c>
      <c r="AB280" s="28">
        <f ca="1">IF(X280=1,COUNTIFS($F$2:F280,F280,$X$2:X280,1),0)</f>
        <v>0</v>
      </c>
      <c r="AC280" s="28" t="str">
        <f>IF(L280=1,IF(IFERROR(INDEX(PARTNERS!$C$2:$C$88,MATCH(B280,PARTNERS!$A$2:$A$88,0)),"")="YES","YES","NO"),"")</f>
        <v>NO</v>
      </c>
      <c r="AD280" s="28" t="str">
        <f>IF(L280=1,IFERROR(INDEX(PARTNERS!$B$2:$B$88,MATCH(B280,PARTNERS!$A$2:$A$88,0)),""),"")</f>
        <v>https://calendly.com/partner035/interview</v>
      </c>
      <c r="AE280" s="28">
        <f ca="1">IF(X280=1,IFERROR(INDEX(SETTINGS!$B$34:$D$36,MATCH(I280,SETTINGS!$A$34:$A$36,0),MIN(Q280,2)+1),SETTINGS!$B$36),0)</f>
        <v>0</v>
      </c>
      <c r="AF280" s="28">
        <f t="shared" si="48"/>
        <v>1</v>
      </c>
      <c r="AG280" s="28">
        <f ca="1">IF(AND(Y280=1,AB280=1),ROUND(AA280*AE280*IF(AF280&gt;1,SETTINGS!$B$16,1)*IF(W280&lt;=SETTINGS!$B$14,SETTINGS!$B$15,1)*IF(AU280=1,SETTINGS!$B$21,1),6),0)</f>
        <v>0</v>
      </c>
      <c r="AH280" s="28" t="str">
        <f ca="1">IF(AG280&gt;0,COUNTIFS($Z$2:$Z$601,Z280,$AG$2:$AG$601,"&gt;"&amp;AG280)+COUNTIFS($Z$2:Z280,Z280,$AG$2:AG280,AG280),"")</f>
        <v/>
      </c>
      <c r="AI280" s="28" t="str">
        <f t="shared" ca="1" si="49"/>
        <v/>
      </c>
      <c r="AJ280" s="28" t="str">
        <f t="shared" ca="1" si="50"/>
        <v/>
      </c>
      <c r="AK280" s="28">
        <f>IF(L280=1,IF(COUNTIFS($F$2:F280,F280,$L$2:L280,1)=1,1,0),0)</f>
        <v>1</v>
      </c>
      <c r="AL280" s="28" t="str">
        <f>IF(B280="","",IF(K280="DUPLICATE","Duplicate (removed)",IF(AO280=1,"Scheduled within 24h",IF(M280=1,"Scheduled late",IF(K280="BAD CONTACT","Bad contact details",IF(O280=1,"Stopped / wrong number",IF(N280=1,"Not interested",IF(P280=1,"Partner has no slots",IF(SETTINGS!$B$4&gt;=V280,IF(Q280=0,"Missed deadline: never tried","Missed deadline: tried, not booked"),IF(Q280&gt;=SETTINGS!$B$6,"No reply after max tries","Open"))))))))))</f>
        <v>Bad contact details</v>
      </c>
      <c r="AM280" s="46" t="str">
        <f>IF(M280=1,IF(_xlfn.MINIFS(LOG!$G$2:$G$2001,LOG!$C$2:$C$2001,F280,LOG!$E$2:$E$2001,B280,LOG!$D$2:$D$2001,"*BOOKED")=0,_xlfn.MINIFS(LOG!$G$2:$G$2001,LOG!$C$2:$C$2001,F280,LOG!$E$2:$E$2001,"",LOG!$D$2:$D$2001,"*BOOKED"),IF(_xlfn.MINIFS(LOG!$G$2:$G$2001,LOG!$C$2:$C$2001,F280,LOG!$E$2:$E$2001,"",LOG!$D$2:$D$2001,"*BOOKED")=0,_xlfn.MINIFS(LOG!$G$2:$G$2001,LOG!$C$2:$C$2001,F280,LOG!$E$2:$E$2001,B280,LOG!$D$2:$D$2001,"*BOOKED"),MIN(_xlfn.MINIFS(LOG!$G$2:$G$2001,LOG!$C$2:$C$2001,F280,LOG!$E$2:$E$2001,B280,LOG!$D$2:$D$2001,"*BOOKED"),_xlfn.MINIFS(LOG!$G$2:$G$2001,LOG!$C$2:$C$2001,F280,LOG!$E$2:$E$2001,"",LOG!$D$2:$D$2001,"*BOOKED")))),"")</f>
        <v/>
      </c>
      <c r="AN280" s="28" t="str">
        <f t="shared" si="51"/>
        <v/>
      </c>
      <c r="AO280" s="28">
        <f>IF(AND(M280=1,AN280&lt;&gt;""),IF(AN280&lt;=SETTINGS!$B$5,1,0),0)</f>
        <v>0</v>
      </c>
      <c r="AP280" s="28">
        <f>IF(M280=1,IF(COUNTIFS(LOG!$C$2:$C$2001,F280,LOG!$E$2:$E$2001,B280,LOG!$D$2:$D$2001,"BOOKED")+COUNTIFS(LOG!$C$2:$C$2001,F280,LOG!$E$2:$E$2001,"",LOG!$D$2:$D$2001,"BOOKED")&gt;0,1,0),0)</f>
        <v>0</v>
      </c>
      <c r="AQ280" s="28" t="str">
        <f t="shared" si="52"/>
        <v>Yash</v>
      </c>
      <c r="AR280" s="28" t="str">
        <f>IF(AND(AK280=1,K280="OK"),COUNTIFS($AK$2:AK280,1,$K$2:K280,"OK"),"")</f>
        <v/>
      </c>
      <c r="AS280" s="28" t="str">
        <f>IF(L280=1,IFERROR(INDEX(MESSAGES!$J$9:$J$1008,MATCH(F280,MESSAGES!$M$9:$M$1008,0))&amp;"",""),"")</f>
        <v/>
      </c>
      <c r="AT280" s="28" t="str">
        <f>IF(L280=1,IFERROR(INDEX(MESSAGES!$K$9:$K$1008,MATCH(F280,MESSAGES!$M$9:$M$1008,0))&amp;"",""),"")</f>
        <v/>
      </c>
      <c r="AU280" s="28">
        <f t="shared" ca="1" si="53"/>
        <v>0</v>
      </c>
      <c r="AV280" s="28" t="str">
        <f t="shared" si="54"/>
        <v>SEND</v>
      </c>
    </row>
    <row r="281" spans="1:48" x14ac:dyDescent="0.35">
      <c r="A281" s="28">
        <v>280</v>
      </c>
      <c r="B281" s="28" t="str">
        <f>IF(INPUT!A281="","",TRIM(INPUT!A281))</f>
        <v>Partner 055</v>
      </c>
      <c r="C281" s="28" t="str">
        <f>IF(B281="","",INPUT!C281)</f>
        <v>interviewer0@partner055.example.com</v>
      </c>
      <c r="D281" s="28" t="str">
        <f>IF(B281="","",INPUT!D281)</f>
        <v>Ishaan P.</v>
      </c>
      <c r="E281" s="28" t="str">
        <f>IF(B281="","",INPUT!E281)</f>
        <v>ishaan.p404@example.com</v>
      </c>
      <c r="F281" s="43" t="str">
        <f>IF(B281="","",TRIM(INPUT!F281&amp;""))</f>
        <v>9000005259</v>
      </c>
      <c r="G281" s="28" t="str">
        <f>IF(B281="","",INPUT!H281)</f>
        <v>Round1</v>
      </c>
      <c r="H281" s="46">
        <f>IF(B281="","",INPUT!I281)</f>
        <v>46308.82708333333</v>
      </c>
      <c r="I281" s="28" t="str">
        <f>IF(B281="","",IF(INPUT!J281="","None",INPUT!J281))</f>
        <v>None</v>
      </c>
      <c r="J281" s="28" t="str">
        <f t="shared" si="44"/>
        <v>ishaan.p404@example.com|partner 055|Round1|interviewer0@partner055.example.com</v>
      </c>
      <c r="K281" s="28" t="str">
        <f>IF(B281="","",IF(SUMPRODUCT(($J$2:$J$601=J281)*($H$2:$H$601&lt;H281))+SUMPRODUCT(($J$2:J281=J281)*($H$2:H281=H281))-1&gt;0,"DUPLICATE",IF(AND(ISNUMBER(SEARCH("@",E281)),ISNUMBER(SEARCH(".",E281)),LEN(F281)=10,ISNUMBER(VALUE(F281))),"OK","BAD CONTACT")))</f>
        <v>OK</v>
      </c>
      <c r="L281" s="28">
        <f t="shared" si="45"/>
        <v>1</v>
      </c>
      <c r="M281" s="28">
        <f>IF(L281=1,IF(COUNTIFS(LOG!$C$2:$C$2001,F281,LOG!$E$2:$E$2001,B281,LOG!$D$2:$D$2001,"*BOOKED")+COUNTIFS(LOG!$C$2:$C$2001,F281,LOG!$E$2:$E$2001,"",LOG!$D$2:$D$2001,"*BOOKED")&gt;0,1,0),0)</f>
        <v>0</v>
      </c>
      <c r="N281" s="28">
        <f>IF(L281=1,IF(COUNTIFS(LOG!$C$2:$C$2001,F281,LOG!$E$2:$E$2001,B281,LOG!$D$2:$D$2001,"NOT_INTERESTED")+COUNTIFS(LOG!$C$2:$C$2001,F281,LOG!$E$2:$E$2001,"",LOG!$D$2:$D$2001,"NOT_INTERESTED")&gt;0,1,0),0)</f>
        <v>0</v>
      </c>
      <c r="O281" s="28">
        <f>IF(L281=1,IF(COUNTIFS(LOG!$C$2:$C$2001,F281,LOG!$D$2:$D$2001,"STOP")+COUNTIFS(LOG!$C$2:$C$2001,F281,LOG!$D$2:$D$2001,"WRONG_NUMBER")&gt;0,1,IF(ISNUMBER(SEARCH("STOP",AT281)),1,0)),0)</f>
        <v>0</v>
      </c>
      <c r="P281" s="28">
        <f>IF(L281=1,IF(IFERROR(INDEX(PARTNERS!$D$2:$D$88,MATCH(B281,PARTNERS!$A$2:$A$88,0)),"")="NO SLOTS",1,IF(AND(IFERROR(INDEX(PARTNERS!$D$2:$D$88,MATCH(B281,PARTNERS!$A$2:$A$88,0)),"")&lt;&gt;"REOPENED",COUNTIFS(LOG!$E$2:$E$2001,B281,LOG!$D$2:$D$2001,"NO_SLOTS")&gt;0),1,0)),0)</f>
        <v>0</v>
      </c>
      <c r="Q281" s="28">
        <f>IF(L281=1,COUNTIFS(LOG!$C$2:$C$2001,F281,LOG!$H$2:$H$2001,1),0)</f>
        <v>0</v>
      </c>
      <c r="R281" s="46">
        <f>IF(Q281&gt;0,_xlfn.MAXIFS(LOG!$G$2:$G$2001,LOG!$C$2:$C$2001,F281,LOG!$H$2:$H$2001,1),0)</f>
        <v>0</v>
      </c>
      <c r="S281" s="28" t="str">
        <f>IF(Q281&gt;0,IFERROR(INDEX(LOG!$D$2:$D$2001,MATCH(F281&amp;"|"&amp;Q281,LOG!$I$2:$I$2001,0)),""),"")</f>
        <v/>
      </c>
      <c r="T281" s="28">
        <f>IF(S281="",0,IFERROR(VLOOKUP(S281,LISTS!$A$2:$E$10,4,FALSE),0))</f>
        <v>0</v>
      </c>
      <c r="U281" s="46">
        <f t="shared" si="46"/>
        <v>0</v>
      </c>
      <c r="V281" s="46">
        <f>IF(L281=1,H281+SETTINGS!$B$5/24,"")</f>
        <v>46309.82708333333</v>
      </c>
      <c r="W281" s="28">
        <f ca="1">IF(L281=1,(V281-SETTINGS!$B$4)*24,"")</f>
        <v>-1.6666666720993817E-2</v>
      </c>
      <c r="X281" s="28">
        <f ca="1">IF(AND(L281=1,K281="OK",M281=0,N281=0,O281=0,P281=0,SETTINGS!$B$4&lt;V281,Q281&lt;SETTINGS!$B$6),1,0)</f>
        <v>0</v>
      </c>
      <c r="Y281" s="28">
        <f ca="1">IF(AND(X281=1,SETTINGS!$B$4&gt;=H281,SETTINGS!$B$4&gt;=U281,ROUND(MOD(SETTINGS!$B$4,1)*1440,0)&gt;=ROUND(SETTINGS!$B$7*1440,0),ROUND(MOD(SETTINGS!$B$4,1)*1440,0)&lt;ROUND(SETTINGS!$B$8*1440,0)),1,0)</f>
        <v>0</v>
      </c>
      <c r="Z281" s="28" t="str">
        <f ca="1">IF(B281="","",IF(ROUND(MOD(SETTINGS!$B$4,1)*1440,0)&lt;ROUND(SETTINGS!$B$11*1440,0),"Ram",IF(ROUND(MOD(SETTINGS!$B$4,1)*1440,0)&gt;=ROUND(SETTINGS!$B$10*1440,0),"Shyam",IF(MOD(IFERROR(VALUE(RIGHT(F281,2)),0),2)=0,"Ram","Shyam"))))</f>
        <v>Shyam</v>
      </c>
      <c r="AA281" s="28">
        <f t="shared" ca="1" si="47"/>
        <v>0</v>
      </c>
      <c r="AB281" s="28">
        <f ca="1">IF(X281=1,COUNTIFS($F$2:F281,F281,$X$2:X281,1),0)</f>
        <v>0</v>
      </c>
      <c r="AC281" s="28" t="str">
        <f>IF(L281=1,IF(IFERROR(INDEX(PARTNERS!$C$2:$C$88,MATCH(B281,PARTNERS!$A$2:$A$88,0)),"")="YES","YES","NO"),"")</f>
        <v>YES</v>
      </c>
      <c r="AD281" s="28" t="str">
        <f>IF(L281=1,IFERROR(INDEX(PARTNERS!$B$2:$B$88,MATCH(B281,PARTNERS!$A$2:$A$88,0)),""),"")</f>
        <v>https://calendly.com/partner055/interview</v>
      </c>
      <c r="AE281" s="28">
        <f ca="1">IF(X281=1,IFERROR(INDEX(SETTINGS!$B$34:$D$36,MATCH(I281,SETTINGS!$A$34:$A$36,0),MIN(Q281,2)+1),SETTINGS!$B$36),0)</f>
        <v>0</v>
      </c>
      <c r="AF281" s="28">
        <f t="shared" si="48"/>
        <v>1</v>
      </c>
      <c r="AG281" s="28">
        <f ca="1">IF(AND(Y281=1,AB281=1),ROUND(AA281*AE281*IF(AF281&gt;1,SETTINGS!$B$16,1)*IF(W281&lt;=SETTINGS!$B$14,SETTINGS!$B$15,1)*IF(AU281=1,SETTINGS!$B$21,1),6),0)</f>
        <v>0</v>
      </c>
      <c r="AH281" s="28" t="str">
        <f ca="1">IF(AG281&gt;0,COUNTIFS($Z$2:$Z$601,Z281,$AG$2:$AG$601,"&gt;"&amp;AG281)+COUNTIFS($Z$2:Z281,Z281,$AG$2:AG281,AG281),"")</f>
        <v/>
      </c>
      <c r="AI281" s="28" t="str">
        <f t="shared" ca="1" si="49"/>
        <v/>
      </c>
      <c r="AJ281" s="28" t="str">
        <f t="shared" ca="1" si="50"/>
        <v/>
      </c>
      <c r="AK281" s="28">
        <f>IF(L281=1,IF(COUNTIFS($F$2:F281,F281,$L$2:L281,1)=1,1,0),0)</f>
        <v>1</v>
      </c>
      <c r="AL281" s="28" t="str">
        <f ca="1">IF(B281="","",IF(K281="DUPLICATE","Duplicate (removed)",IF(AO281=1,"Scheduled within 24h",IF(M281=1,"Scheduled late",IF(K281="BAD CONTACT","Bad contact details",IF(O281=1,"Stopped / wrong number",IF(N281=1,"Not interested",IF(P281=1,"Partner has no slots",IF(SETTINGS!$B$4&gt;=V281,IF(Q281=0,"Missed deadline: never tried","Missed deadline: tried, not booked"),IF(Q281&gt;=SETTINGS!$B$6,"No reply after max tries","Open"))))))))))</f>
        <v>Missed deadline: never tried</v>
      </c>
      <c r="AM281" s="46" t="str">
        <f>IF(M281=1,IF(_xlfn.MINIFS(LOG!$G$2:$G$2001,LOG!$C$2:$C$2001,F281,LOG!$E$2:$E$2001,B281,LOG!$D$2:$D$2001,"*BOOKED")=0,_xlfn.MINIFS(LOG!$G$2:$G$2001,LOG!$C$2:$C$2001,F281,LOG!$E$2:$E$2001,"",LOG!$D$2:$D$2001,"*BOOKED"),IF(_xlfn.MINIFS(LOG!$G$2:$G$2001,LOG!$C$2:$C$2001,F281,LOG!$E$2:$E$2001,"",LOG!$D$2:$D$2001,"*BOOKED")=0,_xlfn.MINIFS(LOG!$G$2:$G$2001,LOG!$C$2:$C$2001,F281,LOG!$E$2:$E$2001,B281,LOG!$D$2:$D$2001,"*BOOKED"),MIN(_xlfn.MINIFS(LOG!$G$2:$G$2001,LOG!$C$2:$C$2001,F281,LOG!$E$2:$E$2001,B281,LOG!$D$2:$D$2001,"*BOOKED"),_xlfn.MINIFS(LOG!$G$2:$G$2001,LOG!$C$2:$C$2001,F281,LOG!$E$2:$E$2001,"",LOG!$D$2:$D$2001,"*BOOKED")))),"")</f>
        <v/>
      </c>
      <c r="AN281" s="28" t="str">
        <f t="shared" si="51"/>
        <v/>
      </c>
      <c r="AO281" s="28">
        <f>IF(AND(M281=1,AN281&lt;&gt;""),IF(AN281&lt;=SETTINGS!$B$5,1,0),0)</f>
        <v>0</v>
      </c>
      <c r="AP281" s="28">
        <f>IF(M281=1,IF(COUNTIFS(LOG!$C$2:$C$2001,F281,LOG!$E$2:$E$2001,B281,LOG!$D$2:$D$2001,"BOOKED")+COUNTIFS(LOG!$C$2:$C$2001,F281,LOG!$E$2:$E$2001,"",LOG!$D$2:$D$2001,"BOOKED")&gt;0,1,0),0)</f>
        <v>0</v>
      </c>
      <c r="AQ281" s="28" t="str">
        <f t="shared" si="52"/>
        <v>Ishaan</v>
      </c>
      <c r="AR281" s="28">
        <f>IF(AND(AK281=1,K281="OK"),COUNTIFS($AK$2:AK281,1,$K$2:K281,"OK"),"")</f>
        <v>244</v>
      </c>
      <c r="AS281" s="28" t="str">
        <f>IF(L281=1,IFERROR(INDEX(MESSAGES!$J$9:$J$1008,MATCH(F281,MESSAGES!$M$9:$M$1008,0))&amp;"",""),"")</f>
        <v/>
      </c>
      <c r="AT281" s="28" t="str">
        <f>IF(L281=1,IFERROR(INDEX(MESSAGES!$K$9:$K$1008,MATCH(F281,MESSAGES!$M$9:$M$1008,0))&amp;"",""),"")</f>
        <v/>
      </c>
      <c r="AU281" s="28">
        <f t="shared" ca="1" si="53"/>
        <v>0</v>
      </c>
      <c r="AV281" s="28" t="str">
        <f t="shared" si="54"/>
        <v>HOLD</v>
      </c>
    </row>
    <row r="282" spans="1:48" x14ac:dyDescent="0.35">
      <c r="A282" s="28">
        <v>281</v>
      </c>
      <c r="B282" s="28" t="str">
        <f>IF(INPUT!A282="","",TRIM(INPUT!A282))</f>
        <v>Partner 021</v>
      </c>
      <c r="C282" s="28" t="str">
        <f>IF(B282="","",INPUT!C282)</f>
        <v>interviewer1@partner021.example.com</v>
      </c>
      <c r="D282" s="28" t="str">
        <f>IF(B282="","",INPUT!D282)</f>
        <v>Navya J.</v>
      </c>
      <c r="E282" s="28" t="str">
        <f>IF(B282="","",INPUT!E282)</f>
        <v>navya.j253@example.com</v>
      </c>
      <c r="F282" s="43" t="str">
        <f>IF(B282="","",TRIM(INPUT!F282&amp;""))</f>
        <v>9000003296</v>
      </c>
      <c r="G282" s="28" t="str">
        <f>IF(B282="","",INPUT!H282)</f>
        <v>Round1</v>
      </c>
      <c r="H282" s="46">
        <f>IF(B282="","",INPUT!I282)</f>
        <v>46308.82708333333</v>
      </c>
      <c r="I282" s="28" t="str">
        <f>IF(B282="","",IF(INPUT!J282="","None",INPUT!J282))</f>
        <v>None</v>
      </c>
      <c r="J282" s="28" t="str">
        <f t="shared" si="44"/>
        <v>navya.j253@example.com|partner 021|Round1|interviewer1@partner021.example.com</v>
      </c>
      <c r="K282" s="28" t="str">
        <f>IF(B282="","",IF(SUMPRODUCT(($J$2:$J$601=J282)*($H$2:$H$601&lt;H282))+SUMPRODUCT(($J$2:J282=J282)*($H$2:H282=H282))-1&gt;0,"DUPLICATE",IF(AND(ISNUMBER(SEARCH("@",E282)),ISNUMBER(SEARCH(".",E282)),LEN(F282)=10,ISNUMBER(VALUE(F282))),"OK","BAD CONTACT")))</f>
        <v>OK</v>
      </c>
      <c r="L282" s="28">
        <f t="shared" si="45"/>
        <v>1</v>
      </c>
      <c r="M282" s="28">
        <f>IF(L282=1,IF(COUNTIFS(LOG!$C$2:$C$2001,F282,LOG!$E$2:$E$2001,B282,LOG!$D$2:$D$2001,"*BOOKED")+COUNTIFS(LOG!$C$2:$C$2001,F282,LOG!$E$2:$E$2001,"",LOG!$D$2:$D$2001,"*BOOKED")&gt;0,1,0),0)</f>
        <v>0</v>
      </c>
      <c r="N282" s="28">
        <f>IF(L282=1,IF(COUNTIFS(LOG!$C$2:$C$2001,F282,LOG!$E$2:$E$2001,B282,LOG!$D$2:$D$2001,"NOT_INTERESTED")+COUNTIFS(LOG!$C$2:$C$2001,F282,LOG!$E$2:$E$2001,"",LOG!$D$2:$D$2001,"NOT_INTERESTED")&gt;0,1,0),0)</f>
        <v>0</v>
      </c>
      <c r="O282" s="28">
        <f>IF(L282=1,IF(COUNTIFS(LOG!$C$2:$C$2001,F282,LOG!$D$2:$D$2001,"STOP")+COUNTIFS(LOG!$C$2:$C$2001,F282,LOG!$D$2:$D$2001,"WRONG_NUMBER")&gt;0,1,IF(ISNUMBER(SEARCH("STOP",AT282)),1,0)),0)</f>
        <v>0</v>
      </c>
      <c r="P282" s="28">
        <f>IF(L282=1,IF(IFERROR(INDEX(PARTNERS!$D$2:$D$88,MATCH(B282,PARTNERS!$A$2:$A$88,0)),"")="NO SLOTS",1,IF(AND(IFERROR(INDEX(PARTNERS!$D$2:$D$88,MATCH(B282,PARTNERS!$A$2:$A$88,0)),"")&lt;&gt;"REOPENED",COUNTIFS(LOG!$E$2:$E$2001,B282,LOG!$D$2:$D$2001,"NO_SLOTS")&gt;0),1,0)),0)</f>
        <v>0</v>
      </c>
      <c r="Q282" s="28">
        <f>IF(L282=1,COUNTIFS(LOG!$C$2:$C$2001,F282,LOG!$H$2:$H$2001,1),0)</f>
        <v>0</v>
      </c>
      <c r="R282" s="46">
        <f>IF(Q282&gt;0,_xlfn.MAXIFS(LOG!$G$2:$G$2001,LOG!$C$2:$C$2001,F282,LOG!$H$2:$H$2001,1),0)</f>
        <v>0</v>
      </c>
      <c r="S282" s="28" t="str">
        <f>IF(Q282&gt;0,IFERROR(INDEX(LOG!$D$2:$D$2001,MATCH(F282&amp;"|"&amp;Q282,LOG!$I$2:$I$2001,0)),""),"")</f>
        <v/>
      </c>
      <c r="T282" s="28">
        <f>IF(S282="",0,IFERROR(VLOOKUP(S282,LISTS!$A$2:$E$10,4,FALSE),0))</f>
        <v>0</v>
      </c>
      <c r="U282" s="46">
        <f t="shared" si="46"/>
        <v>0</v>
      </c>
      <c r="V282" s="46">
        <f>IF(L282=1,H282+SETTINGS!$B$5/24,"")</f>
        <v>46309.82708333333</v>
      </c>
      <c r="W282" s="28">
        <f ca="1">IF(L282=1,(V282-SETTINGS!$B$4)*24,"")</f>
        <v>-1.6666666720993817E-2</v>
      </c>
      <c r="X282" s="28">
        <f ca="1">IF(AND(L282=1,K282="OK",M282=0,N282=0,O282=0,P282=0,SETTINGS!$B$4&lt;V282,Q282&lt;SETTINGS!$B$6),1,0)</f>
        <v>0</v>
      </c>
      <c r="Y282" s="28">
        <f ca="1">IF(AND(X282=1,SETTINGS!$B$4&gt;=H282,SETTINGS!$B$4&gt;=U282,ROUND(MOD(SETTINGS!$B$4,1)*1440,0)&gt;=ROUND(SETTINGS!$B$7*1440,0),ROUND(MOD(SETTINGS!$B$4,1)*1440,0)&lt;ROUND(SETTINGS!$B$8*1440,0)),1,0)</f>
        <v>0</v>
      </c>
      <c r="Z282" s="28" t="str">
        <f ca="1">IF(B282="","",IF(ROUND(MOD(SETTINGS!$B$4,1)*1440,0)&lt;ROUND(SETTINGS!$B$11*1440,0),"Ram",IF(ROUND(MOD(SETTINGS!$B$4,1)*1440,0)&gt;=ROUND(SETTINGS!$B$10*1440,0),"Shyam",IF(MOD(IFERROR(VALUE(RIGHT(F282,2)),0),2)=0,"Ram","Shyam"))))</f>
        <v>Shyam</v>
      </c>
      <c r="AA282" s="28">
        <f t="shared" ca="1" si="47"/>
        <v>0</v>
      </c>
      <c r="AB282" s="28">
        <f ca="1">IF(X282=1,COUNTIFS($F$2:F282,F282,$X$2:X282,1),0)</f>
        <v>0</v>
      </c>
      <c r="AC282" s="28" t="str">
        <f>IF(L282=1,IF(IFERROR(INDEX(PARTNERS!$C$2:$C$88,MATCH(B282,PARTNERS!$A$2:$A$88,0)),"")="YES","YES","NO"),"")</f>
        <v>NO</v>
      </c>
      <c r="AD282" s="28" t="str">
        <f>IF(L282=1,IFERROR(INDEX(PARTNERS!$B$2:$B$88,MATCH(B282,PARTNERS!$A$2:$A$88,0)),""),"")</f>
        <v>https://calendly.com/partner021/interview</v>
      </c>
      <c r="AE282" s="28">
        <f ca="1">IF(X282=1,IFERROR(INDEX(SETTINGS!$B$34:$D$36,MATCH(I282,SETTINGS!$A$34:$A$36,0),MIN(Q282,2)+1),SETTINGS!$B$36),0)</f>
        <v>0</v>
      </c>
      <c r="AF282" s="28">
        <f t="shared" si="48"/>
        <v>1</v>
      </c>
      <c r="AG282" s="28">
        <f ca="1">IF(AND(Y282=1,AB282=1),ROUND(AA282*AE282*IF(AF282&gt;1,SETTINGS!$B$16,1)*IF(W282&lt;=SETTINGS!$B$14,SETTINGS!$B$15,1)*IF(AU282=1,SETTINGS!$B$21,1),6),0)</f>
        <v>0</v>
      </c>
      <c r="AH282" s="28" t="str">
        <f ca="1">IF(AG282&gt;0,COUNTIFS($Z$2:$Z$601,Z282,$AG$2:$AG$601,"&gt;"&amp;AG282)+COUNTIFS($Z$2:Z282,Z282,$AG$2:AG282,AG282),"")</f>
        <v/>
      </c>
      <c r="AI282" s="28" t="str">
        <f t="shared" ca="1" si="49"/>
        <v/>
      </c>
      <c r="AJ282" s="28" t="str">
        <f t="shared" ca="1" si="50"/>
        <v/>
      </c>
      <c r="AK282" s="28">
        <f>IF(L282=1,IF(COUNTIFS($F$2:F282,F282,$L$2:L282,1)=1,1,0),0)</f>
        <v>1</v>
      </c>
      <c r="AL282" s="28" t="str">
        <f ca="1">IF(B282="","",IF(K282="DUPLICATE","Duplicate (removed)",IF(AO282=1,"Scheduled within 24h",IF(M282=1,"Scheduled late",IF(K282="BAD CONTACT","Bad contact details",IF(O282=1,"Stopped / wrong number",IF(N282=1,"Not interested",IF(P282=1,"Partner has no slots",IF(SETTINGS!$B$4&gt;=V282,IF(Q282=0,"Missed deadline: never tried","Missed deadline: tried, not booked"),IF(Q282&gt;=SETTINGS!$B$6,"No reply after max tries","Open"))))))))))</f>
        <v>Missed deadline: never tried</v>
      </c>
      <c r="AM282" s="46" t="str">
        <f>IF(M282=1,IF(_xlfn.MINIFS(LOG!$G$2:$G$2001,LOG!$C$2:$C$2001,F282,LOG!$E$2:$E$2001,B282,LOG!$D$2:$D$2001,"*BOOKED")=0,_xlfn.MINIFS(LOG!$G$2:$G$2001,LOG!$C$2:$C$2001,F282,LOG!$E$2:$E$2001,"",LOG!$D$2:$D$2001,"*BOOKED"),IF(_xlfn.MINIFS(LOG!$G$2:$G$2001,LOG!$C$2:$C$2001,F282,LOG!$E$2:$E$2001,"",LOG!$D$2:$D$2001,"*BOOKED")=0,_xlfn.MINIFS(LOG!$G$2:$G$2001,LOG!$C$2:$C$2001,F282,LOG!$E$2:$E$2001,B282,LOG!$D$2:$D$2001,"*BOOKED"),MIN(_xlfn.MINIFS(LOG!$G$2:$G$2001,LOG!$C$2:$C$2001,F282,LOG!$E$2:$E$2001,B282,LOG!$D$2:$D$2001,"*BOOKED"),_xlfn.MINIFS(LOG!$G$2:$G$2001,LOG!$C$2:$C$2001,F282,LOG!$E$2:$E$2001,"",LOG!$D$2:$D$2001,"*BOOKED")))),"")</f>
        <v/>
      </c>
      <c r="AN282" s="28" t="str">
        <f t="shared" si="51"/>
        <v/>
      </c>
      <c r="AO282" s="28">
        <f>IF(AND(M282=1,AN282&lt;&gt;""),IF(AN282&lt;=SETTINGS!$B$5,1,0),0)</f>
        <v>0</v>
      </c>
      <c r="AP282" s="28">
        <f>IF(M282=1,IF(COUNTIFS(LOG!$C$2:$C$2001,F282,LOG!$E$2:$E$2001,B282,LOG!$D$2:$D$2001,"BOOKED")+COUNTIFS(LOG!$C$2:$C$2001,F282,LOG!$E$2:$E$2001,"",LOG!$D$2:$D$2001,"BOOKED")&gt;0,1,0),0)</f>
        <v>0</v>
      </c>
      <c r="AQ282" s="28" t="str">
        <f t="shared" si="52"/>
        <v>Navya</v>
      </c>
      <c r="AR282" s="28">
        <f>IF(AND(AK282=1,K282="OK"),COUNTIFS($AK$2:AK282,1,$K$2:K282,"OK"),"")</f>
        <v>245</v>
      </c>
      <c r="AS282" s="28" t="str">
        <f>IF(L282=1,IFERROR(INDEX(MESSAGES!$J$9:$J$1008,MATCH(F282,MESSAGES!$M$9:$M$1008,0))&amp;"",""),"")</f>
        <v/>
      </c>
      <c r="AT282" s="28" t="str">
        <f>IF(L282=1,IFERROR(INDEX(MESSAGES!$K$9:$K$1008,MATCH(F282,MESSAGES!$M$9:$M$1008,0))&amp;"",""),"")</f>
        <v/>
      </c>
      <c r="AU282" s="28">
        <f t="shared" ca="1" si="53"/>
        <v>0</v>
      </c>
      <c r="AV282" s="28" t="str">
        <f t="shared" si="54"/>
        <v>HOLD</v>
      </c>
    </row>
    <row r="283" spans="1:48" x14ac:dyDescent="0.35">
      <c r="A283" s="28">
        <v>282</v>
      </c>
      <c r="B283" s="28" t="str">
        <f>IF(INPUT!A283="","",TRIM(INPUT!A283))</f>
        <v>Partner 036</v>
      </c>
      <c r="C283" s="28" t="str">
        <f>IF(B283="","",INPUT!C283)</f>
        <v>interviewer2@partner036.example.com</v>
      </c>
      <c r="D283" s="28" t="str">
        <f>IF(B283="","",INPUT!D283)</f>
        <v>Arjun D.</v>
      </c>
      <c r="E283" s="28" t="str">
        <f>IF(B283="","",INPUT!E283)</f>
        <v>arjun.d098@example.com</v>
      </c>
      <c r="F283" s="43" t="str">
        <f>IF(B283="","",TRIM(INPUT!F283&amp;""))</f>
        <v>9000001281</v>
      </c>
      <c r="G283" s="28" t="str">
        <f>IF(B283="","",INPUT!H283)</f>
        <v>Round1</v>
      </c>
      <c r="H283" s="46">
        <f>IF(B283="","",INPUT!I283)</f>
        <v>46308.82708333333</v>
      </c>
      <c r="I283" s="28" t="str">
        <f>IF(B283="","",IF(INPUT!J283="","None",INPUT!J283))</f>
        <v>None</v>
      </c>
      <c r="J283" s="28" t="str">
        <f t="shared" si="44"/>
        <v>arjun.d098@example.com|partner 036|Round1|interviewer2@partner036.example.com</v>
      </c>
      <c r="K283" s="28" t="str">
        <f>IF(B283="","",IF(SUMPRODUCT(($J$2:$J$601=J283)*($H$2:$H$601&lt;H283))+SUMPRODUCT(($J$2:J283=J283)*($H$2:H283=H283))-1&gt;0,"DUPLICATE",IF(AND(ISNUMBER(SEARCH("@",E283)),ISNUMBER(SEARCH(".",E283)),LEN(F283)=10,ISNUMBER(VALUE(F283))),"OK","BAD CONTACT")))</f>
        <v>OK</v>
      </c>
      <c r="L283" s="28">
        <f t="shared" si="45"/>
        <v>1</v>
      </c>
      <c r="M283" s="28">
        <f>IF(L283=1,IF(COUNTIFS(LOG!$C$2:$C$2001,F283,LOG!$E$2:$E$2001,B283,LOG!$D$2:$D$2001,"*BOOKED")+COUNTIFS(LOG!$C$2:$C$2001,F283,LOG!$E$2:$E$2001,"",LOG!$D$2:$D$2001,"*BOOKED")&gt;0,1,0),0)</f>
        <v>0</v>
      </c>
      <c r="N283" s="28">
        <f>IF(L283=1,IF(COUNTIFS(LOG!$C$2:$C$2001,F283,LOG!$E$2:$E$2001,B283,LOG!$D$2:$D$2001,"NOT_INTERESTED")+COUNTIFS(LOG!$C$2:$C$2001,F283,LOG!$E$2:$E$2001,"",LOG!$D$2:$D$2001,"NOT_INTERESTED")&gt;0,1,0),0)</f>
        <v>0</v>
      </c>
      <c r="O283" s="28">
        <f>IF(L283=1,IF(COUNTIFS(LOG!$C$2:$C$2001,F283,LOG!$D$2:$D$2001,"STOP")+COUNTIFS(LOG!$C$2:$C$2001,F283,LOG!$D$2:$D$2001,"WRONG_NUMBER")&gt;0,1,IF(ISNUMBER(SEARCH("STOP",AT283)),1,0)),0)</f>
        <v>0</v>
      </c>
      <c r="P283" s="28">
        <f>IF(L283=1,IF(IFERROR(INDEX(PARTNERS!$D$2:$D$88,MATCH(B283,PARTNERS!$A$2:$A$88,0)),"")="NO SLOTS",1,IF(AND(IFERROR(INDEX(PARTNERS!$D$2:$D$88,MATCH(B283,PARTNERS!$A$2:$A$88,0)),"")&lt;&gt;"REOPENED",COUNTIFS(LOG!$E$2:$E$2001,B283,LOG!$D$2:$D$2001,"NO_SLOTS")&gt;0),1,0)),0)</f>
        <v>0</v>
      </c>
      <c r="Q283" s="28">
        <f>IF(L283=1,COUNTIFS(LOG!$C$2:$C$2001,F283,LOG!$H$2:$H$2001,1),0)</f>
        <v>0</v>
      </c>
      <c r="R283" s="46">
        <f>IF(Q283&gt;0,_xlfn.MAXIFS(LOG!$G$2:$G$2001,LOG!$C$2:$C$2001,F283,LOG!$H$2:$H$2001,1),0)</f>
        <v>0</v>
      </c>
      <c r="S283" s="28" t="str">
        <f>IF(Q283&gt;0,IFERROR(INDEX(LOG!$D$2:$D$2001,MATCH(F283&amp;"|"&amp;Q283,LOG!$I$2:$I$2001,0)),""),"")</f>
        <v/>
      </c>
      <c r="T283" s="28">
        <f>IF(S283="",0,IFERROR(VLOOKUP(S283,LISTS!$A$2:$E$10,4,FALSE),0))</f>
        <v>0</v>
      </c>
      <c r="U283" s="46">
        <f t="shared" si="46"/>
        <v>0</v>
      </c>
      <c r="V283" s="46">
        <f>IF(L283=1,H283+SETTINGS!$B$5/24,"")</f>
        <v>46309.82708333333</v>
      </c>
      <c r="W283" s="28">
        <f ca="1">IF(L283=1,(V283-SETTINGS!$B$4)*24,"")</f>
        <v>-1.6666666720993817E-2</v>
      </c>
      <c r="X283" s="28">
        <f ca="1">IF(AND(L283=1,K283="OK",M283=0,N283=0,O283=0,P283=0,SETTINGS!$B$4&lt;V283,Q283&lt;SETTINGS!$B$6),1,0)</f>
        <v>0</v>
      </c>
      <c r="Y283" s="28">
        <f ca="1">IF(AND(X283=1,SETTINGS!$B$4&gt;=H283,SETTINGS!$B$4&gt;=U283,ROUND(MOD(SETTINGS!$B$4,1)*1440,0)&gt;=ROUND(SETTINGS!$B$7*1440,0),ROUND(MOD(SETTINGS!$B$4,1)*1440,0)&lt;ROUND(SETTINGS!$B$8*1440,0)),1,0)</f>
        <v>0</v>
      </c>
      <c r="Z283" s="28" t="str">
        <f ca="1">IF(B283="","",IF(ROUND(MOD(SETTINGS!$B$4,1)*1440,0)&lt;ROUND(SETTINGS!$B$11*1440,0),"Ram",IF(ROUND(MOD(SETTINGS!$B$4,1)*1440,0)&gt;=ROUND(SETTINGS!$B$10*1440,0),"Shyam",IF(MOD(IFERROR(VALUE(RIGHT(F283,2)),0),2)=0,"Ram","Shyam"))))</f>
        <v>Shyam</v>
      </c>
      <c r="AA283" s="28">
        <f t="shared" ca="1" si="47"/>
        <v>0</v>
      </c>
      <c r="AB283" s="28">
        <f ca="1">IF(X283=1,COUNTIFS($F$2:F283,F283,$X$2:X283,1),0)</f>
        <v>0</v>
      </c>
      <c r="AC283" s="28" t="str">
        <f>IF(L283=1,IF(IFERROR(INDEX(PARTNERS!$C$2:$C$88,MATCH(B283,PARTNERS!$A$2:$A$88,0)),"")="YES","YES","NO"),"")</f>
        <v>YES</v>
      </c>
      <c r="AD283" s="28" t="str">
        <f>IF(L283=1,IFERROR(INDEX(PARTNERS!$B$2:$B$88,MATCH(B283,PARTNERS!$A$2:$A$88,0)),""),"")</f>
        <v>https://calendly.com/partner036/interview</v>
      </c>
      <c r="AE283" s="28">
        <f ca="1">IF(X283=1,IFERROR(INDEX(SETTINGS!$B$34:$D$36,MATCH(I283,SETTINGS!$A$34:$A$36,0),MIN(Q283,2)+1),SETTINGS!$B$36),0)</f>
        <v>0</v>
      </c>
      <c r="AF283" s="28">
        <f t="shared" si="48"/>
        <v>1</v>
      </c>
      <c r="AG283" s="28">
        <f ca="1">IF(AND(Y283=1,AB283=1),ROUND(AA283*AE283*IF(AF283&gt;1,SETTINGS!$B$16,1)*IF(W283&lt;=SETTINGS!$B$14,SETTINGS!$B$15,1)*IF(AU283=1,SETTINGS!$B$21,1),6),0)</f>
        <v>0</v>
      </c>
      <c r="AH283" s="28" t="str">
        <f ca="1">IF(AG283&gt;0,COUNTIFS($Z$2:$Z$601,Z283,$AG$2:$AG$601,"&gt;"&amp;AG283)+COUNTIFS($Z$2:Z283,Z283,$AG$2:AG283,AG283),"")</f>
        <v/>
      </c>
      <c r="AI283" s="28" t="str">
        <f t="shared" ca="1" si="49"/>
        <v/>
      </c>
      <c r="AJ283" s="28" t="str">
        <f t="shared" ca="1" si="50"/>
        <v/>
      </c>
      <c r="AK283" s="28">
        <f>IF(L283=1,IF(COUNTIFS($F$2:F283,F283,$L$2:L283,1)=1,1,0),0)</f>
        <v>1</v>
      </c>
      <c r="AL283" s="28" t="str">
        <f ca="1">IF(B283="","",IF(K283="DUPLICATE","Duplicate (removed)",IF(AO283=1,"Scheduled within 24h",IF(M283=1,"Scheduled late",IF(K283="BAD CONTACT","Bad contact details",IF(O283=1,"Stopped / wrong number",IF(N283=1,"Not interested",IF(P283=1,"Partner has no slots",IF(SETTINGS!$B$4&gt;=V283,IF(Q283=0,"Missed deadline: never tried","Missed deadline: tried, not booked"),IF(Q283&gt;=SETTINGS!$B$6,"No reply after max tries","Open"))))))))))</f>
        <v>Missed deadline: never tried</v>
      </c>
      <c r="AM283" s="46" t="str">
        <f>IF(M283=1,IF(_xlfn.MINIFS(LOG!$G$2:$G$2001,LOG!$C$2:$C$2001,F283,LOG!$E$2:$E$2001,B283,LOG!$D$2:$D$2001,"*BOOKED")=0,_xlfn.MINIFS(LOG!$G$2:$G$2001,LOG!$C$2:$C$2001,F283,LOG!$E$2:$E$2001,"",LOG!$D$2:$D$2001,"*BOOKED"),IF(_xlfn.MINIFS(LOG!$G$2:$G$2001,LOG!$C$2:$C$2001,F283,LOG!$E$2:$E$2001,"",LOG!$D$2:$D$2001,"*BOOKED")=0,_xlfn.MINIFS(LOG!$G$2:$G$2001,LOG!$C$2:$C$2001,F283,LOG!$E$2:$E$2001,B283,LOG!$D$2:$D$2001,"*BOOKED"),MIN(_xlfn.MINIFS(LOG!$G$2:$G$2001,LOG!$C$2:$C$2001,F283,LOG!$E$2:$E$2001,B283,LOG!$D$2:$D$2001,"*BOOKED"),_xlfn.MINIFS(LOG!$G$2:$G$2001,LOG!$C$2:$C$2001,F283,LOG!$E$2:$E$2001,"",LOG!$D$2:$D$2001,"*BOOKED")))),"")</f>
        <v/>
      </c>
      <c r="AN283" s="28" t="str">
        <f t="shared" si="51"/>
        <v/>
      </c>
      <c r="AO283" s="28">
        <f>IF(AND(M283=1,AN283&lt;&gt;""),IF(AN283&lt;=SETTINGS!$B$5,1,0),0)</f>
        <v>0</v>
      </c>
      <c r="AP283" s="28">
        <f>IF(M283=1,IF(COUNTIFS(LOG!$C$2:$C$2001,F283,LOG!$E$2:$E$2001,B283,LOG!$D$2:$D$2001,"BOOKED")+COUNTIFS(LOG!$C$2:$C$2001,F283,LOG!$E$2:$E$2001,"",LOG!$D$2:$D$2001,"BOOKED")&gt;0,1,0),0)</f>
        <v>0</v>
      </c>
      <c r="AQ283" s="28" t="str">
        <f t="shared" si="52"/>
        <v>Arjun</v>
      </c>
      <c r="AR283" s="28">
        <f>IF(AND(AK283=1,K283="OK"),COUNTIFS($AK$2:AK283,1,$K$2:K283,"OK"),"")</f>
        <v>246</v>
      </c>
      <c r="AS283" s="28" t="str">
        <f>IF(L283=1,IFERROR(INDEX(MESSAGES!$J$9:$J$1008,MATCH(F283,MESSAGES!$M$9:$M$1008,0))&amp;"",""),"")</f>
        <v/>
      </c>
      <c r="AT283" s="28" t="str">
        <f>IF(L283=1,IFERROR(INDEX(MESSAGES!$K$9:$K$1008,MATCH(F283,MESSAGES!$M$9:$M$1008,0))&amp;"",""),"")</f>
        <v/>
      </c>
      <c r="AU283" s="28">
        <f t="shared" ca="1" si="53"/>
        <v>0</v>
      </c>
      <c r="AV283" s="28" t="str">
        <f t="shared" si="54"/>
        <v>SEND</v>
      </c>
    </row>
    <row r="284" spans="1:48" x14ac:dyDescent="0.35">
      <c r="A284" s="28">
        <v>283</v>
      </c>
      <c r="B284" s="28" t="str">
        <f>IF(INPUT!A284="","",TRIM(INPUT!A284))</f>
        <v>Partner 000</v>
      </c>
      <c r="C284" s="28" t="str">
        <f>IF(B284="","",INPUT!C284)</f>
        <v>interviewer2@partner000.example.com</v>
      </c>
      <c r="D284" s="28" t="str">
        <f>IF(B284="","",INPUT!D284)</f>
        <v>Sneha D.</v>
      </c>
      <c r="E284" s="28" t="str">
        <f>IF(B284="","",INPUT!E284)</f>
        <v>sneha.d113@example.com</v>
      </c>
      <c r="F284" s="43" t="str">
        <f>IF(B284="","",TRIM(INPUT!F284&amp;""))</f>
        <v>9000001476</v>
      </c>
      <c r="G284" s="28" t="str">
        <f>IF(B284="","",INPUT!H284)</f>
        <v>Round1</v>
      </c>
      <c r="H284" s="46">
        <f>IF(B284="","",INPUT!I284)</f>
        <v>46308.82708333333</v>
      </c>
      <c r="I284" s="28" t="str">
        <f>IF(B284="","",IF(INPUT!J284="","None",INPUT!J284))</f>
        <v>Clicked</v>
      </c>
      <c r="J284" s="28" t="str">
        <f t="shared" si="44"/>
        <v>sneha.d113@example.com|partner 000|Round1|interviewer2@partner000.example.com</v>
      </c>
      <c r="K284" s="28" t="str">
        <f>IF(B284="","",IF(SUMPRODUCT(($J$2:$J$601=J284)*($H$2:$H$601&lt;H284))+SUMPRODUCT(($J$2:J284=J284)*($H$2:H284=H284))-1&gt;0,"DUPLICATE",IF(AND(ISNUMBER(SEARCH("@",E284)),ISNUMBER(SEARCH(".",E284)),LEN(F284)=10,ISNUMBER(VALUE(F284))),"OK","BAD CONTACT")))</f>
        <v>OK</v>
      </c>
      <c r="L284" s="28">
        <f t="shared" si="45"/>
        <v>1</v>
      </c>
      <c r="M284" s="28">
        <f>IF(L284=1,IF(COUNTIFS(LOG!$C$2:$C$2001,F284,LOG!$E$2:$E$2001,B284,LOG!$D$2:$D$2001,"*BOOKED")+COUNTIFS(LOG!$C$2:$C$2001,F284,LOG!$E$2:$E$2001,"",LOG!$D$2:$D$2001,"*BOOKED")&gt;0,1,0),0)</f>
        <v>1</v>
      </c>
      <c r="N284" s="28">
        <f>IF(L284=1,IF(COUNTIFS(LOG!$C$2:$C$2001,F284,LOG!$E$2:$E$2001,B284,LOG!$D$2:$D$2001,"NOT_INTERESTED")+COUNTIFS(LOG!$C$2:$C$2001,F284,LOG!$E$2:$E$2001,"",LOG!$D$2:$D$2001,"NOT_INTERESTED")&gt;0,1,0),0)</f>
        <v>0</v>
      </c>
      <c r="O284" s="28">
        <f>IF(L284=1,IF(COUNTIFS(LOG!$C$2:$C$2001,F284,LOG!$D$2:$D$2001,"STOP")+COUNTIFS(LOG!$C$2:$C$2001,F284,LOG!$D$2:$D$2001,"WRONG_NUMBER")&gt;0,1,IF(ISNUMBER(SEARCH("STOP",AT284)),1,0)),0)</f>
        <v>0</v>
      </c>
      <c r="P284" s="28">
        <f>IF(L284=1,IF(IFERROR(INDEX(PARTNERS!$D$2:$D$88,MATCH(B284,PARTNERS!$A$2:$A$88,0)),"")="NO SLOTS",1,IF(AND(IFERROR(INDEX(PARTNERS!$D$2:$D$88,MATCH(B284,PARTNERS!$A$2:$A$88,0)),"")&lt;&gt;"REOPENED",COUNTIFS(LOG!$E$2:$E$2001,B284,LOG!$D$2:$D$2001,"NO_SLOTS")&gt;0),1,0)),0)</f>
        <v>0</v>
      </c>
      <c r="Q284" s="28">
        <f>IF(L284=1,COUNTIFS(LOG!$C$2:$C$2001,F284,LOG!$H$2:$H$2001,1),0)</f>
        <v>0</v>
      </c>
      <c r="R284" s="46">
        <f>IF(Q284&gt;0,_xlfn.MAXIFS(LOG!$G$2:$G$2001,LOG!$C$2:$C$2001,F284,LOG!$H$2:$H$2001,1),0)</f>
        <v>0</v>
      </c>
      <c r="S284" s="28" t="str">
        <f>IF(Q284&gt;0,IFERROR(INDEX(LOG!$D$2:$D$2001,MATCH(F284&amp;"|"&amp;Q284,LOG!$I$2:$I$2001,0)),""),"")</f>
        <v/>
      </c>
      <c r="T284" s="28">
        <f>IF(S284="",0,IFERROR(VLOOKUP(S284,LISTS!$A$2:$E$10,4,FALSE),0))</f>
        <v>0</v>
      </c>
      <c r="U284" s="46">
        <f t="shared" si="46"/>
        <v>0</v>
      </c>
      <c r="V284" s="46">
        <f>IF(L284=1,H284+SETTINGS!$B$5/24,"")</f>
        <v>46309.82708333333</v>
      </c>
      <c r="W284" s="28">
        <f ca="1">IF(L284=1,(V284-SETTINGS!$B$4)*24,"")</f>
        <v>-1.6666666720993817E-2</v>
      </c>
      <c r="X284" s="28">
        <f ca="1">IF(AND(L284=1,K284="OK",M284=0,N284=0,O284=0,P284=0,SETTINGS!$B$4&lt;V284,Q284&lt;SETTINGS!$B$6),1,0)</f>
        <v>0</v>
      </c>
      <c r="Y284" s="28">
        <f ca="1">IF(AND(X284=1,SETTINGS!$B$4&gt;=H284,SETTINGS!$B$4&gt;=U284,ROUND(MOD(SETTINGS!$B$4,1)*1440,0)&gt;=ROUND(SETTINGS!$B$7*1440,0),ROUND(MOD(SETTINGS!$B$4,1)*1440,0)&lt;ROUND(SETTINGS!$B$8*1440,0)),1,0)</f>
        <v>0</v>
      </c>
      <c r="Z284" s="28" t="str">
        <f ca="1">IF(B284="","",IF(ROUND(MOD(SETTINGS!$B$4,1)*1440,0)&lt;ROUND(SETTINGS!$B$11*1440,0),"Ram",IF(ROUND(MOD(SETTINGS!$B$4,1)*1440,0)&gt;=ROUND(SETTINGS!$B$10*1440,0),"Shyam",IF(MOD(IFERROR(VALUE(RIGHT(F284,2)),0),2)=0,"Ram","Shyam"))))</f>
        <v>Shyam</v>
      </c>
      <c r="AA284" s="28">
        <f t="shared" ca="1" si="47"/>
        <v>0</v>
      </c>
      <c r="AB284" s="28">
        <f ca="1">IF(X284=1,COUNTIFS($F$2:F284,F284,$X$2:X284,1),0)</f>
        <v>0</v>
      </c>
      <c r="AC284" s="28" t="str">
        <f>IF(L284=1,IF(IFERROR(INDEX(PARTNERS!$C$2:$C$88,MATCH(B284,PARTNERS!$A$2:$A$88,0)),"")="YES","YES","NO"),"")</f>
        <v>NO</v>
      </c>
      <c r="AD284" s="28" t="str">
        <f>IF(L284=1,IFERROR(INDEX(PARTNERS!$B$2:$B$88,MATCH(B284,PARTNERS!$A$2:$A$88,0)),""),"")</f>
        <v>https://calendly.com/partner000/interview</v>
      </c>
      <c r="AE284" s="28">
        <f ca="1">IF(X284=1,IFERROR(INDEX(SETTINGS!$B$34:$D$36,MATCH(I284,SETTINGS!$A$34:$A$36,0),MIN(Q284,2)+1),SETTINGS!$B$36),0)</f>
        <v>0</v>
      </c>
      <c r="AF284" s="28">
        <f t="shared" si="48"/>
        <v>1</v>
      </c>
      <c r="AG284" s="28">
        <f ca="1">IF(AND(Y284=1,AB284=1),ROUND(AA284*AE284*IF(AF284&gt;1,SETTINGS!$B$16,1)*IF(W284&lt;=SETTINGS!$B$14,SETTINGS!$B$15,1)*IF(AU284=1,SETTINGS!$B$21,1),6),0)</f>
        <v>0</v>
      </c>
      <c r="AH284" s="28" t="str">
        <f ca="1">IF(AG284&gt;0,COUNTIFS($Z$2:$Z$601,Z284,$AG$2:$AG$601,"&gt;"&amp;AG284)+COUNTIFS($Z$2:Z284,Z284,$AG$2:AG284,AG284),"")</f>
        <v/>
      </c>
      <c r="AI284" s="28" t="str">
        <f t="shared" ca="1" si="49"/>
        <v/>
      </c>
      <c r="AJ284" s="28" t="str">
        <f t="shared" ca="1" si="50"/>
        <v/>
      </c>
      <c r="AK284" s="28">
        <f>IF(L284=1,IF(COUNTIFS($F$2:F284,F284,$L$2:L284,1)=1,1,0),0)</f>
        <v>1</v>
      </c>
      <c r="AL284" s="28" t="str">
        <f>IF(B284="","",IF(K284="DUPLICATE","Duplicate (removed)",IF(AO284=1,"Scheduled within 24h",IF(M284=1,"Scheduled late",IF(K284="BAD CONTACT","Bad contact details",IF(O284=1,"Stopped / wrong number",IF(N284=1,"Not interested",IF(P284=1,"Partner has no slots",IF(SETTINGS!$B$4&gt;=V284,IF(Q284=0,"Missed deadline: never tried","Missed deadline: tried, not booked"),IF(Q284&gt;=SETTINGS!$B$6,"No reply after max tries","Open"))))))))))</f>
        <v>Scheduled within 24h</v>
      </c>
      <c r="AM284" s="46">
        <f>IF(M284=1,IF(_xlfn.MINIFS(LOG!$G$2:$G$2001,LOG!$C$2:$C$2001,F284,LOG!$E$2:$E$2001,B284,LOG!$D$2:$D$2001,"*BOOKED")=0,_xlfn.MINIFS(LOG!$G$2:$G$2001,LOG!$C$2:$C$2001,F284,LOG!$E$2:$E$2001,"",LOG!$D$2:$D$2001,"*BOOKED"),IF(_xlfn.MINIFS(LOG!$G$2:$G$2001,LOG!$C$2:$C$2001,F284,LOG!$E$2:$E$2001,"",LOG!$D$2:$D$2001,"*BOOKED")=0,_xlfn.MINIFS(LOG!$G$2:$G$2001,LOG!$C$2:$C$2001,F284,LOG!$E$2:$E$2001,B284,LOG!$D$2:$D$2001,"*BOOKED"),MIN(_xlfn.MINIFS(LOG!$G$2:$G$2001,LOG!$C$2:$C$2001,F284,LOG!$E$2:$E$2001,B284,LOG!$D$2:$D$2001,"*BOOKED"),_xlfn.MINIFS(LOG!$G$2:$G$2001,LOG!$C$2:$C$2001,F284,LOG!$E$2:$E$2001,"",LOG!$D$2:$D$2001,"*BOOKED")))),"")</f>
        <v>46308.913965229687</v>
      </c>
      <c r="AN284" s="28">
        <f t="shared" si="51"/>
        <v>2.0851655125734396</v>
      </c>
      <c r="AO284" s="28">
        <f>IF(AND(M284=1,AN284&lt;&gt;""),IF(AN284&lt;=SETTINGS!$B$5,1,0),0)</f>
        <v>1</v>
      </c>
      <c r="AP284" s="28">
        <f>IF(M284=1,IF(COUNTIFS(LOG!$C$2:$C$2001,F284,LOG!$E$2:$E$2001,B284,LOG!$D$2:$D$2001,"BOOKED")+COUNTIFS(LOG!$C$2:$C$2001,F284,LOG!$E$2:$E$2001,"",LOG!$D$2:$D$2001,"BOOKED")&gt;0,1,0),0)</f>
        <v>0</v>
      </c>
      <c r="AQ284" s="28" t="str">
        <f t="shared" si="52"/>
        <v>Sneha</v>
      </c>
      <c r="AR284" s="28">
        <f>IF(AND(AK284=1,K284="OK"),COUNTIFS($AK$2:AK284,1,$K$2:K284,"OK"),"")</f>
        <v>247</v>
      </c>
      <c r="AS284" s="28" t="str">
        <f>IF(L284=1,IFERROR(INDEX(MESSAGES!$J$9:$J$1008,MATCH(F284,MESSAGES!$M$9:$M$1008,0))&amp;"",""),"")</f>
        <v/>
      </c>
      <c r="AT284" s="28" t="str">
        <f>IF(L284=1,IFERROR(INDEX(MESSAGES!$K$9:$K$1008,MATCH(F284,MESSAGES!$M$9:$M$1008,0))&amp;"",""),"")</f>
        <v/>
      </c>
      <c r="AU284" s="28">
        <f t="shared" ca="1" si="53"/>
        <v>0</v>
      </c>
      <c r="AV284" s="28" t="str">
        <f t="shared" si="54"/>
        <v>HOLD</v>
      </c>
    </row>
    <row r="285" spans="1:48" x14ac:dyDescent="0.35">
      <c r="A285" s="28">
        <v>284</v>
      </c>
      <c r="B285" s="28" t="str">
        <f>IF(INPUT!A285="","",TRIM(INPUT!A285))</f>
        <v>Partner 042</v>
      </c>
      <c r="C285" s="28" t="str">
        <f>IF(B285="","",INPUT!C285)</f>
        <v>interviewer2@partner042.example.com</v>
      </c>
      <c r="D285" s="28" t="str">
        <f>IF(B285="","",INPUT!D285)</f>
        <v>Ira C.</v>
      </c>
      <c r="E285" s="28" t="str">
        <f>IF(B285="","",INPUT!E285)</f>
        <v>ira.c065@example.com</v>
      </c>
      <c r="F285" s="43" t="str">
        <f>IF(B285="","",TRIM(INPUT!F285&amp;""))</f>
        <v>9000000852</v>
      </c>
      <c r="G285" s="28" t="str">
        <f>IF(B285="","",INPUT!H285)</f>
        <v>Round1</v>
      </c>
      <c r="H285" s="46">
        <f>IF(B285="","",INPUT!I285)</f>
        <v>46308.82708333333</v>
      </c>
      <c r="I285" s="28" t="str">
        <f>IF(B285="","",IF(INPUT!J285="","None",INPUT!J285))</f>
        <v>Clicked</v>
      </c>
      <c r="J285" s="28" t="str">
        <f t="shared" si="44"/>
        <v>ira.c065@example.com|partner 042|Round1|interviewer2@partner042.example.com</v>
      </c>
      <c r="K285" s="28" t="str">
        <f>IF(B285="","",IF(SUMPRODUCT(($J$2:$J$601=J285)*($H$2:$H$601&lt;H285))+SUMPRODUCT(($J$2:J285=J285)*($H$2:H285=H285))-1&gt;0,"DUPLICATE",IF(AND(ISNUMBER(SEARCH("@",E285)),ISNUMBER(SEARCH(".",E285)),LEN(F285)=10,ISNUMBER(VALUE(F285))),"OK","BAD CONTACT")))</f>
        <v>OK</v>
      </c>
      <c r="L285" s="28">
        <f t="shared" si="45"/>
        <v>1</v>
      </c>
      <c r="M285" s="28">
        <f>IF(L285=1,IF(COUNTIFS(LOG!$C$2:$C$2001,F285,LOG!$E$2:$E$2001,B285,LOG!$D$2:$D$2001,"*BOOKED")+COUNTIFS(LOG!$C$2:$C$2001,F285,LOG!$E$2:$E$2001,"",LOG!$D$2:$D$2001,"*BOOKED")&gt;0,1,0),0)</f>
        <v>1</v>
      </c>
      <c r="N285" s="28">
        <f>IF(L285=1,IF(COUNTIFS(LOG!$C$2:$C$2001,F285,LOG!$E$2:$E$2001,B285,LOG!$D$2:$D$2001,"NOT_INTERESTED")+COUNTIFS(LOG!$C$2:$C$2001,F285,LOG!$E$2:$E$2001,"",LOG!$D$2:$D$2001,"NOT_INTERESTED")&gt;0,1,0),0)</f>
        <v>0</v>
      </c>
      <c r="O285" s="28">
        <f>IF(L285=1,IF(COUNTIFS(LOG!$C$2:$C$2001,F285,LOG!$D$2:$D$2001,"STOP")+COUNTIFS(LOG!$C$2:$C$2001,F285,LOG!$D$2:$D$2001,"WRONG_NUMBER")&gt;0,1,IF(ISNUMBER(SEARCH("STOP",AT285)),1,0)),0)</f>
        <v>0</v>
      </c>
      <c r="P285" s="28">
        <f>IF(L285=1,IF(IFERROR(INDEX(PARTNERS!$D$2:$D$88,MATCH(B285,PARTNERS!$A$2:$A$88,0)),"")="NO SLOTS",1,IF(AND(IFERROR(INDEX(PARTNERS!$D$2:$D$88,MATCH(B285,PARTNERS!$A$2:$A$88,0)),"")&lt;&gt;"REOPENED",COUNTIFS(LOG!$E$2:$E$2001,B285,LOG!$D$2:$D$2001,"NO_SLOTS")&gt;0),1,0)),0)</f>
        <v>0</v>
      </c>
      <c r="Q285" s="28">
        <f>IF(L285=1,COUNTIFS(LOG!$C$2:$C$2001,F285,LOG!$H$2:$H$2001,1),0)</f>
        <v>2</v>
      </c>
      <c r="R285" s="46">
        <f>IF(Q285&gt;0,_xlfn.MAXIFS(LOG!$G$2:$G$2001,LOG!$C$2:$C$2001,F285,LOG!$H$2:$H$2001,1),0)</f>
        <v>46309.739476690047</v>
      </c>
      <c r="S285" s="28" t="str">
        <f>IF(Q285&gt;0,IFERROR(INDEX(LOG!$D$2:$D$2001,MATCH(F285&amp;"|"&amp;Q285,LOG!$I$2:$I$2001,0)),""),"")</f>
        <v>BOOKED</v>
      </c>
      <c r="T285" s="28">
        <f>IF(S285="",0,IFERROR(VLOOKUP(S285,LISTS!$A$2:$E$10,4,FALSE),0))</f>
        <v>0</v>
      </c>
      <c r="U285" s="46">
        <f t="shared" si="46"/>
        <v>46309.739476690047</v>
      </c>
      <c r="V285" s="46">
        <f>IF(L285=1,H285+SETTINGS!$B$5/24,"")</f>
        <v>46309.82708333333</v>
      </c>
      <c r="W285" s="28">
        <f ca="1">IF(L285=1,(V285-SETTINGS!$B$4)*24,"")</f>
        <v>-1.6666666720993817E-2</v>
      </c>
      <c r="X285" s="28">
        <f ca="1">IF(AND(L285=1,K285="OK",M285=0,N285=0,O285=0,P285=0,SETTINGS!$B$4&lt;V285,Q285&lt;SETTINGS!$B$6),1,0)</f>
        <v>0</v>
      </c>
      <c r="Y285" s="28">
        <f ca="1">IF(AND(X285=1,SETTINGS!$B$4&gt;=H285,SETTINGS!$B$4&gt;=U285,ROUND(MOD(SETTINGS!$B$4,1)*1440,0)&gt;=ROUND(SETTINGS!$B$7*1440,0),ROUND(MOD(SETTINGS!$B$4,1)*1440,0)&lt;ROUND(SETTINGS!$B$8*1440,0)),1,0)</f>
        <v>0</v>
      </c>
      <c r="Z285" s="28" t="str">
        <f ca="1">IF(B285="","",IF(ROUND(MOD(SETTINGS!$B$4,1)*1440,0)&lt;ROUND(SETTINGS!$B$11*1440,0),"Ram",IF(ROUND(MOD(SETTINGS!$B$4,1)*1440,0)&gt;=ROUND(SETTINGS!$B$10*1440,0),"Shyam",IF(MOD(IFERROR(VALUE(RIGHT(F285,2)),0),2)=0,"Ram","Shyam"))))</f>
        <v>Shyam</v>
      </c>
      <c r="AA285" s="28">
        <f t="shared" ca="1" si="47"/>
        <v>0</v>
      </c>
      <c r="AB285" s="28">
        <f ca="1">IF(X285=1,COUNTIFS($F$2:F285,F285,$X$2:X285,1),0)</f>
        <v>0</v>
      </c>
      <c r="AC285" s="28" t="str">
        <f>IF(L285=1,IF(IFERROR(INDEX(PARTNERS!$C$2:$C$88,MATCH(B285,PARTNERS!$A$2:$A$88,0)),"")="YES","YES","NO"),"")</f>
        <v>YES</v>
      </c>
      <c r="AD285" s="28" t="str">
        <f>IF(L285=1,IFERROR(INDEX(PARTNERS!$B$2:$B$88,MATCH(B285,PARTNERS!$A$2:$A$88,0)),""),"")</f>
        <v>https://calendly.com/partner042/interview</v>
      </c>
      <c r="AE285" s="28">
        <f ca="1">IF(X285=1,IFERROR(INDEX(SETTINGS!$B$34:$D$36,MATCH(I285,SETTINGS!$A$34:$A$36,0),MIN(Q285,2)+1),SETTINGS!$B$36),0)</f>
        <v>0</v>
      </c>
      <c r="AF285" s="28">
        <f t="shared" si="48"/>
        <v>1</v>
      </c>
      <c r="AG285" s="28">
        <f ca="1">IF(AND(Y285=1,AB285=1),ROUND(AA285*AE285*IF(AF285&gt;1,SETTINGS!$B$16,1)*IF(W285&lt;=SETTINGS!$B$14,SETTINGS!$B$15,1)*IF(AU285=1,SETTINGS!$B$21,1),6),0)</f>
        <v>0</v>
      </c>
      <c r="AH285" s="28" t="str">
        <f ca="1">IF(AG285&gt;0,COUNTIFS($Z$2:$Z$601,Z285,$AG$2:$AG$601,"&gt;"&amp;AG285)+COUNTIFS($Z$2:Z285,Z285,$AG$2:AG285,AG285),"")</f>
        <v/>
      </c>
      <c r="AI285" s="28" t="str">
        <f t="shared" ca="1" si="49"/>
        <v/>
      </c>
      <c r="AJ285" s="28" t="str">
        <f t="shared" ca="1" si="50"/>
        <v/>
      </c>
      <c r="AK285" s="28">
        <f>IF(L285=1,IF(COUNTIFS($F$2:F285,F285,$L$2:L285,1)=1,1,0),0)</f>
        <v>1</v>
      </c>
      <c r="AL285" s="28" t="str">
        <f>IF(B285="","",IF(K285="DUPLICATE","Duplicate (removed)",IF(AO285=1,"Scheduled within 24h",IF(M285=1,"Scheduled late",IF(K285="BAD CONTACT","Bad contact details",IF(O285=1,"Stopped / wrong number",IF(N285=1,"Not interested",IF(P285=1,"Partner has no slots",IF(SETTINGS!$B$4&gt;=V285,IF(Q285=0,"Missed deadline: never tried","Missed deadline: tried, not booked"),IF(Q285&gt;=SETTINGS!$B$6,"No reply after max tries","Open"))))))))))</f>
        <v>Scheduled within 24h</v>
      </c>
      <c r="AM285" s="46">
        <f>IF(M285=1,IF(_xlfn.MINIFS(LOG!$G$2:$G$2001,LOG!$C$2:$C$2001,F285,LOG!$E$2:$E$2001,B285,LOG!$D$2:$D$2001,"*BOOKED")=0,_xlfn.MINIFS(LOG!$G$2:$G$2001,LOG!$C$2:$C$2001,F285,LOG!$E$2:$E$2001,"",LOG!$D$2:$D$2001,"*BOOKED"),IF(_xlfn.MINIFS(LOG!$G$2:$G$2001,LOG!$C$2:$C$2001,F285,LOG!$E$2:$E$2001,"",LOG!$D$2:$D$2001,"*BOOKED")=0,_xlfn.MINIFS(LOG!$G$2:$G$2001,LOG!$C$2:$C$2001,F285,LOG!$E$2:$E$2001,B285,LOG!$D$2:$D$2001,"*BOOKED"),MIN(_xlfn.MINIFS(LOG!$G$2:$G$2001,LOG!$C$2:$C$2001,F285,LOG!$E$2:$E$2001,B285,LOG!$D$2:$D$2001,"*BOOKED"),_xlfn.MINIFS(LOG!$G$2:$G$2001,LOG!$C$2:$C$2001,F285,LOG!$E$2:$E$2001,"",LOG!$D$2:$D$2001,"*BOOKED")))),"")</f>
        <v>46309.739476690047</v>
      </c>
      <c r="AN285" s="28">
        <f t="shared" si="51"/>
        <v>21.897440561209805</v>
      </c>
      <c r="AO285" s="28">
        <f>IF(AND(M285=1,AN285&lt;&gt;""),IF(AN285&lt;=SETTINGS!$B$5,1,0),0)</f>
        <v>1</v>
      </c>
      <c r="AP285" s="28">
        <f>IF(M285=1,IF(COUNTIFS(LOG!$C$2:$C$2001,F285,LOG!$E$2:$E$2001,B285,LOG!$D$2:$D$2001,"BOOKED")+COUNTIFS(LOG!$C$2:$C$2001,F285,LOG!$E$2:$E$2001,"",LOG!$D$2:$D$2001,"BOOKED")&gt;0,1,0),0)</f>
        <v>1</v>
      </c>
      <c r="AQ285" s="28" t="str">
        <f t="shared" si="52"/>
        <v>Ira</v>
      </c>
      <c r="AR285" s="28">
        <f>IF(AND(AK285=1,K285="OK"),COUNTIFS($AK$2:AK285,1,$K$2:K285,"OK"),"")</f>
        <v>248</v>
      </c>
      <c r="AS285" s="28" t="str">
        <f>IF(L285=1,IFERROR(INDEX(MESSAGES!$J$9:$J$1008,MATCH(F285,MESSAGES!$M$9:$M$1008,0))&amp;"",""),"")</f>
        <v/>
      </c>
      <c r="AT285" s="28" t="str">
        <f>IF(L285=1,IFERROR(INDEX(MESSAGES!$K$9:$K$1008,MATCH(F285,MESSAGES!$M$9:$M$1008,0))&amp;"",""),"")</f>
        <v/>
      </c>
      <c r="AU285" s="28">
        <f t="shared" ca="1" si="53"/>
        <v>0</v>
      </c>
      <c r="AV285" s="28" t="str">
        <f t="shared" si="54"/>
        <v>HOLD</v>
      </c>
    </row>
    <row r="286" spans="1:48" x14ac:dyDescent="0.35">
      <c r="A286" s="28">
        <v>285</v>
      </c>
      <c r="B286" s="28" t="str">
        <f>IF(INPUT!A286="","",TRIM(INPUT!A286))</f>
        <v>Partner 021</v>
      </c>
      <c r="C286" s="28" t="str">
        <f>IF(B286="","",INPUT!C286)</f>
        <v>interviewer0@partner021.example.com</v>
      </c>
      <c r="D286" s="28" t="str">
        <f>IF(B286="","",INPUT!D286)</f>
        <v>Ananya M.</v>
      </c>
      <c r="E286" s="28" t="str">
        <f>IF(B286="","",INPUT!E286)</f>
        <v>ananya.m333@example.com</v>
      </c>
      <c r="F286" s="43" t="str">
        <f>IF(B286="","",TRIM(INPUT!F286&amp;""))</f>
        <v>9000004336</v>
      </c>
      <c r="G286" s="28" t="str">
        <f>IF(B286="","",INPUT!H286)</f>
        <v>Round1</v>
      </c>
      <c r="H286" s="46">
        <f>IF(B286="","",INPUT!I286)</f>
        <v>46308.82708333333</v>
      </c>
      <c r="I286" s="28" t="str">
        <f>IF(B286="","",IF(INPUT!J286="","None",INPUT!J286))</f>
        <v>None</v>
      </c>
      <c r="J286" s="28" t="str">
        <f t="shared" si="44"/>
        <v>ananya.m333@example.com|partner 021|Round1|interviewer0@partner021.example.com</v>
      </c>
      <c r="K286" s="28" t="str">
        <f>IF(B286="","",IF(SUMPRODUCT(($J$2:$J$601=J286)*($H$2:$H$601&lt;H286))+SUMPRODUCT(($J$2:J286=J286)*($H$2:H286=H286))-1&gt;0,"DUPLICATE",IF(AND(ISNUMBER(SEARCH("@",E286)),ISNUMBER(SEARCH(".",E286)),LEN(F286)=10,ISNUMBER(VALUE(F286))),"OK","BAD CONTACT")))</f>
        <v>OK</v>
      </c>
      <c r="L286" s="28">
        <f t="shared" si="45"/>
        <v>1</v>
      </c>
      <c r="M286" s="28">
        <f>IF(L286=1,IF(COUNTIFS(LOG!$C$2:$C$2001,F286,LOG!$E$2:$E$2001,B286,LOG!$D$2:$D$2001,"*BOOKED")+COUNTIFS(LOG!$C$2:$C$2001,F286,LOG!$E$2:$E$2001,"",LOG!$D$2:$D$2001,"*BOOKED")&gt;0,1,0),0)</f>
        <v>1</v>
      </c>
      <c r="N286" s="28">
        <f>IF(L286=1,IF(COUNTIFS(LOG!$C$2:$C$2001,F286,LOG!$E$2:$E$2001,B286,LOG!$D$2:$D$2001,"NOT_INTERESTED")+COUNTIFS(LOG!$C$2:$C$2001,F286,LOG!$E$2:$E$2001,"",LOG!$D$2:$D$2001,"NOT_INTERESTED")&gt;0,1,0),0)</f>
        <v>0</v>
      </c>
      <c r="O286" s="28">
        <f>IF(L286=1,IF(COUNTIFS(LOG!$C$2:$C$2001,F286,LOG!$D$2:$D$2001,"STOP")+COUNTIFS(LOG!$C$2:$C$2001,F286,LOG!$D$2:$D$2001,"WRONG_NUMBER")&gt;0,1,IF(ISNUMBER(SEARCH("STOP",AT286)),1,0)),0)</f>
        <v>0</v>
      </c>
      <c r="P286" s="28">
        <f>IF(L286=1,IF(IFERROR(INDEX(PARTNERS!$D$2:$D$88,MATCH(B286,PARTNERS!$A$2:$A$88,0)),"")="NO SLOTS",1,IF(AND(IFERROR(INDEX(PARTNERS!$D$2:$D$88,MATCH(B286,PARTNERS!$A$2:$A$88,0)),"")&lt;&gt;"REOPENED",COUNTIFS(LOG!$E$2:$E$2001,B286,LOG!$D$2:$D$2001,"NO_SLOTS")&gt;0),1,0)),0)</f>
        <v>0</v>
      </c>
      <c r="Q286" s="28">
        <f>IF(L286=1,COUNTIFS(LOG!$C$2:$C$2001,F286,LOG!$H$2:$H$2001,1),0)</f>
        <v>0</v>
      </c>
      <c r="R286" s="46">
        <f>IF(Q286&gt;0,_xlfn.MAXIFS(LOG!$G$2:$G$2001,LOG!$C$2:$C$2001,F286,LOG!$H$2:$H$2001,1),0)</f>
        <v>0</v>
      </c>
      <c r="S286" s="28" t="str">
        <f>IF(Q286&gt;0,IFERROR(INDEX(LOG!$D$2:$D$2001,MATCH(F286&amp;"|"&amp;Q286,LOG!$I$2:$I$2001,0)),""),"")</f>
        <v/>
      </c>
      <c r="T286" s="28">
        <f>IF(S286="",0,IFERROR(VLOOKUP(S286,LISTS!$A$2:$E$10,4,FALSE),0))</f>
        <v>0</v>
      </c>
      <c r="U286" s="46">
        <f t="shared" si="46"/>
        <v>0</v>
      </c>
      <c r="V286" s="46">
        <f>IF(L286=1,H286+SETTINGS!$B$5/24,"")</f>
        <v>46309.82708333333</v>
      </c>
      <c r="W286" s="28">
        <f ca="1">IF(L286=1,(V286-SETTINGS!$B$4)*24,"")</f>
        <v>-1.6666666720993817E-2</v>
      </c>
      <c r="X286" s="28">
        <f ca="1">IF(AND(L286=1,K286="OK",M286=0,N286=0,O286=0,P286=0,SETTINGS!$B$4&lt;V286,Q286&lt;SETTINGS!$B$6),1,0)</f>
        <v>0</v>
      </c>
      <c r="Y286" s="28">
        <f ca="1">IF(AND(X286=1,SETTINGS!$B$4&gt;=H286,SETTINGS!$B$4&gt;=U286,ROUND(MOD(SETTINGS!$B$4,1)*1440,0)&gt;=ROUND(SETTINGS!$B$7*1440,0),ROUND(MOD(SETTINGS!$B$4,1)*1440,0)&lt;ROUND(SETTINGS!$B$8*1440,0)),1,0)</f>
        <v>0</v>
      </c>
      <c r="Z286" s="28" t="str">
        <f ca="1">IF(B286="","",IF(ROUND(MOD(SETTINGS!$B$4,1)*1440,0)&lt;ROUND(SETTINGS!$B$11*1440,0),"Ram",IF(ROUND(MOD(SETTINGS!$B$4,1)*1440,0)&gt;=ROUND(SETTINGS!$B$10*1440,0),"Shyam",IF(MOD(IFERROR(VALUE(RIGHT(F286,2)),0),2)=0,"Ram","Shyam"))))</f>
        <v>Shyam</v>
      </c>
      <c r="AA286" s="28">
        <f t="shared" ca="1" si="47"/>
        <v>0</v>
      </c>
      <c r="AB286" s="28">
        <f ca="1">IF(X286=1,COUNTIFS($F$2:F286,F286,$X$2:X286,1),0)</f>
        <v>0</v>
      </c>
      <c r="AC286" s="28" t="str">
        <f>IF(L286=1,IF(IFERROR(INDEX(PARTNERS!$C$2:$C$88,MATCH(B286,PARTNERS!$A$2:$A$88,0)),"")="YES","YES","NO"),"")</f>
        <v>NO</v>
      </c>
      <c r="AD286" s="28" t="str">
        <f>IF(L286=1,IFERROR(INDEX(PARTNERS!$B$2:$B$88,MATCH(B286,PARTNERS!$A$2:$A$88,0)),""),"")</f>
        <v>https://calendly.com/partner021/interview</v>
      </c>
      <c r="AE286" s="28">
        <f ca="1">IF(X286=1,IFERROR(INDEX(SETTINGS!$B$34:$D$36,MATCH(I286,SETTINGS!$A$34:$A$36,0),MIN(Q286,2)+1),SETTINGS!$B$36),0)</f>
        <v>0</v>
      </c>
      <c r="AF286" s="28">
        <f t="shared" si="48"/>
        <v>1</v>
      </c>
      <c r="AG286" s="28">
        <f ca="1">IF(AND(Y286=1,AB286=1),ROUND(AA286*AE286*IF(AF286&gt;1,SETTINGS!$B$16,1)*IF(W286&lt;=SETTINGS!$B$14,SETTINGS!$B$15,1)*IF(AU286=1,SETTINGS!$B$21,1),6),0)</f>
        <v>0</v>
      </c>
      <c r="AH286" s="28" t="str">
        <f ca="1">IF(AG286&gt;0,COUNTIFS($Z$2:$Z$601,Z286,$AG$2:$AG$601,"&gt;"&amp;AG286)+COUNTIFS($Z$2:Z286,Z286,$AG$2:AG286,AG286),"")</f>
        <v/>
      </c>
      <c r="AI286" s="28" t="str">
        <f t="shared" ca="1" si="49"/>
        <v/>
      </c>
      <c r="AJ286" s="28" t="str">
        <f t="shared" ca="1" si="50"/>
        <v/>
      </c>
      <c r="AK286" s="28">
        <f>IF(L286=1,IF(COUNTIFS($F$2:F286,F286,$L$2:L286,1)=1,1,0),0)</f>
        <v>1</v>
      </c>
      <c r="AL286" s="28" t="str">
        <f>IF(B286="","",IF(K286="DUPLICATE","Duplicate (removed)",IF(AO286=1,"Scheduled within 24h",IF(M286=1,"Scheduled late",IF(K286="BAD CONTACT","Bad contact details",IF(O286=1,"Stopped / wrong number",IF(N286=1,"Not interested",IF(P286=1,"Partner has no slots",IF(SETTINGS!$B$4&gt;=V286,IF(Q286=0,"Missed deadline: never tried","Missed deadline: tried, not booked"),IF(Q286&gt;=SETTINGS!$B$6,"No reply after max tries","Open"))))))))))</f>
        <v>Scheduled within 24h</v>
      </c>
      <c r="AM286" s="46">
        <f>IF(M286=1,IF(_xlfn.MINIFS(LOG!$G$2:$G$2001,LOG!$C$2:$C$2001,F286,LOG!$E$2:$E$2001,B286,LOG!$D$2:$D$2001,"*BOOKED")=0,_xlfn.MINIFS(LOG!$G$2:$G$2001,LOG!$C$2:$C$2001,F286,LOG!$E$2:$E$2001,"",LOG!$D$2:$D$2001,"*BOOKED"),IF(_xlfn.MINIFS(LOG!$G$2:$G$2001,LOG!$C$2:$C$2001,F286,LOG!$E$2:$E$2001,"",LOG!$D$2:$D$2001,"*BOOKED")=0,_xlfn.MINIFS(LOG!$G$2:$G$2001,LOG!$C$2:$C$2001,F286,LOG!$E$2:$E$2001,B286,LOG!$D$2:$D$2001,"*BOOKED"),MIN(_xlfn.MINIFS(LOG!$G$2:$G$2001,LOG!$C$2:$C$2001,F286,LOG!$E$2:$E$2001,B286,LOG!$D$2:$D$2001,"*BOOKED"),_xlfn.MINIFS(LOG!$G$2:$G$2001,LOG!$C$2:$C$2001,F286,LOG!$E$2:$E$2001,"",LOG!$D$2:$D$2001,"*BOOKED")))),"")</f>
        <v>46308.925712133445</v>
      </c>
      <c r="AN286" s="28">
        <f t="shared" si="51"/>
        <v>2.3670912027591839</v>
      </c>
      <c r="AO286" s="28">
        <f>IF(AND(M286=1,AN286&lt;&gt;""),IF(AN286&lt;=SETTINGS!$B$5,1,0),0)</f>
        <v>1</v>
      </c>
      <c r="AP286" s="28">
        <f>IF(M286=1,IF(COUNTIFS(LOG!$C$2:$C$2001,F286,LOG!$E$2:$E$2001,B286,LOG!$D$2:$D$2001,"BOOKED")+COUNTIFS(LOG!$C$2:$C$2001,F286,LOG!$E$2:$E$2001,"",LOG!$D$2:$D$2001,"BOOKED")&gt;0,1,0),0)</f>
        <v>0</v>
      </c>
      <c r="AQ286" s="28" t="str">
        <f t="shared" si="52"/>
        <v>Ananya</v>
      </c>
      <c r="AR286" s="28">
        <f>IF(AND(AK286=1,K286="OK"),COUNTIFS($AK$2:AK286,1,$K$2:K286,"OK"),"")</f>
        <v>249</v>
      </c>
      <c r="AS286" s="28" t="str">
        <f>IF(L286=1,IFERROR(INDEX(MESSAGES!$J$9:$J$1008,MATCH(F286,MESSAGES!$M$9:$M$1008,0))&amp;"",""),"")</f>
        <v/>
      </c>
      <c r="AT286" s="28" t="str">
        <f>IF(L286=1,IFERROR(INDEX(MESSAGES!$K$9:$K$1008,MATCH(F286,MESSAGES!$M$9:$M$1008,0))&amp;"",""),"")</f>
        <v/>
      </c>
      <c r="AU286" s="28">
        <f t="shared" ca="1" si="53"/>
        <v>0</v>
      </c>
      <c r="AV286" s="28" t="str">
        <f t="shared" si="54"/>
        <v>HOLD</v>
      </c>
    </row>
    <row r="287" spans="1:48" x14ac:dyDescent="0.35">
      <c r="A287" s="28">
        <v>286</v>
      </c>
      <c r="B287" s="28" t="str">
        <f>IF(INPUT!A287="","",TRIM(INPUT!A287))</f>
        <v>Partner 000</v>
      </c>
      <c r="C287" s="28" t="str">
        <f>IF(B287="","",INPUT!C287)</f>
        <v>interviewer0@partner000.example.com</v>
      </c>
      <c r="D287" s="28" t="str">
        <f>IF(B287="","",INPUT!D287)</f>
        <v>Reyansh H.</v>
      </c>
      <c r="E287" s="28" t="str">
        <f>IF(B287="","",INPUT!E287)</f>
        <v>reyansh.h216@example.com</v>
      </c>
      <c r="F287" s="43" t="str">
        <f>IF(B287="","",TRIM(INPUT!F287&amp;""))</f>
        <v>9000002815</v>
      </c>
      <c r="G287" s="28" t="str">
        <f>IF(B287="","",INPUT!H287)</f>
        <v>Round1</v>
      </c>
      <c r="H287" s="46">
        <f>IF(B287="","",INPUT!I287)</f>
        <v>46308.82708333333</v>
      </c>
      <c r="I287" s="28" t="str">
        <f>IF(B287="","",IF(INPUT!J287="","None",INPUT!J287))</f>
        <v>None</v>
      </c>
      <c r="J287" s="28" t="str">
        <f t="shared" si="44"/>
        <v>reyansh.h216@example.com|partner 000|Round1|interviewer0@partner000.example.com</v>
      </c>
      <c r="K287" s="28" t="str">
        <f>IF(B287="","",IF(SUMPRODUCT(($J$2:$J$601=J287)*($H$2:$H$601&lt;H287))+SUMPRODUCT(($J$2:J287=J287)*($H$2:H287=H287))-1&gt;0,"DUPLICATE",IF(AND(ISNUMBER(SEARCH("@",E287)),ISNUMBER(SEARCH(".",E287)),LEN(F287)=10,ISNUMBER(VALUE(F287))),"OK","BAD CONTACT")))</f>
        <v>OK</v>
      </c>
      <c r="L287" s="28">
        <f t="shared" si="45"/>
        <v>1</v>
      </c>
      <c r="M287" s="28">
        <f>IF(L287=1,IF(COUNTIFS(LOG!$C$2:$C$2001,F287,LOG!$E$2:$E$2001,B287,LOG!$D$2:$D$2001,"*BOOKED")+COUNTIFS(LOG!$C$2:$C$2001,F287,LOG!$E$2:$E$2001,"",LOG!$D$2:$D$2001,"*BOOKED")&gt;0,1,0),0)</f>
        <v>1</v>
      </c>
      <c r="N287" s="28">
        <f>IF(L287=1,IF(COUNTIFS(LOG!$C$2:$C$2001,F287,LOG!$E$2:$E$2001,B287,LOG!$D$2:$D$2001,"NOT_INTERESTED")+COUNTIFS(LOG!$C$2:$C$2001,F287,LOG!$E$2:$E$2001,"",LOG!$D$2:$D$2001,"NOT_INTERESTED")&gt;0,1,0),0)</f>
        <v>0</v>
      </c>
      <c r="O287" s="28">
        <f>IF(L287=1,IF(COUNTIFS(LOG!$C$2:$C$2001,F287,LOG!$D$2:$D$2001,"STOP")+COUNTIFS(LOG!$C$2:$C$2001,F287,LOG!$D$2:$D$2001,"WRONG_NUMBER")&gt;0,1,IF(ISNUMBER(SEARCH("STOP",AT287)),1,0)),0)</f>
        <v>0</v>
      </c>
      <c r="P287" s="28">
        <f>IF(L287=1,IF(IFERROR(INDEX(PARTNERS!$D$2:$D$88,MATCH(B287,PARTNERS!$A$2:$A$88,0)),"")="NO SLOTS",1,IF(AND(IFERROR(INDEX(PARTNERS!$D$2:$D$88,MATCH(B287,PARTNERS!$A$2:$A$88,0)),"")&lt;&gt;"REOPENED",COUNTIFS(LOG!$E$2:$E$2001,B287,LOG!$D$2:$D$2001,"NO_SLOTS")&gt;0),1,0)),0)</f>
        <v>0</v>
      </c>
      <c r="Q287" s="28">
        <f>IF(L287=1,COUNTIFS(LOG!$C$2:$C$2001,F287,LOG!$H$2:$H$2001,1),0)</f>
        <v>0</v>
      </c>
      <c r="R287" s="46">
        <f>IF(Q287&gt;0,_xlfn.MAXIFS(LOG!$G$2:$G$2001,LOG!$C$2:$C$2001,F287,LOG!$H$2:$H$2001,1),0)</f>
        <v>0</v>
      </c>
      <c r="S287" s="28" t="str">
        <f>IF(Q287&gt;0,IFERROR(INDEX(LOG!$D$2:$D$2001,MATCH(F287&amp;"|"&amp;Q287,LOG!$I$2:$I$2001,0)),""),"")</f>
        <v/>
      </c>
      <c r="T287" s="28">
        <f>IF(S287="",0,IFERROR(VLOOKUP(S287,LISTS!$A$2:$E$10,4,FALSE),0))</f>
        <v>0</v>
      </c>
      <c r="U287" s="46">
        <f t="shared" si="46"/>
        <v>0</v>
      </c>
      <c r="V287" s="46">
        <f>IF(L287=1,H287+SETTINGS!$B$5/24,"")</f>
        <v>46309.82708333333</v>
      </c>
      <c r="W287" s="28">
        <f ca="1">IF(L287=1,(V287-SETTINGS!$B$4)*24,"")</f>
        <v>-1.6666666720993817E-2</v>
      </c>
      <c r="X287" s="28">
        <f ca="1">IF(AND(L287=1,K287="OK",M287=0,N287=0,O287=0,P287=0,SETTINGS!$B$4&lt;V287,Q287&lt;SETTINGS!$B$6),1,0)</f>
        <v>0</v>
      </c>
      <c r="Y287" s="28">
        <f ca="1">IF(AND(X287=1,SETTINGS!$B$4&gt;=H287,SETTINGS!$B$4&gt;=U287,ROUND(MOD(SETTINGS!$B$4,1)*1440,0)&gt;=ROUND(SETTINGS!$B$7*1440,0),ROUND(MOD(SETTINGS!$B$4,1)*1440,0)&lt;ROUND(SETTINGS!$B$8*1440,0)),1,0)</f>
        <v>0</v>
      </c>
      <c r="Z287" s="28" t="str">
        <f ca="1">IF(B287="","",IF(ROUND(MOD(SETTINGS!$B$4,1)*1440,0)&lt;ROUND(SETTINGS!$B$11*1440,0),"Ram",IF(ROUND(MOD(SETTINGS!$B$4,1)*1440,0)&gt;=ROUND(SETTINGS!$B$10*1440,0),"Shyam",IF(MOD(IFERROR(VALUE(RIGHT(F287,2)),0),2)=0,"Ram","Shyam"))))</f>
        <v>Shyam</v>
      </c>
      <c r="AA287" s="28">
        <f t="shared" ca="1" si="47"/>
        <v>0</v>
      </c>
      <c r="AB287" s="28">
        <f ca="1">IF(X287=1,COUNTIFS($F$2:F287,F287,$X$2:X287,1),0)</f>
        <v>0</v>
      </c>
      <c r="AC287" s="28" t="str">
        <f>IF(L287=1,IF(IFERROR(INDEX(PARTNERS!$C$2:$C$88,MATCH(B287,PARTNERS!$A$2:$A$88,0)),"")="YES","YES","NO"),"")</f>
        <v>NO</v>
      </c>
      <c r="AD287" s="28" t="str">
        <f>IF(L287=1,IFERROR(INDEX(PARTNERS!$B$2:$B$88,MATCH(B287,PARTNERS!$A$2:$A$88,0)),""),"")</f>
        <v>https://calendly.com/partner000/interview</v>
      </c>
      <c r="AE287" s="28">
        <f ca="1">IF(X287=1,IFERROR(INDEX(SETTINGS!$B$34:$D$36,MATCH(I287,SETTINGS!$A$34:$A$36,0),MIN(Q287,2)+1),SETTINGS!$B$36),0)</f>
        <v>0</v>
      </c>
      <c r="AF287" s="28">
        <f t="shared" si="48"/>
        <v>1</v>
      </c>
      <c r="AG287" s="28">
        <f ca="1">IF(AND(Y287=1,AB287=1),ROUND(AA287*AE287*IF(AF287&gt;1,SETTINGS!$B$16,1)*IF(W287&lt;=SETTINGS!$B$14,SETTINGS!$B$15,1)*IF(AU287=1,SETTINGS!$B$21,1),6),0)</f>
        <v>0</v>
      </c>
      <c r="AH287" s="28" t="str">
        <f ca="1">IF(AG287&gt;0,COUNTIFS($Z$2:$Z$601,Z287,$AG$2:$AG$601,"&gt;"&amp;AG287)+COUNTIFS($Z$2:Z287,Z287,$AG$2:AG287,AG287),"")</f>
        <v/>
      </c>
      <c r="AI287" s="28" t="str">
        <f t="shared" ca="1" si="49"/>
        <v/>
      </c>
      <c r="AJ287" s="28" t="str">
        <f t="shared" ca="1" si="50"/>
        <v/>
      </c>
      <c r="AK287" s="28">
        <f>IF(L287=1,IF(COUNTIFS($F$2:F287,F287,$L$2:L287,1)=1,1,0),0)</f>
        <v>1</v>
      </c>
      <c r="AL287" s="28" t="str">
        <f>IF(B287="","",IF(K287="DUPLICATE","Duplicate (removed)",IF(AO287=1,"Scheduled within 24h",IF(M287=1,"Scheduled late",IF(K287="BAD CONTACT","Bad contact details",IF(O287=1,"Stopped / wrong number",IF(N287=1,"Not interested",IF(P287=1,"Partner has no slots",IF(SETTINGS!$B$4&gt;=V287,IF(Q287=0,"Missed deadline: never tried","Missed deadline: tried, not booked"),IF(Q287&gt;=SETTINGS!$B$6,"No reply after max tries","Open"))))))))))</f>
        <v>Scheduled within 24h</v>
      </c>
      <c r="AM287" s="46">
        <f>IF(M287=1,IF(_xlfn.MINIFS(LOG!$G$2:$G$2001,LOG!$C$2:$C$2001,F287,LOG!$E$2:$E$2001,B287,LOG!$D$2:$D$2001,"*BOOKED")=0,_xlfn.MINIFS(LOG!$G$2:$G$2001,LOG!$C$2:$C$2001,F287,LOG!$E$2:$E$2001,"",LOG!$D$2:$D$2001,"*BOOKED"),IF(_xlfn.MINIFS(LOG!$G$2:$G$2001,LOG!$C$2:$C$2001,F287,LOG!$E$2:$E$2001,"",LOG!$D$2:$D$2001,"*BOOKED")=0,_xlfn.MINIFS(LOG!$G$2:$G$2001,LOG!$C$2:$C$2001,F287,LOG!$E$2:$E$2001,B287,LOG!$D$2:$D$2001,"*BOOKED"),MIN(_xlfn.MINIFS(LOG!$G$2:$G$2001,LOG!$C$2:$C$2001,F287,LOG!$E$2:$E$2001,B287,LOG!$D$2:$D$2001,"*BOOKED"),_xlfn.MINIFS(LOG!$G$2:$G$2001,LOG!$C$2:$C$2001,F287,LOG!$E$2:$E$2001,"",LOG!$D$2:$D$2001,"*BOOKED")))),"")</f>
        <v>46309.338526320149</v>
      </c>
      <c r="AN287" s="28">
        <f t="shared" si="51"/>
        <v>12.27463168365648</v>
      </c>
      <c r="AO287" s="28">
        <f>IF(AND(M287=1,AN287&lt;&gt;""),IF(AN287&lt;=SETTINGS!$B$5,1,0),0)</f>
        <v>1</v>
      </c>
      <c r="AP287" s="28">
        <f>IF(M287=1,IF(COUNTIFS(LOG!$C$2:$C$2001,F287,LOG!$E$2:$E$2001,B287,LOG!$D$2:$D$2001,"BOOKED")+COUNTIFS(LOG!$C$2:$C$2001,F287,LOG!$E$2:$E$2001,"",LOG!$D$2:$D$2001,"BOOKED")&gt;0,1,0),0)</f>
        <v>0</v>
      </c>
      <c r="AQ287" s="28" t="str">
        <f t="shared" si="52"/>
        <v>Reyansh</v>
      </c>
      <c r="AR287" s="28">
        <f>IF(AND(AK287=1,K287="OK"),COUNTIFS($AK$2:AK287,1,$K$2:K287,"OK"),"")</f>
        <v>250</v>
      </c>
      <c r="AS287" s="28" t="str">
        <f>IF(L287=1,IFERROR(INDEX(MESSAGES!$J$9:$J$1008,MATCH(F287,MESSAGES!$M$9:$M$1008,0))&amp;"",""),"")</f>
        <v/>
      </c>
      <c r="AT287" s="28" t="str">
        <f>IF(L287=1,IFERROR(INDEX(MESSAGES!$K$9:$K$1008,MATCH(F287,MESSAGES!$M$9:$M$1008,0))&amp;"",""),"")</f>
        <v/>
      </c>
      <c r="AU287" s="28">
        <f t="shared" ca="1" si="53"/>
        <v>0</v>
      </c>
      <c r="AV287" s="28" t="str">
        <f t="shared" si="54"/>
        <v>HOLD</v>
      </c>
    </row>
    <row r="288" spans="1:48" x14ac:dyDescent="0.35">
      <c r="A288" s="28">
        <v>287</v>
      </c>
      <c r="B288" s="28" t="str">
        <f>IF(INPUT!A288="","",TRIM(INPUT!A288))</f>
        <v>Partner 018</v>
      </c>
      <c r="C288" s="28" t="str">
        <f>IF(B288="","",INPUT!C288)</f>
        <v>interviewer2@partner018.example.com</v>
      </c>
      <c r="D288" s="28" t="str">
        <f>IF(B288="","",INPUT!D288)</f>
        <v>Sneha F.</v>
      </c>
      <c r="E288" s="28" t="str">
        <f>IF(B288="","",INPUT!E288)</f>
        <v>sneha.f173@example.com</v>
      </c>
      <c r="F288" s="43" t="str">
        <f>IF(B288="","",TRIM(INPUT!F288&amp;""))</f>
        <v>9000002256</v>
      </c>
      <c r="G288" s="28" t="str">
        <f>IF(B288="","",INPUT!H288)</f>
        <v>Round1</v>
      </c>
      <c r="H288" s="46">
        <f>IF(B288="","",INPUT!I288)</f>
        <v>46308.82708333333</v>
      </c>
      <c r="I288" s="28" t="str">
        <f>IF(B288="","",IF(INPUT!J288="","None",INPUT!J288))</f>
        <v>None</v>
      </c>
      <c r="J288" s="28" t="str">
        <f t="shared" si="44"/>
        <v>sneha.f173@example.com|partner 018|Round1|interviewer2@partner018.example.com</v>
      </c>
      <c r="K288" s="28" t="str">
        <f>IF(B288="","",IF(SUMPRODUCT(($J$2:$J$601=J288)*($H$2:$H$601&lt;H288))+SUMPRODUCT(($J$2:J288=J288)*($H$2:H288=H288))-1&gt;0,"DUPLICATE",IF(AND(ISNUMBER(SEARCH("@",E288)),ISNUMBER(SEARCH(".",E288)),LEN(F288)=10,ISNUMBER(VALUE(F288))),"OK","BAD CONTACT")))</f>
        <v>OK</v>
      </c>
      <c r="L288" s="28">
        <f t="shared" si="45"/>
        <v>1</v>
      </c>
      <c r="M288" s="28">
        <f>IF(L288=1,IF(COUNTIFS(LOG!$C$2:$C$2001,F288,LOG!$E$2:$E$2001,B288,LOG!$D$2:$D$2001,"*BOOKED")+COUNTIFS(LOG!$C$2:$C$2001,F288,LOG!$E$2:$E$2001,"",LOG!$D$2:$D$2001,"*BOOKED")&gt;0,1,0),0)</f>
        <v>0</v>
      </c>
      <c r="N288" s="28">
        <f>IF(L288=1,IF(COUNTIFS(LOG!$C$2:$C$2001,F288,LOG!$E$2:$E$2001,B288,LOG!$D$2:$D$2001,"NOT_INTERESTED")+COUNTIFS(LOG!$C$2:$C$2001,F288,LOG!$E$2:$E$2001,"",LOG!$D$2:$D$2001,"NOT_INTERESTED")&gt;0,1,0),0)</f>
        <v>0</v>
      </c>
      <c r="O288" s="28">
        <f>IF(L288=1,IF(COUNTIFS(LOG!$C$2:$C$2001,F288,LOG!$D$2:$D$2001,"STOP")+COUNTIFS(LOG!$C$2:$C$2001,F288,LOG!$D$2:$D$2001,"WRONG_NUMBER")&gt;0,1,IF(ISNUMBER(SEARCH("STOP",AT288)),1,0)),0)</f>
        <v>0</v>
      </c>
      <c r="P288" s="28">
        <f>IF(L288=1,IF(IFERROR(INDEX(PARTNERS!$D$2:$D$88,MATCH(B288,PARTNERS!$A$2:$A$88,0)),"")="NO SLOTS",1,IF(AND(IFERROR(INDEX(PARTNERS!$D$2:$D$88,MATCH(B288,PARTNERS!$A$2:$A$88,0)),"")&lt;&gt;"REOPENED",COUNTIFS(LOG!$E$2:$E$2001,B288,LOG!$D$2:$D$2001,"NO_SLOTS")&gt;0),1,0)),0)</f>
        <v>0</v>
      </c>
      <c r="Q288" s="28">
        <f>IF(L288=1,COUNTIFS(LOG!$C$2:$C$2001,F288,LOG!$H$2:$H$2001,1),0)</f>
        <v>0</v>
      </c>
      <c r="R288" s="46">
        <f>IF(Q288&gt;0,_xlfn.MAXIFS(LOG!$G$2:$G$2001,LOG!$C$2:$C$2001,F288,LOG!$H$2:$H$2001,1),0)</f>
        <v>0</v>
      </c>
      <c r="S288" s="28" t="str">
        <f>IF(Q288&gt;0,IFERROR(INDEX(LOG!$D$2:$D$2001,MATCH(F288&amp;"|"&amp;Q288,LOG!$I$2:$I$2001,0)),""),"")</f>
        <v/>
      </c>
      <c r="T288" s="28">
        <f>IF(S288="",0,IFERROR(VLOOKUP(S288,LISTS!$A$2:$E$10,4,FALSE),0))</f>
        <v>0</v>
      </c>
      <c r="U288" s="46">
        <f t="shared" si="46"/>
        <v>0</v>
      </c>
      <c r="V288" s="46">
        <f>IF(L288=1,H288+SETTINGS!$B$5/24,"")</f>
        <v>46309.82708333333</v>
      </c>
      <c r="W288" s="28">
        <f ca="1">IF(L288=1,(V288-SETTINGS!$B$4)*24,"")</f>
        <v>-1.6666666720993817E-2</v>
      </c>
      <c r="X288" s="28">
        <f ca="1">IF(AND(L288=1,K288="OK",M288=0,N288=0,O288=0,P288=0,SETTINGS!$B$4&lt;V288,Q288&lt;SETTINGS!$B$6),1,0)</f>
        <v>0</v>
      </c>
      <c r="Y288" s="28">
        <f ca="1">IF(AND(X288=1,SETTINGS!$B$4&gt;=H288,SETTINGS!$B$4&gt;=U288,ROUND(MOD(SETTINGS!$B$4,1)*1440,0)&gt;=ROUND(SETTINGS!$B$7*1440,0),ROUND(MOD(SETTINGS!$B$4,1)*1440,0)&lt;ROUND(SETTINGS!$B$8*1440,0)),1,0)</f>
        <v>0</v>
      </c>
      <c r="Z288" s="28" t="str">
        <f ca="1">IF(B288="","",IF(ROUND(MOD(SETTINGS!$B$4,1)*1440,0)&lt;ROUND(SETTINGS!$B$11*1440,0),"Ram",IF(ROUND(MOD(SETTINGS!$B$4,1)*1440,0)&gt;=ROUND(SETTINGS!$B$10*1440,0),"Shyam",IF(MOD(IFERROR(VALUE(RIGHT(F288,2)),0),2)=0,"Ram","Shyam"))))</f>
        <v>Shyam</v>
      </c>
      <c r="AA288" s="28">
        <f t="shared" ca="1" si="47"/>
        <v>0</v>
      </c>
      <c r="AB288" s="28">
        <f ca="1">IF(X288=1,COUNTIFS($F$2:F288,F288,$X$2:X288,1),0)</f>
        <v>0</v>
      </c>
      <c r="AC288" s="28" t="str">
        <f>IF(L288=1,IF(IFERROR(INDEX(PARTNERS!$C$2:$C$88,MATCH(B288,PARTNERS!$A$2:$A$88,0)),"")="YES","YES","NO"),"")</f>
        <v>YES</v>
      </c>
      <c r="AD288" s="28" t="str">
        <f>IF(L288=1,IFERROR(INDEX(PARTNERS!$B$2:$B$88,MATCH(B288,PARTNERS!$A$2:$A$88,0)),""),"")</f>
        <v>https://calendly.com/partner018/interview</v>
      </c>
      <c r="AE288" s="28">
        <f ca="1">IF(X288=1,IFERROR(INDEX(SETTINGS!$B$34:$D$36,MATCH(I288,SETTINGS!$A$34:$A$36,0),MIN(Q288,2)+1),SETTINGS!$B$36),0)</f>
        <v>0</v>
      </c>
      <c r="AF288" s="28">
        <f t="shared" si="48"/>
        <v>1</v>
      </c>
      <c r="AG288" s="28">
        <f ca="1">IF(AND(Y288=1,AB288=1),ROUND(AA288*AE288*IF(AF288&gt;1,SETTINGS!$B$16,1)*IF(W288&lt;=SETTINGS!$B$14,SETTINGS!$B$15,1)*IF(AU288=1,SETTINGS!$B$21,1),6),0)</f>
        <v>0</v>
      </c>
      <c r="AH288" s="28" t="str">
        <f ca="1">IF(AG288&gt;0,COUNTIFS($Z$2:$Z$601,Z288,$AG$2:$AG$601,"&gt;"&amp;AG288)+COUNTIFS($Z$2:Z288,Z288,$AG$2:AG288,AG288),"")</f>
        <v/>
      </c>
      <c r="AI288" s="28" t="str">
        <f t="shared" ca="1" si="49"/>
        <v/>
      </c>
      <c r="AJ288" s="28" t="str">
        <f t="shared" ca="1" si="50"/>
        <v/>
      </c>
      <c r="AK288" s="28">
        <f>IF(L288=1,IF(COUNTIFS($F$2:F288,F288,$L$2:L288,1)=1,1,0),0)</f>
        <v>1</v>
      </c>
      <c r="AL288" s="28" t="str">
        <f ca="1">IF(B288="","",IF(K288="DUPLICATE","Duplicate (removed)",IF(AO288=1,"Scheduled within 24h",IF(M288=1,"Scheduled late",IF(K288="BAD CONTACT","Bad contact details",IF(O288=1,"Stopped / wrong number",IF(N288=1,"Not interested",IF(P288=1,"Partner has no slots",IF(SETTINGS!$B$4&gt;=V288,IF(Q288=0,"Missed deadline: never tried","Missed deadline: tried, not booked"),IF(Q288&gt;=SETTINGS!$B$6,"No reply after max tries","Open"))))))))))</f>
        <v>Missed deadline: never tried</v>
      </c>
      <c r="AM288" s="46" t="str">
        <f>IF(M288=1,IF(_xlfn.MINIFS(LOG!$G$2:$G$2001,LOG!$C$2:$C$2001,F288,LOG!$E$2:$E$2001,B288,LOG!$D$2:$D$2001,"*BOOKED")=0,_xlfn.MINIFS(LOG!$G$2:$G$2001,LOG!$C$2:$C$2001,F288,LOG!$E$2:$E$2001,"",LOG!$D$2:$D$2001,"*BOOKED"),IF(_xlfn.MINIFS(LOG!$G$2:$G$2001,LOG!$C$2:$C$2001,F288,LOG!$E$2:$E$2001,"",LOG!$D$2:$D$2001,"*BOOKED")=0,_xlfn.MINIFS(LOG!$G$2:$G$2001,LOG!$C$2:$C$2001,F288,LOG!$E$2:$E$2001,B288,LOG!$D$2:$D$2001,"*BOOKED"),MIN(_xlfn.MINIFS(LOG!$G$2:$G$2001,LOG!$C$2:$C$2001,F288,LOG!$E$2:$E$2001,B288,LOG!$D$2:$D$2001,"*BOOKED"),_xlfn.MINIFS(LOG!$G$2:$G$2001,LOG!$C$2:$C$2001,F288,LOG!$E$2:$E$2001,"",LOG!$D$2:$D$2001,"*BOOKED")))),"")</f>
        <v/>
      </c>
      <c r="AN288" s="28" t="str">
        <f t="shared" si="51"/>
        <v/>
      </c>
      <c r="AO288" s="28">
        <f>IF(AND(M288=1,AN288&lt;&gt;""),IF(AN288&lt;=SETTINGS!$B$5,1,0),0)</f>
        <v>0</v>
      </c>
      <c r="AP288" s="28">
        <f>IF(M288=1,IF(COUNTIFS(LOG!$C$2:$C$2001,F288,LOG!$E$2:$E$2001,B288,LOG!$D$2:$D$2001,"BOOKED")+COUNTIFS(LOG!$C$2:$C$2001,F288,LOG!$E$2:$E$2001,"",LOG!$D$2:$D$2001,"BOOKED")&gt;0,1,0),0)</f>
        <v>0</v>
      </c>
      <c r="AQ288" s="28" t="str">
        <f t="shared" si="52"/>
        <v>Sneha</v>
      </c>
      <c r="AR288" s="28">
        <f>IF(AND(AK288=1,K288="OK"),COUNTIFS($AK$2:AK288,1,$K$2:K288,"OK"),"")</f>
        <v>251</v>
      </c>
      <c r="AS288" s="28" t="str">
        <f>IF(L288=1,IFERROR(INDEX(MESSAGES!$J$9:$J$1008,MATCH(F288,MESSAGES!$M$9:$M$1008,0))&amp;"",""),"")</f>
        <v/>
      </c>
      <c r="AT288" s="28" t="str">
        <f>IF(L288=1,IFERROR(INDEX(MESSAGES!$K$9:$K$1008,MATCH(F288,MESSAGES!$M$9:$M$1008,0))&amp;"",""),"")</f>
        <v/>
      </c>
      <c r="AU288" s="28">
        <f t="shared" ca="1" si="53"/>
        <v>0</v>
      </c>
      <c r="AV288" s="28" t="str">
        <f t="shared" si="54"/>
        <v>HOLD</v>
      </c>
    </row>
    <row r="289" spans="1:48" x14ac:dyDescent="0.35">
      <c r="A289" s="28">
        <v>288</v>
      </c>
      <c r="B289" s="28" t="str">
        <f>IF(INPUT!A289="","",TRIM(INPUT!A289))</f>
        <v>Partner 000</v>
      </c>
      <c r="C289" s="28" t="str">
        <f>IF(B289="","",INPUT!C289)</f>
        <v>interviewer0@partner000.example.com</v>
      </c>
      <c r="D289" s="28" t="str">
        <f>IF(B289="","",INPUT!D289)</f>
        <v>Nisha L.</v>
      </c>
      <c r="E289" s="28" t="str">
        <f>IF(B289="","",INPUT!E289)</f>
        <v>nisha.l327@example.com</v>
      </c>
      <c r="F289" s="43" t="str">
        <f>IF(B289="","",TRIM(INPUT!F289&amp;""))</f>
        <v>9000004258</v>
      </c>
      <c r="G289" s="28" t="str">
        <f>IF(B289="","",INPUT!H289)</f>
        <v>Round1</v>
      </c>
      <c r="H289" s="46">
        <f>IF(B289="","",INPUT!I289)</f>
        <v>46308.82708333333</v>
      </c>
      <c r="I289" s="28" t="str">
        <f>IF(B289="","",IF(INPUT!J289="","None",INPUT!J289))</f>
        <v>Opened</v>
      </c>
      <c r="J289" s="28" t="str">
        <f t="shared" si="44"/>
        <v>nisha.l327@example.com|partner 000|Round1|interviewer0@partner000.example.com</v>
      </c>
      <c r="K289" s="28" t="str">
        <f>IF(B289="","",IF(SUMPRODUCT(($J$2:$J$601=J289)*($H$2:$H$601&lt;H289))+SUMPRODUCT(($J$2:J289=J289)*($H$2:H289=H289))-1&gt;0,"DUPLICATE",IF(AND(ISNUMBER(SEARCH("@",E289)),ISNUMBER(SEARCH(".",E289)),LEN(F289)=10,ISNUMBER(VALUE(F289))),"OK","BAD CONTACT")))</f>
        <v>OK</v>
      </c>
      <c r="L289" s="28">
        <f t="shared" si="45"/>
        <v>1</v>
      </c>
      <c r="M289" s="28">
        <f>IF(L289=1,IF(COUNTIFS(LOG!$C$2:$C$2001,F289,LOG!$E$2:$E$2001,B289,LOG!$D$2:$D$2001,"*BOOKED")+COUNTIFS(LOG!$C$2:$C$2001,F289,LOG!$E$2:$E$2001,"",LOG!$D$2:$D$2001,"*BOOKED")&gt;0,1,0),0)</f>
        <v>0</v>
      </c>
      <c r="N289" s="28">
        <f>IF(L289=1,IF(COUNTIFS(LOG!$C$2:$C$2001,F289,LOG!$E$2:$E$2001,B289,LOG!$D$2:$D$2001,"NOT_INTERESTED")+COUNTIFS(LOG!$C$2:$C$2001,F289,LOG!$E$2:$E$2001,"",LOG!$D$2:$D$2001,"NOT_INTERESTED")&gt;0,1,0),0)</f>
        <v>0</v>
      </c>
      <c r="O289" s="28">
        <f>IF(L289=1,IF(COUNTIFS(LOG!$C$2:$C$2001,F289,LOG!$D$2:$D$2001,"STOP")+COUNTIFS(LOG!$C$2:$C$2001,F289,LOG!$D$2:$D$2001,"WRONG_NUMBER")&gt;0,1,IF(ISNUMBER(SEARCH("STOP",AT289)),1,0)),0)</f>
        <v>0</v>
      </c>
      <c r="P289" s="28">
        <f>IF(L289=1,IF(IFERROR(INDEX(PARTNERS!$D$2:$D$88,MATCH(B289,PARTNERS!$A$2:$A$88,0)),"")="NO SLOTS",1,IF(AND(IFERROR(INDEX(PARTNERS!$D$2:$D$88,MATCH(B289,PARTNERS!$A$2:$A$88,0)),"")&lt;&gt;"REOPENED",COUNTIFS(LOG!$E$2:$E$2001,B289,LOG!$D$2:$D$2001,"NO_SLOTS")&gt;0),1,0)),0)</f>
        <v>0</v>
      </c>
      <c r="Q289" s="28">
        <f>IF(L289=1,COUNTIFS(LOG!$C$2:$C$2001,F289,LOG!$H$2:$H$2001,1),0)</f>
        <v>0</v>
      </c>
      <c r="R289" s="46">
        <f>IF(Q289&gt;0,_xlfn.MAXIFS(LOG!$G$2:$G$2001,LOG!$C$2:$C$2001,F289,LOG!$H$2:$H$2001,1),0)</f>
        <v>0</v>
      </c>
      <c r="S289" s="28" t="str">
        <f>IF(Q289&gt;0,IFERROR(INDEX(LOG!$D$2:$D$2001,MATCH(F289&amp;"|"&amp;Q289,LOG!$I$2:$I$2001,0)),""),"")</f>
        <v/>
      </c>
      <c r="T289" s="28">
        <f>IF(S289="",0,IFERROR(VLOOKUP(S289,LISTS!$A$2:$E$10,4,FALSE),0))</f>
        <v>0</v>
      </c>
      <c r="U289" s="46">
        <f t="shared" si="46"/>
        <v>0</v>
      </c>
      <c r="V289" s="46">
        <f>IF(L289=1,H289+SETTINGS!$B$5/24,"")</f>
        <v>46309.82708333333</v>
      </c>
      <c r="W289" s="28">
        <f ca="1">IF(L289=1,(V289-SETTINGS!$B$4)*24,"")</f>
        <v>-1.6666666720993817E-2</v>
      </c>
      <c r="X289" s="28">
        <f ca="1">IF(AND(L289=1,K289="OK",M289=0,N289=0,O289=0,P289=0,SETTINGS!$B$4&lt;V289,Q289&lt;SETTINGS!$B$6),1,0)</f>
        <v>0</v>
      </c>
      <c r="Y289" s="28">
        <f ca="1">IF(AND(X289=1,SETTINGS!$B$4&gt;=H289,SETTINGS!$B$4&gt;=U289,ROUND(MOD(SETTINGS!$B$4,1)*1440,0)&gt;=ROUND(SETTINGS!$B$7*1440,0),ROUND(MOD(SETTINGS!$B$4,1)*1440,0)&lt;ROUND(SETTINGS!$B$8*1440,0)),1,0)</f>
        <v>0</v>
      </c>
      <c r="Z289" s="28" t="str">
        <f ca="1">IF(B289="","",IF(ROUND(MOD(SETTINGS!$B$4,1)*1440,0)&lt;ROUND(SETTINGS!$B$11*1440,0),"Ram",IF(ROUND(MOD(SETTINGS!$B$4,1)*1440,0)&gt;=ROUND(SETTINGS!$B$10*1440,0),"Shyam",IF(MOD(IFERROR(VALUE(RIGHT(F289,2)),0),2)=0,"Ram","Shyam"))))</f>
        <v>Shyam</v>
      </c>
      <c r="AA289" s="28">
        <f t="shared" ca="1" si="47"/>
        <v>0</v>
      </c>
      <c r="AB289" s="28">
        <f ca="1">IF(X289=1,COUNTIFS($F$2:F289,F289,$X$2:X289,1),0)</f>
        <v>0</v>
      </c>
      <c r="AC289" s="28" t="str">
        <f>IF(L289=1,IF(IFERROR(INDEX(PARTNERS!$C$2:$C$88,MATCH(B289,PARTNERS!$A$2:$A$88,0)),"")="YES","YES","NO"),"")</f>
        <v>NO</v>
      </c>
      <c r="AD289" s="28" t="str">
        <f>IF(L289=1,IFERROR(INDEX(PARTNERS!$B$2:$B$88,MATCH(B289,PARTNERS!$A$2:$A$88,0)),""),"")</f>
        <v>https://calendly.com/partner000/interview</v>
      </c>
      <c r="AE289" s="28">
        <f ca="1">IF(X289=1,IFERROR(INDEX(SETTINGS!$B$34:$D$36,MATCH(I289,SETTINGS!$A$34:$A$36,0),MIN(Q289,2)+1),SETTINGS!$B$36),0)</f>
        <v>0</v>
      </c>
      <c r="AF289" s="28">
        <f t="shared" si="48"/>
        <v>1</v>
      </c>
      <c r="AG289" s="28">
        <f ca="1">IF(AND(Y289=1,AB289=1),ROUND(AA289*AE289*IF(AF289&gt;1,SETTINGS!$B$16,1)*IF(W289&lt;=SETTINGS!$B$14,SETTINGS!$B$15,1)*IF(AU289=1,SETTINGS!$B$21,1),6),0)</f>
        <v>0</v>
      </c>
      <c r="AH289" s="28" t="str">
        <f ca="1">IF(AG289&gt;0,COUNTIFS($Z$2:$Z$601,Z289,$AG$2:$AG$601,"&gt;"&amp;AG289)+COUNTIFS($Z$2:Z289,Z289,$AG$2:AG289,AG289),"")</f>
        <v/>
      </c>
      <c r="AI289" s="28" t="str">
        <f t="shared" ca="1" si="49"/>
        <v/>
      </c>
      <c r="AJ289" s="28" t="str">
        <f t="shared" ca="1" si="50"/>
        <v/>
      </c>
      <c r="AK289" s="28">
        <f>IF(L289=1,IF(COUNTIFS($F$2:F289,F289,$L$2:L289,1)=1,1,0),0)</f>
        <v>1</v>
      </c>
      <c r="AL289" s="28" t="str">
        <f ca="1">IF(B289="","",IF(K289="DUPLICATE","Duplicate (removed)",IF(AO289=1,"Scheduled within 24h",IF(M289=1,"Scheduled late",IF(K289="BAD CONTACT","Bad contact details",IF(O289=1,"Stopped / wrong number",IF(N289=1,"Not interested",IF(P289=1,"Partner has no slots",IF(SETTINGS!$B$4&gt;=V289,IF(Q289=0,"Missed deadline: never tried","Missed deadline: tried, not booked"),IF(Q289&gt;=SETTINGS!$B$6,"No reply after max tries","Open"))))))))))</f>
        <v>Missed deadline: never tried</v>
      </c>
      <c r="AM289" s="46" t="str">
        <f>IF(M289=1,IF(_xlfn.MINIFS(LOG!$G$2:$G$2001,LOG!$C$2:$C$2001,F289,LOG!$E$2:$E$2001,B289,LOG!$D$2:$D$2001,"*BOOKED")=0,_xlfn.MINIFS(LOG!$G$2:$G$2001,LOG!$C$2:$C$2001,F289,LOG!$E$2:$E$2001,"",LOG!$D$2:$D$2001,"*BOOKED"),IF(_xlfn.MINIFS(LOG!$G$2:$G$2001,LOG!$C$2:$C$2001,F289,LOG!$E$2:$E$2001,"",LOG!$D$2:$D$2001,"*BOOKED")=0,_xlfn.MINIFS(LOG!$G$2:$G$2001,LOG!$C$2:$C$2001,F289,LOG!$E$2:$E$2001,B289,LOG!$D$2:$D$2001,"*BOOKED"),MIN(_xlfn.MINIFS(LOG!$G$2:$G$2001,LOG!$C$2:$C$2001,F289,LOG!$E$2:$E$2001,B289,LOG!$D$2:$D$2001,"*BOOKED"),_xlfn.MINIFS(LOG!$G$2:$G$2001,LOG!$C$2:$C$2001,F289,LOG!$E$2:$E$2001,"",LOG!$D$2:$D$2001,"*BOOKED")))),"")</f>
        <v/>
      </c>
      <c r="AN289" s="28" t="str">
        <f t="shared" si="51"/>
        <v/>
      </c>
      <c r="AO289" s="28">
        <f>IF(AND(M289=1,AN289&lt;&gt;""),IF(AN289&lt;=SETTINGS!$B$5,1,0),0)</f>
        <v>0</v>
      </c>
      <c r="AP289" s="28">
        <f>IF(M289=1,IF(COUNTIFS(LOG!$C$2:$C$2001,F289,LOG!$E$2:$E$2001,B289,LOG!$D$2:$D$2001,"BOOKED")+COUNTIFS(LOG!$C$2:$C$2001,F289,LOG!$E$2:$E$2001,"",LOG!$D$2:$D$2001,"BOOKED")&gt;0,1,0),0)</f>
        <v>0</v>
      </c>
      <c r="AQ289" s="28" t="str">
        <f t="shared" si="52"/>
        <v>Nisha</v>
      </c>
      <c r="AR289" s="28">
        <f>IF(AND(AK289=1,K289="OK"),COUNTIFS($AK$2:AK289,1,$K$2:K289,"OK"),"")</f>
        <v>252</v>
      </c>
      <c r="AS289" s="28" t="str">
        <f>IF(L289=1,IFERROR(INDEX(MESSAGES!$J$9:$J$1008,MATCH(F289,MESSAGES!$M$9:$M$1008,0))&amp;"",""),"")</f>
        <v/>
      </c>
      <c r="AT289" s="28" t="str">
        <f>IF(L289=1,IFERROR(INDEX(MESSAGES!$K$9:$K$1008,MATCH(F289,MESSAGES!$M$9:$M$1008,0))&amp;"",""),"")</f>
        <v/>
      </c>
      <c r="AU289" s="28">
        <f t="shared" ca="1" si="53"/>
        <v>0</v>
      </c>
      <c r="AV289" s="28" t="str">
        <f t="shared" si="54"/>
        <v>HOLD</v>
      </c>
    </row>
    <row r="290" spans="1:48" x14ac:dyDescent="0.35">
      <c r="A290" s="28">
        <v>289</v>
      </c>
      <c r="B290" s="28" t="str">
        <f>IF(INPUT!A290="","",TRIM(INPUT!A290))</f>
        <v>Partner 032</v>
      </c>
      <c r="C290" s="28" t="str">
        <f>IF(B290="","",INPUT!C290)</f>
        <v>interviewer2@partner032.example.com</v>
      </c>
      <c r="D290" s="28" t="str">
        <f>IF(B290="","",INPUT!D290)</f>
        <v>Dev B.</v>
      </c>
      <c r="E290" s="28" t="str">
        <f>IF(B290="","",INPUT!E290)</f>
        <v>dev.b042@example.com</v>
      </c>
      <c r="F290" s="43" t="str">
        <f>IF(B290="","",TRIM(INPUT!F290&amp;""))</f>
        <v>9000000553</v>
      </c>
      <c r="G290" s="28" t="str">
        <f>IF(B290="","",INPUT!H290)</f>
        <v>Round1</v>
      </c>
      <c r="H290" s="46">
        <f>IF(B290="","",INPUT!I290)</f>
        <v>46308.82708333333</v>
      </c>
      <c r="I290" s="28" t="str">
        <f>IF(B290="","",IF(INPUT!J290="","None",INPUT!J290))</f>
        <v>Clicked</v>
      </c>
      <c r="J290" s="28" t="str">
        <f t="shared" si="44"/>
        <v>dev.b042@example.com|partner 032|Round1|interviewer2@partner032.example.com</v>
      </c>
      <c r="K290" s="28" t="str">
        <f>IF(B290="","",IF(SUMPRODUCT(($J$2:$J$601=J290)*($H$2:$H$601&lt;H290))+SUMPRODUCT(($J$2:J290=J290)*($H$2:H290=H290))-1&gt;0,"DUPLICATE",IF(AND(ISNUMBER(SEARCH("@",E290)),ISNUMBER(SEARCH(".",E290)),LEN(F290)=10,ISNUMBER(VALUE(F290))),"OK","BAD CONTACT")))</f>
        <v>OK</v>
      </c>
      <c r="L290" s="28">
        <f t="shared" si="45"/>
        <v>1</v>
      </c>
      <c r="M290" s="28">
        <f>IF(L290=1,IF(COUNTIFS(LOG!$C$2:$C$2001,F290,LOG!$E$2:$E$2001,B290,LOG!$D$2:$D$2001,"*BOOKED")+COUNTIFS(LOG!$C$2:$C$2001,F290,LOG!$E$2:$E$2001,"",LOG!$D$2:$D$2001,"*BOOKED")&gt;0,1,0),0)</f>
        <v>1</v>
      </c>
      <c r="N290" s="28">
        <f>IF(L290=1,IF(COUNTIFS(LOG!$C$2:$C$2001,F290,LOG!$E$2:$E$2001,B290,LOG!$D$2:$D$2001,"NOT_INTERESTED")+COUNTIFS(LOG!$C$2:$C$2001,F290,LOG!$E$2:$E$2001,"",LOG!$D$2:$D$2001,"NOT_INTERESTED")&gt;0,1,0),0)</f>
        <v>0</v>
      </c>
      <c r="O290" s="28">
        <f>IF(L290=1,IF(COUNTIFS(LOG!$C$2:$C$2001,F290,LOG!$D$2:$D$2001,"STOP")+COUNTIFS(LOG!$C$2:$C$2001,F290,LOG!$D$2:$D$2001,"WRONG_NUMBER")&gt;0,1,IF(ISNUMBER(SEARCH("STOP",AT290)),1,0)),0)</f>
        <v>0</v>
      </c>
      <c r="P290" s="28">
        <f>IF(L290=1,IF(IFERROR(INDEX(PARTNERS!$D$2:$D$88,MATCH(B290,PARTNERS!$A$2:$A$88,0)),"")="NO SLOTS",1,IF(AND(IFERROR(INDEX(PARTNERS!$D$2:$D$88,MATCH(B290,PARTNERS!$A$2:$A$88,0)),"")&lt;&gt;"REOPENED",COUNTIFS(LOG!$E$2:$E$2001,B290,LOG!$D$2:$D$2001,"NO_SLOTS")&gt;0),1,0)),0)</f>
        <v>0</v>
      </c>
      <c r="Q290" s="28">
        <f>IF(L290=1,COUNTIFS(LOG!$C$2:$C$2001,F290,LOG!$H$2:$H$2001,1),0)</f>
        <v>0</v>
      </c>
      <c r="R290" s="46">
        <f>IF(Q290&gt;0,_xlfn.MAXIFS(LOG!$G$2:$G$2001,LOG!$C$2:$C$2001,F290,LOG!$H$2:$H$2001,1),0)</f>
        <v>0</v>
      </c>
      <c r="S290" s="28" t="str">
        <f>IF(Q290&gt;0,IFERROR(INDEX(LOG!$D$2:$D$2001,MATCH(F290&amp;"|"&amp;Q290,LOG!$I$2:$I$2001,0)),""),"")</f>
        <v/>
      </c>
      <c r="T290" s="28">
        <f>IF(S290="",0,IFERROR(VLOOKUP(S290,LISTS!$A$2:$E$10,4,FALSE),0))</f>
        <v>0</v>
      </c>
      <c r="U290" s="46">
        <f t="shared" si="46"/>
        <v>0</v>
      </c>
      <c r="V290" s="46">
        <f>IF(L290=1,H290+SETTINGS!$B$5/24,"")</f>
        <v>46309.82708333333</v>
      </c>
      <c r="W290" s="28">
        <f ca="1">IF(L290=1,(V290-SETTINGS!$B$4)*24,"")</f>
        <v>-1.6666666720993817E-2</v>
      </c>
      <c r="X290" s="28">
        <f ca="1">IF(AND(L290=1,K290="OK",M290=0,N290=0,O290=0,P290=0,SETTINGS!$B$4&lt;V290,Q290&lt;SETTINGS!$B$6),1,0)</f>
        <v>0</v>
      </c>
      <c r="Y290" s="28">
        <f ca="1">IF(AND(X290=1,SETTINGS!$B$4&gt;=H290,SETTINGS!$B$4&gt;=U290,ROUND(MOD(SETTINGS!$B$4,1)*1440,0)&gt;=ROUND(SETTINGS!$B$7*1440,0),ROUND(MOD(SETTINGS!$B$4,1)*1440,0)&lt;ROUND(SETTINGS!$B$8*1440,0)),1,0)</f>
        <v>0</v>
      </c>
      <c r="Z290" s="28" t="str">
        <f ca="1">IF(B290="","",IF(ROUND(MOD(SETTINGS!$B$4,1)*1440,0)&lt;ROUND(SETTINGS!$B$11*1440,0),"Ram",IF(ROUND(MOD(SETTINGS!$B$4,1)*1440,0)&gt;=ROUND(SETTINGS!$B$10*1440,0),"Shyam",IF(MOD(IFERROR(VALUE(RIGHT(F290,2)),0),2)=0,"Ram","Shyam"))))</f>
        <v>Shyam</v>
      </c>
      <c r="AA290" s="28">
        <f t="shared" ca="1" si="47"/>
        <v>0</v>
      </c>
      <c r="AB290" s="28">
        <f ca="1">IF(X290=1,COUNTIFS($F$2:F290,F290,$X$2:X290,1),0)</f>
        <v>0</v>
      </c>
      <c r="AC290" s="28" t="str">
        <f>IF(L290=1,IF(IFERROR(INDEX(PARTNERS!$C$2:$C$88,MATCH(B290,PARTNERS!$A$2:$A$88,0)),"")="YES","YES","NO"),"")</f>
        <v>YES</v>
      </c>
      <c r="AD290" s="28" t="str">
        <f>IF(L290=1,IFERROR(INDEX(PARTNERS!$B$2:$B$88,MATCH(B290,PARTNERS!$A$2:$A$88,0)),""),"")</f>
        <v>https://calendly.com/partner032/interview</v>
      </c>
      <c r="AE290" s="28">
        <f ca="1">IF(X290=1,IFERROR(INDEX(SETTINGS!$B$34:$D$36,MATCH(I290,SETTINGS!$A$34:$A$36,0),MIN(Q290,2)+1),SETTINGS!$B$36),0)</f>
        <v>0</v>
      </c>
      <c r="AF290" s="28">
        <f t="shared" si="48"/>
        <v>1</v>
      </c>
      <c r="AG290" s="28">
        <f ca="1">IF(AND(Y290=1,AB290=1),ROUND(AA290*AE290*IF(AF290&gt;1,SETTINGS!$B$16,1)*IF(W290&lt;=SETTINGS!$B$14,SETTINGS!$B$15,1)*IF(AU290=1,SETTINGS!$B$21,1),6),0)</f>
        <v>0</v>
      </c>
      <c r="AH290" s="28" t="str">
        <f ca="1">IF(AG290&gt;0,COUNTIFS($Z$2:$Z$601,Z290,$AG$2:$AG$601,"&gt;"&amp;AG290)+COUNTIFS($Z$2:Z290,Z290,$AG$2:AG290,AG290),"")</f>
        <v/>
      </c>
      <c r="AI290" s="28" t="str">
        <f t="shared" ca="1" si="49"/>
        <v/>
      </c>
      <c r="AJ290" s="28" t="str">
        <f t="shared" ca="1" si="50"/>
        <v/>
      </c>
      <c r="AK290" s="28">
        <f>IF(L290=1,IF(COUNTIFS($F$2:F290,F290,$L$2:L290,1)=1,1,0),0)</f>
        <v>1</v>
      </c>
      <c r="AL290" s="28" t="str">
        <f>IF(B290="","",IF(K290="DUPLICATE","Duplicate (removed)",IF(AO290=1,"Scheduled within 24h",IF(M290=1,"Scheduled late",IF(K290="BAD CONTACT","Bad contact details",IF(O290=1,"Stopped / wrong number",IF(N290=1,"Not interested",IF(P290=1,"Partner has no slots",IF(SETTINGS!$B$4&gt;=V290,IF(Q290=0,"Missed deadline: never tried","Missed deadline: tried, not booked"),IF(Q290&gt;=SETTINGS!$B$6,"No reply after max tries","Open"))))))))))</f>
        <v>Scheduled within 24h</v>
      </c>
      <c r="AM290" s="46">
        <f>IF(M290=1,IF(_xlfn.MINIFS(LOG!$G$2:$G$2001,LOG!$C$2:$C$2001,F290,LOG!$E$2:$E$2001,B290,LOG!$D$2:$D$2001,"*BOOKED")=0,_xlfn.MINIFS(LOG!$G$2:$G$2001,LOG!$C$2:$C$2001,F290,LOG!$E$2:$E$2001,"",LOG!$D$2:$D$2001,"*BOOKED"),IF(_xlfn.MINIFS(LOG!$G$2:$G$2001,LOG!$C$2:$C$2001,F290,LOG!$E$2:$E$2001,"",LOG!$D$2:$D$2001,"*BOOKED")=0,_xlfn.MINIFS(LOG!$G$2:$G$2001,LOG!$C$2:$C$2001,F290,LOG!$E$2:$E$2001,B290,LOG!$D$2:$D$2001,"*BOOKED"),MIN(_xlfn.MINIFS(LOG!$G$2:$G$2001,LOG!$C$2:$C$2001,F290,LOG!$E$2:$E$2001,B290,LOG!$D$2:$D$2001,"*BOOKED"),_xlfn.MINIFS(LOG!$G$2:$G$2001,LOG!$C$2:$C$2001,F290,LOG!$E$2:$E$2001,"",LOG!$D$2:$D$2001,"*BOOKED")))),"")</f>
        <v>46308.92606855859</v>
      </c>
      <c r="AN290" s="28">
        <f t="shared" si="51"/>
        <v>2.3756454062531702</v>
      </c>
      <c r="AO290" s="28">
        <f>IF(AND(M290=1,AN290&lt;&gt;""),IF(AN290&lt;=SETTINGS!$B$5,1,0),0)</f>
        <v>1</v>
      </c>
      <c r="AP290" s="28">
        <f>IF(M290=1,IF(COUNTIFS(LOG!$C$2:$C$2001,F290,LOG!$E$2:$E$2001,B290,LOG!$D$2:$D$2001,"BOOKED")+COUNTIFS(LOG!$C$2:$C$2001,F290,LOG!$E$2:$E$2001,"",LOG!$D$2:$D$2001,"BOOKED")&gt;0,1,0),0)</f>
        <v>0</v>
      </c>
      <c r="AQ290" s="28" t="str">
        <f t="shared" si="52"/>
        <v>Dev</v>
      </c>
      <c r="AR290" s="28">
        <f>IF(AND(AK290=1,K290="OK"),COUNTIFS($AK$2:AK290,1,$K$2:K290,"OK"),"")</f>
        <v>253</v>
      </c>
      <c r="AS290" s="28" t="str">
        <f>IF(L290=1,IFERROR(INDEX(MESSAGES!$J$9:$J$1008,MATCH(F290,MESSAGES!$M$9:$M$1008,0))&amp;"",""),"")</f>
        <v/>
      </c>
      <c r="AT290" s="28" t="str">
        <f>IF(L290=1,IFERROR(INDEX(MESSAGES!$K$9:$K$1008,MATCH(F290,MESSAGES!$M$9:$M$1008,0))&amp;"",""),"")</f>
        <v/>
      </c>
      <c r="AU290" s="28">
        <f t="shared" ca="1" si="53"/>
        <v>0</v>
      </c>
      <c r="AV290" s="28" t="str">
        <f t="shared" si="54"/>
        <v>HOLD</v>
      </c>
    </row>
    <row r="291" spans="1:48" x14ac:dyDescent="0.35">
      <c r="A291" s="28">
        <v>290</v>
      </c>
      <c r="B291" s="28" t="str">
        <f>IF(INPUT!A291="","",TRIM(INPUT!A291))</f>
        <v>Partner 008</v>
      </c>
      <c r="C291" s="28" t="str">
        <f>IF(B291="","",INPUT!C291)</f>
        <v>interviewer0@partner008.example.com</v>
      </c>
      <c r="D291" s="28" t="str">
        <f>IF(B291="","",INPUT!D291)</f>
        <v>Aditya D.</v>
      </c>
      <c r="E291" s="28" t="str">
        <f>IF(B291="","",INPUT!E291)</f>
        <v>aditya.d112@example.com</v>
      </c>
      <c r="F291" s="43" t="str">
        <f>IF(B291="","",TRIM(INPUT!F291&amp;""))</f>
        <v>9000001463</v>
      </c>
      <c r="G291" s="28" t="str">
        <f>IF(B291="","",INPUT!H291)</f>
        <v>Round1</v>
      </c>
      <c r="H291" s="46">
        <f>IF(B291="","",INPUT!I291)</f>
        <v>46308.82708333333</v>
      </c>
      <c r="I291" s="28" t="str">
        <f>IF(B291="","",IF(INPUT!J291="","None",INPUT!J291))</f>
        <v>Opened</v>
      </c>
      <c r="J291" s="28" t="str">
        <f t="shared" si="44"/>
        <v>aditya.d112@example.com|partner 008|Round1|interviewer0@partner008.example.com</v>
      </c>
      <c r="K291" s="28" t="str">
        <f>IF(B291="","",IF(SUMPRODUCT(($J$2:$J$601=J291)*($H$2:$H$601&lt;H291))+SUMPRODUCT(($J$2:J291=J291)*($H$2:H291=H291))-1&gt;0,"DUPLICATE",IF(AND(ISNUMBER(SEARCH("@",E291)),ISNUMBER(SEARCH(".",E291)),LEN(F291)=10,ISNUMBER(VALUE(F291))),"OK","BAD CONTACT")))</f>
        <v>OK</v>
      </c>
      <c r="L291" s="28">
        <f t="shared" si="45"/>
        <v>1</v>
      </c>
      <c r="M291" s="28">
        <f>IF(L291=1,IF(COUNTIFS(LOG!$C$2:$C$2001,F291,LOG!$E$2:$E$2001,B291,LOG!$D$2:$D$2001,"*BOOKED")+COUNTIFS(LOG!$C$2:$C$2001,F291,LOG!$E$2:$E$2001,"",LOG!$D$2:$D$2001,"*BOOKED")&gt;0,1,0),0)</f>
        <v>0</v>
      </c>
      <c r="N291" s="28">
        <f>IF(L291=1,IF(COUNTIFS(LOG!$C$2:$C$2001,F291,LOG!$E$2:$E$2001,B291,LOG!$D$2:$D$2001,"NOT_INTERESTED")+COUNTIFS(LOG!$C$2:$C$2001,F291,LOG!$E$2:$E$2001,"",LOG!$D$2:$D$2001,"NOT_INTERESTED")&gt;0,1,0),0)</f>
        <v>0</v>
      </c>
      <c r="O291" s="28">
        <f>IF(L291=1,IF(COUNTIFS(LOG!$C$2:$C$2001,F291,LOG!$D$2:$D$2001,"STOP")+COUNTIFS(LOG!$C$2:$C$2001,F291,LOG!$D$2:$D$2001,"WRONG_NUMBER")&gt;0,1,IF(ISNUMBER(SEARCH("STOP",AT291)),1,0)),0)</f>
        <v>0</v>
      </c>
      <c r="P291" s="28">
        <f>IF(L291=1,IF(IFERROR(INDEX(PARTNERS!$D$2:$D$88,MATCH(B291,PARTNERS!$A$2:$A$88,0)),"")="NO SLOTS",1,IF(AND(IFERROR(INDEX(PARTNERS!$D$2:$D$88,MATCH(B291,PARTNERS!$A$2:$A$88,0)),"")&lt;&gt;"REOPENED",COUNTIFS(LOG!$E$2:$E$2001,B291,LOG!$D$2:$D$2001,"NO_SLOTS")&gt;0),1,0)),0)</f>
        <v>0</v>
      </c>
      <c r="Q291" s="28">
        <f>IF(L291=1,COUNTIFS(LOG!$C$2:$C$2001,F291,LOG!$H$2:$H$2001,1),0)</f>
        <v>0</v>
      </c>
      <c r="R291" s="46">
        <f>IF(Q291&gt;0,_xlfn.MAXIFS(LOG!$G$2:$G$2001,LOG!$C$2:$C$2001,F291,LOG!$H$2:$H$2001,1),0)</f>
        <v>0</v>
      </c>
      <c r="S291" s="28" t="str">
        <f>IF(Q291&gt;0,IFERROR(INDEX(LOG!$D$2:$D$2001,MATCH(F291&amp;"|"&amp;Q291,LOG!$I$2:$I$2001,0)),""),"")</f>
        <v/>
      </c>
      <c r="T291" s="28">
        <f>IF(S291="",0,IFERROR(VLOOKUP(S291,LISTS!$A$2:$E$10,4,FALSE),0))</f>
        <v>0</v>
      </c>
      <c r="U291" s="46">
        <f t="shared" si="46"/>
        <v>0</v>
      </c>
      <c r="V291" s="46">
        <f>IF(L291=1,H291+SETTINGS!$B$5/24,"")</f>
        <v>46309.82708333333</v>
      </c>
      <c r="W291" s="28">
        <f ca="1">IF(L291=1,(V291-SETTINGS!$B$4)*24,"")</f>
        <v>-1.6666666720993817E-2</v>
      </c>
      <c r="X291" s="28">
        <f ca="1">IF(AND(L291=1,K291="OK",M291=0,N291=0,O291=0,P291=0,SETTINGS!$B$4&lt;V291,Q291&lt;SETTINGS!$B$6),1,0)</f>
        <v>0</v>
      </c>
      <c r="Y291" s="28">
        <f ca="1">IF(AND(X291=1,SETTINGS!$B$4&gt;=H291,SETTINGS!$B$4&gt;=U291,ROUND(MOD(SETTINGS!$B$4,1)*1440,0)&gt;=ROUND(SETTINGS!$B$7*1440,0),ROUND(MOD(SETTINGS!$B$4,1)*1440,0)&lt;ROUND(SETTINGS!$B$8*1440,0)),1,0)</f>
        <v>0</v>
      </c>
      <c r="Z291" s="28" t="str">
        <f ca="1">IF(B291="","",IF(ROUND(MOD(SETTINGS!$B$4,1)*1440,0)&lt;ROUND(SETTINGS!$B$11*1440,0),"Ram",IF(ROUND(MOD(SETTINGS!$B$4,1)*1440,0)&gt;=ROUND(SETTINGS!$B$10*1440,0),"Shyam",IF(MOD(IFERROR(VALUE(RIGHT(F291,2)),0),2)=0,"Ram","Shyam"))))</f>
        <v>Shyam</v>
      </c>
      <c r="AA291" s="28">
        <f t="shared" ca="1" si="47"/>
        <v>0</v>
      </c>
      <c r="AB291" s="28">
        <f ca="1">IF(X291=1,COUNTIFS($F$2:F291,F291,$X$2:X291,1),0)</f>
        <v>0</v>
      </c>
      <c r="AC291" s="28" t="str">
        <f>IF(L291=1,IF(IFERROR(INDEX(PARTNERS!$C$2:$C$88,MATCH(B291,PARTNERS!$A$2:$A$88,0)),"")="YES","YES","NO"),"")</f>
        <v>YES</v>
      </c>
      <c r="AD291" s="28" t="str">
        <f>IF(L291=1,IFERROR(INDEX(PARTNERS!$B$2:$B$88,MATCH(B291,PARTNERS!$A$2:$A$88,0)),""),"")</f>
        <v>https://calendly.com/partner008/interview</v>
      </c>
      <c r="AE291" s="28">
        <f ca="1">IF(X291=1,IFERROR(INDEX(SETTINGS!$B$34:$D$36,MATCH(I291,SETTINGS!$A$34:$A$36,0),MIN(Q291,2)+1),SETTINGS!$B$36),0)</f>
        <v>0</v>
      </c>
      <c r="AF291" s="28">
        <f t="shared" si="48"/>
        <v>1</v>
      </c>
      <c r="AG291" s="28">
        <f ca="1">IF(AND(Y291=1,AB291=1),ROUND(AA291*AE291*IF(AF291&gt;1,SETTINGS!$B$16,1)*IF(W291&lt;=SETTINGS!$B$14,SETTINGS!$B$15,1)*IF(AU291=1,SETTINGS!$B$21,1),6),0)</f>
        <v>0</v>
      </c>
      <c r="AH291" s="28" t="str">
        <f ca="1">IF(AG291&gt;0,COUNTIFS($Z$2:$Z$601,Z291,$AG$2:$AG$601,"&gt;"&amp;AG291)+COUNTIFS($Z$2:Z291,Z291,$AG$2:AG291,AG291),"")</f>
        <v/>
      </c>
      <c r="AI291" s="28" t="str">
        <f t="shared" ca="1" si="49"/>
        <v/>
      </c>
      <c r="AJ291" s="28" t="str">
        <f t="shared" ca="1" si="50"/>
        <v/>
      </c>
      <c r="AK291" s="28">
        <f>IF(L291=1,IF(COUNTIFS($F$2:F291,F291,$L$2:L291,1)=1,1,0),0)</f>
        <v>1</v>
      </c>
      <c r="AL291" s="28" t="str">
        <f ca="1">IF(B291="","",IF(K291="DUPLICATE","Duplicate (removed)",IF(AO291=1,"Scheduled within 24h",IF(M291=1,"Scheduled late",IF(K291="BAD CONTACT","Bad contact details",IF(O291=1,"Stopped / wrong number",IF(N291=1,"Not interested",IF(P291=1,"Partner has no slots",IF(SETTINGS!$B$4&gt;=V291,IF(Q291=0,"Missed deadline: never tried","Missed deadline: tried, not booked"),IF(Q291&gt;=SETTINGS!$B$6,"No reply after max tries","Open"))))))))))</f>
        <v>Missed deadline: never tried</v>
      </c>
      <c r="AM291" s="46" t="str">
        <f>IF(M291=1,IF(_xlfn.MINIFS(LOG!$G$2:$G$2001,LOG!$C$2:$C$2001,F291,LOG!$E$2:$E$2001,B291,LOG!$D$2:$D$2001,"*BOOKED")=0,_xlfn.MINIFS(LOG!$G$2:$G$2001,LOG!$C$2:$C$2001,F291,LOG!$E$2:$E$2001,"",LOG!$D$2:$D$2001,"*BOOKED"),IF(_xlfn.MINIFS(LOG!$G$2:$G$2001,LOG!$C$2:$C$2001,F291,LOG!$E$2:$E$2001,"",LOG!$D$2:$D$2001,"*BOOKED")=0,_xlfn.MINIFS(LOG!$G$2:$G$2001,LOG!$C$2:$C$2001,F291,LOG!$E$2:$E$2001,B291,LOG!$D$2:$D$2001,"*BOOKED"),MIN(_xlfn.MINIFS(LOG!$G$2:$G$2001,LOG!$C$2:$C$2001,F291,LOG!$E$2:$E$2001,B291,LOG!$D$2:$D$2001,"*BOOKED"),_xlfn.MINIFS(LOG!$G$2:$G$2001,LOG!$C$2:$C$2001,F291,LOG!$E$2:$E$2001,"",LOG!$D$2:$D$2001,"*BOOKED")))),"")</f>
        <v/>
      </c>
      <c r="AN291" s="28" t="str">
        <f t="shared" si="51"/>
        <v/>
      </c>
      <c r="AO291" s="28">
        <f>IF(AND(M291=1,AN291&lt;&gt;""),IF(AN291&lt;=SETTINGS!$B$5,1,0),0)</f>
        <v>0</v>
      </c>
      <c r="AP291" s="28">
        <f>IF(M291=1,IF(COUNTIFS(LOG!$C$2:$C$2001,F291,LOG!$E$2:$E$2001,B291,LOG!$D$2:$D$2001,"BOOKED")+COUNTIFS(LOG!$C$2:$C$2001,F291,LOG!$E$2:$E$2001,"",LOG!$D$2:$D$2001,"BOOKED")&gt;0,1,0),0)</f>
        <v>0</v>
      </c>
      <c r="AQ291" s="28" t="str">
        <f t="shared" si="52"/>
        <v>Aditya</v>
      </c>
      <c r="AR291" s="28">
        <f>IF(AND(AK291=1,K291="OK"),COUNTIFS($AK$2:AK291,1,$K$2:K291,"OK"),"")</f>
        <v>254</v>
      </c>
      <c r="AS291" s="28" t="str">
        <f>IF(L291=1,IFERROR(INDEX(MESSAGES!$J$9:$J$1008,MATCH(F291,MESSAGES!$M$9:$M$1008,0))&amp;"",""),"")</f>
        <v/>
      </c>
      <c r="AT291" s="28" t="str">
        <f>IF(L291=1,IFERROR(INDEX(MESSAGES!$K$9:$K$1008,MATCH(F291,MESSAGES!$M$9:$M$1008,0))&amp;"",""),"")</f>
        <v/>
      </c>
      <c r="AU291" s="28">
        <f t="shared" ca="1" si="53"/>
        <v>0</v>
      </c>
      <c r="AV291" s="28" t="str">
        <f t="shared" si="54"/>
        <v>SEND</v>
      </c>
    </row>
    <row r="292" spans="1:48" x14ac:dyDescent="0.35">
      <c r="A292" s="28">
        <v>291</v>
      </c>
      <c r="B292" s="28" t="str">
        <f>IF(INPUT!A292="","",TRIM(INPUT!A292))</f>
        <v>Partner 001</v>
      </c>
      <c r="C292" s="28" t="str">
        <f>IF(B292="","",INPUT!C292)</f>
        <v>interviewer1@partner001.example.com</v>
      </c>
      <c r="D292" s="28" t="str">
        <f>IF(B292="","",INPUT!D292)</f>
        <v>Saanvi C.</v>
      </c>
      <c r="E292" s="28" t="str">
        <f>IF(B292="","",INPUT!E292)</f>
        <v>saanvi.c069@example.com</v>
      </c>
      <c r="F292" s="43" t="str">
        <f>IF(B292="","",TRIM(INPUT!F292&amp;""))</f>
        <v>9000000904</v>
      </c>
      <c r="G292" s="28" t="str">
        <f>IF(B292="","",INPUT!H292)</f>
        <v>Round1</v>
      </c>
      <c r="H292" s="46">
        <f>IF(B292="","",INPUT!I292)</f>
        <v>46308.82708333333</v>
      </c>
      <c r="I292" s="28" t="str">
        <f>IF(B292="","",IF(INPUT!J292="","None",INPUT!J292))</f>
        <v>None</v>
      </c>
      <c r="J292" s="28" t="str">
        <f t="shared" si="44"/>
        <v>saanvi.c069@example.com|partner 001|Round1|interviewer1@partner001.example.com</v>
      </c>
      <c r="K292" s="28" t="str">
        <f>IF(B292="","",IF(SUMPRODUCT(($J$2:$J$601=J292)*($H$2:$H$601&lt;H292))+SUMPRODUCT(($J$2:J292=J292)*($H$2:H292=H292))-1&gt;0,"DUPLICATE",IF(AND(ISNUMBER(SEARCH("@",E292)),ISNUMBER(SEARCH(".",E292)),LEN(F292)=10,ISNUMBER(VALUE(F292))),"OK","BAD CONTACT")))</f>
        <v>OK</v>
      </c>
      <c r="L292" s="28">
        <f t="shared" si="45"/>
        <v>1</v>
      </c>
      <c r="M292" s="28">
        <f>IF(L292=1,IF(COUNTIFS(LOG!$C$2:$C$2001,F292,LOG!$E$2:$E$2001,B292,LOG!$D$2:$D$2001,"*BOOKED")+COUNTIFS(LOG!$C$2:$C$2001,F292,LOG!$E$2:$E$2001,"",LOG!$D$2:$D$2001,"*BOOKED")&gt;0,1,0),0)</f>
        <v>0</v>
      </c>
      <c r="N292" s="28">
        <f>IF(L292=1,IF(COUNTIFS(LOG!$C$2:$C$2001,F292,LOG!$E$2:$E$2001,B292,LOG!$D$2:$D$2001,"NOT_INTERESTED")+COUNTIFS(LOG!$C$2:$C$2001,F292,LOG!$E$2:$E$2001,"",LOG!$D$2:$D$2001,"NOT_INTERESTED")&gt;0,1,0),0)</f>
        <v>0</v>
      </c>
      <c r="O292" s="28">
        <f>IF(L292=1,IF(COUNTIFS(LOG!$C$2:$C$2001,F292,LOG!$D$2:$D$2001,"STOP")+COUNTIFS(LOG!$C$2:$C$2001,F292,LOG!$D$2:$D$2001,"WRONG_NUMBER")&gt;0,1,IF(ISNUMBER(SEARCH("STOP",AT292)),1,0)),0)</f>
        <v>0</v>
      </c>
      <c r="P292" s="28">
        <f>IF(L292=1,IF(IFERROR(INDEX(PARTNERS!$D$2:$D$88,MATCH(B292,PARTNERS!$A$2:$A$88,0)),"")="NO SLOTS",1,IF(AND(IFERROR(INDEX(PARTNERS!$D$2:$D$88,MATCH(B292,PARTNERS!$A$2:$A$88,0)),"")&lt;&gt;"REOPENED",COUNTIFS(LOG!$E$2:$E$2001,B292,LOG!$D$2:$D$2001,"NO_SLOTS")&gt;0),1,0)),0)</f>
        <v>0</v>
      </c>
      <c r="Q292" s="28">
        <f>IF(L292=1,COUNTIFS(LOG!$C$2:$C$2001,F292,LOG!$H$2:$H$2001,1),0)</f>
        <v>0</v>
      </c>
      <c r="R292" s="46">
        <f>IF(Q292&gt;0,_xlfn.MAXIFS(LOG!$G$2:$G$2001,LOG!$C$2:$C$2001,F292,LOG!$H$2:$H$2001,1),0)</f>
        <v>0</v>
      </c>
      <c r="S292" s="28" t="str">
        <f>IF(Q292&gt;0,IFERROR(INDEX(LOG!$D$2:$D$2001,MATCH(F292&amp;"|"&amp;Q292,LOG!$I$2:$I$2001,0)),""),"")</f>
        <v/>
      </c>
      <c r="T292" s="28">
        <f>IF(S292="",0,IFERROR(VLOOKUP(S292,LISTS!$A$2:$E$10,4,FALSE),0))</f>
        <v>0</v>
      </c>
      <c r="U292" s="46">
        <f t="shared" si="46"/>
        <v>0</v>
      </c>
      <c r="V292" s="46">
        <f>IF(L292=1,H292+SETTINGS!$B$5/24,"")</f>
        <v>46309.82708333333</v>
      </c>
      <c r="W292" s="28">
        <f ca="1">IF(L292=1,(V292-SETTINGS!$B$4)*24,"")</f>
        <v>-1.6666666720993817E-2</v>
      </c>
      <c r="X292" s="28">
        <f ca="1">IF(AND(L292=1,K292="OK",M292=0,N292=0,O292=0,P292=0,SETTINGS!$B$4&lt;V292,Q292&lt;SETTINGS!$B$6),1,0)</f>
        <v>0</v>
      </c>
      <c r="Y292" s="28">
        <f ca="1">IF(AND(X292=1,SETTINGS!$B$4&gt;=H292,SETTINGS!$B$4&gt;=U292,ROUND(MOD(SETTINGS!$B$4,1)*1440,0)&gt;=ROUND(SETTINGS!$B$7*1440,0),ROUND(MOD(SETTINGS!$B$4,1)*1440,0)&lt;ROUND(SETTINGS!$B$8*1440,0)),1,0)</f>
        <v>0</v>
      </c>
      <c r="Z292" s="28" t="str">
        <f ca="1">IF(B292="","",IF(ROUND(MOD(SETTINGS!$B$4,1)*1440,0)&lt;ROUND(SETTINGS!$B$11*1440,0),"Ram",IF(ROUND(MOD(SETTINGS!$B$4,1)*1440,0)&gt;=ROUND(SETTINGS!$B$10*1440,0),"Shyam",IF(MOD(IFERROR(VALUE(RIGHT(F292,2)),0),2)=0,"Ram","Shyam"))))</f>
        <v>Shyam</v>
      </c>
      <c r="AA292" s="28">
        <f t="shared" ca="1" si="47"/>
        <v>0</v>
      </c>
      <c r="AB292" s="28">
        <f ca="1">IF(X292=1,COUNTIFS($F$2:F292,F292,$X$2:X292,1),0)</f>
        <v>0</v>
      </c>
      <c r="AC292" s="28" t="str">
        <f>IF(L292=1,IF(IFERROR(INDEX(PARTNERS!$C$2:$C$88,MATCH(B292,PARTNERS!$A$2:$A$88,0)),"")="YES","YES","NO"),"")</f>
        <v>NO</v>
      </c>
      <c r="AD292" s="28" t="str">
        <f>IF(L292=1,IFERROR(INDEX(PARTNERS!$B$2:$B$88,MATCH(B292,PARTNERS!$A$2:$A$88,0)),""),"")</f>
        <v>https://calendly.com/partner001/interview</v>
      </c>
      <c r="AE292" s="28">
        <f ca="1">IF(X292=1,IFERROR(INDEX(SETTINGS!$B$34:$D$36,MATCH(I292,SETTINGS!$A$34:$A$36,0),MIN(Q292,2)+1),SETTINGS!$B$36),0)</f>
        <v>0</v>
      </c>
      <c r="AF292" s="28">
        <f t="shared" si="48"/>
        <v>1</v>
      </c>
      <c r="AG292" s="28">
        <f ca="1">IF(AND(Y292=1,AB292=1),ROUND(AA292*AE292*IF(AF292&gt;1,SETTINGS!$B$16,1)*IF(W292&lt;=SETTINGS!$B$14,SETTINGS!$B$15,1)*IF(AU292=1,SETTINGS!$B$21,1),6),0)</f>
        <v>0</v>
      </c>
      <c r="AH292" s="28" t="str">
        <f ca="1">IF(AG292&gt;0,COUNTIFS($Z$2:$Z$601,Z292,$AG$2:$AG$601,"&gt;"&amp;AG292)+COUNTIFS($Z$2:Z292,Z292,$AG$2:AG292,AG292),"")</f>
        <v/>
      </c>
      <c r="AI292" s="28" t="str">
        <f t="shared" ca="1" si="49"/>
        <v/>
      </c>
      <c r="AJ292" s="28" t="str">
        <f t="shared" ca="1" si="50"/>
        <v/>
      </c>
      <c r="AK292" s="28">
        <f>IF(L292=1,IF(COUNTIFS($F$2:F292,F292,$L$2:L292,1)=1,1,0),0)</f>
        <v>1</v>
      </c>
      <c r="AL292" s="28" t="str">
        <f ca="1">IF(B292="","",IF(K292="DUPLICATE","Duplicate (removed)",IF(AO292=1,"Scheduled within 24h",IF(M292=1,"Scheduled late",IF(K292="BAD CONTACT","Bad contact details",IF(O292=1,"Stopped / wrong number",IF(N292=1,"Not interested",IF(P292=1,"Partner has no slots",IF(SETTINGS!$B$4&gt;=V292,IF(Q292=0,"Missed deadline: never tried","Missed deadline: tried, not booked"),IF(Q292&gt;=SETTINGS!$B$6,"No reply after max tries","Open"))))))))))</f>
        <v>Missed deadline: never tried</v>
      </c>
      <c r="AM292" s="46" t="str">
        <f>IF(M292=1,IF(_xlfn.MINIFS(LOG!$G$2:$G$2001,LOG!$C$2:$C$2001,F292,LOG!$E$2:$E$2001,B292,LOG!$D$2:$D$2001,"*BOOKED")=0,_xlfn.MINIFS(LOG!$G$2:$G$2001,LOG!$C$2:$C$2001,F292,LOG!$E$2:$E$2001,"",LOG!$D$2:$D$2001,"*BOOKED"),IF(_xlfn.MINIFS(LOG!$G$2:$G$2001,LOG!$C$2:$C$2001,F292,LOG!$E$2:$E$2001,"",LOG!$D$2:$D$2001,"*BOOKED")=0,_xlfn.MINIFS(LOG!$G$2:$G$2001,LOG!$C$2:$C$2001,F292,LOG!$E$2:$E$2001,B292,LOG!$D$2:$D$2001,"*BOOKED"),MIN(_xlfn.MINIFS(LOG!$G$2:$G$2001,LOG!$C$2:$C$2001,F292,LOG!$E$2:$E$2001,B292,LOG!$D$2:$D$2001,"*BOOKED"),_xlfn.MINIFS(LOG!$G$2:$G$2001,LOG!$C$2:$C$2001,F292,LOG!$E$2:$E$2001,"",LOG!$D$2:$D$2001,"*BOOKED")))),"")</f>
        <v/>
      </c>
      <c r="AN292" s="28" t="str">
        <f t="shared" si="51"/>
        <v/>
      </c>
      <c r="AO292" s="28">
        <f>IF(AND(M292=1,AN292&lt;&gt;""),IF(AN292&lt;=SETTINGS!$B$5,1,0),0)</f>
        <v>0</v>
      </c>
      <c r="AP292" s="28">
        <f>IF(M292=1,IF(COUNTIFS(LOG!$C$2:$C$2001,F292,LOG!$E$2:$E$2001,B292,LOG!$D$2:$D$2001,"BOOKED")+COUNTIFS(LOG!$C$2:$C$2001,F292,LOG!$E$2:$E$2001,"",LOG!$D$2:$D$2001,"BOOKED")&gt;0,1,0),0)</f>
        <v>0</v>
      </c>
      <c r="AQ292" s="28" t="str">
        <f t="shared" si="52"/>
        <v>Saanvi</v>
      </c>
      <c r="AR292" s="28">
        <f>IF(AND(AK292=1,K292="OK"),COUNTIFS($AK$2:AK292,1,$K$2:K292,"OK"),"")</f>
        <v>255</v>
      </c>
      <c r="AS292" s="28" t="str">
        <f>IF(L292=1,IFERROR(INDEX(MESSAGES!$J$9:$J$1008,MATCH(F292,MESSAGES!$M$9:$M$1008,0))&amp;"",""),"")</f>
        <v/>
      </c>
      <c r="AT292" s="28" t="str">
        <f>IF(L292=1,IFERROR(INDEX(MESSAGES!$K$9:$K$1008,MATCH(F292,MESSAGES!$M$9:$M$1008,0))&amp;"",""),"")</f>
        <v/>
      </c>
      <c r="AU292" s="28">
        <f t="shared" ca="1" si="53"/>
        <v>0</v>
      </c>
      <c r="AV292" s="28" t="str">
        <f t="shared" si="54"/>
        <v>SEND</v>
      </c>
    </row>
    <row r="293" spans="1:48" x14ac:dyDescent="0.35">
      <c r="A293" s="28">
        <v>292</v>
      </c>
      <c r="B293" s="28" t="str">
        <f>IF(INPUT!A293="","",TRIM(INPUT!A293))</f>
        <v>Partner 001</v>
      </c>
      <c r="C293" s="28" t="str">
        <f>IF(B293="","",INPUT!C293)</f>
        <v>interviewer1@partner001.example.com</v>
      </c>
      <c r="D293" s="28" t="str">
        <f>IF(B293="","",INPUT!D293)</f>
        <v>Saanvi E.</v>
      </c>
      <c r="E293" s="28" t="str">
        <f>IF(B293="","",INPUT!E293)</f>
        <v>saanvi.e129@example.com</v>
      </c>
      <c r="F293" s="43" t="str">
        <f>IF(B293="","",TRIM(INPUT!F293&amp;""))</f>
        <v>9000001684</v>
      </c>
      <c r="G293" s="28" t="str">
        <f>IF(B293="","",INPUT!H293)</f>
        <v>Round1</v>
      </c>
      <c r="H293" s="46">
        <f>IF(B293="","",INPUT!I293)</f>
        <v>46308.82708333333</v>
      </c>
      <c r="I293" s="28" t="str">
        <f>IF(B293="","",IF(INPUT!J293="","None",INPUT!J293))</f>
        <v>Clicked</v>
      </c>
      <c r="J293" s="28" t="str">
        <f t="shared" si="44"/>
        <v>saanvi.e129@example.com|partner 001|Round1|interviewer1@partner001.example.com</v>
      </c>
      <c r="K293" s="28" t="str">
        <f>IF(B293="","",IF(SUMPRODUCT(($J$2:$J$601=J293)*($H$2:$H$601&lt;H293))+SUMPRODUCT(($J$2:J293=J293)*($H$2:H293=H293))-1&gt;0,"DUPLICATE",IF(AND(ISNUMBER(SEARCH("@",E293)),ISNUMBER(SEARCH(".",E293)),LEN(F293)=10,ISNUMBER(VALUE(F293))),"OK","BAD CONTACT")))</f>
        <v>OK</v>
      </c>
      <c r="L293" s="28">
        <f t="shared" si="45"/>
        <v>1</v>
      </c>
      <c r="M293" s="28">
        <f>IF(L293=1,IF(COUNTIFS(LOG!$C$2:$C$2001,F293,LOG!$E$2:$E$2001,B293,LOG!$D$2:$D$2001,"*BOOKED")+COUNTIFS(LOG!$C$2:$C$2001,F293,LOG!$E$2:$E$2001,"",LOG!$D$2:$D$2001,"*BOOKED")&gt;0,1,0),0)</f>
        <v>1</v>
      </c>
      <c r="N293" s="28">
        <f>IF(L293=1,IF(COUNTIFS(LOG!$C$2:$C$2001,F293,LOG!$E$2:$E$2001,B293,LOG!$D$2:$D$2001,"NOT_INTERESTED")+COUNTIFS(LOG!$C$2:$C$2001,F293,LOG!$E$2:$E$2001,"",LOG!$D$2:$D$2001,"NOT_INTERESTED")&gt;0,1,0),0)</f>
        <v>0</v>
      </c>
      <c r="O293" s="28">
        <f>IF(L293=1,IF(COUNTIFS(LOG!$C$2:$C$2001,F293,LOG!$D$2:$D$2001,"STOP")+COUNTIFS(LOG!$C$2:$C$2001,F293,LOG!$D$2:$D$2001,"WRONG_NUMBER")&gt;0,1,IF(ISNUMBER(SEARCH("STOP",AT293)),1,0)),0)</f>
        <v>0</v>
      </c>
      <c r="P293" s="28">
        <f>IF(L293=1,IF(IFERROR(INDEX(PARTNERS!$D$2:$D$88,MATCH(B293,PARTNERS!$A$2:$A$88,0)),"")="NO SLOTS",1,IF(AND(IFERROR(INDEX(PARTNERS!$D$2:$D$88,MATCH(B293,PARTNERS!$A$2:$A$88,0)),"")&lt;&gt;"REOPENED",COUNTIFS(LOG!$E$2:$E$2001,B293,LOG!$D$2:$D$2001,"NO_SLOTS")&gt;0),1,0)),0)</f>
        <v>0</v>
      </c>
      <c r="Q293" s="28">
        <f>IF(L293=1,COUNTIFS(LOG!$C$2:$C$2001,F293,LOG!$H$2:$H$2001,1),0)</f>
        <v>0</v>
      </c>
      <c r="R293" s="46">
        <f>IF(Q293&gt;0,_xlfn.MAXIFS(LOG!$G$2:$G$2001,LOG!$C$2:$C$2001,F293,LOG!$H$2:$H$2001,1),0)</f>
        <v>0</v>
      </c>
      <c r="S293" s="28" t="str">
        <f>IF(Q293&gt;0,IFERROR(INDEX(LOG!$D$2:$D$2001,MATCH(F293&amp;"|"&amp;Q293,LOG!$I$2:$I$2001,0)),""),"")</f>
        <v/>
      </c>
      <c r="T293" s="28">
        <f>IF(S293="",0,IFERROR(VLOOKUP(S293,LISTS!$A$2:$E$10,4,FALSE),0))</f>
        <v>0</v>
      </c>
      <c r="U293" s="46">
        <f t="shared" si="46"/>
        <v>0</v>
      </c>
      <c r="V293" s="46">
        <f>IF(L293=1,H293+SETTINGS!$B$5/24,"")</f>
        <v>46309.82708333333</v>
      </c>
      <c r="W293" s="28">
        <f ca="1">IF(L293=1,(V293-SETTINGS!$B$4)*24,"")</f>
        <v>-1.6666666720993817E-2</v>
      </c>
      <c r="X293" s="28">
        <f ca="1">IF(AND(L293=1,K293="OK",M293=0,N293=0,O293=0,P293=0,SETTINGS!$B$4&lt;V293,Q293&lt;SETTINGS!$B$6),1,0)</f>
        <v>0</v>
      </c>
      <c r="Y293" s="28">
        <f ca="1">IF(AND(X293=1,SETTINGS!$B$4&gt;=H293,SETTINGS!$B$4&gt;=U293,ROUND(MOD(SETTINGS!$B$4,1)*1440,0)&gt;=ROUND(SETTINGS!$B$7*1440,0),ROUND(MOD(SETTINGS!$B$4,1)*1440,0)&lt;ROUND(SETTINGS!$B$8*1440,0)),1,0)</f>
        <v>0</v>
      </c>
      <c r="Z293" s="28" t="str">
        <f ca="1">IF(B293="","",IF(ROUND(MOD(SETTINGS!$B$4,1)*1440,0)&lt;ROUND(SETTINGS!$B$11*1440,0),"Ram",IF(ROUND(MOD(SETTINGS!$B$4,1)*1440,0)&gt;=ROUND(SETTINGS!$B$10*1440,0),"Shyam",IF(MOD(IFERROR(VALUE(RIGHT(F293,2)),0),2)=0,"Ram","Shyam"))))</f>
        <v>Shyam</v>
      </c>
      <c r="AA293" s="28">
        <f t="shared" ca="1" si="47"/>
        <v>0</v>
      </c>
      <c r="AB293" s="28">
        <f ca="1">IF(X293=1,COUNTIFS($F$2:F293,F293,$X$2:X293,1),0)</f>
        <v>0</v>
      </c>
      <c r="AC293" s="28" t="str">
        <f>IF(L293=1,IF(IFERROR(INDEX(PARTNERS!$C$2:$C$88,MATCH(B293,PARTNERS!$A$2:$A$88,0)),"")="YES","YES","NO"),"")</f>
        <v>NO</v>
      </c>
      <c r="AD293" s="28" t="str">
        <f>IF(L293=1,IFERROR(INDEX(PARTNERS!$B$2:$B$88,MATCH(B293,PARTNERS!$A$2:$A$88,0)),""),"")</f>
        <v>https://calendly.com/partner001/interview</v>
      </c>
      <c r="AE293" s="28">
        <f ca="1">IF(X293=1,IFERROR(INDEX(SETTINGS!$B$34:$D$36,MATCH(I293,SETTINGS!$A$34:$A$36,0),MIN(Q293,2)+1),SETTINGS!$B$36),0)</f>
        <v>0</v>
      </c>
      <c r="AF293" s="28">
        <f t="shared" si="48"/>
        <v>1</v>
      </c>
      <c r="AG293" s="28">
        <f ca="1">IF(AND(Y293=1,AB293=1),ROUND(AA293*AE293*IF(AF293&gt;1,SETTINGS!$B$16,1)*IF(W293&lt;=SETTINGS!$B$14,SETTINGS!$B$15,1)*IF(AU293=1,SETTINGS!$B$21,1),6),0)</f>
        <v>0</v>
      </c>
      <c r="AH293" s="28" t="str">
        <f ca="1">IF(AG293&gt;0,COUNTIFS($Z$2:$Z$601,Z293,$AG$2:$AG$601,"&gt;"&amp;AG293)+COUNTIFS($Z$2:Z293,Z293,$AG$2:AG293,AG293),"")</f>
        <v/>
      </c>
      <c r="AI293" s="28" t="str">
        <f t="shared" ca="1" si="49"/>
        <v/>
      </c>
      <c r="AJ293" s="28" t="str">
        <f t="shared" ca="1" si="50"/>
        <v/>
      </c>
      <c r="AK293" s="28">
        <f>IF(L293=1,IF(COUNTIFS($F$2:F293,F293,$L$2:L293,1)=1,1,0),0)</f>
        <v>1</v>
      </c>
      <c r="AL293" s="28" t="str">
        <f>IF(B293="","",IF(K293="DUPLICATE","Duplicate (removed)",IF(AO293=1,"Scheduled within 24h",IF(M293=1,"Scheduled late",IF(K293="BAD CONTACT","Bad contact details",IF(O293=1,"Stopped / wrong number",IF(N293=1,"Not interested",IF(P293=1,"Partner has no slots",IF(SETTINGS!$B$4&gt;=V293,IF(Q293=0,"Missed deadline: never tried","Missed deadline: tried, not booked"),IF(Q293&gt;=SETTINGS!$B$6,"No reply after max tries","Open"))))))))))</f>
        <v>Scheduled within 24h</v>
      </c>
      <c r="AM293" s="46">
        <f>IF(M293=1,IF(_xlfn.MINIFS(LOG!$G$2:$G$2001,LOG!$C$2:$C$2001,F293,LOG!$E$2:$E$2001,B293,LOG!$D$2:$D$2001,"*BOOKED")=0,_xlfn.MINIFS(LOG!$G$2:$G$2001,LOG!$C$2:$C$2001,F293,LOG!$E$2:$E$2001,"",LOG!$D$2:$D$2001,"*BOOKED"),IF(_xlfn.MINIFS(LOG!$G$2:$G$2001,LOG!$C$2:$C$2001,F293,LOG!$E$2:$E$2001,"",LOG!$D$2:$D$2001,"*BOOKED")=0,_xlfn.MINIFS(LOG!$G$2:$G$2001,LOG!$C$2:$C$2001,F293,LOG!$E$2:$E$2001,B293,LOG!$D$2:$D$2001,"*BOOKED"),MIN(_xlfn.MINIFS(LOG!$G$2:$G$2001,LOG!$C$2:$C$2001,F293,LOG!$E$2:$E$2001,B293,LOG!$D$2:$D$2001,"*BOOKED"),_xlfn.MINIFS(LOG!$G$2:$G$2001,LOG!$C$2:$C$2001,F293,LOG!$E$2:$E$2001,"",LOG!$D$2:$D$2001,"*BOOKED")))),"")</f>
        <v>46308.948047167491</v>
      </c>
      <c r="AN293" s="28">
        <f t="shared" si="51"/>
        <v>2.9031320198555477</v>
      </c>
      <c r="AO293" s="28">
        <f>IF(AND(M293=1,AN293&lt;&gt;""),IF(AN293&lt;=SETTINGS!$B$5,1,0),0)</f>
        <v>1</v>
      </c>
      <c r="AP293" s="28">
        <f>IF(M293=1,IF(COUNTIFS(LOG!$C$2:$C$2001,F293,LOG!$E$2:$E$2001,B293,LOG!$D$2:$D$2001,"BOOKED")+COUNTIFS(LOG!$C$2:$C$2001,F293,LOG!$E$2:$E$2001,"",LOG!$D$2:$D$2001,"BOOKED")&gt;0,1,0),0)</f>
        <v>0</v>
      </c>
      <c r="AQ293" s="28" t="str">
        <f t="shared" si="52"/>
        <v>Saanvi</v>
      </c>
      <c r="AR293" s="28">
        <f>IF(AND(AK293=1,K293="OK"),COUNTIFS($AK$2:AK293,1,$K$2:K293,"OK"),"")</f>
        <v>256</v>
      </c>
      <c r="AS293" s="28" t="str">
        <f>IF(L293=1,IFERROR(INDEX(MESSAGES!$J$9:$J$1008,MATCH(F293,MESSAGES!$M$9:$M$1008,0))&amp;"",""),"")</f>
        <v/>
      </c>
      <c r="AT293" s="28" t="str">
        <f>IF(L293=1,IFERROR(INDEX(MESSAGES!$K$9:$K$1008,MATCH(F293,MESSAGES!$M$9:$M$1008,0))&amp;"",""),"")</f>
        <v/>
      </c>
      <c r="AU293" s="28">
        <f t="shared" ca="1" si="53"/>
        <v>0</v>
      </c>
      <c r="AV293" s="28" t="str">
        <f t="shared" si="54"/>
        <v>SEND</v>
      </c>
    </row>
    <row r="294" spans="1:48" x14ac:dyDescent="0.35">
      <c r="A294" s="28">
        <v>293</v>
      </c>
      <c r="B294" s="28" t="str">
        <f>IF(INPUT!A294="","",TRIM(INPUT!A294))</f>
        <v>Partner 000</v>
      </c>
      <c r="C294" s="28" t="str">
        <f>IF(B294="","",INPUT!C294)</f>
        <v>interviewer1@partner000.example.com</v>
      </c>
      <c r="D294" s="28" t="str">
        <f>IF(B294="","",INPUT!D294)</f>
        <v>Riya E.</v>
      </c>
      <c r="E294" s="28" t="str">
        <f>IF(B294="","",INPUT!E294)</f>
        <v>riya.e139@example.com</v>
      </c>
      <c r="F294" s="43" t="str">
        <f>IF(B294="","",TRIM(INPUT!F294&amp;""))</f>
        <v>9000001814</v>
      </c>
      <c r="G294" s="28" t="str">
        <f>IF(B294="","",INPUT!H294)</f>
        <v>Round1</v>
      </c>
      <c r="H294" s="46">
        <f>IF(B294="","",INPUT!I294)</f>
        <v>46308.82708333333</v>
      </c>
      <c r="I294" s="28" t="str">
        <f>IF(B294="","",IF(INPUT!J294="","None",INPUT!J294))</f>
        <v>Clicked</v>
      </c>
      <c r="J294" s="28" t="str">
        <f t="shared" si="44"/>
        <v>riya.e139@example.com|partner 000|Round1|interviewer1@partner000.example.com</v>
      </c>
      <c r="K294" s="28" t="str">
        <f>IF(B294="","",IF(SUMPRODUCT(($J$2:$J$601=J294)*($H$2:$H$601&lt;H294))+SUMPRODUCT(($J$2:J294=J294)*($H$2:H294=H294))-1&gt;0,"DUPLICATE",IF(AND(ISNUMBER(SEARCH("@",E294)),ISNUMBER(SEARCH(".",E294)),LEN(F294)=10,ISNUMBER(VALUE(F294))),"OK","BAD CONTACT")))</f>
        <v>OK</v>
      </c>
      <c r="L294" s="28">
        <f t="shared" si="45"/>
        <v>1</v>
      </c>
      <c r="M294" s="28">
        <f>IF(L294=1,IF(COUNTIFS(LOG!$C$2:$C$2001,F294,LOG!$E$2:$E$2001,B294,LOG!$D$2:$D$2001,"*BOOKED")+COUNTIFS(LOG!$C$2:$C$2001,F294,LOG!$E$2:$E$2001,"",LOG!$D$2:$D$2001,"*BOOKED")&gt;0,1,0),0)</f>
        <v>1</v>
      </c>
      <c r="N294" s="28">
        <f>IF(L294=1,IF(COUNTIFS(LOG!$C$2:$C$2001,F294,LOG!$E$2:$E$2001,B294,LOG!$D$2:$D$2001,"NOT_INTERESTED")+COUNTIFS(LOG!$C$2:$C$2001,F294,LOG!$E$2:$E$2001,"",LOG!$D$2:$D$2001,"NOT_INTERESTED")&gt;0,1,0),0)</f>
        <v>0</v>
      </c>
      <c r="O294" s="28">
        <f>IF(L294=1,IF(COUNTIFS(LOG!$C$2:$C$2001,F294,LOG!$D$2:$D$2001,"STOP")+COUNTIFS(LOG!$C$2:$C$2001,F294,LOG!$D$2:$D$2001,"WRONG_NUMBER")&gt;0,1,IF(ISNUMBER(SEARCH("STOP",AT294)),1,0)),0)</f>
        <v>0</v>
      </c>
      <c r="P294" s="28">
        <f>IF(L294=1,IF(IFERROR(INDEX(PARTNERS!$D$2:$D$88,MATCH(B294,PARTNERS!$A$2:$A$88,0)),"")="NO SLOTS",1,IF(AND(IFERROR(INDEX(PARTNERS!$D$2:$D$88,MATCH(B294,PARTNERS!$A$2:$A$88,0)),"")&lt;&gt;"REOPENED",COUNTIFS(LOG!$E$2:$E$2001,B294,LOG!$D$2:$D$2001,"NO_SLOTS")&gt;0),1,0)),0)</f>
        <v>0</v>
      </c>
      <c r="Q294" s="28">
        <f>IF(L294=1,COUNTIFS(LOG!$C$2:$C$2001,F294,LOG!$H$2:$H$2001,1),0)</f>
        <v>1</v>
      </c>
      <c r="R294" s="46">
        <f>IF(Q294&gt;0,_xlfn.MAXIFS(LOG!$G$2:$G$2001,LOG!$C$2:$C$2001,F294,LOG!$H$2:$H$2001,1),0)</f>
        <v>46309.654447536675</v>
      </c>
      <c r="S294" s="28" t="str">
        <f>IF(Q294&gt;0,IFERROR(INDEX(LOG!$D$2:$D$2001,MATCH(F294&amp;"|"&amp;Q294,LOG!$I$2:$I$2001,0)),""),"")</f>
        <v>SENT_LINK</v>
      </c>
      <c r="T294" s="28">
        <f>IF(S294="",0,IFERROR(VLOOKUP(S294,LISTS!$A$2:$E$10,4,FALSE),0))</f>
        <v>180</v>
      </c>
      <c r="U294" s="46">
        <f t="shared" si="46"/>
        <v>46309.779447536675</v>
      </c>
      <c r="V294" s="46">
        <f>IF(L294=1,H294+SETTINGS!$B$5/24,"")</f>
        <v>46309.82708333333</v>
      </c>
      <c r="W294" s="28">
        <f ca="1">IF(L294=1,(V294-SETTINGS!$B$4)*24,"")</f>
        <v>-1.6666666720993817E-2</v>
      </c>
      <c r="X294" s="28">
        <f ca="1">IF(AND(L294=1,K294="OK",M294=0,N294=0,O294=0,P294=0,SETTINGS!$B$4&lt;V294,Q294&lt;SETTINGS!$B$6),1,0)</f>
        <v>0</v>
      </c>
      <c r="Y294" s="28">
        <f ca="1">IF(AND(X294=1,SETTINGS!$B$4&gt;=H294,SETTINGS!$B$4&gt;=U294,ROUND(MOD(SETTINGS!$B$4,1)*1440,0)&gt;=ROUND(SETTINGS!$B$7*1440,0),ROUND(MOD(SETTINGS!$B$4,1)*1440,0)&lt;ROUND(SETTINGS!$B$8*1440,0)),1,0)</f>
        <v>0</v>
      </c>
      <c r="Z294" s="28" t="str">
        <f ca="1">IF(B294="","",IF(ROUND(MOD(SETTINGS!$B$4,1)*1440,0)&lt;ROUND(SETTINGS!$B$11*1440,0),"Ram",IF(ROUND(MOD(SETTINGS!$B$4,1)*1440,0)&gt;=ROUND(SETTINGS!$B$10*1440,0),"Shyam",IF(MOD(IFERROR(VALUE(RIGHT(F294,2)),0),2)=0,"Ram","Shyam"))))</f>
        <v>Shyam</v>
      </c>
      <c r="AA294" s="28">
        <f t="shared" ca="1" si="47"/>
        <v>0</v>
      </c>
      <c r="AB294" s="28">
        <f ca="1">IF(X294=1,COUNTIFS($F$2:F294,F294,$X$2:X294,1),0)</f>
        <v>0</v>
      </c>
      <c r="AC294" s="28" t="str">
        <f>IF(L294=1,IF(IFERROR(INDEX(PARTNERS!$C$2:$C$88,MATCH(B294,PARTNERS!$A$2:$A$88,0)),"")="YES","YES","NO"),"")</f>
        <v>NO</v>
      </c>
      <c r="AD294" s="28" t="str">
        <f>IF(L294=1,IFERROR(INDEX(PARTNERS!$B$2:$B$88,MATCH(B294,PARTNERS!$A$2:$A$88,0)),""),"")</f>
        <v>https://calendly.com/partner000/interview</v>
      </c>
      <c r="AE294" s="28">
        <f ca="1">IF(X294=1,IFERROR(INDEX(SETTINGS!$B$34:$D$36,MATCH(I294,SETTINGS!$A$34:$A$36,0),MIN(Q294,2)+1),SETTINGS!$B$36),0)</f>
        <v>0</v>
      </c>
      <c r="AF294" s="28">
        <f t="shared" si="48"/>
        <v>1</v>
      </c>
      <c r="AG294" s="28">
        <f ca="1">IF(AND(Y294=1,AB294=1),ROUND(AA294*AE294*IF(AF294&gt;1,SETTINGS!$B$16,1)*IF(W294&lt;=SETTINGS!$B$14,SETTINGS!$B$15,1)*IF(AU294=1,SETTINGS!$B$21,1),6),0)</f>
        <v>0</v>
      </c>
      <c r="AH294" s="28" t="str">
        <f ca="1">IF(AG294&gt;0,COUNTIFS($Z$2:$Z$601,Z294,$AG$2:$AG$601,"&gt;"&amp;AG294)+COUNTIFS($Z$2:Z294,Z294,$AG$2:AG294,AG294),"")</f>
        <v/>
      </c>
      <c r="AI294" s="28" t="str">
        <f t="shared" ca="1" si="49"/>
        <v/>
      </c>
      <c r="AJ294" s="28" t="str">
        <f t="shared" ca="1" si="50"/>
        <v/>
      </c>
      <c r="AK294" s="28">
        <f>IF(L294=1,IF(COUNTIFS($F$2:F294,F294,$L$2:L294,1)=1,1,0),0)</f>
        <v>1</v>
      </c>
      <c r="AL294" s="28" t="str">
        <f>IF(B294="","",IF(K294="DUPLICATE","Duplicate (removed)",IF(AO294=1,"Scheduled within 24h",IF(M294=1,"Scheduled late",IF(K294="BAD CONTACT","Bad contact details",IF(O294=1,"Stopped / wrong number",IF(N294=1,"Not interested",IF(P294=1,"Partner has no slots",IF(SETTINGS!$B$4&gt;=V294,IF(Q294=0,"Missed deadline: never tried","Missed deadline: tried, not booked"),IF(Q294&gt;=SETTINGS!$B$6,"No reply after max tries","Open"))))))))))</f>
        <v>Scheduled within 24h</v>
      </c>
      <c r="AM294" s="46">
        <f>IF(M294=1,IF(_xlfn.MINIFS(LOG!$G$2:$G$2001,LOG!$C$2:$C$2001,F294,LOG!$E$2:$E$2001,B294,LOG!$D$2:$D$2001,"*BOOKED")=0,_xlfn.MINIFS(LOG!$G$2:$G$2001,LOG!$C$2:$C$2001,F294,LOG!$E$2:$E$2001,"",LOG!$D$2:$D$2001,"*BOOKED"),IF(_xlfn.MINIFS(LOG!$G$2:$G$2001,LOG!$C$2:$C$2001,F294,LOG!$E$2:$E$2001,"",LOG!$D$2:$D$2001,"*BOOKED")=0,_xlfn.MINIFS(LOG!$G$2:$G$2001,LOG!$C$2:$C$2001,F294,LOG!$E$2:$E$2001,B294,LOG!$D$2:$D$2001,"*BOOKED"),MIN(_xlfn.MINIFS(LOG!$G$2:$G$2001,LOG!$C$2:$C$2001,F294,LOG!$E$2:$E$2001,B294,LOG!$D$2:$D$2001,"*BOOKED"),_xlfn.MINIFS(LOG!$G$2:$G$2001,LOG!$C$2:$C$2001,F294,LOG!$E$2:$E$2001,"",LOG!$D$2:$D$2001,"*BOOKED")))),"")</f>
        <v>46309.662992530451</v>
      </c>
      <c r="AN294" s="28">
        <f t="shared" si="51"/>
        <v>20.061820730916224</v>
      </c>
      <c r="AO294" s="28">
        <f>IF(AND(M294=1,AN294&lt;&gt;""),IF(AN294&lt;=SETTINGS!$B$5,1,0),0)</f>
        <v>1</v>
      </c>
      <c r="AP294" s="28">
        <f>IF(M294=1,IF(COUNTIFS(LOG!$C$2:$C$2001,F294,LOG!$E$2:$E$2001,B294,LOG!$D$2:$D$2001,"BOOKED")+COUNTIFS(LOG!$C$2:$C$2001,F294,LOG!$E$2:$E$2001,"",LOG!$D$2:$D$2001,"BOOKED")&gt;0,1,0),0)</f>
        <v>0</v>
      </c>
      <c r="AQ294" s="28" t="str">
        <f t="shared" si="52"/>
        <v>Riya</v>
      </c>
      <c r="AR294" s="28">
        <f>IF(AND(AK294=1,K294="OK"),COUNTIFS($AK$2:AK294,1,$K$2:K294,"OK"),"")</f>
        <v>257</v>
      </c>
      <c r="AS294" s="28" t="str">
        <f>IF(L294=1,IFERROR(INDEX(MESSAGES!$J$9:$J$1008,MATCH(F294,MESSAGES!$M$9:$M$1008,0))&amp;"",""),"")</f>
        <v/>
      </c>
      <c r="AT294" s="28" t="str">
        <f>IF(L294=1,IFERROR(INDEX(MESSAGES!$K$9:$K$1008,MATCH(F294,MESSAGES!$M$9:$M$1008,0))&amp;"",""),"")</f>
        <v/>
      </c>
      <c r="AU294" s="28">
        <f t="shared" ca="1" si="53"/>
        <v>0</v>
      </c>
      <c r="AV294" s="28" t="str">
        <f t="shared" si="54"/>
        <v>HOLD</v>
      </c>
    </row>
    <row r="295" spans="1:48" x14ac:dyDescent="0.35">
      <c r="A295" s="28">
        <v>294</v>
      </c>
      <c r="B295" s="28" t="str">
        <f>IF(INPUT!A295="","",TRIM(INPUT!A295))</f>
        <v>Partner 001</v>
      </c>
      <c r="C295" s="28" t="str">
        <f>IF(B295="","",INPUT!C295)</f>
        <v>interviewer1@partner001.example.com</v>
      </c>
      <c r="D295" s="28" t="str">
        <f>IF(B295="","",INPUT!D295)</f>
        <v>Aarav A.</v>
      </c>
      <c r="E295" s="28" t="str">
        <f>IF(B295="","",INPUT!E295)</f>
        <v>aarav.a000@example.com</v>
      </c>
      <c r="F295" s="43" t="str">
        <f>IF(B295="","",TRIM(INPUT!F295&amp;""))</f>
        <v>9000000007</v>
      </c>
      <c r="G295" s="28" t="str">
        <f>IF(B295="","",INPUT!H295)</f>
        <v>Round1</v>
      </c>
      <c r="H295" s="46">
        <f>IF(B295="","",INPUT!I295)</f>
        <v>46308.82708333333</v>
      </c>
      <c r="I295" s="28" t="str">
        <f>IF(B295="","",IF(INPUT!J295="","None",INPUT!J295))</f>
        <v>None</v>
      </c>
      <c r="J295" s="28" t="str">
        <f t="shared" si="44"/>
        <v>aarav.a000@example.com|partner 001|Round1|interviewer1@partner001.example.com</v>
      </c>
      <c r="K295" s="28" t="str">
        <f>IF(B295="","",IF(SUMPRODUCT(($J$2:$J$601=J295)*($H$2:$H$601&lt;H295))+SUMPRODUCT(($J$2:J295=J295)*($H$2:H295=H295))-1&gt;0,"DUPLICATE",IF(AND(ISNUMBER(SEARCH("@",E295)),ISNUMBER(SEARCH(".",E295)),LEN(F295)=10,ISNUMBER(VALUE(F295))),"OK","BAD CONTACT")))</f>
        <v>OK</v>
      </c>
      <c r="L295" s="28">
        <f t="shared" si="45"/>
        <v>1</v>
      </c>
      <c r="M295" s="28">
        <f>IF(L295=1,IF(COUNTIFS(LOG!$C$2:$C$2001,F295,LOG!$E$2:$E$2001,B295,LOG!$D$2:$D$2001,"*BOOKED")+COUNTIFS(LOG!$C$2:$C$2001,F295,LOG!$E$2:$E$2001,"",LOG!$D$2:$D$2001,"*BOOKED")&gt;0,1,0),0)</f>
        <v>0</v>
      </c>
      <c r="N295" s="28">
        <f>IF(L295=1,IF(COUNTIFS(LOG!$C$2:$C$2001,F295,LOG!$E$2:$E$2001,B295,LOG!$D$2:$D$2001,"NOT_INTERESTED")+COUNTIFS(LOG!$C$2:$C$2001,F295,LOG!$E$2:$E$2001,"",LOG!$D$2:$D$2001,"NOT_INTERESTED")&gt;0,1,0),0)</f>
        <v>0</v>
      </c>
      <c r="O295" s="28">
        <f>IF(L295=1,IF(COUNTIFS(LOG!$C$2:$C$2001,F295,LOG!$D$2:$D$2001,"STOP")+COUNTIFS(LOG!$C$2:$C$2001,F295,LOG!$D$2:$D$2001,"WRONG_NUMBER")&gt;0,1,IF(ISNUMBER(SEARCH("STOP",AT295)),1,0)),0)</f>
        <v>0</v>
      </c>
      <c r="P295" s="28">
        <f>IF(L295=1,IF(IFERROR(INDEX(PARTNERS!$D$2:$D$88,MATCH(B295,PARTNERS!$A$2:$A$88,0)),"")="NO SLOTS",1,IF(AND(IFERROR(INDEX(PARTNERS!$D$2:$D$88,MATCH(B295,PARTNERS!$A$2:$A$88,0)),"")&lt;&gt;"REOPENED",COUNTIFS(LOG!$E$2:$E$2001,B295,LOG!$D$2:$D$2001,"NO_SLOTS")&gt;0),1,0)),0)</f>
        <v>0</v>
      </c>
      <c r="Q295" s="28">
        <f>IF(L295=1,COUNTIFS(LOG!$C$2:$C$2001,F295,LOG!$H$2:$H$2001,1),0)</f>
        <v>0</v>
      </c>
      <c r="R295" s="46">
        <f>IF(Q295&gt;0,_xlfn.MAXIFS(LOG!$G$2:$G$2001,LOG!$C$2:$C$2001,F295,LOG!$H$2:$H$2001,1),0)</f>
        <v>0</v>
      </c>
      <c r="S295" s="28" t="str">
        <f>IF(Q295&gt;0,IFERROR(INDEX(LOG!$D$2:$D$2001,MATCH(F295&amp;"|"&amp;Q295,LOG!$I$2:$I$2001,0)),""),"")</f>
        <v/>
      </c>
      <c r="T295" s="28">
        <f>IF(S295="",0,IFERROR(VLOOKUP(S295,LISTS!$A$2:$E$10,4,FALSE),0))</f>
        <v>0</v>
      </c>
      <c r="U295" s="46">
        <f t="shared" si="46"/>
        <v>0</v>
      </c>
      <c r="V295" s="46">
        <f>IF(L295=1,H295+SETTINGS!$B$5/24,"")</f>
        <v>46309.82708333333</v>
      </c>
      <c r="W295" s="28">
        <f ca="1">IF(L295=1,(V295-SETTINGS!$B$4)*24,"")</f>
        <v>-1.6666666720993817E-2</v>
      </c>
      <c r="X295" s="28">
        <f ca="1">IF(AND(L295=1,K295="OK",M295=0,N295=0,O295=0,P295=0,SETTINGS!$B$4&lt;V295,Q295&lt;SETTINGS!$B$6),1,0)</f>
        <v>0</v>
      </c>
      <c r="Y295" s="28">
        <f ca="1">IF(AND(X295=1,SETTINGS!$B$4&gt;=H295,SETTINGS!$B$4&gt;=U295,ROUND(MOD(SETTINGS!$B$4,1)*1440,0)&gt;=ROUND(SETTINGS!$B$7*1440,0),ROUND(MOD(SETTINGS!$B$4,1)*1440,0)&lt;ROUND(SETTINGS!$B$8*1440,0)),1,0)</f>
        <v>0</v>
      </c>
      <c r="Z295" s="28" t="str">
        <f ca="1">IF(B295="","",IF(ROUND(MOD(SETTINGS!$B$4,1)*1440,0)&lt;ROUND(SETTINGS!$B$11*1440,0),"Ram",IF(ROUND(MOD(SETTINGS!$B$4,1)*1440,0)&gt;=ROUND(SETTINGS!$B$10*1440,0),"Shyam",IF(MOD(IFERROR(VALUE(RIGHT(F295,2)),0),2)=0,"Ram","Shyam"))))</f>
        <v>Shyam</v>
      </c>
      <c r="AA295" s="28">
        <f t="shared" ca="1" si="47"/>
        <v>0</v>
      </c>
      <c r="AB295" s="28">
        <f ca="1">IF(X295=1,COUNTIFS($F$2:F295,F295,$X$2:X295,1),0)</f>
        <v>0</v>
      </c>
      <c r="AC295" s="28" t="str">
        <f>IF(L295=1,IF(IFERROR(INDEX(PARTNERS!$C$2:$C$88,MATCH(B295,PARTNERS!$A$2:$A$88,0)),"")="YES","YES","NO"),"")</f>
        <v>NO</v>
      </c>
      <c r="AD295" s="28" t="str">
        <f>IF(L295=1,IFERROR(INDEX(PARTNERS!$B$2:$B$88,MATCH(B295,PARTNERS!$A$2:$A$88,0)),""),"")</f>
        <v>https://calendly.com/partner001/interview</v>
      </c>
      <c r="AE295" s="28">
        <f ca="1">IF(X295=1,IFERROR(INDEX(SETTINGS!$B$34:$D$36,MATCH(I295,SETTINGS!$A$34:$A$36,0),MIN(Q295,2)+1),SETTINGS!$B$36),0)</f>
        <v>0</v>
      </c>
      <c r="AF295" s="28">
        <f t="shared" si="48"/>
        <v>1</v>
      </c>
      <c r="AG295" s="28">
        <f ca="1">IF(AND(Y295=1,AB295=1),ROUND(AA295*AE295*IF(AF295&gt;1,SETTINGS!$B$16,1)*IF(W295&lt;=SETTINGS!$B$14,SETTINGS!$B$15,1)*IF(AU295=1,SETTINGS!$B$21,1),6),0)</f>
        <v>0</v>
      </c>
      <c r="AH295" s="28" t="str">
        <f ca="1">IF(AG295&gt;0,COUNTIFS($Z$2:$Z$601,Z295,$AG$2:$AG$601,"&gt;"&amp;AG295)+COUNTIFS($Z$2:Z295,Z295,$AG$2:AG295,AG295),"")</f>
        <v/>
      </c>
      <c r="AI295" s="28" t="str">
        <f t="shared" ca="1" si="49"/>
        <v/>
      </c>
      <c r="AJ295" s="28" t="str">
        <f t="shared" ca="1" si="50"/>
        <v/>
      </c>
      <c r="AK295" s="28">
        <f>IF(L295=1,IF(COUNTIFS($F$2:F295,F295,$L$2:L295,1)=1,1,0),0)</f>
        <v>1</v>
      </c>
      <c r="AL295" s="28" t="str">
        <f ca="1">IF(B295="","",IF(K295="DUPLICATE","Duplicate (removed)",IF(AO295=1,"Scheduled within 24h",IF(M295=1,"Scheduled late",IF(K295="BAD CONTACT","Bad contact details",IF(O295=1,"Stopped / wrong number",IF(N295=1,"Not interested",IF(P295=1,"Partner has no slots",IF(SETTINGS!$B$4&gt;=V295,IF(Q295=0,"Missed deadline: never tried","Missed deadline: tried, not booked"),IF(Q295&gt;=SETTINGS!$B$6,"No reply after max tries","Open"))))))))))</f>
        <v>Missed deadline: never tried</v>
      </c>
      <c r="AM295" s="46" t="str">
        <f>IF(M295=1,IF(_xlfn.MINIFS(LOG!$G$2:$G$2001,LOG!$C$2:$C$2001,F295,LOG!$E$2:$E$2001,B295,LOG!$D$2:$D$2001,"*BOOKED")=0,_xlfn.MINIFS(LOG!$G$2:$G$2001,LOG!$C$2:$C$2001,F295,LOG!$E$2:$E$2001,"",LOG!$D$2:$D$2001,"*BOOKED"),IF(_xlfn.MINIFS(LOG!$G$2:$G$2001,LOG!$C$2:$C$2001,F295,LOG!$E$2:$E$2001,"",LOG!$D$2:$D$2001,"*BOOKED")=0,_xlfn.MINIFS(LOG!$G$2:$G$2001,LOG!$C$2:$C$2001,F295,LOG!$E$2:$E$2001,B295,LOG!$D$2:$D$2001,"*BOOKED"),MIN(_xlfn.MINIFS(LOG!$G$2:$G$2001,LOG!$C$2:$C$2001,F295,LOG!$E$2:$E$2001,B295,LOG!$D$2:$D$2001,"*BOOKED"),_xlfn.MINIFS(LOG!$G$2:$G$2001,LOG!$C$2:$C$2001,F295,LOG!$E$2:$E$2001,"",LOG!$D$2:$D$2001,"*BOOKED")))),"")</f>
        <v/>
      </c>
      <c r="AN295" s="28" t="str">
        <f t="shared" si="51"/>
        <v/>
      </c>
      <c r="AO295" s="28">
        <f>IF(AND(M295=1,AN295&lt;&gt;""),IF(AN295&lt;=SETTINGS!$B$5,1,0),0)</f>
        <v>0</v>
      </c>
      <c r="AP295" s="28">
        <f>IF(M295=1,IF(COUNTIFS(LOG!$C$2:$C$2001,F295,LOG!$E$2:$E$2001,B295,LOG!$D$2:$D$2001,"BOOKED")+COUNTIFS(LOG!$C$2:$C$2001,F295,LOG!$E$2:$E$2001,"",LOG!$D$2:$D$2001,"BOOKED")&gt;0,1,0),0)</f>
        <v>0</v>
      </c>
      <c r="AQ295" s="28" t="str">
        <f t="shared" si="52"/>
        <v>Aarav</v>
      </c>
      <c r="AR295" s="28">
        <f>IF(AND(AK295=1,K295="OK"),COUNTIFS($AK$2:AK295,1,$K$2:K295,"OK"),"")</f>
        <v>258</v>
      </c>
      <c r="AS295" s="28" t="str">
        <f>IF(L295=1,IFERROR(INDEX(MESSAGES!$J$9:$J$1008,MATCH(F295,MESSAGES!$M$9:$M$1008,0))&amp;"",""),"")</f>
        <v/>
      </c>
      <c r="AT295" s="28" t="str">
        <f>IF(L295=1,IFERROR(INDEX(MESSAGES!$K$9:$K$1008,MATCH(F295,MESSAGES!$M$9:$M$1008,0))&amp;"",""),"")</f>
        <v/>
      </c>
      <c r="AU295" s="28">
        <f t="shared" ca="1" si="53"/>
        <v>0</v>
      </c>
      <c r="AV295" s="28" t="str">
        <f t="shared" si="54"/>
        <v>SEND</v>
      </c>
    </row>
    <row r="296" spans="1:48" x14ac:dyDescent="0.35">
      <c r="A296" s="28">
        <v>295</v>
      </c>
      <c r="B296" s="28" t="str">
        <f>IF(INPUT!A296="","",TRIM(INPUT!A296))</f>
        <v>Partner 002</v>
      </c>
      <c r="C296" s="28" t="str">
        <f>IF(B296="","",INPUT!C296)</f>
        <v>interviewer0@partner002.example.com</v>
      </c>
      <c r="D296" s="28" t="str">
        <f>IF(B296="","",INPUT!D296)</f>
        <v>Rohan P.</v>
      </c>
      <c r="E296" s="28" t="str">
        <f>IF(B296="","",INPUT!E296)</f>
        <v>rohan.p400@example.com</v>
      </c>
      <c r="F296" s="43" t="str">
        <f>IF(B296="","",TRIM(INPUT!F296&amp;""))</f>
        <v>9000005207</v>
      </c>
      <c r="G296" s="28" t="str">
        <f>IF(B296="","",INPUT!H296)</f>
        <v>Round1</v>
      </c>
      <c r="H296" s="46">
        <f>IF(B296="","",INPUT!I296)</f>
        <v>46308.82708333333</v>
      </c>
      <c r="I296" s="28" t="str">
        <f>IF(B296="","",IF(INPUT!J296="","None",INPUT!J296))</f>
        <v>Clicked</v>
      </c>
      <c r="J296" s="28" t="str">
        <f t="shared" si="44"/>
        <v>rohan.p400@example.com|partner 002|Round1|interviewer0@partner002.example.com</v>
      </c>
      <c r="K296" s="28" t="str">
        <f>IF(B296="","",IF(SUMPRODUCT(($J$2:$J$601=J296)*($H$2:$H$601&lt;H296))+SUMPRODUCT(($J$2:J296=J296)*($H$2:H296=H296))-1&gt;0,"DUPLICATE",IF(AND(ISNUMBER(SEARCH("@",E296)),ISNUMBER(SEARCH(".",E296)),LEN(F296)=10,ISNUMBER(VALUE(F296))),"OK","BAD CONTACT")))</f>
        <v>OK</v>
      </c>
      <c r="L296" s="28">
        <f t="shared" si="45"/>
        <v>1</v>
      </c>
      <c r="M296" s="28">
        <f>IF(L296=1,IF(COUNTIFS(LOG!$C$2:$C$2001,F296,LOG!$E$2:$E$2001,B296,LOG!$D$2:$D$2001,"*BOOKED")+COUNTIFS(LOG!$C$2:$C$2001,F296,LOG!$E$2:$E$2001,"",LOG!$D$2:$D$2001,"*BOOKED")&gt;0,1,0),0)</f>
        <v>1</v>
      </c>
      <c r="N296" s="28">
        <f>IF(L296=1,IF(COUNTIFS(LOG!$C$2:$C$2001,F296,LOG!$E$2:$E$2001,B296,LOG!$D$2:$D$2001,"NOT_INTERESTED")+COUNTIFS(LOG!$C$2:$C$2001,F296,LOG!$E$2:$E$2001,"",LOG!$D$2:$D$2001,"NOT_INTERESTED")&gt;0,1,0),0)</f>
        <v>0</v>
      </c>
      <c r="O296" s="28">
        <f>IF(L296=1,IF(COUNTIFS(LOG!$C$2:$C$2001,F296,LOG!$D$2:$D$2001,"STOP")+COUNTIFS(LOG!$C$2:$C$2001,F296,LOG!$D$2:$D$2001,"WRONG_NUMBER")&gt;0,1,IF(ISNUMBER(SEARCH("STOP",AT296)),1,0)),0)</f>
        <v>0</v>
      </c>
      <c r="P296" s="28">
        <f>IF(L296=1,IF(IFERROR(INDEX(PARTNERS!$D$2:$D$88,MATCH(B296,PARTNERS!$A$2:$A$88,0)),"")="NO SLOTS",1,IF(AND(IFERROR(INDEX(PARTNERS!$D$2:$D$88,MATCH(B296,PARTNERS!$A$2:$A$88,0)),"")&lt;&gt;"REOPENED",COUNTIFS(LOG!$E$2:$E$2001,B296,LOG!$D$2:$D$2001,"NO_SLOTS")&gt;0),1,0)),0)</f>
        <v>0</v>
      </c>
      <c r="Q296" s="28">
        <f>IF(L296=1,COUNTIFS(LOG!$C$2:$C$2001,F296,LOG!$H$2:$H$2001,1),0)</f>
        <v>2</v>
      </c>
      <c r="R296" s="46">
        <f>IF(Q296&gt;0,_xlfn.MAXIFS(LOG!$G$2:$G$2001,LOG!$C$2:$C$2001,F296,LOG!$H$2:$H$2001,1),0)</f>
        <v>46309.755193931203</v>
      </c>
      <c r="S296" s="28" t="str">
        <f>IF(Q296&gt;0,IFERROR(INDEX(LOG!$D$2:$D$2001,MATCH(F296&amp;"|"&amp;Q296,LOG!$I$2:$I$2001,0)),""),"")</f>
        <v>BOOKED</v>
      </c>
      <c r="T296" s="28">
        <f>IF(S296="",0,IFERROR(VLOOKUP(S296,LISTS!$A$2:$E$10,4,FALSE),0))</f>
        <v>0</v>
      </c>
      <c r="U296" s="46">
        <f t="shared" si="46"/>
        <v>46309.755193931203</v>
      </c>
      <c r="V296" s="46">
        <f>IF(L296=1,H296+SETTINGS!$B$5/24,"")</f>
        <v>46309.82708333333</v>
      </c>
      <c r="W296" s="28">
        <f ca="1">IF(L296=1,(V296-SETTINGS!$B$4)*24,"")</f>
        <v>-1.6666666720993817E-2</v>
      </c>
      <c r="X296" s="28">
        <f ca="1">IF(AND(L296=1,K296="OK",M296=0,N296=0,O296=0,P296=0,SETTINGS!$B$4&lt;V296,Q296&lt;SETTINGS!$B$6),1,0)</f>
        <v>0</v>
      </c>
      <c r="Y296" s="28">
        <f ca="1">IF(AND(X296=1,SETTINGS!$B$4&gt;=H296,SETTINGS!$B$4&gt;=U296,ROUND(MOD(SETTINGS!$B$4,1)*1440,0)&gt;=ROUND(SETTINGS!$B$7*1440,0),ROUND(MOD(SETTINGS!$B$4,1)*1440,0)&lt;ROUND(SETTINGS!$B$8*1440,0)),1,0)</f>
        <v>0</v>
      </c>
      <c r="Z296" s="28" t="str">
        <f ca="1">IF(B296="","",IF(ROUND(MOD(SETTINGS!$B$4,1)*1440,0)&lt;ROUND(SETTINGS!$B$11*1440,0),"Ram",IF(ROUND(MOD(SETTINGS!$B$4,1)*1440,0)&gt;=ROUND(SETTINGS!$B$10*1440,0),"Shyam",IF(MOD(IFERROR(VALUE(RIGHT(F296,2)),0),2)=0,"Ram","Shyam"))))</f>
        <v>Shyam</v>
      </c>
      <c r="AA296" s="28">
        <f t="shared" ca="1" si="47"/>
        <v>0</v>
      </c>
      <c r="AB296" s="28">
        <f ca="1">IF(X296=1,COUNTIFS($F$2:F296,F296,$X$2:X296,1),0)</f>
        <v>0</v>
      </c>
      <c r="AC296" s="28" t="str">
        <f>IF(L296=1,IF(IFERROR(INDEX(PARTNERS!$C$2:$C$88,MATCH(B296,PARTNERS!$A$2:$A$88,0)),"")="YES","YES","NO"),"")</f>
        <v>YES</v>
      </c>
      <c r="AD296" s="28" t="str">
        <f>IF(L296=1,IFERROR(INDEX(PARTNERS!$B$2:$B$88,MATCH(B296,PARTNERS!$A$2:$A$88,0)),""),"")</f>
        <v>https://calendly.com/partner002/interview</v>
      </c>
      <c r="AE296" s="28">
        <f ca="1">IF(X296=1,IFERROR(INDEX(SETTINGS!$B$34:$D$36,MATCH(I296,SETTINGS!$A$34:$A$36,0),MIN(Q296,2)+1),SETTINGS!$B$36),0)</f>
        <v>0</v>
      </c>
      <c r="AF296" s="28">
        <f t="shared" si="48"/>
        <v>1</v>
      </c>
      <c r="AG296" s="28">
        <f ca="1">IF(AND(Y296=1,AB296=1),ROUND(AA296*AE296*IF(AF296&gt;1,SETTINGS!$B$16,1)*IF(W296&lt;=SETTINGS!$B$14,SETTINGS!$B$15,1)*IF(AU296=1,SETTINGS!$B$21,1),6),0)</f>
        <v>0</v>
      </c>
      <c r="AH296" s="28" t="str">
        <f ca="1">IF(AG296&gt;0,COUNTIFS($Z$2:$Z$601,Z296,$AG$2:$AG$601,"&gt;"&amp;AG296)+COUNTIFS($Z$2:Z296,Z296,$AG$2:AG296,AG296),"")</f>
        <v/>
      </c>
      <c r="AI296" s="28" t="str">
        <f t="shared" ca="1" si="49"/>
        <v/>
      </c>
      <c r="AJ296" s="28" t="str">
        <f t="shared" ca="1" si="50"/>
        <v/>
      </c>
      <c r="AK296" s="28">
        <f>IF(L296=1,IF(COUNTIFS($F$2:F296,F296,$L$2:L296,1)=1,1,0),0)</f>
        <v>1</v>
      </c>
      <c r="AL296" s="28" t="str">
        <f>IF(B296="","",IF(K296="DUPLICATE","Duplicate (removed)",IF(AO296=1,"Scheduled within 24h",IF(M296=1,"Scheduled late",IF(K296="BAD CONTACT","Bad contact details",IF(O296=1,"Stopped / wrong number",IF(N296=1,"Not interested",IF(P296=1,"Partner has no slots",IF(SETTINGS!$B$4&gt;=V296,IF(Q296=0,"Missed deadline: never tried","Missed deadline: tried, not booked"),IF(Q296&gt;=SETTINGS!$B$6,"No reply after max tries","Open"))))))))))</f>
        <v>Scheduled within 24h</v>
      </c>
      <c r="AM296" s="46">
        <f>IF(M296=1,IF(_xlfn.MINIFS(LOG!$G$2:$G$2001,LOG!$C$2:$C$2001,F296,LOG!$E$2:$E$2001,B296,LOG!$D$2:$D$2001,"*BOOKED")=0,_xlfn.MINIFS(LOG!$G$2:$G$2001,LOG!$C$2:$C$2001,F296,LOG!$E$2:$E$2001,"",LOG!$D$2:$D$2001,"*BOOKED"),IF(_xlfn.MINIFS(LOG!$G$2:$G$2001,LOG!$C$2:$C$2001,F296,LOG!$E$2:$E$2001,"",LOG!$D$2:$D$2001,"*BOOKED")=0,_xlfn.MINIFS(LOG!$G$2:$G$2001,LOG!$C$2:$C$2001,F296,LOG!$E$2:$E$2001,B296,LOG!$D$2:$D$2001,"*BOOKED"),MIN(_xlfn.MINIFS(LOG!$G$2:$G$2001,LOG!$C$2:$C$2001,F296,LOG!$E$2:$E$2001,B296,LOG!$D$2:$D$2001,"*BOOKED"),_xlfn.MINIFS(LOG!$G$2:$G$2001,LOG!$C$2:$C$2001,F296,LOG!$E$2:$E$2001,"",LOG!$D$2:$D$2001,"*BOOKED")))),"")</f>
        <v>46309.755193931203</v>
      </c>
      <c r="AN296" s="28">
        <f t="shared" si="51"/>
        <v>22.27465434896294</v>
      </c>
      <c r="AO296" s="28">
        <f>IF(AND(M296=1,AN296&lt;&gt;""),IF(AN296&lt;=SETTINGS!$B$5,1,0),0)</f>
        <v>1</v>
      </c>
      <c r="AP296" s="28">
        <f>IF(M296=1,IF(COUNTIFS(LOG!$C$2:$C$2001,F296,LOG!$E$2:$E$2001,B296,LOG!$D$2:$D$2001,"BOOKED")+COUNTIFS(LOG!$C$2:$C$2001,F296,LOG!$E$2:$E$2001,"",LOG!$D$2:$D$2001,"BOOKED")&gt;0,1,0),0)</f>
        <v>1</v>
      </c>
      <c r="AQ296" s="28" t="str">
        <f t="shared" si="52"/>
        <v>Rohan</v>
      </c>
      <c r="AR296" s="28">
        <f>IF(AND(AK296=1,K296="OK"),COUNTIFS($AK$2:AK296,1,$K$2:K296,"OK"),"")</f>
        <v>259</v>
      </c>
      <c r="AS296" s="28" t="str">
        <f>IF(L296=1,IFERROR(INDEX(MESSAGES!$J$9:$J$1008,MATCH(F296,MESSAGES!$M$9:$M$1008,0))&amp;"",""),"")</f>
        <v/>
      </c>
      <c r="AT296" s="28" t="str">
        <f>IF(L296=1,IFERROR(INDEX(MESSAGES!$K$9:$K$1008,MATCH(F296,MESSAGES!$M$9:$M$1008,0))&amp;"",""),"")</f>
        <v/>
      </c>
      <c r="AU296" s="28">
        <f t="shared" ca="1" si="53"/>
        <v>0</v>
      </c>
      <c r="AV296" s="28" t="str">
        <f t="shared" si="54"/>
        <v>SEND</v>
      </c>
    </row>
    <row r="297" spans="1:48" x14ac:dyDescent="0.35">
      <c r="A297" s="28">
        <v>296</v>
      </c>
      <c r="B297" s="28" t="str">
        <f>IF(INPUT!A297="","",TRIM(INPUT!A297))</f>
        <v>Partner 001</v>
      </c>
      <c r="C297" s="28" t="str">
        <f>IF(B297="","",INPUT!C297)</f>
        <v>interviewer1@partner001.example.com</v>
      </c>
      <c r="D297" s="28" t="str">
        <f>IF(B297="","",INPUT!D297)</f>
        <v>Aarav J.</v>
      </c>
      <c r="E297" s="28" t="str">
        <f>IF(B297="","",INPUT!E297)</f>
        <v>aarav.j240@example.com</v>
      </c>
      <c r="F297" s="43" t="str">
        <f>IF(B297="","",TRIM(INPUT!F297&amp;""))</f>
        <v>9000003127</v>
      </c>
      <c r="G297" s="28" t="str">
        <f>IF(B297="","",INPUT!H297)</f>
        <v>Round1</v>
      </c>
      <c r="H297" s="46">
        <f>IF(B297="","",INPUT!I297)</f>
        <v>46308.82708333333</v>
      </c>
      <c r="I297" s="28" t="str">
        <f>IF(B297="","",IF(INPUT!J297="","None",INPUT!J297))</f>
        <v>Clicked</v>
      </c>
      <c r="J297" s="28" t="str">
        <f t="shared" si="44"/>
        <v>aarav.j240@example.com|partner 001|Round1|interviewer1@partner001.example.com</v>
      </c>
      <c r="K297" s="28" t="str">
        <f>IF(B297="","",IF(SUMPRODUCT(($J$2:$J$601=J297)*($H$2:$H$601&lt;H297))+SUMPRODUCT(($J$2:J297=J297)*($H$2:H297=H297))-1&gt;0,"DUPLICATE",IF(AND(ISNUMBER(SEARCH("@",E297)),ISNUMBER(SEARCH(".",E297)),LEN(F297)=10,ISNUMBER(VALUE(F297))),"OK","BAD CONTACT")))</f>
        <v>OK</v>
      </c>
      <c r="L297" s="28">
        <f t="shared" si="45"/>
        <v>1</v>
      </c>
      <c r="M297" s="28">
        <f>IF(L297=1,IF(COUNTIFS(LOG!$C$2:$C$2001,F297,LOG!$E$2:$E$2001,B297,LOG!$D$2:$D$2001,"*BOOKED")+COUNTIFS(LOG!$C$2:$C$2001,F297,LOG!$E$2:$E$2001,"",LOG!$D$2:$D$2001,"*BOOKED")&gt;0,1,0),0)</f>
        <v>1</v>
      </c>
      <c r="N297" s="28">
        <f>IF(L297=1,IF(COUNTIFS(LOG!$C$2:$C$2001,F297,LOG!$E$2:$E$2001,B297,LOG!$D$2:$D$2001,"NOT_INTERESTED")+COUNTIFS(LOG!$C$2:$C$2001,F297,LOG!$E$2:$E$2001,"",LOG!$D$2:$D$2001,"NOT_INTERESTED")&gt;0,1,0),0)</f>
        <v>0</v>
      </c>
      <c r="O297" s="28">
        <f>IF(L297=1,IF(COUNTIFS(LOG!$C$2:$C$2001,F297,LOG!$D$2:$D$2001,"STOP")+COUNTIFS(LOG!$C$2:$C$2001,F297,LOG!$D$2:$D$2001,"WRONG_NUMBER")&gt;0,1,IF(ISNUMBER(SEARCH("STOP",AT297)),1,0)),0)</f>
        <v>0</v>
      </c>
      <c r="P297" s="28">
        <f>IF(L297=1,IF(IFERROR(INDEX(PARTNERS!$D$2:$D$88,MATCH(B297,PARTNERS!$A$2:$A$88,0)),"")="NO SLOTS",1,IF(AND(IFERROR(INDEX(PARTNERS!$D$2:$D$88,MATCH(B297,PARTNERS!$A$2:$A$88,0)),"")&lt;&gt;"REOPENED",COUNTIFS(LOG!$E$2:$E$2001,B297,LOG!$D$2:$D$2001,"NO_SLOTS")&gt;0),1,0)),0)</f>
        <v>0</v>
      </c>
      <c r="Q297" s="28">
        <f>IF(L297=1,COUNTIFS(LOG!$C$2:$C$2001,F297,LOG!$H$2:$H$2001,1),0)</f>
        <v>0</v>
      </c>
      <c r="R297" s="46">
        <f>IF(Q297&gt;0,_xlfn.MAXIFS(LOG!$G$2:$G$2001,LOG!$C$2:$C$2001,F297,LOG!$H$2:$H$2001,1),0)</f>
        <v>0</v>
      </c>
      <c r="S297" s="28" t="str">
        <f>IF(Q297&gt;0,IFERROR(INDEX(LOG!$D$2:$D$2001,MATCH(F297&amp;"|"&amp;Q297,LOG!$I$2:$I$2001,0)),""),"")</f>
        <v/>
      </c>
      <c r="T297" s="28">
        <f>IF(S297="",0,IFERROR(VLOOKUP(S297,LISTS!$A$2:$E$10,4,FALSE),0))</f>
        <v>0</v>
      </c>
      <c r="U297" s="46">
        <f t="shared" si="46"/>
        <v>0</v>
      </c>
      <c r="V297" s="46">
        <f>IF(L297=1,H297+SETTINGS!$B$5/24,"")</f>
        <v>46309.82708333333</v>
      </c>
      <c r="W297" s="28">
        <f ca="1">IF(L297=1,(V297-SETTINGS!$B$4)*24,"")</f>
        <v>-1.6666666720993817E-2</v>
      </c>
      <c r="X297" s="28">
        <f ca="1">IF(AND(L297=1,K297="OK",M297=0,N297=0,O297=0,P297=0,SETTINGS!$B$4&lt;V297,Q297&lt;SETTINGS!$B$6),1,0)</f>
        <v>0</v>
      </c>
      <c r="Y297" s="28">
        <f ca="1">IF(AND(X297=1,SETTINGS!$B$4&gt;=H297,SETTINGS!$B$4&gt;=U297,ROUND(MOD(SETTINGS!$B$4,1)*1440,0)&gt;=ROUND(SETTINGS!$B$7*1440,0),ROUND(MOD(SETTINGS!$B$4,1)*1440,0)&lt;ROUND(SETTINGS!$B$8*1440,0)),1,0)</f>
        <v>0</v>
      </c>
      <c r="Z297" s="28" t="str">
        <f ca="1">IF(B297="","",IF(ROUND(MOD(SETTINGS!$B$4,1)*1440,0)&lt;ROUND(SETTINGS!$B$11*1440,0),"Ram",IF(ROUND(MOD(SETTINGS!$B$4,1)*1440,0)&gt;=ROUND(SETTINGS!$B$10*1440,0),"Shyam",IF(MOD(IFERROR(VALUE(RIGHT(F297,2)),0),2)=0,"Ram","Shyam"))))</f>
        <v>Shyam</v>
      </c>
      <c r="AA297" s="28">
        <f t="shared" ca="1" si="47"/>
        <v>0</v>
      </c>
      <c r="AB297" s="28">
        <f ca="1">IF(X297=1,COUNTIFS($F$2:F297,F297,$X$2:X297,1),0)</f>
        <v>0</v>
      </c>
      <c r="AC297" s="28" t="str">
        <f>IF(L297=1,IF(IFERROR(INDEX(PARTNERS!$C$2:$C$88,MATCH(B297,PARTNERS!$A$2:$A$88,0)),"")="YES","YES","NO"),"")</f>
        <v>NO</v>
      </c>
      <c r="AD297" s="28" t="str">
        <f>IF(L297=1,IFERROR(INDEX(PARTNERS!$B$2:$B$88,MATCH(B297,PARTNERS!$A$2:$A$88,0)),""),"")</f>
        <v>https://calendly.com/partner001/interview</v>
      </c>
      <c r="AE297" s="28">
        <f ca="1">IF(X297=1,IFERROR(INDEX(SETTINGS!$B$34:$D$36,MATCH(I297,SETTINGS!$A$34:$A$36,0),MIN(Q297,2)+1),SETTINGS!$B$36),0)</f>
        <v>0</v>
      </c>
      <c r="AF297" s="28">
        <f t="shared" si="48"/>
        <v>1</v>
      </c>
      <c r="AG297" s="28">
        <f ca="1">IF(AND(Y297=1,AB297=1),ROUND(AA297*AE297*IF(AF297&gt;1,SETTINGS!$B$16,1)*IF(W297&lt;=SETTINGS!$B$14,SETTINGS!$B$15,1)*IF(AU297=1,SETTINGS!$B$21,1),6),0)</f>
        <v>0</v>
      </c>
      <c r="AH297" s="28" t="str">
        <f ca="1">IF(AG297&gt;0,COUNTIFS($Z$2:$Z$601,Z297,$AG$2:$AG$601,"&gt;"&amp;AG297)+COUNTIFS($Z$2:Z297,Z297,$AG$2:AG297,AG297),"")</f>
        <v/>
      </c>
      <c r="AI297" s="28" t="str">
        <f t="shared" ca="1" si="49"/>
        <v/>
      </c>
      <c r="AJ297" s="28" t="str">
        <f t="shared" ca="1" si="50"/>
        <v/>
      </c>
      <c r="AK297" s="28">
        <f>IF(L297=1,IF(COUNTIFS($F$2:F297,F297,$L$2:L297,1)=1,1,0),0)</f>
        <v>1</v>
      </c>
      <c r="AL297" s="28" t="str">
        <f>IF(B297="","",IF(K297="DUPLICATE","Duplicate (removed)",IF(AO297=1,"Scheduled within 24h",IF(M297=1,"Scheduled late",IF(K297="BAD CONTACT","Bad contact details",IF(O297=1,"Stopped / wrong number",IF(N297=1,"Not interested",IF(P297=1,"Partner has no slots",IF(SETTINGS!$B$4&gt;=V297,IF(Q297=0,"Missed deadline: never tried","Missed deadline: tried, not booked"),IF(Q297&gt;=SETTINGS!$B$6,"No reply after max tries","Open"))))))))))</f>
        <v>Scheduled within 24h</v>
      </c>
      <c r="AM297" s="46">
        <f>IF(M297=1,IF(_xlfn.MINIFS(LOG!$G$2:$G$2001,LOG!$C$2:$C$2001,F297,LOG!$E$2:$E$2001,B297,LOG!$D$2:$D$2001,"*BOOKED")=0,_xlfn.MINIFS(LOG!$G$2:$G$2001,LOG!$C$2:$C$2001,F297,LOG!$E$2:$E$2001,"",LOG!$D$2:$D$2001,"*BOOKED"),IF(_xlfn.MINIFS(LOG!$G$2:$G$2001,LOG!$C$2:$C$2001,F297,LOG!$E$2:$E$2001,"",LOG!$D$2:$D$2001,"*BOOKED")=0,_xlfn.MINIFS(LOG!$G$2:$G$2001,LOG!$C$2:$C$2001,F297,LOG!$E$2:$E$2001,B297,LOG!$D$2:$D$2001,"*BOOKED"),MIN(_xlfn.MINIFS(LOG!$G$2:$G$2001,LOG!$C$2:$C$2001,F297,LOG!$E$2:$E$2001,B297,LOG!$D$2:$D$2001,"*BOOKED"),_xlfn.MINIFS(LOG!$G$2:$G$2001,LOG!$C$2:$C$2001,F297,LOG!$E$2:$E$2001,"",LOG!$D$2:$D$2001,"*BOOKED")))),"")</f>
        <v>46309.355232294824</v>
      </c>
      <c r="AN297" s="28">
        <f t="shared" si="51"/>
        <v>12.6755750758457</v>
      </c>
      <c r="AO297" s="28">
        <f>IF(AND(M297=1,AN297&lt;&gt;""),IF(AN297&lt;=SETTINGS!$B$5,1,0),0)</f>
        <v>1</v>
      </c>
      <c r="AP297" s="28">
        <f>IF(M297=1,IF(COUNTIFS(LOG!$C$2:$C$2001,F297,LOG!$E$2:$E$2001,B297,LOG!$D$2:$D$2001,"BOOKED")+COUNTIFS(LOG!$C$2:$C$2001,F297,LOG!$E$2:$E$2001,"",LOG!$D$2:$D$2001,"BOOKED")&gt;0,1,0),0)</f>
        <v>0</v>
      </c>
      <c r="AQ297" s="28" t="str">
        <f t="shared" si="52"/>
        <v>Aarav</v>
      </c>
      <c r="AR297" s="28">
        <f>IF(AND(AK297=1,K297="OK"),COUNTIFS($AK$2:AK297,1,$K$2:K297,"OK"),"")</f>
        <v>260</v>
      </c>
      <c r="AS297" s="28" t="str">
        <f>IF(L297=1,IFERROR(INDEX(MESSAGES!$J$9:$J$1008,MATCH(F297,MESSAGES!$M$9:$M$1008,0))&amp;"",""),"")</f>
        <v/>
      </c>
      <c r="AT297" s="28" t="str">
        <f>IF(L297=1,IFERROR(INDEX(MESSAGES!$K$9:$K$1008,MATCH(F297,MESSAGES!$M$9:$M$1008,0))&amp;"",""),"")</f>
        <v/>
      </c>
      <c r="AU297" s="28">
        <f t="shared" ca="1" si="53"/>
        <v>0</v>
      </c>
      <c r="AV297" s="28" t="str">
        <f t="shared" si="54"/>
        <v>SEND</v>
      </c>
    </row>
    <row r="298" spans="1:48" x14ac:dyDescent="0.35">
      <c r="A298" s="28">
        <v>297</v>
      </c>
      <c r="B298" s="28" t="str">
        <f>IF(INPUT!A298="","",TRIM(INPUT!A298))</f>
        <v>Partner 067</v>
      </c>
      <c r="C298" s="28" t="str">
        <f>IF(B298="","",INPUT!C298)</f>
        <v>interviewer1@partner067.example.com</v>
      </c>
      <c r="D298" s="28" t="str">
        <f>IF(B298="","",INPUT!D298)</f>
        <v>Aarav M.</v>
      </c>
      <c r="E298" s="28" t="str">
        <f>IF(B298="","",INPUT!E298)</f>
        <v>aarav.m330@example.com</v>
      </c>
      <c r="F298" s="43" t="str">
        <f>IF(B298="","",TRIM(INPUT!F298&amp;""))</f>
        <v>9000004297</v>
      </c>
      <c r="G298" s="28" t="str">
        <f>IF(B298="","",INPUT!H298)</f>
        <v>Round1</v>
      </c>
      <c r="H298" s="46">
        <f>IF(B298="","",INPUT!I298)</f>
        <v>46308.82708333333</v>
      </c>
      <c r="I298" s="28" t="str">
        <f>IF(B298="","",IF(INPUT!J298="","None",INPUT!J298))</f>
        <v>Opened</v>
      </c>
      <c r="J298" s="28" t="str">
        <f t="shared" si="44"/>
        <v>aarav.m330@example.com|partner 067|Round1|interviewer1@partner067.example.com</v>
      </c>
      <c r="K298" s="28" t="str">
        <f>IF(B298="","",IF(SUMPRODUCT(($J$2:$J$601=J298)*($H$2:$H$601&lt;H298))+SUMPRODUCT(($J$2:J298=J298)*($H$2:H298=H298))-1&gt;0,"DUPLICATE",IF(AND(ISNUMBER(SEARCH("@",E298)),ISNUMBER(SEARCH(".",E298)),LEN(F298)=10,ISNUMBER(VALUE(F298))),"OK","BAD CONTACT")))</f>
        <v>OK</v>
      </c>
      <c r="L298" s="28">
        <f t="shared" si="45"/>
        <v>1</v>
      </c>
      <c r="M298" s="28">
        <f>IF(L298=1,IF(COUNTIFS(LOG!$C$2:$C$2001,F298,LOG!$E$2:$E$2001,B298,LOG!$D$2:$D$2001,"*BOOKED")+COUNTIFS(LOG!$C$2:$C$2001,F298,LOG!$E$2:$E$2001,"",LOG!$D$2:$D$2001,"*BOOKED")&gt;0,1,0),0)</f>
        <v>0</v>
      </c>
      <c r="N298" s="28">
        <f>IF(L298=1,IF(COUNTIFS(LOG!$C$2:$C$2001,F298,LOG!$E$2:$E$2001,B298,LOG!$D$2:$D$2001,"NOT_INTERESTED")+COUNTIFS(LOG!$C$2:$C$2001,F298,LOG!$E$2:$E$2001,"",LOG!$D$2:$D$2001,"NOT_INTERESTED")&gt;0,1,0),0)</f>
        <v>0</v>
      </c>
      <c r="O298" s="28">
        <f>IF(L298=1,IF(COUNTIFS(LOG!$C$2:$C$2001,F298,LOG!$D$2:$D$2001,"STOP")+COUNTIFS(LOG!$C$2:$C$2001,F298,LOG!$D$2:$D$2001,"WRONG_NUMBER")&gt;0,1,IF(ISNUMBER(SEARCH("STOP",AT298)),1,0)),0)</f>
        <v>0</v>
      </c>
      <c r="P298" s="28">
        <f>IF(L298=1,IF(IFERROR(INDEX(PARTNERS!$D$2:$D$88,MATCH(B298,PARTNERS!$A$2:$A$88,0)),"")="NO SLOTS",1,IF(AND(IFERROR(INDEX(PARTNERS!$D$2:$D$88,MATCH(B298,PARTNERS!$A$2:$A$88,0)),"")&lt;&gt;"REOPENED",COUNTIFS(LOG!$E$2:$E$2001,B298,LOG!$D$2:$D$2001,"NO_SLOTS")&gt;0),1,0)),0)</f>
        <v>0</v>
      </c>
      <c r="Q298" s="28">
        <f>IF(L298=1,COUNTIFS(LOG!$C$2:$C$2001,F298,LOG!$H$2:$H$2001,1),0)</f>
        <v>0</v>
      </c>
      <c r="R298" s="46">
        <f>IF(Q298&gt;0,_xlfn.MAXIFS(LOG!$G$2:$G$2001,LOG!$C$2:$C$2001,F298,LOG!$H$2:$H$2001,1),0)</f>
        <v>0</v>
      </c>
      <c r="S298" s="28" t="str">
        <f>IF(Q298&gt;0,IFERROR(INDEX(LOG!$D$2:$D$2001,MATCH(F298&amp;"|"&amp;Q298,LOG!$I$2:$I$2001,0)),""),"")</f>
        <v/>
      </c>
      <c r="T298" s="28">
        <f>IF(S298="",0,IFERROR(VLOOKUP(S298,LISTS!$A$2:$E$10,4,FALSE),0))</f>
        <v>0</v>
      </c>
      <c r="U298" s="46">
        <f t="shared" si="46"/>
        <v>0</v>
      </c>
      <c r="V298" s="46">
        <f>IF(L298=1,H298+SETTINGS!$B$5/24,"")</f>
        <v>46309.82708333333</v>
      </c>
      <c r="W298" s="28">
        <f ca="1">IF(L298=1,(V298-SETTINGS!$B$4)*24,"")</f>
        <v>-1.6666666720993817E-2</v>
      </c>
      <c r="X298" s="28">
        <f ca="1">IF(AND(L298=1,K298="OK",M298=0,N298=0,O298=0,P298=0,SETTINGS!$B$4&lt;V298,Q298&lt;SETTINGS!$B$6),1,0)</f>
        <v>0</v>
      </c>
      <c r="Y298" s="28">
        <f ca="1">IF(AND(X298=1,SETTINGS!$B$4&gt;=H298,SETTINGS!$B$4&gt;=U298,ROUND(MOD(SETTINGS!$B$4,1)*1440,0)&gt;=ROUND(SETTINGS!$B$7*1440,0),ROUND(MOD(SETTINGS!$B$4,1)*1440,0)&lt;ROUND(SETTINGS!$B$8*1440,0)),1,0)</f>
        <v>0</v>
      </c>
      <c r="Z298" s="28" t="str">
        <f ca="1">IF(B298="","",IF(ROUND(MOD(SETTINGS!$B$4,1)*1440,0)&lt;ROUND(SETTINGS!$B$11*1440,0),"Ram",IF(ROUND(MOD(SETTINGS!$B$4,1)*1440,0)&gt;=ROUND(SETTINGS!$B$10*1440,0),"Shyam",IF(MOD(IFERROR(VALUE(RIGHT(F298,2)),0),2)=0,"Ram","Shyam"))))</f>
        <v>Shyam</v>
      </c>
      <c r="AA298" s="28">
        <f t="shared" ca="1" si="47"/>
        <v>0</v>
      </c>
      <c r="AB298" s="28">
        <f ca="1">IF(X298=1,COUNTIFS($F$2:F298,F298,$X$2:X298,1),0)</f>
        <v>0</v>
      </c>
      <c r="AC298" s="28" t="str">
        <f>IF(L298=1,IF(IFERROR(INDEX(PARTNERS!$C$2:$C$88,MATCH(B298,PARTNERS!$A$2:$A$88,0)),"")="YES","YES","NO"),"")</f>
        <v>YES</v>
      </c>
      <c r="AD298" s="28" t="str">
        <f>IF(L298=1,IFERROR(INDEX(PARTNERS!$B$2:$B$88,MATCH(B298,PARTNERS!$A$2:$A$88,0)),""),"")</f>
        <v>https://calendly.com/partner067/interview</v>
      </c>
      <c r="AE298" s="28">
        <f ca="1">IF(X298=1,IFERROR(INDEX(SETTINGS!$B$34:$D$36,MATCH(I298,SETTINGS!$A$34:$A$36,0),MIN(Q298,2)+1),SETTINGS!$B$36),0)</f>
        <v>0</v>
      </c>
      <c r="AF298" s="28">
        <f t="shared" si="48"/>
        <v>1</v>
      </c>
      <c r="AG298" s="28">
        <f ca="1">IF(AND(Y298=1,AB298=1),ROUND(AA298*AE298*IF(AF298&gt;1,SETTINGS!$B$16,1)*IF(W298&lt;=SETTINGS!$B$14,SETTINGS!$B$15,1)*IF(AU298=1,SETTINGS!$B$21,1),6),0)</f>
        <v>0</v>
      </c>
      <c r="AH298" s="28" t="str">
        <f ca="1">IF(AG298&gt;0,COUNTIFS($Z$2:$Z$601,Z298,$AG$2:$AG$601,"&gt;"&amp;AG298)+COUNTIFS($Z$2:Z298,Z298,$AG$2:AG298,AG298),"")</f>
        <v/>
      </c>
      <c r="AI298" s="28" t="str">
        <f t="shared" ca="1" si="49"/>
        <v/>
      </c>
      <c r="AJ298" s="28" t="str">
        <f t="shared" ca="1" si="50"/>
        <v/>
      </c>
      <c r="AK298" s="28">
        <f>IF(L298=1,IF(COUNTIFS($F$2:F298,F298,$L$2:L298,1)=1,1,0),0)</f>
        <v>1</v>
      </c>
      <c r="AL298" s="28" t="str">
        <f ca="1">IF(B298="","",IF(K298="DUPLICATE","Duplicate (removed)",IF(AO298=1,"Scheduled within 24h",IF(M298=1,"Scheduled late",IF(K298="BAD CONTACT","Bad contact details",IF(O298=1,"Stopped / wrong number",IF(N298=1,"Not interested",IF(P298=1,"Partner has no slots",IF(SETTINGS!$B$4&gt;=V298,IF(Q298=0,"Missed deadline: never tried","Missed deadline: tried, not booked"),IF(Q298&gt;=SETTINGS!$B$6,"No reply after max tries","Open"))))))))))</f>
        <v>Missed deadline: never tried</v>
      </c>
      <c r="AM298" s="46" t="str">
        <f>IF(M298=1,IF(_xlfn.MINIFS(LOG!$G$2:$G$2001,LOG!$C$2:$C$2001,F298,LOG!$E$2:$E$2001,B298,LOG!$D$2:$D$2001,"*BOOKED")=0,_xlfn.MINIFS(LOG!$G$2:$G$2001,LOG!$C$2:$C$2001,F298,LOG!$E$2:$E$2001,"",LOG!$D$2:$D$2001,"*BOOKED"),IF(_xlfn.MINIFS(LOG!$G$2:$G$2001,LOG!$C$2:$C$2001,F298,LOG!$E$2:$E$2001,"",LOG!$D$2:$D$2001,"*BOOKED")=0,_xlfn.MINIFS(LOG!$G$2:$G$2001,LOG!$C$2:$C$2001,F298,LOG!$E$2:$E$2001,B298,LOG!$D$2:$D$2001,"*BOOKED"),MIN(_xlfn.MINIFS(LOG!$G$2:$G$2001,LOG!$C$2:$C$2001,F298,LOG!$E$2:$E$2001,B298,LOG!$D$2:$D$2001,"*BOOKED"),_xlfn.MINIFS(LOG!$G$2:$G$2001,LOG!$C$2:$C$2001,F298,LOG!$E$2:$E$2001,"",LOG!$D$2:$D$2001,"*BOOKED")))),"")</f>
        <v/>
      </c>
      <c r="AN298" s="28" t="str">
        <f t="shared" si="51"/>
        <v/>
      </c>
      <c r="AO298" s="28">
        <f>IF(AND(M298=1,AN298&lt;&gt;""),IF(AN298&lt;=SETTINGS!$B$5,1,0),0)</f>
        <v>0</v>
      </c>
      <c r="AP298" s="28">
        <f>IF(M298=1,IF(COUNTIFS(LOG!$C$2:$C$2001,F298,LOG!$E$2:$E$2001,B298,LOG!$D$2:$D$2001,"BOOKED")+COUNTIFS(LOG!$C$2:$C$2001,F298,LOG!$E$2:$E$2001,"",LOG!$D$2:$D$2001,"BOOKED")&gt;0,1,0),0)</f>
        <v>0</v>
      </c>
      <c r="AQ298" s="28" t="str">
        <f t="shared" si="52"/>
        <v>Aarav</v>
      </c>
      <c r="AR298" s="28">
        <f>IF(AND(AK298=1,K298="OK"),COUNTIFS($AK$2:AK298,1,$K$2:K298,"OK"),"")</f>
        <v>261</v>
      </c>
      <c r="AS298" s="28" t="str">
        <f>IF(L298=1,IFERROR(INDEX(MESSAGES!$J$9:$J$1008,MATCH(F298,MESSAGES!$M$9:$M$1008,0))&amp;"",""),"")</f>
        <v/>
      </c>
      <c r="AT298" s="28" t="str">
        <f>IF(L298=1,IFERROR(INDEX(MESSAGES!$K$9:$K$1008,MATCH(F298,MESSAGES!$M$9:$M$1008,0))&amp;"",""),"")</f>
        <v/>
      </c>
      <c r="AU298" s="28">
        <f t="shared" ca="1" si="53"/>
        <v>0</v>
      </c>
      <c r="AV298" s="28" t="str">
        <f t="shared" si="54"/>
        <v>HOLD</v>
      </c>
    </row>
    <row r="299" spans="1:48" x14ac:dyDescent="0.35">
      <c r="A299" s="28">
        <v>298</v>
      </c>
      <c r="B299" s="28" t="str">
        <f>IF(INPUT!A299="","",TRIM(INPUT!A299))</f>
        <v>Partner 002</v>
      </c>
      <c r="C299" s="28" t="str">
        <f>IF(B299="","",INPUT!C299)</f>
        <v>interviewer2@partner002.example.com</v>
      </c>
      <c r="D299" s="28" t="str">
        <f>IF(B299="","",INPUT!D299)</f>
        <v>Reyansh M.</v>
      </c>
      <c r="E299" s="28" t="str">
        <f>IF(B299="","",INPUT!E299)</f>
        <v>reyansh.m336@example.com</v>
      </c>
      <c r="F299" s="43" t="str">
        <f>IF(B299="","",TRIM(INPUT!F299&amp;""))</f>
        <v>9000004375</v>
      </c>
      <c r="G299" s="28" t="str">
        <f>IF(B299="","",INPUT!H299)</f>
        <v>Round1</v>
      </c>
      <c r="H299" s="46">
        <f>IF(B299="","",INPUT!I299)</f>
        <v>46308.82708333333</v>
      </c>
      <c r="I299" s="28" t="str">
        <f>IF(B299="","",IF(INPUT!J299="","None",INPUT!J299))</f>
        <v>Clicked</v>
      </c>
      <c r="J299" s="28" t="str">
        <f t="shared" si="44"/>
        <v>reyansh.m336@example.com|partner 002|Round1|interviewer2@partner002.example.com</v>
      </c>
      <c r="K299" s="28" t="str">
        <f>IF(B299="","",IF(SUMPRODUCT(($J$2:$J$601=J299)*($H$2:$H$601&lt;H299))+SUMPRODUCT(($J$2:J299=J299)*($H$2:H299=H299))-1&gt;0,"DUPLICATE",IF(AND(ISNUMBER(SEARCH("@",E299)),ISNUMBER(SEARCH(".",E299)),LEN(F299)=10,ISNUMBER(VALUE(F299))),"OK","BAD CONTACT")))</f>
        <v>OK</v>
      </c>
      <c r="L299" s="28">
        <f t="shared" si="45"/>
        <v>1</v>
      </c>
      <c r="M299" s="28">
        <f>IF(L299=1,IF(COUNTIFS(LOG!$C$2:$C$2001,F299,LOG!$E$2:$E$2001,B299,LOG!$D$2:$D$2001,"*BOOKED")+COUNTIFS(LOG!$C$2:$C$2001,F299,LOG!$E$2:$E$2001,"",LOG!$D$2:$D$2001,"*BOOKED")&gt;0,1,0),0)</f>
        <v>1</v>
      </c>
      <c r="N299" s="28">
        <f>IF(L299=1,IF(COUNTIFS(LOG!$C$2:$C$2001,F299,LOG!$E$2:$E$2001,B299,LOG!$D$2:$D$2001,"NOT_INTERESTED")+COUNTIFS(LOG!$C$2:$C$2001,F299,LOG!$E$2:$E$2001,"",LOG!$D$2:$D$2001,"NOT_INTERESTED")&gt;0,1,0),0)</f>
        <v>0</v>
      </c>
      <c r="O299" s="28">
        <f>IF(L299=1,IF(COUNTIFS(LOG!$C$2:$C$2001,F299,LOG!$D$2:$D$2001,"STOP")+COUNTIFS(LOG!$C$2:$C$2001,F299,LOG!$D$2:$D$2001,"WRONG_NUMBER")&gt;0,1,IF(ISNUMBER(SEARCH("STOP",AT299)),1,0)),0)</f>
        <v>0</v>
      </c>
      <c r="P299" s="28">
        <f>IF(L299=1,IF(IFERROR(INDEX(PARTNERS!$D$2:$D$88,MATCH(B299,PARTNERS!$A$2:$A$88,0)),"")="NO SLOTS",1,IF(AND(IFERROR(INDEX(PARTNERS!$D$2:$D$88,MATCH(B299,PARTNERS!$A$2:$A$88,0)),"")&lt;&gt;"REOPENED",COUNTIFS(LOG!$E$2:$E$2001,B299,LOG!$D$2:$D$2001,"NO_SLOTS")&gt;0),1,0)),0)</f>
        <v>0</v>
      </c>
      <c r="Q299" s="28">
        <f>IF(L299=1,COUNTIFS(LOG!$C$2:$C$2001,F299,LOG!$H$2:$H$2001,1),0)</f>
        <v>1</v>
      </c>
      <c r="R299" s="46">
        <f>IF(Q299&gt;0,_xlfn.MAXIFS(LOG!$G$2:$G$2001,LOG!$C$2:$C$2001,F299,LOG!$H$2:$H$2001,1),0)</f>
        <v>46309.653569790557</v>
      </c>
      <c r="S299" s="28" t="str">
        <f>IF(Q299&gt;0,IFERROR(INDEX(LOG!$D$2:$D$2001,MATCH(F299&amp;"|"&amp;Q299,LOG!$I$2:$I$2001,0)),""),"")</f>
        <v>BOOKED</v>
      </c>
      <c r="T299" s="28">
        <f>IF(S299="",0,IFERROR(VLOOKUP(S299,LISTS!$A$2:$E$10,4,FALSE),0))</f>
        <v>0</v>
      </c>
      <c r="U299" s="46">
        <f t="shared" si="46"/>
        <v>46309.653569790557</v>
      </c>
      <c r="V299" s="46">
        <f>IF(L299=1,H299+SETTINGS!$B$5/24,"")</f>
        <v>46309.82708333333</v>
      </c>
      <c r="W299" s="28">
        <f ca="1">IF(L299=1,(V299-SETTINGS!$B$4)*24,"")</f>
        <v>-1.6666666720993817E-2</v>
      </c>
      <c r="X299" s="28">
        <f ca="1">IF(AND(L299=1,K299="OK",M299=0,N299=0,O299=0,P299=0,SETTINGS!$B$4&lt;V299,Q299&lt;SETTINGS!$B$6),1,0)</f>
        <v>0</v>
      </c>
      <c r="Y299" s="28">
        <f ca="1">IF(AND(X299=1,SETTINGS!$B$4&gt;=H299,SETTINGS!$B$4&gt;=U299,ROUND(MOD(SETTINGS!$B$4,1)*1440,0)&gt;=ROUND(SETTINGS!$B$7*1440,0),ROUND(MOD(SETTINGS!$B$4,1)*1440,0)&lt;ROUND(SETTINGS!$B$8*1440,0)),1,0)</f>
        <v>0</v>
      </c>
      <c r="Z299" s="28" t="str">
        <f ca="1">IF(B299="","",IF(ROUND(MOD(SETTINGS!$B$4,1)*1440,0)&lt;ROUND(SETTINGS!$B$11*1440,0),"Ram",IF(ROUND(MOD(SETTINGS!$B$4,1)*1440,0)&gt;=ROUND(SETTINGS!$B$10*1440,0),"Shyam",IF(MOD(IFERROR(VALUE(RIGHT(F299,2)),0),2)=0,"Ram","Shyam"))))</f>
        <v>Shyam</v>
      </c>
      <c r="AA299" s="28">
        <f t="shared" ca="1" si="47"/>
        <v>0</v>
      </c>
      <c r="AB299" s="28">
        <f ca="1">IF(X299=1,COUNTIFS($F$2:F299,F299,$X$2:X299,1),0)</f>
        <v>0</v>
      </c>
      <c r="AC299" s="28" t="str">
        <f>IF(L299=1,IF(IFERROR(INDEX(PARTNERS!$C$2:$C$88,MATCH(B299,PARTNERS!$A$2:$A$88,0)),"")="YES","YES","NO"),"")</f>
        <v>YES</v>
      </c>
      <c r="AD299" s="28" t="str">
        <f>IF(L299=1,IFERROR(INDEX(PARTNERS!$B$2:$B$88,MATCH(B299,PARTNERS!$A$2:$A$88,0)),""),"")</f>
        <v>https://calendly.com/partner002/interview</v>
      </c>
      <c r="AE299" s="28">
        <f ca="1">IF(X299=1,IFERROR(INDEX(SETTINGS!$B$34:$D$36,MATCH(I299,SETTINGS!$A$34:$A$36,0),MIN(Q299,2)+1),SETTINGS!$B$36),0)</f>
        <v>0</v>
      </c>
      <c r="AF299" s="28">
        <f t="shared" si="48"/>
        <v>1</v>
      </c>
      <c r="AG299" s="28">
        <f ca="1">IF(AND(Y299=1,AB299=1),ROUND(AA299*AE299*IF(AF299&gt;1,SETTINGS!$B$16,1)*IF(W299&lt;=SETTINGS!$B$14,SETTINGS!$B$15,1)*IF(AU299=1,SETTINGS!$B$21,1),6),0)</f>
        <v>0</v>
      </c>
      <c r="AH299" s="28" t="str">
        <f ca="1">IF(AG299&gt;0,COUNTIFS($Z$2:$Z$601,Z299,$AG$2:$AG$601,"&gt;"&amp;AG299)+COUNTIFS($Z$2:Z299,Z299,$AG$2:AG299,AG299),"")</f>
        <v/>
      </c>
      <c r="AI299" s="28" t="str">
        <f t="shared" ca="1" si="49"/>
        <v/>
      </c>
      <c r="AJ299" s="28" t="str">
        <f t="shared" ca="1" si="50"/>
        <v/>
      </c>
      <c r="AK299" s="28">
        <f>IF(L299=1,IF(COUNTIFS($F$2:F299,F299,$L$2:L299,1)=1,1,0),0)</f>
        <v>1</v>
      </c>
      <c r="AL299" s="28" t="str">
        <f>IF(B299="","",IF(K299="DUPLICATE","Duplicate (removed)",IF(AO299=1,"Scheduled within 24h",IF(M299=1,"Scheduled late",IF(K299="BAD CONTACT","Bad contact details",IF(O299=1,"Stopped / wrong number",IF(N299=1,"Not interested",IF(P299=1,"Partner has no slots",IF(SETTINGS!$B$4&gt;=V299,IF(Q299=0,"Missed deadline: never tried","Missed deadline: tried, not booked"),IF(Q299&gt;=SETTINGS!$B$6,"No reply after max tries","Open"))))))))))</f>
        <v>Scheduled within 24h</v>
      </c>
      <c r="AM299" s="46">
        <f>IF(M299=1,IF(_xlfn.MINIFS(LOG!$G$2:$G$2001,LOG!$C$2:$C$2001,F299,LOG!$E$2:$E$2001,B299,LOG!$D$2:$D$2001,"*BOOKED")=0,_xlfn.MINIFS(LOG!$G$2:$G$2001,LOG!$C$2:$C$2001,F299,LOG!$E$2:$E$2001,"",LOG!$D$2:$D$2001,"*BOOKED"),IF(_xlfn.MINIFS(LOG!$G$2:$G$2001,LOG!$C$2:$C$2001,F299,LOG!$E$2:$E$2001,"",LOG!$D$2:$D$2001,"*BOOKED")=0,_xlfn.MINIFS(LOG!$G$2:$G$2001,LOG!$C$2:$C$2001,F299,LOG!$E$2:$E$2001,B299,LOG!$D$2:$D$2001,"*BOOKED"),MIN(_xlfn.MINIFS(LOG!$G$2:$G$2001,LOG!$C$2:$C$2001,F299,LOG!$E$2:$E$2001,B299,LOG!$D$2:$D$2001,"*BOOKED"),_xlfn.MINIFS(LOG!$G$2:$G$2001,LOG!$C$2:$C$2001,F299,LOG!$E$2:$E$2001,"",LOG!$D$2:$D$2001,"*BOOKED")))),"")</f>
        <v>46309.653569790557</v>
      </c>
      <c r="AN299" s="28">
        <f t="shared" si="51"/>
        <v>19.835674973437563</v>
      </c>
      <c r="AO299" s="28">
        <f>IF(AND(M299=1,AN299&lt;&gt;""),IF(AN299&lt;=SETTINGS!$B$5,1,0),0)</f>
        <v>1</v>
      </c>
      <c r="AP299" s="28">
        <f>IF(M299=1,IF(COUNTIFS(LOG!$C$2:$C$2001,F299,LOG!$E$2:$E$2001,B299,LOG!$D$2:$D$2001,"BOOKED")+COUNTIFS(LOG!$C$2:$C$2001,F299,LOG!$E$2:$E$2001,"",LOG!$D$2:$D$2001,"BOOKED")&gt;0,1,0),0)</f>
        <v>1</v>
      </c>
      <c r="AQ299" s="28" t="str">
        <f t="shared" si="52"/>
        <v>Reyansh</v>
      </c>
      <c r="AR299" s="28">
        <f>IF(AND(AK299=1,K299="OK"),COUNTIFS($AK$2:AK299,1,$K$2:K299,"OK"),"")</f>
        <v>262</v>
      </c>
      <c r="AS299" s="28" t="str">
        <f>IF(L299=1,IFERROR(INDEX(MESSAGES!$J$9:$J$1008,MATCH(F299,MESSAGES!$M$9:$M$1008,0))&amp;"",""),"")</f>
        <v/>
      </c>
      <c r="AT299" s="28" t="str">
        <f>IF(L299=1,IFERROR(INDEX(MESSAGES!$K$9:$K$1008,MATCH(F299,MESSAGES!$M$9:$M$1008,0))&amp;"",""),"")</f>
        <v/>
      </c>
      <c r="AU299" s="28">
        <f t="shared" ca="1" si="53"/>
        <v>0</v>
      </c>
      <c r="AV299" s="28" t="str">
        <f t="shared" si="54"/>
        <v>HOLD</v>
      </c>
    </row>
    <row r="300" spans="1:48" x14ac:dyDescent="0.35">
      <c r="A300" s="28">
        <v>299</v>
      </c>
      <c r="B300" s="28" t="str">
        <f>IF(INPUT!A300="","",TRIM(INPUT!A300))</f>
        <v>Partner 002</v>
      </c>
      <c r="C300" s="28" t="str">
        <f>IF(B300="","",INPUT!C300)</f>
        <v>interviewer0@partner002.example.com</v>
      </c>
      <c r="D300" s="28" t="str">
        <f>IF(B300="","",INPUT!D300)</f>
        <v>Vihaan F.</v>
      </c>
      <c r="E300" s="28" t="str">
        <f>IF(B300="","",INPUT!E300)</f>
        <v>vihaan.f154@example.com</v>
      </c>
      <c r="F300" s="43" t="str">
        <f>IF(B300="","",TRIM(INPUT!F300&amp;""))</f>
        <v>9000002009</v>
      </c>
      <c r="G300" s="28" t="str">
        <f>IF(B300="","",INPUT!H300)</f>
        <v>Round1</v>
      </c>
      <c r="H300" s="46">
        <f>IF(B300="","",INPUT!I300)</f>
        <v>46308.82708333333</v>
      </c>
      <c r="I300" s="28" t="str">
        <f>IF(B300="","",IF(INPUT!J300="","None",INPUT!J300))</f>
        <v>None</v>
      </c>
      <c r="J300" s="28" t="str">
        <f t="shared" si="44"/>
        <v>vihaan.f154@example.com|partner 002|Round1|interviewer0@partner002.example.com</v>
      </c>
      <c r="K300" s="28" t="str">
        <f>IF(B300="","",IF(SUMPRODUCT(($J$2:$J$601=J300)*($H$2:$H$601&lt;H300))+SUMPRODUCT(($J$2:J300=J300)*($H$2:H300=H300))-1&gt;0,"DUPLICATE",IF(AND(ISNUMBER(SEARCH("@",E300)),ISNUMBER(SEARCH(".",E300)),LEN(F300)=10,ISNUMBER(VALUE(F300))),"OK","BAD CONTACT")))</f>
        <v>OK</v>
      </c>
      <c r="L300" s="28">
        <f t="shared" si="45"/>
        <v>1</v>
      </c>
      <c r="M300" s="28">
        <f>IF(L300=1,IF(COUNTIFS(LOG!$C$2:$C$2001,F300,LOG!$E$2:$E$2001,B300,LOG!$D$2:$D$2001,"*BOOKED")+COUNTIFS(LOG!$C$2:$C$2001,F300,LOG!$E$2:$E$2001,"",LOG!$D$2:$D$2001,"*BOOKED")&gt;0,1,0),0)</f>
        <v>0</v>
      </c>
      <c r="N300" s="28">
        <f>IF(L300=1,IF(COUNTIFS(LOG!$C$2:$C$2001,F300,LOG!$E$2:$E$2001,B300,LOG!$D$2:$D$2001,"NOT_INTERESTED")+COUNTIFS(LOG!$C$2:$C$2001,F300,LOG!$E$2:$E$2001,"",LOG!$D$2:$D$2001,"NOT_INTERESTED")&gt;0,1,0),0)</f>
        <v>0</v>
      </c>
      <c r="O300" s="28">
        <f>IF(L300=1,IF(COUNTIFS(LOG!$C$2:$C$2001,F300,LOG!$D$2:$D$2001,"STOP")+COUNTIFS(LOG!$C$2:$C$2001,F300,LOG!$D$2:$D$2001,"WRONG_NUMBER")&gt;0,1,IF(ISNUMBER(SEARCH("STOP",AT300)),1,0)),0)</f>
        <v>0</v>
      </c>
      <c r="P300" s="28">
        <f>IF(L300=1,IF(IFERROR(INDEX(PARTNERS!$D$2:$D$88,MATCH(B300,PARTNERS!$A$2:$A$88,0)),"")="NO SLOTS",1,IF(AND(IFERROR(INDEX(PARTNERS!$D$2:$D$88,MATCH(B300,PARTNERS!$A$2:$A$88,0)),"")&lt;&gt;"REOPENED",COUNTIFS(LOG!$E$2:$E$2001,B300,LOG!$D$2:$D$2001,"NO_SLOTS")&gt;0),1,0)),0)</f>
        <v>0</v>
      </c>
      <c r="Q300" s="28">
        <f>IF(L300=1,COUNTIFS(LOG!$C$2:$C$2001,F300,LOG!$H$2:$H$2001,1),0)</f>
        <v>0</v>
      </c>
      <c r="R300" s="46">
        <f>IF(Q300&gt;0,_xlfn.MAXIFS(LOG!$G$2:$G$2001,LOG!$C$2:$C$2001,F300,LOG!$H$2:$H$2001,1),0)</f>
        <v>0</v>
      </c>
      <c r="S300" s="28" t="str">
        <f>IF(Q300&gt;0,IFERROR(INDEX(LOG!$D$2:$D$2001,MATCH(F300&amp;"|"&amp;Q300,LOG!$I$2:$I$2001,0)),""),"")</f>
        <v/>
      </c>
      <c r="T300" s="28">
        <f>IF(S300="",0,IFERROR(VLOOKUP(S300,LISTS!$A$2:$E$10,4,FALSE),0))</f>
        <v>0</v>
      </c>
      <c r="U300" s="46">
        <f t="shared" si="46"/>
        <v>0</v>
      </c>
      <c r="V300" s="46">
        <f>IF(L300=1,H300+SETTINGS!$B$5/24,"")</f>
        <v>46309.82708333333</v>
      </c>
      <c r="W300" s="28">
        <f ca="1">IF(L300=1,(V300-SETTINGS!$B$4)*24,"")</f>
        <v>-1.6666666720993817E-2</v>
      </c>
      <c r="X300" s="28">
        <f ca="1">IF(AND(L300=1,K300="OK",M300=0,N300=0,O300=0,P300=0,SETTINGS!$B$4&lt;V300,Q300&lt;SETTINGS!$B$6),1,0)</f>
        <v>0</v>
      </c>
      <c r="Y300" s="28">
        <f ca="1">IF(AND(X300=1,SETTINGS!$B$4&gt;=H300,SETTINGS!$B$4&gt;=U300,ROUND(MOD(SETTINGS!$B$4,1)*1440,0)&gt;=ROUND(SETTINGS!$B$7*1440,0),ROUND(MOD(SETTINGS!$B$4,1)*1440,0)&lt;ROUND(SETTINGS!$B$8*1440,0)),1,0)</f>
        <v>0</v>
      </c>
      <c r="Z300" s="28" t="str">
        <f ca="1">IF(B300="","",IF(ROUND(MOD(SETTINGS!$B$4,1)*1440,0)&lt;ROUND(SETTINGS!$B$11*1440,0),"Ram",IF(ROUND(MOD(SETTINGS!$B$4,1)*1440,0)&gt;=ROUND(SETTINGS!$B$10*1440,0),"Shyam",IF(MOD(IFERROR(VALUE(RIGHT(F300,2)),0),2)=0,"Ram","Shyam"))))</f>
        <v>Shyam</v>
      </c>
      <c r="AA300" s="28">
        <f t="shared" ca="1" si="47"/>
        <v>0</v>
      </c>
      <c r="AB300" s="28">
        <f ca="1">IF(X300=1,COUNTIFS($F$2:F300,F300,$X$2:X300,1),0)</f>
        <v>0</v>
      </c>
      <c r="AC300" s="28" t="str">
        <f>IF(L300=1,IF(IFERROR(INDEX(PARTNERS!$C$2:$C$88,MATCH(B300,PARTNERS!$A$2:$A$88,0)),"")="YES","YES","NO"),"")</f>
        <v>YES</v>
      </c>
      <c r="AD300" s="28" t="str">
        <f>IF(L300=1,IFERROR(INDEX(PARTNERS!$B$2:$B$88,MATCH(B300,PARTNERS!$A$2:$A$88,0)),""),"")</f>
        <v>https://calendly.com/partner002/interview</v>
      </c>
      <c r="AE300" s="28">
        <f ca="1">IF(X300=1,IFERROR(INDEX(SETTINGS!$B$34:$D$36,MATCH(I300,SETTINGS!$A$34:$A$36,0),MIN(Q300,2)+1),SETTINGS!$B$36),0)</f>
        <v>0</v>
      </c>
      <c r="AF300" s="28">
        <f t="shared" si="48"/>
        <v>1</v>
      </c>
      <c r="AG300" s="28">
        <f ca="1">IF(AND(Y300=1,AB300=1),ROUND(AA300*AE300*IF(AF300&gt;1,SETTINGS!$B$16,1)*IF(W300&lt;=SETTINGS!$B$14,SETTINGS!$B$15,1)*IF(AU300=1,SETTINGS!$B$21,1),6),0)</f>
        <v>0</v>
      </c>
      <c r="AH300" s="28" t="str">
        <f ca="1">IF(AG300&gt;0,COUNTIFS($Z$2:$Z$601,Z300,$AG$2:$AG$601,"&gt;"&amp;AG300)+COUNTIFS($Z$2:Z300,Z300,$AG$2:AG300,AG300),"")</f>
        <v/>
      </c>
      <c r="AI300" s="28" t="str">
        <f t="shared" ca="1" si="49"/>
        <v/>
      </c>
      <c r="AJ300" s="28" t="str">
        <f t="shared" ca="1" si="50"/>
        <v/>
      </c>
      <c r="AK300" s="28">
        <f>IF(L300=1,IF(COUNTIFS($F$2:F300,F300,$L$2:L300,1)=1,1,0),0)</f>
        <v>1</v>
      </c>
      <c r="AL300" s="28" t="str">
        <f ca="1">IF(B300="","",IF(K300="DUPLICATE","Duplicate (removed)",IF(AO300=1,"Scheduled within 24h",IF(M300=1,"Scheduled late",IF(K300="BAD CONTACT","Bad contact details",IF(O300=1,"Stopped / wrong number",IF(N300=1,"Not interested",IF(P300=1,"Partner has no slots",IF(SETTINGS!$B$4&gt;=V300,IF(Q300=0,"Missed deadline: never tried","Missed deadline: tried, not booked"),IF(Q300&gt;=SETTINGS!$B$6,"No reply after max tries","Open"))))))))))</f>
        <v>Missed deadline: never tried</v>
      </c>
      <c r="AM300" s="46" t="str">
        <f>IF(M300=1,IF(_xlfn.MINIFS(LOG!$G$2:$G$2001,LOG!$C$2:$C$2001,F300,LOG!$E$2:$E$2001,B300,LOG!$D$2:$D$2001,"*BOOKED")=0,_xlfn.MINIFS(LOG!$G$2:$G$2001,LOG!$C$2:$C$2001,F300,LOG!$E$2:$E$2001,"",LOG!$D$2:$D$2001,"*BOOKED"),IF(_xlfn.MINIFS(LOG!$G$2:$G$2001,LOG!$C$2:$C$2001,F300,LOG!$E$2:$E$2001,"",LOG!$D$2:$D$2001,"*BOOKED")=0,_xlfn.MINIFS(LOG!$G$2:$G$2001,LOG!$C$2:$C$2001,F300,LOG!$E$2:$E$2001,B300,LOG!$D$2:$D$2001,"*BOOKED"),MIN(_xlfn.MINIFS(LOG!$G$2:$G$2001,LOG!$C$2:$C$2001,F300,LOG!$E$2:$E$2001,B300,LOG!$D$2:$D$2001,"*BOOKED"),_xlfn.MINIFS(LOG!$G$2:$G$2001,LOG!$C$2:$C$2001,F300,LOG!$E$2:$E$2001,"",LOG!$D$2:$D$2001,"*BOOKED")))),"")</f>
        <v/>
      </c>
      <c r="AN300" s="28" t="str">
        <f t="shared" si="51"/>
        <v/>
      </c>
      <c r="AO300" s="28">
        <f>IF(AND(M300=1,AN300&lt;&gt;""),IF(AN300&lt;=SETTINGS!$B$5,1,0),0)</f>
        <v>0</v>
      </c>
      <c r="AP300" s="28">
        <f>IF(M300=1,IF(COUNTIFS(LOG!$C$2:$C$2001,F300,LOG!$E$2:$E$2001,B300,LOG!$D$2:$D$2001,"BOOKED")+COUNTIFS(LOG!$C$2:$C$2001,F300,LOG!$E$2:$E$2001,"",LOG!$D$2:$D$2001,"BOOKED")&gt;0,1,0),0)</f>
        <v>0</v>
      </c>
      <c r="AQ300" s="28" t="str">
        <f t="shared" si="52"/>
        <v>Vihaan</v>
      </c>
      <c r="AR300" s="28">
        <f>IF(AND(AK300=1,K300="OK"),COUNTIFS($AK$2:AK300,1,$K$2:K300,"OK"),"")</f>
        <v>263</v>
      </c>
      <c r="AS300" s="28" t="str">
        <f>IF(L300=1,IFERROR(INDEX(MESSAGES!$J$9:$J$1008,MATCH(F300,MESSAGES!$M$9:$M$1008,0))&amp;"",""),"")</f>
        <v/>
      </c>
      <c r="AT300" s="28" t="str">
        <f>IF(L300=1,IFERROR(INDEX(MESSAGES!$K$9:$K$1008,MATCH(F300,MESSAGES!$M$9:$M$1008,0))&amp;"",""),"")</f>
        <v/>
      </c>
      <c r="AU300" s="28">
        <f t="shared" ca="1" si="53"/>
        <v>0</v>
      </c>
      <c r="AV300" s="28" t="str">
        <f t="shared" si="54"/>
        <v>SEND</v>
      </c>
    </row>
    <row r="301" spans="1:48" x14ac:dyDescent="0.35">
      <c r="A301" s="28">
        <v>300</v>
      </c>
      <c r="B301" s="28" t="str">
        <f>IF(INPUT!A301="","",TRIM(INPUT!A301))</f>
        <v>Partner 000</v>
      </c>
      <c r="C301" s="28" t="str">
        <f>IF(B301="","",INPUT!C301)</f>
        <v>interviewer0@partner000.example.com</v>
      </c>
      <c r="D301" s="28" t="str">
        <f>IF(B301="","",INPUT!D301)</f>
        <v>Ananya D.</v>
      </c>
      <c r="E301" s="28" t="str">
        <f>IF(B301="","",INPUT!E301)</f>
        <v>ananya.d093@example.com</v>
      </c>
      <c r="F301" s="43" t="str">
        <f>IF(B301="","",TRIM(INPUT!F301&amp;""))</f>
        <v>9000001216</v>
      </c>
      <c r="G301" s="28" t="str">
        <f>IF(B301="","",INPUT!H301)</f>
        <v>Round1</v>
      </c>
      <c r="H301" s="46">
        <f>IF(B301="","",INPUT!I301)</f>
        <v>46308.830555555563</v>
      </c>
      <c r="I301" s="28" t="str">
        <f>IF(B301="","",IF(INPUT!J301="","None",INPUT!J301))</f>
        <v>Opened</v>
      </c>
      <c r="J301" s="28" t="str">
        <f t="shared" si="44"/>
        <v>ananya.d093@example.com|partner 000|Round1|interviewer0@partner000.example.com</v>
      </c>
      <c r="K301" s="28" t="str">
        <f>IF(B301="","",IF(SUMPRODUCT(($J$2:$J$601=J301)*($H$2:$H$601&lt;H301))+SUMPRODUCT(($J$2:J301=J301)*($H$2:H301=H301))-1&gt;0,"DUPLICATE",IF(AND(ISNUMBER(SEARCH("@",E301)),ISNUMBER(SEARCH(".",E301)),LEN(F301)=10,ISNUMBER(VALUE(F301))),"OK","BAD CONTACT")))</f>
        <v>DUPLICATE</v>
      </c>
      <c r="L301" s="28">
        <f t="shared" si="45"/>
        <v>0</v>
      </c>
      <c r="M301" s="28">
        <f>IF(L301=1,IF(COUNTIFS(LOG!$C$2:$C$2001,F301,LOG!$E$2:$E$2001,B301,LOG!$D$2:$D$2001,"*BOOKED")+COUNTIFS(LOG!$C$2:$C$2001,F301,LOG!$E$2:$E$2001,"",LOG!$D$2:$D$2001,"*BOOKED")&gt;0,1,0),0)</f>
        <v>0</v>
      </c>
      <c r="N301" s="28">
        <f>IF(L301=1,IF(COUNTIFS(LOG!$C$2:$C$2001,F301,LOG!$E$2:$E$2001,B301,LOG!$D$2:$D$2001,"NOT_INTERESTED")+COUNTIFS(LOG!$C$2:$C$2001,F301,LOG!$E$2:$E$2001,"",LOG!$D$2:$D$2001,"NOT_INTERESTED")&gt;0,1,0),0)</f>
        <v>0</v>
      </c>
      <c r="O301" s="28">
        <f>IF(L301=1,IF(COUNTIFS(LOG!$C$2:$C$2001,F301,LOG!$D$2:$D$2001,"STOP")+COUNTIFS(LOG!$C$2:$C$2001,F301,LOG!$D$2:$D$2001,"WRONG_NUMBER")&gt;0,1,IF(ISNUMBER(SEARCH("STOP",AT301)),1,0)),0)</f>
        <v>0</v>
      </c>
      <c r="P301" s="28">
        <f>IF(L301=1,IF(IFERROR(INDEX(PARTNERS!$D$2:$D$88,MATCH(B301,PARTNERS!$A$2:$A$88,0)),"")="NO SLOTS",1,IF(AND(IFERROR(INDEX(PARTNERS!$D$2:$D$88,MATCH(B301,PARTNERS!$A$2:$A$88,0)),"")&lt;&gt;"REOPENED",COUNTIFS(LOG!$E$2:$E$2001,B301,LOG!$D$2:$D$2001,"NO_SLOTS")&gt;0),1,0)),0)</f>
        <v>0</v>
      </c>
      <c r="Q301" s="28">
        <f>IF(L301=1,COUNTIFS(LOG!$C$2:$C$2001,F301,LOG!$H$2:$H$2001,1),0)</f>
        <v>0</v>
      </c>
      <c r="R301" s="46">
        <f>IF(Q301&gt;0,_xlfn.MAXIFS(LOG!$G$2:$G$2001,LOG!$C$2:$C$2001,F301,LOG!$H$2:$H$2001,1),0)</f>
        <v>0</v>
      </c>
      <c r="S301" s="28" t="str">
        <f>IF(Q301&gt;0,IFERROR(INDEX(LOG!$D$2:$D$2001,MATCH(F301&amp;"|"&amp;Q301,LOG!$I$2:$I$2001,0)),""),"")</f>
        <v/>
      </c>
      <c r="T301" s="28">
        <f>IF(S301="",0,IFERROR(VLOOKUP(S301,LISTS!$A$2:$E$10,4,FALSE),0))</f>
        <v>0</v>
      </c>
      <c r="U301" s="46">
        <f t="shared" si="46"/>
        <v>0</v>
      </c>
      <c r="V301" s="46" t="str">
        <f>IF(L301=1,H301+SETTINGS!$B$5/24,"")</f>
        <v/>
      </c>
      <c r="W301" s="28" t="str">
        <f>IF(L301=1,(V301-SETTINGS!$B$4)*24,"")</f>
        <v/>
      </c>
      <c r="X301" s="28">
        <f ca="1">IF(AND(L301=1,K301="OK",M301=0,N301=0,O301=0,P301=0,SETTINGS!$B$4&lt;V301,Q301&lt;SETTINGS!$B$6),1,0)</f>
        <v>0</v>
      </c>
      <c r="Y301" s="28">
        <f ca="1">IF(AND(X301=1,SETTINGS!$B$4&gt;=H301,SETTINGS!$B$4&gt;=U301,ROUND(MOD(SETTINGS!$B$4,1)*1440,0)&gt;=ROUND(SETTINGS!$B$7*1440,0),ROUND(MOD(SETTINGS!$B$4,1)*1440,0)&lt;ROUND(SETTINGS!$B$8*1440,0)),1,0)</f>
        <v>0</v>
      </c>
      <c r="Z301" s="28" t="str">
        <f ca="1">IF(B301="","",IF(ROUND(MOD(SETTINGS!$B$4,1)*1440,0)&lt;ROUND(SETTINGS!$B$11*1440,0),"Ram",IF(ROUND(MOD(SETTINGS!$B$4,1)*1440,0)&gt;=ROUND(SETTINGS!$B$10*1440,0),"Shyam",IF(MOD(IFERROR(VALUE(RIGHT(F301,2)),0),2)=0,"Ram","Shyam"))))</f>
        <v>Shyam</v>
      </c>
      <c r="AA301" s="28">
        <f t="shared" ca="1" si="47"/>
        <v>0</v>
      </c>
      <c r="AB301" s="28">
        <f ca="1">IF(X301=1,COUNTIFS($F$2:F301,F301,$X$2:X301,1),0)</f>
        <v>0</v>
      </c>
      <c r="AC301" s="28" t="str">
        <f>IF(L301=1,IF(IFERROR(INDEX(PARTNERS!$C$2:$C$88,MATCH(B301,PARTNERS!$A$2:$A$88,0)),"")="YES","YES","NO"),"")</f>
        <v/>
      </c>
      <c r="AD301" s="28" t="str">
        <f>IF(L301=1,IFERROR(INDEX(PARTNERS!$B$2:$B$88,MATCH(B301,PARTNERS!$A$2:$A$88,0)),""),"")</f>
        <v/>
      </c>
      <c r="AE301" s="28">
        <f ca="1">IF(X301=1,IFERROR(INDEX(SETTINGS!$B$34:$D$36,MATCH(I301,SETTINGS!$A$34:$A$36,0),MIN(Q301,2)+1),SETTINGS!$B$36),0)</f>
        <v>0</v>
      </c>
      <c r="AF301" s="28">
        <f t="shared" si="48"/>
        <v>0</v>
      </c>
      <c r="AG301" s="28">
        <f ca="1">IF(AND(Y301=1,AB301=1),ROUND(AA301*AE301*IF(AF301&gt;1,SETTINGS!$B$16,1)*IF(W301&lt;=SETTINGS!$B$14,SETTINGS!$B$15,1)*IF(AU301=1,SETTINGS!$B$21,1),6),0)</f>
        <v>0</v>
      </c>
      <c r="AH301" s="28" t="str">
        <f ca="1">IF(AG301&gt;0,COUNTIFS($Z$2:$Z$601,Z301,$AG$2:$AG$601,"&gt;"&amp;AG301)+COUNTIFS($Z$2:Z301,Z301,$AG$2:AG301,AG301),"")</f>
        <v/>
      </c>
      <c r="AI301" s="28" t="str">
        <f t="shared" ca="1" si="49"/>
        <v/>
      </c>
      <c r="AJ301" s="28" t="str">
        <f t="shared" ca="1" si="50"/>
        <v/>
      </c>
      <c r="AK301" s="28">
        <f>IF(L301=1,IF(COUNTIFS($F$2:F301,F301,$L$2:L301,1)=1,1,0),0)</f>
        <v>0</v>
      </c>
      <c r="AL301" s="28" t="str">
        <f>IF(B301="","",IF(K301="DUPLICATE","Duplicate (removed)",IF(AO301=1,"Scheduled within 24h",IF(M301=1,"Scheduled late",IF(K301="BAD CONTACT","Bad contact details",IF(O301=1,"Stopped / wrong number",IF(N301=1,"Not interested",IF(P301=1,"Partner has no slots",IF(SETTINGS!$B$4&gt;=V301,IF(Q301=0,"Missed deadline: never tried","Missed deadline: tried, not booked"),IF(Q301&gt;=SETTINGS!$B$6,"No reply after max tries","Open"))))))))))</f>
        <v>Duplicate (removed)</v>
      </c>
      <c r="AM301" s="46" t="str">
        <f>IF(M301=1,IF(_xlfn.MINIFS(LOG!$G$2:$G$2001,LOG!$C$2:$C$2001,F301,LOG!$E$2:$E$2001,B301,LOG!$D$2:$D$2001,"*BOOKED")=0,_xlfn.MINIFS(LOG!$G$2:$G$2001,LOG!$C$2:$C$2001,F301,LOG!$E$2:$E$2001,"",LOG!$D$2:$D$2001,"*BOOKED"),IF(_xlfn.MINIFS(LOG!$G$2:$G$2001,LOG!$C$2:$C$2001,F301,LOG!$E$2:$E$2001,"",LOG!$D$2:$D$2001,"*BOOKED")=0,_xlfn.MINIFS(LOG!$G$2:$G$2001,LOG!$C$2:$C$2001,F301,LOG!$E$2:$E$2001,B301,LOG!$D$2:$D$2001,"*BOOKED"),MIN(_xlfn.MINIFS(LOG!$G$2:$G$2001,LOG!$C$2:$C$2001,F301,LOG!$E$2:$E$2001,B301,LOG!$D$2:$D$2001,"*BOOKED"),_xlfn.MINIFS(LOG!$G$2:$G$2001,LOG!$C$2:$C$2001,F301,LOG!$E$2:$E$2001,"",LOG!$D$2:$D$2001,"*BOOKED")))),"")</f>
        <v/>
      </c>
      <c r="AN301" s="28" t="str">
        <f t="shared" si="51"/>
        <v/>
      </c>
      <c r="AO301" s="28">
        <f>IF(AND(M301=1,AN301&lt;&gt;""),IF(AN301&lt;=SETTINGS!$B$5,1,0),0)</f>
        <v>0</v>
      </c>
      <c r="AP301" s="28">
        <f>IF(M301=1,IF(COUNTIFS(LOG!$C$2:$C$2001,F301,LOG!$E$2:$E$2001,B301,LOG!$D$2:$D$2001,"BOOKED")+COUNTIFS(LOG!$C$2:$C$2001,F301,LOG!$E$2:$E$2001,"",LOG!$D$2:$D$2001,"BOOKED")&gt;0,1,0),0)</f>
        <v>0</v>
      </c>
      <c r="AQ301" s="28" t="str">
        <f t="shared" si="52"/>
        <v>Ananya</v>
      </c>
      <c r="AR301" s="28" t="str">
        <f>IF(AND(AK301=1,K301="OK"),COUNTIFS($AK$2:AK301,1,$K$2:K301,"OK"),"")</f>
        <v/>
      </c>
      <c r="AS301" s="28" t="str">
        <f>IF(L301=1,IFERROR(INDEX(MESSAGES!$J$9:$J$1008,MATCH(F301,MESSAGES!$M$9:$M$1008,0))&amp;"",""),"")</f>
        <v/>
      </c>
      <c r="AT301" s="28" t="str">
        <f>IF(L301=1,IFERROR(INDEX(MESSAGES!$K$9:$K$1008,MATCH(F301,MESSAGES!$M$9:$M$1008,0))&amp;"",""),"")</f>
        <v/>
      </c>
      <c r="AU301" s="28">
        <f t="shared" ca="1" si="53"/>
        <v>0</v>
      </c>
      <c r="AV301" s="28" t="str">
        <f t="shared" si="54"/>
        <v/>
      </c>
    </row>
    <row r="302" spans="1:48" x14ac:dyDescent="0.35">
      <c r="A302" s="28">
        <v>301</v>
      </c>
      <c r="B302" s="28" t="str">
        <f>IF(INPUT!A302="","",TRIM(INPUT!A302))</f>
        <v>Partner 003</v>
      </c>
      <c r="C302" s="28" t="str">
        <f>IF(B302="","",INPUT!C302)</f>
        <v>interviewer2@partner003.example.com</v>
      </c>
      <c r="D302" s="28" t="str">
        <f>IF(B302="","",INPUT!D302)</f>
        <v>Zoya L.</v>
      </c>
      <c r="E302" s="28" t="str">
        <f>IF(B302="","",INPUT!E302)</f>
        <v>zoya.l317@example.com</v>
      </c>
      <c r="F302" s="43" t="str">
        <f>IF(B302="","",TRIM(INPUT!F302&amp;""))</f>
        <v>9000004128</v>
      </c>
      <c r="G302" s="28" t="str">
        <f>IF(B302="","",INPUT!H302)</f>
        <v>Round1</v>
      </c>
      <c r="H302" s="46">
        <f>IF(B302="","",INPUT!I302)</f>
        <v>46308.82708333333</v>
      </c>
      <c r="I302" s="28" t="str">
        <f>IF(B302="","",IF(INPUT!J302="","None",INPUT!J302))</f>
        <v>None</v>
      </c>
      <c r="J302" s="28" t="str">
        <f t="shared" si="44"/>
        <v>zoya.l317@example.com|partner 003|Round1|interviewer2@partner003.example.com</v>
      </c>
      <c r="K302" s="28" t="str">
        <f>IF(B302="","",IF(SUMPRODUCT(($J$2:$J$601=J302)*($H$2:$H$601&lt;H302))+SUMPRODUCT(($J$2:J302=J302)*($H$2:H302=H302))-1&gt;0,"DUPLICATE",IF(AND(ISNUMBER(SEARCH("@",E302)),ISNUMBER(SEARCH(".",E302)),LEN(F302)=10,ISNUMBER(VALUE(F302))),"OK","BAD CONTACT")))</f>
        <v>OK</v>
      </c>
      <c r="L302" s="28">
        <f t="shared" si="45"/>
        <v>1</v>
      </c>
      <c r="M302" s="28">
        <f>IF(L302=1,IF(COUNTIFS(LOG!$C$2:$C$2001,F302,LOG!$E$2:$E$2001,B302,LOG!$D$2:$D$2001,"*BOOKED")+COUNTIFS(LOG!$C$2:$C$2001,F302,LOG!$E$2:$E$2001,"",LOG!$D$2:$D$2001,"*BOOKED")&gt;0,1,0),0)</f>
        <v>0</v>
      </c>
      <c r="N302" s="28">
        <f>IF(L302=1,IF(COUNTIFS(LOG!$C$2:$C$2001,F302,LOG!$E$2:$E$2001,B302,LOG!$D$2:$D$2001,"NOT_INTERESTED")+COUNTIFS(LOG!$C$2:$C$2001,F302,LOG!$E$2:$E$2001,"",LOG!$D$2:$D$2001,"NOT_INTERESTED")&gt;0,1,0),0)</f>
        <v>0</v>
      </c>
      <c r="O302" s="28">
        <f>IF(L302=1,IF(COUNTIFS(LOG!$C$2:$C$2001,F302,LOG!$D$2:$D$2001,"STOP")+COUNTIFS(LOG!$C$2:$C$2001,F302,LOG!$D$2:$D$2001,"WRONG_NUMBER")&gt;0,1,IF(ISNUMBER(SEARCH("STOP",AT302)),1,0)),0)</f>
        <v>0</v>
      </c>
      <c r="P302" s="28">
        <f>IF(L302=1,IF(IFERROR(INDEX(PARTNERS!$D$2:$D$88,MATCH(B302,PARTNERS!$A$2:$A$88,0)),"")="NO SLOTS",1,IF(AND(IFERROR(INDEX(PARTNERS!$D$2:$D$88,MATCH(B302,PARTNERS!$A$2:$A$88,0)),"")&lt;&gt;"REOPENED",COUNTIFS(LOG!$E$2:$E$2001,B302,LOG!$D$2:$D$2001,"NO_SLOTS")&gt;0),1,0)),0)</f>
        <v>0</v>
      </c>
      <c r="Q302" s="28">
        <f>IF(L302=1,COUNTIFS(LOG!$C$2:$C$2001,F302,LOG!$H$2:$H$2001,1),0)</f>
        <v>0</v>
      </c>
      <c r="R302" s="46">
        <f>IF(Q302&gt;0,_xlfn.MAXIFS(LOG!$G$2:$G$2001,LOG!$C$2:$C$2001,F302,LOG!$H$2:$H$2001,1),0)</f>
        <v>0</v>
      </c>
      <c r="S302" s="28" t="str">
        <f>IF(Q302&gt;0,IFERROR(INDEX(LOG!$D$2:$D$2001,MATCH(F302&amp;"|"&amp;Q302,LOG!$I$2:$I$2001,0)),""),"")</f>
        <v/>
      </c>
      <c r="T302" s="28">
        <f>IF(S302="",0,IFERROR(VLOOKUP(S302,LISTS!$A$2:$E$10,4,FALSE),0))</f>
        <v>0</v>
      </c>
      <c r="U302" s="46">
        <f t="shared" si="46"/>
        <v>0</v>
      </c>
      <c r="V302" s="46">
        <f>IF(L302=1,H302+SETTINGS!$B$5/24,"")</f>
        <v>46309.82708333333</v>
      </c>
      <c r="W302" s="28">
        <f ca="1">IF(L302=1,(V302-SETTINGS!$B$4)*24,"")</f>
        <v>-1.6666666720993817E-2</v>
      </c>
      <c r="X302" s="28">
        <f ca="1">IF(AND(L302=1,K302="OK",M302=0,N302=0,O302=0,P302=0,SETTINGS!$B$4&lt;V302,Q302&lt;SETTINGS!$B$6),1,0)</f>
        <v>0</v>
      </c>
      <c r="Y302" s="28">
        <f ca="1">IF(AND(X302=1,SETTINGS!$B$4&gt;=H302,SETTINGS!$B$4&gt;=U302,ROUND(MOD(SETTINGS!$B$4,1)*1440,0)&gt;=ROUND(SETTINGS!$B$7*1440,0),ROUND(MOD(SETTINGS!$B$4,1)*1440,0)&lt;ROUND(SETTINGS!$B$8*1440,0)),1,0)</f>
        <v>0</v>
      </c>
      <c r="Z302" s="28" t="str">
        <f ca="1">IF(B302="","",IF(ROUND(MOD(SETTINGS!$B$4,1)*1440,0)&lt;ROUND(SETTINGS!$B$11*1440,0),"Ram",IF(ROUND(MOD(SETTINGS!$B$4,1)*1440,0)&gt;=ROUND(SETTINGS!$B$10*1440,0),"Shyam",IF(MOD(IFERROR(VALUE(RIGHT(F302,2)),0),2)=0,"Ram","Shyam"))))</f>
        <v>Shyam</v>
      </c>
      <c r="AA302" s="28">
        <f t="shared" ca="1" si="47"/>
        <v>0</v>
      </c>
      <c r="AB302" s="28">
        <f ca="1">IF(X302=1,COUNTIFS($F$2:F302,F302,$X$2:X302,1),0)</f>
        <v>0</v>
      </c>
      <c r="AC302" s="28" t="str">
        <f>IF(L302=1,IF(IFERROR(INDEX(PARTNERS!$C$2:$C$88,MATCH(B302,PARTNERS!$A$2:$A$88,0)),"")="YES","YES","NO"),"")</f>
        <v>NO</v>
      </c>
      <c r="AD302" s="28" t="str">
        <f>IF(L302=1,IFERROR(INDEX(PARTNERS!$B$2:$B$88,MATCH(B302,PARTNERS!$A$2:$A$88,0)),""),"")</f>
        <v>https://calendly.com/partner003/interview</v>
      </c>
      <c r="AE302" s="28">
        <f ca="1">IF(X302=1,IFERROR(INDEX(SETTINGS!$B$34:$D$36,MATCH(I302,SETTINGS!$A$34:$A$36,0),MIN(Q302,2)+1),SETTINGS!$B$36),0)</f>
        <v>0</v>
      </c>
      <c r="AF302" s="28">
        <f t="shared" si="48"/>
        <v>1</v>
      </c>
      <c r="AG302" s="28">
        <f ca="1">IF(AND(Y302=1,AB302=1),ROUND(AA302*AE302*IF(AF302&gt;1,SETTINGS!$B$16,1)*IF(W302&lt;=SETTINGS!$B$14,SETTINGS!$B$15,1)*IF(AU302=1,SETTINGS!$B$21,1),6),0)</f>
        <v>0</v>
      </c>
      <c r="AH302" s="28" t="str">
        <f ca="1">IF(AG302&gt;0,COUNTIFS($Z$2:$Z$601,Z302,$AG$2:$AG$601,"&gt;"&amp;AG302)+COUNTIFS($Z$2:Z302,Z302,$AG$2:AG302,AG302),"")</f>
        <v/>
      </c>
      <c r="AI302" s="28" t="str">
        <f t="shared" ca="1" si="49"/>
        <v/>
      </c>
      <c r="AJ302" s="28" t="str">
        <f t="shared" ca="1" si="50"/>
        <v/>
      </c>
      <c r="AK302" s="28">
        <f>IF(L302=1,IF(COUNTIFS($F$2:F302,F302,$L$2:L302,1)=1,1,0),0)</f>
        <v>1</v>
      </c>
      <c r="AL302" s="28" t="str">
        <f ca="1">IF(B302="","",IF(K302="DUPLICATE","Duplicate (removed)",IF(AO302=1,"Scheduled within 24h",IF(M302=1,"Scheduled late",IF(K302="BAD CONTACT","Bad contact details",IF(O302=1,"Stopped / wrong number",IF(N302=1,"Not interested",IF(P302=1,"Partner has no slots",IF(SETTINGS!$B$4&gt;=V302,IF(Q302=0,"Missed deadline: never tried","Missed deadline: tried, not booked"),IF(Q302&gt;=SETTINGS!$B$6,"No reply after max tries","Open"))))))))))</f>
        <v>Missed deadline: never tried</v>
      </c>
      <c r="AM302" s="46" t="str">
        <f>IF(M302=1,IF(_xlfn.MINIFS(LOG!$G$2:$G$2001,LOG!$C$2:$C$2001,F302,LOG!$E$2:$E$2001,B302,LOG!$D$2:$D$2001,"*BOOKED")=0,_xlfn.MINIFS(LOG!$G$2:$G$2001,LOG!$C$2:$C$2001,F302,LOG!$E$2:$E$2001,"",LOG!$D$2:$D$2001,"*BOOKED"),IF(_xlfn.MINIFS(LOG!$G$2:$G$2001,LOG!$C$2:$C$2001,F302,LOG!$E$2:$E$2001,"",LOG!$D$2:$D$2001,"*BOOKED")=0,_xlfn.MINIFS(LOG!$G$2:$G$2001,LOG!$C$2:$C$2001,F302,LOG!$E$2:$E$2001,B302,LOG!$D$2:$D$2001,"*BOOKED"),MIN(_xlfn.MINIFS(LOG!$G$2:$G$2001,LOG!$C$2:$C$2001,F302,LOG!$E$2:$E$2001,B302,LOG!$D$2:$D$2001,"*BOOKED"),_xlfn.MINIFS(LOG!$G$2:$G$2001,LOG!$C$2:$C$2001,F302,LOG!$E$2:$E$2001,"",LOG!$D$2:$D$2001,"*BOOKED")))),"")</f>
        <v/>
      </c>
      <c r="AN302" s="28" t="str">
        <f t="shared" si="51"/>
        <v/>
      </c>
      <c r="AO302" s="28">
        <f>IF(AND(M302=1,AN302&lt;&gt;""),IF(AN302&lt;=SETTINGS!$B$5,1,0),0)</f>
        <v>0</v>
      </c>
      <c r="AP302" s="28">
        <f>IF(M302=1,IF(COUNTIFS(LOG!$C$2:$C$2001,F302,LOG!$E$2:$E$2001,B302,LOG!$D$2:$D$2001,"BOOKED")+COUNTIFS(LOG!$C$2:$C$2001,F302,LOG!$E$2:$E$2001,"",LOG!$D$2:$D$2001,"BOOKED")&gt;0,1,0),0)</f>
        <v>0</v>
      </c>
      <c r="AQ302" s="28" t="str">
        <f t="shared" si="52"/>
        <v>Zoya</v>
      </c>
      <c r="AR302" s="28">
        <f>IF(AND(AK302=1,K302="OK"),COUNTIFS($AK$2:AK302,1,$K$2:K302,"OK"),"")</f>
        <v>264</v>
      </c>
      <c r="AS302" s="28" t="str">
        <f>IF(L302=1,IFERROR(INDEX(MESSAGES!$J$9:$J$1008,MATCH(F302,MESSAGES!$M$9:$M$1008,0))&amp;"",""),"")</f>
        <v/>
      </c>
      <c r="AT302" s="28" t="str">
        <f>IF(L302=1,IFERROR(INDEX(MESSAGES!$K$9:$K$1008,MATCH(F302,MESSAGES!$M$9:$M$1008,0))&amp;"",""),"")</f>
        <v/>
      </c>
      <c r="AU302" s="28">
        <f t="shared" ca="1" si="53"/>
        <v>0</v>
      </c>
      <c r="AV302" s="28" t="str">
        <f t="shared" si="54"/>
        <v>SEND</v>
      </c>
    </row>
    <row r="303" spans="1:48" x14ac:dyDescent="0.35">
      <c r="A303" s="28">
        <v>302</v>
      </c>
      <c r="B303" s="28" t="str">
        <f>IF(INPUT!A303="","",TRIM(INPUT!A303))</f>
        <v>Partner 002</v>
      </c>
      <c r="C303" s="28" t="str">
        <f>IF(B303="","",INPUT!C303)</f>
        <v>interviewer0@partner002.example.com</v>
      </c>
      <c r="D303" s="28" t="str">
        <f>IF(B303="","",INPUT!D303)</f>
        <v>Rohan A.</v>
      </c>
      <c r="E303" s="28" t="str">
        <f>IF(B303="","",INPUT!E303)</f>
        <v>rohan.a010@example.com</v>
      </c>
      <c r="F303" s="43" t="str">
        <f>IF(B303="","",TRIM(INPUT!F303&amp;""))</f>
        <v>9000000137</v>
      </c>
      <c r="G303" s="28" t="str">
        <f>IF(B303="","",INPUT!H303)</f>
        <v>Round1</v>
      </c>
      <c r="H303" s="46">
        <f>IF(B303="","",INPUT!I303)</f>
        <v>46308.82708333333</v>
      </c>
      <c r="I303" s="28" t="str">
        <f>IF(B303="","",IF(INPUT!J303="","None",INPUT!J303))</f>
        <v>None</v>
      </c>
      <c r="J303" s="28" t="str">
        <f t="shared" si="44"/>
        <v>rohan.a010@example.com|partner 002|Round1|interviewer0@partner002.example.com</v>
      </c>
      <c r="K303" s="28" t="str">
        <f>IF(B303="","",IF(SUMPRODUCT(($J$2:$J$601=J303)*($H$2:$H$601&lt;H303))+SUMPRODUCT(($J$2:J303=J303)*($H$2:H303=H303))-1&gt;0,"DUPLICATE",IF(AND(ISNUMBER(SEARCH("@",E303)),ISNUMBER(SEARCH(".",E303)),LEN(F303)=10,ISNUMBER(VALUE(F303))),"OK","BAD CONTACT")))</f>
        <v>OK</v>
      </c>
      <c r="L303" s="28">
        <f t="shared" si="45"/>
        <v>1</v>
      </c>
      <c r="M303" s="28">
        <f>IF(L303=1,IF(COUNTIFS(LOG!$C$2:$C$2001,F303,LOG!$E$2:$E$2001,B303,LOG!$D$2:$D$2001,"*BOOKED")+COUNTIFS(LOG!$C$2:$C$2001,F303,LOG!$E$2:$E$2001,"",LOG!$D$2:$D$2001,"*BOOKED")&gt;0,1,0),0)</f>
        <v>0</v>
      </c>
      <c r="N303" s="28">
        <f>IF(L303=1,IF(COUNTIFS(LOG!$C$2:$C$2001,F303,LOG!$E$2:$E$2001,B303,LOG!$D$2:$D$2001,"NOT_INTERESTED")+COUNTIFS(LOG!$C$2:$C$2001,F303,LOG!$E$2:$E$2001,"",LOG!$D$2:$D$2001,"NOT_INTERESTED")&gt;0,1,0),0)</f>
        <v>0</v>
      </c>
      <c r="O303" s="28">
        <f>IF(L303=1,IF(COUNTIFS(LOG!$C$2:$C$2001,F303,LOG!$D$2:$D$2001,"STOP")+COUNTIFS(LOG!$C$2:$C$2001,F303,LOG!$D$2:$D$2001,"WRONG_NUMBER")&gt;0,1,IF(ISNUMBER(SEARCH("STOP",AT303)),1,0)),0)</f>
        <v>0</v>
      </c>
      <c r="P303" s="28">
        <f>IF(L303=1,IF(IFERROR(INDEX(PARTNERS!$D$2:$D$88,MATCH(B303,PARTNERS!$A$2:$A$88,0)),"")="NO SLOTS",1,IF(AND(IFERROR(INDEX(PARTNERS!$D$2:$D$88,MATCH(B303,PARTNERS!$A$2:$A$88,0)),"")&lt;&gt;"REOPENED",COUNTIFS(LOG!$E$2:$E$2001,B303,LOG!$D$2:$D$2001,"NO_SLOTS")&gt;0),1,0)),0)</f>
        <v>0</v>
      </c>
      <c r="Q303" s="28">
        <f>IF(L303=1,COUNTIFS(LOG!$C$2:$C$2001,F303,LOG!$H$2:$H$2001,1),0)</f>
        <v>0</v>
      </c>
      <c r="R303" s="46">
        <f>IF(Q303&gt;0,_xlfn.MAXIFS(LOG!$G$2:$G$2001,LOG!$C$2:$C$2001,F303,LOG!$H$2:$H$2001,1),0)</f>
        <v>0</v>
      </c>
      <c r="S303" s="28" t="str">
        <f>IF(Q303&gt;0,IFERROR(INDEX(LOG!$D$2:$D$2001,MATCH(F303&amp;"|"&amp;Q303,LOG!$I$2:$I$2001,0)),""),"")</f>
        <v/>
      </c>
      <c r="T303" s="28">
        <f>IF(S303="",0,IFERROR(VLOOKUP(S303,LISTS!$A$2:$E$10,4,FALSE),0))</f>
        <v>0</v>
      </c>
      <c r="U303" s="46">
        <f t="shared" si="46"/>
        <v>0</v>
      </c>
      <c r="V303" s="46">
        <f>IF(L303=1,H303+SETTINGS!$B$5/24,"")</f>
        <v>46309.82708333333</v>
      </c>
      <c r="W303" s="28">
        <f ca="1">IF(L303=1,(V303-SETTINGS!$B$4)*24,"")</f>
        <v>-1.6666666720993817E-2</v>
      </c>
      <c r="X303" s="28">
        <f ca="1">IF(AND(L303=1,K303="OK",M303=0,N303=0,O303=0,P303=0,SETTINGS!$B$4&lt;V303,Q303&lt;SETTINGS!$B$6),1,0)</f>
        <v>0</v>
      </c>
      <c r="Y303" s="28">
        <f ca="1">IF(AND(X303=1,SETTINGS!$B$4&gt;=H303,SETTINGS!$B$4&gt;=U303,ROUND(MOD(SETTINGS!$B$4,1)*1440,0)&gt;=ROUND(SETTINGS!$B$7*1440,0),ROUND(MOD(SETTINGS!$B$4,1)*1440,0)&lt;ROUND(SETTINGS!$B$8*1440,0)),1,0)</f>
        <v>0</v>
      </c>
      <c r="Z303" s="28" t="str">
        <f ca="1">IF(B303="","",IF(ROUND(MOD(SETTINGS!$B$4,1)*1440,0)&lt;ROUND(SETTINGS!$B$11*1440,0),"Ram",IF(ROUND(MOD(SETTINGS!$B$4,1)*1440,0)&gt;=ROUND(SETTINGS!$B$10*1440,0),"Shyam",IF(MOD(IFERROR(VALUE(RIGHT(F303,2)),0),2)=0,"Ram","Shyam"))))</f>
        <v>Shyam</v>
      </c>
      <c r="AA303" s="28">
        <f t="shared" ca="1" si="47"/>
        <v>0</v>
      </c>
      <c r="AB303" s="28">
        <f ca="1">IF(X303=1,COUNTIFS($F$2:F303,F303,$X$2:X303,1),0)</f>
        <v>0</v>
      </c>
      <c r="AC303" s="28" t="str">
        <f>IF(L303=1,IF(IFERROR(INDEX(PARTNERS!$C$2:$C$88,MATCH(B303,PARTNERS!$A$2:$A$88,0)),"")="YES","YES","NO"),"")</f>
        <v>YES</v>
      </c>
      <c r="AD303" s="28" t="str">
        <f>IF(L303=1,IFERROR(INDEX(PARTNERS!$B$2:$B$88,MATCH(B303,PARTNERS!$A$2:$A$88,0)),""),"")</f>
        <v>https://calendly.com/partner002/interview</v>
      </c>
      <c r="AE303" s="28">
        <f ca="1">IF(X303=1,IFERROR(INDEX(SETTINGS!$B$34:$D$36,MATCH(I303,SETTINGS!$A$34:$A$36,0),MIN(Q303,2)+1),SETTINGS!$B$36),0)</f>
        <v>0</v>
      </c>
      <c r="AF303" s="28">
        <f t="shared" si="48"/>
        <v>1</v>
      </c>
      <c r="AG303" s="28">
        <f ca="1">IF(AND(Y303=1,AB303=1),ROUND(AA303*AE303*IF(AF303&gt;1,SETTINGS!$B$16,1)*IF(W303&lt;=SETTINGS!$B$14,SETTINGS!$B$15,1)*IF(AU303=1,SETTINGS!$B$21,1),6),0)</f>
        <v>0</v>
      </c>
      <c r="AH303" s="28" t="str">
        <f ca="1">IF(AG303&gt;0,COUNTIFS($Z$2:$Z$601,Z303,$AG$2:$AG$601,"&gt;"&amp;AG303)+COUNTIFS($Z$2:Z303,Z303,$AG$2:AG303,AG303),"")</f>
        <v/>
      </c>
      <c r="AI303" s="28" t="str">
        <f t="shared" ca="1" si="49"/>
        <v/>
      </c>
      <c r="AJ303" s="28" t="str">
        <f t="shared" ca="1" si="50"/>
        <v/>
      </c>
      <c r="AK303" s="28">
        <f>IF(L303=1,IF(COUNTIFS($F$2:F303,F303,$L$2:L303,1)=1,1,0),0)</f>
        <v>1</v>
      </c>
      <c r="AL303" s="28" t="str">
        <f ca="1">IF(B303="","",IF(K303="DUPLICATE","Duplicate (removed)",IF(AO303=1,"Scheduled within 24h",IF(M303=1,"Scheduled late",IF(K303="BAD CONTACT","Bad contact details",IF(O303=1,"Stopped / wrong number",IF(N303=1,"Not interested",IF(P303=1,"Partner has no slots",IF(SETTINGS!$B$4&gt;=V303,IF(Q303=0,"Missed deadline: never tried","Missed deadline: tried, not booked"),IF(Q303&gt;=SETTINGS!$B$6,"No reply after max tries","Open"))))))))))</f>
        <v>Missed deadline: never tried</v>
      </c>
      <c r="AM303" s="46" t="str">
        <f>IF(M303=1,IF(_xlfn.MINIFS(LOG!$G$2:$G$2001,LOG!$C$2:$C$2001,F303,LOG!$E$2:$E$2001,B303,LOG!$D$2:$D$2001,"*BOOKED")=0,_xlfn.MINIFS(LOG!$G$2:$G$2001,LOG!$C$2:$C$2001,F303,LOG!$E$2:$E$2001,"",LOG!$D$2:$D$2001,"*BOOKED"),IF(_xlfn.MINIFS(LOG!$G$2:$G$2001,LOG!$C$2:$C$2001,F303,LOG!$E$2:$E$2001,"",LOG!$D$2:$D$2001,"*BOOKED")=0,_xlfn.MINIFS(LOG!$G$2:$G$2001,LOG!$C$2:$C$2001,F303,LOG!$E$2:$E$2001,B303,LOG!$D$2:$D$2001,"*BOOKED"),MIN(_xlfn.MINIFS(LOG!$G$2:$G$2001,LOG!$C$2:$C$2001,F303,LOG!$E$2:$E$2001,B303,LOG!$D$2:$D$2001,"*BOOKED"),_xlfn.MINIFS(LOG!$G$2:$G$2001,LOG!$C$2:$C$2001,F303,LOG!$E$2:$E$2001,"",LOG!$D$2:$D$2001,"*BOOKED")))),"")</f>
        <v/>
      </c>
      <c r="AN303" s="28" t="str">
        <f t="shared" si="51"/>
        <v/>
      </c>
      <c r="AO303" s="28">
        <f>IF(AND(M303=1,AN303&lt;&gt;""),IF(AN303&lt;=SETTINGS!$B$5,1,0),0)</f>
        <v>0</v>
      </c>
      <c r="AP303" s="28">
        <f>IF(M303=1,IF(COUNTIFS(LOG!$C$2:$C$2001,F303,LOG!$E$2:$E$2001,B303,LOG!$D$2:$D$2001,"BOOKED")+COUNTIFS(LOG!$C$2:$C$2001,F303,LOG!$E$2:$E$2001,"",LOG!$D$2:$D$2001,"BOOKED")&gt;0,1,0),0)</f>
        <v>0</v>
      </c>
      <c r="AQ303" s="28" t="str">
        <f t="shared" si="52"/>
        <v>Rohan</v>
      </c>
      <c r="AR303" s="28">
        <f>IF(AND(AK303=1,K303="OK"),COUNTIFS($AK$2:AK303,1,$K$2:K303,"OK"),"")</f>
        <v>265</v>
      </c>
      <c r="AS303" s="28" t="str">
        <f>IF(L303=1,IFERROR(INDEX(MESSAGES!$J$9:$J$1008,MATCH(F303,MESSAGES!$M$9:$M$1008,0))&amp;"",""),"")</f>
        <v/>
      </c>
      <c r="AT303" s="28" t="str">
        <f>IF(L303=1,IFERROR(INDEX(MESSAGES!$K$9:$K$1008,MATCH(F303,MESSAGES!$M$9:$M$1008,0))&amp;"",""),"")</f>
        <v/>
      </c>
      <c r="AU303" s="28">
        <f t="shared" ca="1" si="53"/>
        <v>0</v>
      </c>
      <c r="AV303" s="28" t="str">
        <f t="shared" si="54"/>
        <v>HOLD</v>
      </c>
    </row>
    <row r="304" spans="1:48" x14ac:dyDescent="0.35">
      <c r="A304" s="28">
        <v>303</v>
      </c>
      <c r="B304" s="28" t="str">
        <f>IF(INPUT!A304="","",TRIM(INPUT!A304))</f>
        <v>Partner 001</v>
      </c>
      <c r="C304" s="28" t="str">
        <f>IF(B304="","",INPUT!C304)</f>
        <v>interviewer2@partner001.example.com</v>
      </c>
      <c r="D304" s="28" t="str">
        <f>IF(B304="","",INPUT!D304)</f>
        <v>Isha L.</v>
      </c>
      <c r="E304" s="28" t="str">
        <f>IF(B304="","",INPUT!E304)</f>
        <v>isha.l325@example.com</v>
      </c>
      <c r="F304" s="43" t="str">
        <f>IF(B304="","",TRIM(INPUT!F304&amp;""))</f>
        <v>9000004232</v>
      </c>
      <c r="G304" s="28" t="str">
        <f>IF(B304="","",INPUT!H304)</f>
        <v>Round2</v>
      </c>
      <c r="H304" s="46">
        <f>IF(B304="","",INPUT!I304)</f>
        <v>46308.82708333333</v>
      </c>
      <c r="I304" s="28" t="str">
        <f>IF(B304="","",IF(INPUT!J304="","None",INPUT!J304))</f>
        <v>Opened</v>
      </c>
      <c r="J304" s="28" t="str">
        <f t="shared" si="44"/>
        <v>isha.l325@example.com|partner 001|Round2|interviewer2@partner001.example.com</v>
      </c>
      <c r="K304" s="28" t="str">
        <f>IF(B304="","",IF(SUMPRODUCT(($J$2:$J$601=J304)*($H$2:$H$601&lt;H304))+SUMPRODUCT(($J$2:J304=J304)*($H$2:H304=H304))-1&gt;0,"DUPLICATE",IF(AND(ISNUMBER(SEARCH("@",E304)),ISNUMBER(SEARCH(".",E304)),LEN(F304)=10,ISNUMBER(VALUE(F304))),"OK","BAD CONTACT")))</f>
        <v>OK</v>
      </c>
      <c r="L304" s="28">
        <f t="shared" si="45"/>
        <v>1</v>
      </c>
      <c r="M304" s="28">
        <f>IF(L304=1,IF(COUNTIFS(LOG!$C$2:$C$2001,F304,LOG!$E$2:$E$2001,B304,LOG!$D$2:$D$2001,"*BOOKED")+COUNTIFS(LOG!$C$2:$C$2001,F304,LOG!$E$2:$E$2001,"",LOG!$D$2:$D$2001,"*BOOKED")&gt;0,1,0),0)</f>
        <v>0</v>
      </c>
      <c r="N304" s="28">
        <f>IF(L304=1,IF(COUNTIFS(LOG!$C$2:$C$2001,F304,LOG!$E$2:$E$2001,B304,LOG!$D$2:$D$2001,"NOT_INTERESTED")+COUNTIFS(LOG!$C$2:$C$2001,F304,LOG!$E$2:$E$2001,"",LOG!$D$2:$D$2001,"NOT_INTERESTED")&gt;0,1,0),0)</f>
        <v>0</v>
      </c>
      <c r="O304" s="28">
        <f>IF(L304=1,IF(COUNTIFS(LOG!$C$2:$C$2001,F304,LOG!$D$2:$D$2001,"STOP")+COUNTIFS(LOG!$C$2:$C$2001,F304,LOG!$D$2:$D$2001,"WRONG_NUMBER")&gt;0,1,IF(ISNUMBER(SEARCH("STOP",AT304)),1,0)),0)</f>
        <v>0</v>
      </c>
      <c r="P304" s="28">
        <f>IF(L304=1,IF(IFERROR(INDEX(PARTNERS!$D$2:$D$88,MATCH(B304,PARTNERS!$A$2:$A$88,0)),"")="NO SLOTS",1,IF(AND(IFERROR(INDEX(PARTNERS!$D$2:$D$88,MATCH(B304,PARTNERS!$A$2:$A$88,0)),"")&lt;&gt;"REOPENED",COUNTIFS(LOG!$E$2:$E$2001,B304,LOG!$D$2:$D$2001,"NO_SLOTS")&gt;0),1,0)),0)</f>
        <v>0</v>
      </c>
      <c r="Q304" s="28">
        <f>IF(L304=1,COUNTIFS(LOG!$C$2:$C$2001,F304,LOG!$H$2:$H$2001,1),0)</f>
        <v>1</v>
      </c>
      <c r="R304" s="46">
        <f>IF(Q304&gt;0,_xlfn.MAXIFS(LOG!$G$2:$G$2001,LOG!$C$2:$C$2001,F304,LOG!$H$2:$H$2001,1),0)</f>
        <v>46309.744661941804</v>
      </c>
      <c r="S304" s="28" t="str">
        <f>IF(Q304&gt;0,IFERROR(INDEX(LOG!$D$2:$D$2001,MATCH(F304&amp;"|"&amp;Q304,LOG!$I$2:$I$2001,0)),""),"")</f>
        <v>NO_ANSWER</v>
      </c>
      <c r="T304" s="28">
        <f>IF(S304="",0,IFERROR(VLOOKUP(S304,LISTS!$A$2:$E$10,4,FALSE),0))</f>
        <v>120</v>
      </c>
      <c r="U304" s="46">
        <f t="shared" si="46"/>
        <v>46309.82799527514</v>
      </c>
      <c r="V304" s="46">
        <f>IF(L304=1,H304+SETTINGS!$B$5/24,"")</f>
        <v>46309.82708333333</v>
      </c>
      <c r="W304" s="28">
        <f ca="1">IF(L304=1,(V304-SETTINGS!$B$4)*24,"")</f>
        <v>-1.6666666720993817E-2</v>
      </c>
      <c r="X304" s="28">
        <f ca="1">IF(AND(L304=1,K304="OK",M304=0,N304=0,O304=0,P304=0,SETTINGS!$B$4&lt;V304,Q304&lt;SETTINGS!$B$6),1,0)</f>
        <v>0</v>
      </c>
      <c r="Y304" s="28">
        <f ca="1">IF(AND(X304=1,SETTINGS!$B$4&gt;=H304,SETTINGS!$B$4&gt;=U304,ROUND(MOD(SETTINGS!$B$4,1)*1440,0)&gt;=ROUND(SETTINGS!$B$7*1440,0),ROUND(MOD(SETTINGS!$B$4,1)*1440,0)&lt;ROUND(SETTINGS!$B$8*1440,0)),1,0)</f>
        <v>0</v>
      </c>
      <c r="Z304" s="28" t="str">
        <f ca="1">IF(B304="","",IF(ROUND(MOD(SETTINGS!$B$4,1)*1440,0)&lt;ROUND(SETTINGS!$B$11*1440,0),"Ram",IF(ROUND(MOD(SETTINGS!$B$4,1)*1440,0)&gt;=ROUND(SETTINGS!$B$10*1440,0),"Shyam",IF(MOD(IFERROR(VALUE(RIGHT(F304,2)),0),2)=0,"Ram","Shyam"))))</f>
        <v>Shyam</v>
      </c>
      <c r="AA304" s="28">
        <f t="shared" ca="1" si="47"/>
        <v>0</v>
      </c>
      <c r="AB304" s="28">
        <f ca="1">IF(X304=1,COUNTIFS($F$2:F304,F304,$X$2:X304,1),0)</f>
        <v>0</v>
      </c>
      <c r="AC304" s="28" t="str">
        <f>IF(L304=1,IF(IFERROR(INDEX(PARTNERS!$C$2:$C$88,MATCH(B304,PARTNERS!$A$2:$A$88,0)),"")="YES","YES","NO"),"")</f>
        <v>NO</v>
      </c>
      <c r="AD304" s="28" t="str">
        <f>IF(L304=1,IFERROR(INDEX(PARTNERS!$B$2:$B$88,MATCH(B304,PARTNERS!$A$2:$A$88,0)),""),"")</f>
        <v>https://calendly.com/partner001/interview</v>
      </c>
      <c r="AE304" s="28">
        <f ca="1">IF(X304=1,IFERROR(INDEX(SETTINGS!$B$34:$D$36,MATCH(I304,SETTINGS!$A$34:$A$36,0),MIN(Q304,2)+1),SETTINGS!$B$36),0)</f>
        <v>0</v>
      </c>
      <c r="AF304" s="28">
        <f t="shared" si="48"/>
        <v>2</v>
      </c>
      <c r="AG304" s="28">
        <f ca="1">IF(AND(Y304=1,AB304=1),ROUND(AA304*AE304*IF(AF304&gt;1,SETTINGS!$B$16,1)*IF(W304&lt;=SETTINGS!$B$14,SETTINGS!$B$15,1)*IF(AU304=1,SETTINGS!$B$21,1),6),0)</f>
        <v>0</v>
      </c>
      <c r="AH304" s="28" t="str">
        <f ca="1">IF(AG304&gt;0,COUNTIFS($Z$2:$Z$601,Z304,$AG$2:$AG$601,"&gt;"&amp;AG304)+COUNTIFS($Z$2:Z304,Z304,$AG$2:AG304,AG304),"")</f>
        <v/>
      </c>
      <c r="AI304" s="28" t="str">
        <f t="shared" ca="1" si="49"/>
        <v/>
      </c>
      <c r="AJ304" s="28" t="str">
        <f t="shared" ca="1" si="50"/>
        <v/>
      </c>
      <c r="AK304" s="28">
        <f>IF(L304=1,IF(COUNTIFS($F$2:F304,F304,$L$2:L304,1)=1,1,0),0)</f>
        <v>1</v>
      </c>
      <c r="AL304" s="28" t="str">
        <f ca="1">IF(B304="","",IF(K304="DUPLICATE","Duplicate (removed)",IF(AO304=1,"Scheduled within 24h",IF(M304=1,"Scheduled late",IF(K304="BAD CONTACT","Bad contact details",IF(O304=1,"Stopped / wrong number",IF(N304=1,"Not interested",IF(P304=1,"Partner has no slots",IF(SETTINGS!$B$4&gt;=V304,IF(Q304=0,"Missed deadline: never tried","Missed deadline: tried, not booked"),IF(Q304&gt;=SETTINGS!$B$6,"No reply after max tries","Open"))))))))))</f>
        <v>Missed deadline: tried, not booked</v>
      </c>
      <c r="AM304" s="46" t="str">
        <f>IF(M304=1,IF(_xlfn.MINIFS(LOG!$G$2:$G$2001,LOG!$C$2:$C$2001,F304,LOG!$E$2:$E$2001,B304,LOG!$D$2:$D$2001,"*BOOKED")=0,_xlfn.MINIFS(LOG!$G$2:$G$2001,LOG!$C$2:$C$2001,F304,LOG!$E$2:$E$2001,"",LOG!$D$2:$D$2001,"*BOOKED"),IF(_xlfn.MINIFS(LOG!$G$2:$G$2001,LOG!$C$2:$C$2001,F304,LOG!$E$2:$E$2001,"",LOG!$D$2:$D$2001,"*BOOKED")=0,_xlfn.MINIFS(LOG!$G$2:$G$2001,LOG!$C$2:$C$2001,F304,LOG!$E$2:$E$2001,B304,LOG!$D$2:$D$2001,"*BOOKED"),MIN(_xlfn.MINIFS(LOG!$G$2:$G$2001,LOG!$C$2:$C$2001,F304,LOG!$E$2:$E$2001,B304,LOG!$D$2:$D$2001,"*BOOKED"),_xlfn.MINIFS(LOG!$G$2:$G$2001,LOG!$C$2:$C$2001,F304,LOG!$E$2:$E$2001,"",LOG!$D$2:$D$2001,"*BOOKED")))),"")</f>
        <v/>
      </c>
      <c r="AN304" s="28" t="str">
        <f t="shared" si="51"/>
        <v/>
      </c>
      <c r="AO304" s="28">
        <f>IF(AND(M304=1,AN304&lt;&gt;""),IF(AN304&lt;=SETTINGS!$B$5,1,0),0)</f>
        <v>0</v>
      </c>
      <c r="AP304" s="28">
        <f>IF(M304=1,IF(COUNTIFS(LOG!$C$2:$C$2001,F304,LOG!$E$2:$E$2001,B304,LOG!$D$2:$D$2001,"BOOKED")+COUNTIFS(LOG!$C$2:$C$2001,F304,LOG!$E$2:$E$2001,"",LOG!$D$2:$D$2001,"BOOKED")&gt;0,1,0),0)</f>
        <v>0</v>
      </c>
      <c r="AQ304" s="28" t="str">
        <f t="shared" si="52"/>
        <v>Isha</v>
      </c>
      <c r="AR304" s="28">
        <f>IF(AND(AK304=1,K304="OK"),COUNTIFS($AK$2:AK304,1,$K$2:K304,"OK"),"")</f>
        <v>266</v>
      </c>
      <c r="AS304" s="28" t="str">
        <f>IF(L304=1,IFERROR(INDEX(MESSAGES!$J$9:$J$1008,MATCH(F304,MESSAGES!$M$9:$M$1008,0))&amp;"",""),"")</f>
        <v/>
      </c>
      <c r="AT304" s="28" t="str">
        <f>IF(L304=1,IFERROR(INDEX(MESSAGES!$K$9:$K$1008,MATCH(F304,MESSAGES!$M$9:$M$1008,0))&amp;"",""),"")</f>
        <v/>
      </c>
      <c r="AU304" s="28">
        <f t="shared" ca="1" si="53"/>
        <v>0</v>
      </c>
      <c r="AV304" s="28" t="str">
        <f t="shared" si="54"/>
        <v>HOLD</v>
      </c>
    </row>
    <row r="305" spans="1:48" x14ac:dyDescent="0.35">
      <c r="A305" s="28">
        <v>304</v>
      </c>
      <c r="B305" s="28" t="str">
        <f>IF(INPUT!A305="","",TRIM(INPUT!A305))</f>
        <v>Partner 027</v>
      </c>
      <c r="C305" s="28" t="str">
        <f>IF(B305="","",INPUT!C305)</f>
        <v>interviewer2@partner027.example.com</v>
      </c>
      <c r="D305" s="28" t="str">
        <f>IF(B305="","",INPUT!D305)</f>
        <v>Ishaan H.</v>
      </c>
      <c r="E305" s="28" t="str">
        <f>IF(B305="","",INPUT!E305)</f>
        <v>ishaan.h224@example.com</v>
      </c>
      <c r="F305" s="43" t="str">
        <f>IF(B305="","",TRIM(INPUT!F305&amp;""))</f>
        <v>9000002919</v>
      </c>
      <c r="G305" s="28" t="str">
        <f>IF(B305="","",INPUT!H305)</f>
        <v>Round1</v>
      </c>
      <c r="H305" s="46">
        <f>IF(B305="","",INPUT!I305)</f>
        <v>46308.82708333333</v>
      </c>
      <c r="I305" s="28" t="str">
        <f>IF(B305="","",IF(INPUT!J305="","None",INPUT!J305))</f>
        <v>Clicked</v>
      </c>
      <c r="J305" s="28" t="str">
        <f t="shared" si="44"/>
        <v>ishaan.h224@example.com|partner 027|Round1|interviewer2@partner027.example.com</v>
      </c>
      <c r="K305" s="28" t="str">
        <f>IF(B305="","",IF(SUMPRODUCT(($J$2:$J$601=J305)*($H$2:$H$601&lt;H305))+SUMPRODUCT(($J$2:J305=J305)*($H$2:H305=H305))-1&gt;0,"DUPLICATE",IF(AND(ISNUMBER(SEARCH("@",E305)),ISNUMBER(SEARCH(".",E305)),LEN(F305)=10,ISNUMBER(VALUE(F305))),"OK","BAD CONTACT")))</f>
        <v>OK</v>
      </c>
      <c r="L305" s="28">
        <f t="shared" si="45"/>
        <v>1</v>
      </c>
      <c r="M305" s="28">
        <f>IF(L305=1,IF(COUNTIFS(LOG!$C$2:$C$2001,F305,LOG!$E$2:$E$2001,B305,LOG!$D$2:$D$2001,"*BOOKED")+COUNTIFS(LOG!$C$2:$C$2001,F305,LOG!$E$2:$E$2001,"",LOG!$D$2:$D$2001,"*BOOKED")&gt;0,1,0),0)</f>
        <v>1</v>
      </c>
      <c r="N305" s="28">
        <f>IF(L305=1,IF(COUNTIFS(LOG!$C$2:$C$2001,F305,LOG!$E$2:$E$2001,B305,LOG!$D$2:$D$2001,"NOT_INTERESTED")+COUNTIFS(LOG!$C$2:$C$2001,F305,LOG!$E$2:$E$2001,"",LOG!$D$2:$D$2001,"NOT_INTERESTED")&gt;0,1,0),0)</f>
        <v>0</v>
      </c>
      <c r="O305" s="28">
        <f>IF(L305=1,IF(COUNTIFS(LOG!$C$2:$C$2001,F305,LOG!$D$2:$D$2001,"STOP")+COUNTIFS(LOG!$C$2:$C$2001,F305,LOG!$D$2:$D$2001,"WRONG_NUMBER")&gt;0,1,IF(ISNUMBER(SEARCH("STOP",AT305)),1,0)),0)</f>
        <v>0</v>
      </c>
      <c r="P305" s="28">
        <f>IF(L305=1,IF(IFERROR(INDEX(PARTNERS!$D$2:$D$88,MATCH(B305,PARTNERS!$A$2:$A$88,0)),"")="NO SLOTS",1,IF(AND(IFERROR(INDEX(PARTNERS!$D$2:$D$88,MATCH(B305,PARTNERS!$A$2:$A$88,0)),"")&lt;&gt;"REOPENED",COUNTIFS(LOG!$E$2:$E$2001,B305,LOG!$D$2:$D$2001,"NO_SLOTS")&gt;0),1,0)),0)</f>
        <v>0</v>
      </c>
      <c r="Q305" s="28">
        <f>IF(L305=1,COUNTIFS(LOG!$C$2:$C$2001,F305,LOG!$H$2:$H$2001,1),0)</f>
        <v>2</v>
      </c>
      <c r="R305" s="46">
        <f>IF(Q305&gt;0,_xlfn.MAXIFS(LOG!$G$2:$G$2001,LOG!$C$2:$C$2001,F305,LOG!$H$2:$H$2001,1),0)</f>
        <v>46309.75845511751</v>
      </c>
      <c r="S305" s="28" t="str">
        <f>IF(Q305&gt;0,IFERROR(INDEX(LOG!$D$2:$D$2001,MATCH(F305&amp;"|"&amp;Q305,LOG!$I$2:$I$2001,0)),""),"")</f>
        <v>BOOKED</v>
      </c>
      <c r="T305" s="28">
        <f>IF(S305="",0,IFERROR(VLOOKUP(S305,LISTS!$A$2:$E$10,4,FALSE),0))</f>
        <v>0</v>
      </c>
      <c r="U305" s="46">
        <f t="shared" si="46"/>
        <v>46309.75845511751</v>
      </c>
      <c r="V305" s="46">
        <f>IF(L305=1,H305+SETTINGS!$B$5/24,"")</f>
        <v>46309.82708333333</v>
      </c>
      <c r="W305" s="28">
        <f ca="1">IF(L305=1,(V305-SETTINGS!$B$4)*24,"")</f>
        <v>-1.6666666720993817E-2</v>
      </c>
      <c r="X305" s="28">
        <f ca="1">IF(AND(L305=1,K305="OK",M305=0,N305=0,O305=0,P305=0,SETTINGS!$B$4&lt;V305,Q305&lt;SETTINGS!$B$6),1,0)</f>
        <v>0</v>
      </c>
      <c r="Y305" s="28">
        <f ca="1">IF(AND(X305=1,SETTINGS!$B$4&gt;=H305,SETTINGS!$B$4&gt;=U305,ROUND(MOD(SETTINGS!$B$4,1)*1440,0)&gt;=ROUND(SETTINGS!$B$7*1440,0),ROUND(MOD(SETTINGS!$B$4,1)*1440,0)&lt;ROUND(SETTINGS!$B$8*1440,0)),1,0)</f>
        <v>0</v>
      </c>
      <c r="Z305" s="28" t="str">
        <f ca="1">IF(B305="","",IF(ROUND(MOD(SETTINGS!$B$4,1)*1440,0)&lt;ROUND(SETTINGS!$B$11*1440,0),"Ram",IF(ROUND(MOD(SETTINGS!$B$4,1)*1440,0)&gt;=ROUND(SETTINGS!$B$10*1440,0),"Shyam",IF(MOD(IFERROR(VALUE(RIGHT(F305,2)),0),2)=0,"Ram","Shyam"))))</f>
        <v>Shyam</v>
      </c>
      <c r="AA305" s="28">
        <f t="shared" ca="1" si="47"/>
        <v>0</v>
      </c>
      <c r="AB305" s="28">
        <f ca="1">IF(X305=1,COUNTIFS($F$2:F305,F305,$X$2:X305,1),0)</f>
        <v>0</v>
      </c>
      <c r="AC305" s="28" t="str">
        <f>IF(L305=1,IF(IFERROR(INDEX(PARTNERS!$C$2:$C$88,MATCH(B305,PARTNERS!$A$2:$A$88,0)),"")="YES","YES","NO"),"")</f>
        <v>YES</v>
      </c>
      <c r="AD305" s="28" t="str">
        <f>IF(L305=1,IFERROR(INDEX(PARTNERS!$B$2:$B$88,MATCH(B305,PARTNERS!$A$2:$A$88,0)),""),"")</f>
        <v>https://calendly.com/partner027/interview</v>
      </c>
      <c r="AE305" s="28">
        <f ca="1">IF(X305=1,IFERROR(INDEX(SETTINGS!$B$34:$D$36,MATCH(I305,SETTINGS!$A$34:$A$36,0),MIN(Q305,2)+1),SETTINGS!$B$36),0)</f>
        <v>0</v>
      </c>
      <c r="AF305" s="28">
        <f t="shared" si="48"/>
        <v>1</v>
      </c>
      <c r="AG305" s="28">
        <f ca="1">IF(AND(Y305=1,AB305=1),ROUND(AA305*AE305*IF(AF305&gt;1,SETTINGS!$B$16,1)*IF(W305&lt;=SETTINGS!$B$14,SETTINGS!$B$15,1)*IF(AU305=1,SETTINGS!$B$21,1),6),0)</f>
        <v>0</v>
      </c>
      <c r="AH305" s="28" t="str">
        <f ca="1">IF(AG305&gt;0,COUNTIFS($Z$2:$Z$601,Z305,$AG$2:$AG$601,"&gt;"&amp;AG305)+COUNTIFS($Z$2:Z305,Z305,$AG$2:AG305,AG305),"")</f>
        <v/>
      </c>
      <c r="AI305" s="28" t="str">
        <f t="shared" ca="1" si="49"/>
        <v/>
      </c>
      <c r="AJ305" s="28" t="str">
        <f t="shared" ca="1" si="50"/>
        <v/>
      </c>
      <c r="AK305" s="28">
        <f>IF(L305=1,IF(COUNTIFS($F$2:F305,F305,$L$2:L305,1)=1,1,0),0)</f>
        <v>1</v>
      </c>
      <c r="AL305" s="28" t="str">
        <f>IF(B305="","",IF(K305="DUPLICATE","Duplicate (removed)",IF(AO305=1,"Scheduled within 24h",IF(M305=1,"Scheduled late",IF(K305="BAD CONTACT","Bad contact details",IF(O305=1,"Stopped / wrong number",IF(N305=1,"Not interested",IF(P305=1,"Partner has no slots",IF(SETTINGS!$B$4&gt;=V305,IF(Q305=0,"Missed deadline: never tried","Missed deadline: tried, not booked"),IF(Q305&gt;=SETTINGS!$B$6,"No reply after max tries","Open"))))))))))</f>
        <v>Scheduled within 24h</v>
      </c>
      <c r="AM305" s="46">
        <f>IF(M305=1,IF(_xlfn.MINIFS(LOG!$G$2:$G$2001,LOG!$C$2:$C$2001,F305,LOG!$E$2:$E$2001,B305,LOG!$D$2:$D$2001,"*BOOKED")=0,_xlfn.MINIFS(LOG!$G$2:$G$2001,LOG!$C$2:$C$2001,F305,LOG!$E$2:$E$2001,"",LOG!$D$2:$D$2001,"*BOOKED"),IF(_xlfn.MINIFS(LOG!$G$2:$G$2001,LOG!$C$2:$C$2001,F305,LOG!$E$2:$E$2001,"",LOG!$D$2:$D$2001,"*BOOKED")=0,_xlfn.MINIFS(LOG!$G$2:$G$2001,LOG!$C$2:$C$2001,F305,LOG!$E$2:$E$2001,B305,LOG!$D$2:$D$2001,"*BOOKED"),MIN(_xlfn.MINIFS(LOG!$G$2:$G$2001,LOG!$C$2:$C$2001,F305,LOG!$E$2:$E$2001,B305,LOG!$D$2:$D$2001,"*BOOKED"),_xlfn.MINIFS(LOG!$G$2:$G$2001,LOG!$C$2:$C$2001,F305,LOG!$E$2:$E$2001,"",LOG!$D$2:$D$2001,"*BOOKED")))),"")</f>
        <v>46309.75845511751</v>
      </c>
      <c r="AN305" s="28">
        <f t="shared" si="51"/>
        <v>22.352922820311505</v>
      </c>
      <c r="AO305" s="28">
        <f>IF(AND(M305=1,AN305&lt;&gt;""),IF(AN305&lt;=SETTINGS!$B$5,1,0),0)</f>
        <v>1</v>
      </c>
      <c r="AP305" s="28">
        <f>IF(M305=1,IF(COUNTIFS(LOG!$C$2:$C$2001,F305,LOG!$E$2:$E$2001,B305,LOG!$D$2:$D$2001,"BOOKED")+COUNTIFS(LOG!$C$2:$C$2001,F305,LOG!$E$2:$E$2001,"",LOG!$D$2:$D$2001,"BOOKED")&gt;0,1,0),0)</f>
        <v>1</v>
      </c>
      <c r="AQ305" s="28" t="str">
        <f t="shared" si="52"/>
        <v>Ishaan</v>
      </c>
      <c r="AR305" s="28">
        <f>IF(AND(AK305=1,K305="OK"),COUNTIFS($AK$2:AK305,1,$K$2:K305,"OK"),"")</f>
        <v>267</v>
      </c>
      <c r="AS305" s="28" t="str">
        <f>IF(L305=1,IFERROR(INDEX(MESSAGES!$J$9:$J$1008,MATCH(F305,MESSAGES!$M$9:$M$1008,0))&amp;"",""),"")</f>
        <v/>
      </c>
      <c r="AT305" s="28" t="str">
        <f>IF(L305=1,IFERROR(INDEX(MESSAGES!$K$9:$K$1008,MATCH(F305,MESSAGES!$M$9:$M$1008,0))&amp;"",""),"")</f>
        <v/>
      </c>
      <c r="AU305" s="28">
        <f t="shared" ca="1" si="53"/>
        <v>0</v>
      </c>
      <c r="AV305" s="28" t="str">
        <f t="shared" si="54"/>
        <v>HOLD</v>
      </c>
    </row>
    <row r="306" spans="1:48" x14ac:dyDescent="0.35">
      <c r="A306" s="28">
        <v>305</v>
      </c>
      <c r="B306" s="28" t="str">
        <f>IF(INPUT!A306="","",TRIM(INPUT!A306))</f>
        <v>Partner 004</v>
      </c>
      <c r="C306" s="28" t="str">
        <f>IF(B306="","",INPUT!C306)</f>
        <v>interviewer0@partner004.example.com</v>
      </c>
      <c r="D306" s="28" t="str">
        <f>IF(B306="","",INPUT!D306)</f>
        <v>Karan B.</v>
      </c>
      <c r="E306" s="28" t="str">
        <f>IF(B306="","",INPUT!E306)</f>
        <v>karan.b050@example.com</v>
      </c>
      <c r="F306" s="43" t="str">
        <f>IF(B306="","",TRIM(INPUT!F306&amp;""))</f>
        <v>9000000657</v>
      </c>
      <c r="G306" s="28" t="str">
        <f>IF(B306="","",INPUT!H306)</f>
        <v>Round1</v>
      </c>
      <c r="H306" s="46">
        <f>IF(B306="","",INPUT!I306)</f>
        <v>46308.82708333333</v>
      </c>
      <c r="I306" s="28" t="str">
        <f>IF(B306="","",IF(INPUT!J306="","None",INPUT!J306))</f>
        <v>Opened</v>
      </c>
      <c r="J306" s="28" t="str">
        <f t="shared" si="44"/>
        <v>karan.b050@example.com|partner 004|Round1|interviewer0@partner004.example.com</v>
      </c>
      <c r="K306" s="28" t="str">
        <f>IF(B306="","",IF(SUMPRODUCT(($J$2:$J$601=J306)*($H$2:$H$601&lt;H306))+SUMPRODUCT(($J$2:J306=J306)*($H$2:H306=H306))-1&gt;0,"DUPLICATE",IF(AND(ISNUMBER(SEARCH("@",E306)),ISNUMBER(SEARCH(".",E306)),LEN(F306)=10,ISNUMBER(VALUE(F306))),"OK","BAD CONTACT")))</f>
        <v>OK</v>
      </c>
      <c r="L306" s="28">
        <f t="shared" si="45"/>
        <v>1</v>
      </c>
      <c r="M306" s="28">
        <f>IF(L306=1,IF(COUNTIFS(LOG!$C$2:$C$2001,F306,LOG!$E$2:$E$2001,B306,LOG!$D$2:$D$2001,"*BOOKED")+COUNTIFS(LOG!$C$2:$C$2001,F306,LOG!$E$2:$E$2001,"",LOG!$D$2:$D$2001,"*BOOKED")&gt;0,1,0),0)</f>
        <v>0</v>
      </c>
      <c r="N306" s="28">
        <f>IF(L306=1,IF(COUNTIFS(LOG!$C$2:$C$2001,F306,LOG!$E$2:$E$2001,B306,LOG!$D$2:$D$2001,"NOT_INTERESTED")+COUNTIFS(LOG!$C$2:$C$2001,F306,LOG!$E$2:$E$2001,"",LOG!$D$2:$D$2001,"NOT_INTERESTED")&gt;0,1,0),0)</f>
        <v>0</v>
      </c>
      <c r="O306" s="28">
        <f>IF(L306=1,IF(COUNTIFS(LOG!$C$2:$C$2001,F306,LOG!$D$2:$D$2001,"STOP")+COUNTIFS(LOG!$C$2:$C$2001,F306,LOG!$D$2:$D$2001,"WRONG_NUMBER")&gt;0,1,IF(ISNUMBER(SEARCH("STOP",AT306)),1,0)),0)</f>
        <v>0</v>
      </c>
      <c r="P306" s="28">
        <f>IF(L306=1,IF(IFERROR(INDEX(PARTNERS!$D$2:$D$88,MATCH(B306,PARTNERS!$A$2:$A$88,0)),"")="NO SLOTS",1,IF(AND(IFERROR(INDEX(PARTNERS!$D$2:$D$88,MATCH(B306,PARTNERS!$A$2:$A$88,0)),"")&lt;&gt;"REOPENED",COUNTIFS(LOG!$E$2:$E$2001,B306,LOG!$D$2:$D$2001,"NO_SLOTS")&gt;0),1,0)),0)</f>
        <v>0</v>
      </c>
      <c r="Q306" s="28">
        <f>IF(L306=1,COUNTIFS(LOG!$C$2:$C$2001,F306,LOG!$H$2:$H$2001,1),0)</f>
        <v>0</v>
      </c>
      <c r="R306" s="46">
        <f>IF(Q306&gt;0,_xlfn.MAXIFS(LOG!$G$2:$G$2001,LOG!$C$2:$C$2001,F306,LOG!$H$2:$H$2001,1),0)</f>
        <v>0</v>
      </c>
      <c r="S306" s="28" t="str">
        <f>IF(Q306&gt;0,IFERROR(INDEX(LOG!$D$2:$D$2001,MATCH(F306&amp;"|"&amp;Q306,LOG!$I$2:$I$2001,0)),""),"")</f>
        <v/>
      </c>
      <c r="T306" s="28">
        <f>IF(S306="",0,IFERROR(VLOOKUP(S306,LISTS!$A$2:$E$10,4,FALSE),0))</f>
        <v>0</v>
      </c>
      <c r="U306" s="46">
        <f t="shared" si="46"/>
        <v>0</v>
      </c>
      <c r="V306" s="46">
        <f>IF(L306=1,H306+SETTINGS!$B$5/24,"")</f>
        <v>46309.82708333333</v>
      </c>
      <c r="W306" s="28">
        <f ca="1">IF(L306=1,(V306-SETTINGS!$B$4)*24,"")</f>
        <v>-1.6666666720993817E-2</v>
      </c>
      <c r="X306" s="28">
        <f ca="1">IF(AND(L306=1,K306="OK",M306=0,N306=0,O306=0,P306=0,SETTINGS!$B$4&lt;V306,Q306&lt;SETTINGS!$B$6),1,0)</f>
        <v>0</v>
      </c>
      <c r="Y306" s="28">
        <f ca="1">IF(AND(X306=1,SETTINGS!$B$4&gt;=H306,SETTINGS!$B$4&gt;=U306,ROUND(MOD(SETTINGS!$B$4,1)*1440,0)&gt;=ROUND(SETTINGS!$B$7*1440,0),ROUND(MOD(SETTINGS!$B$4,1)*1440,0)&lt;ROUND(SETTINGS!$B$8*1440,0)),1,0)</f>
        <v>0</v>
      </c>
      <c r="Z306" s="28" t="str">
        <f ca="1">IF(B306="","",IF(ROUND(MOD(SETTINGS!$B$4,1)*1440,0)&lt;ROUND(SETTINGS!$B$11*1440,0),"Ram",IF(ROUND(MOD(SETTINGS!$B$4,1)*1440,0)&gt;=ROUND(SETTINGS!$B$10*1440,0),"Shyam",IF(MOD(IFERROR(VALUE(RIGHT(F306,2)),0),2)=0,"Ram","Shyam"))))</f>
        <v>Shyam</v>
      </c>
      <c r="AA306" s="28">
        <f t="shared" ca="1" si="47"/>
        <v>0</v>
      </c>
      <c r="AB306" s="28">
        <f ca="1">IF(X306=1,COUNTIFS($F$2:F306,F306,$X$2:X306,1),0)</f>
        <v>0</v>
      </c>
      <c r="AC306" s="28" t="str">
        <f>IF(L306=1,IF(IFERROR(INDEX(PARTNERS!$C$2:$C$88,MATCH(B306,PARTNERS!$A$2:$A$88,0)),"")="YES","YES","NO"),"")</f>
        <v>YES</v>
      </c>
      <c r="AD306" s="28" t="str">
        <f>IF(L306=1,IFERROR(INDEX(PARTNERS!$B$2:$B$88,MATCH(B306,PARTNERS!$A$2:$A$88,0)),""),"")</f>
        <v>https://calendly.com/partner004/interview</v>
      </c>
      <c r="AE306" s="28">
        <f ca="1">IF(X306=1,IFERROR(INDEX(SETTINGS!$B$34:$D$36,MATCH(I306,SETTINGS!$A$34:$A$36,0),MIN(Q306,2)+1),SETTINGS!$B$36),0)</f>
        <v>0</v>
      </c>
      <c r="AF306" s="28">
        <f t="shared" si="48"/>
        <v>1</v>
      </c>
      <c r="AG306" s="28">
        <f ca="1">IF(AND(Y306=1,AB306=1),ROUND(AA306*AE306*IF(AF306&gt;1,SETTINGS!$B$16,1)*IF(W306&lt;=SETTINGS!$B$14,SETTINGS!$B$15,1)*IF(AU306=1,SETTINGS!$B$21,1),6),0)</f>
        <v>0</v>
      </c>
      <c r="AH306" s="28" t="str">
        <f ca="1">IF(AG306&gt;0,COUNTIFS($Z$2:$Z$601,Z306,$AG$2:$AG$601,"&gt;"&amp;AG306)+COUNTIFS($Z$2:Z306,Z306,$AG$2:AG306,AG306),"")</f>
        <v/>
      </c>
      <c r="AI306" s="28" t="str">
        <f t="shared" ca="1" si="49"/>
        <v/>
      </c>
      <c r="AJ306" s="28" t="str">
        <f t="shared" ca="1" si="50"/>
        <v/>
      </c>
      <c r="AK306" s="28">
        <f>IF(L306=1,IF(COUNTIFS($F$2:F306,F306,$L$2:L306,1)=1,1,0),0)</f>
        <v>1</v>
      </c>
      <c r="AL306" s="28" t="str">
        <f ca="1">IF(B306="","",IF(K306="DUPLICATE","Duplicate (removed)",IF(AO306=1,"Scheduled within 24h",IF(M306=1,"Scheduled late",IF(K306="BAD CONTACT","Bad contact details",IF(O306=1,"Stopped / wrong number",IF(N306=1,"Not interested",IF(P306=1,"Partner has no slots",IF(SETTINGS!$B$4&gt;=V306,IF(Q306=0,"Missed deadline: never tried","Missed deadline: tried, not booked"),IF(Q306&gt;=SETTINGS!$B$6,"No reply after max tries","Open"))))))))))</f>
        <v>Missed deadline: never tried</v>
      </c>
      <c r="AM306" s="46" t="str">
        <f>IF(M306=1,IF(_xlfn.MINIFS(LOG!$G$2:$G$2001,LOG!$C$2:$C$2001,F306,LOG!$E$2:$E$2001,B306,LOG!$D$2:$D$2001,"*BOOKED")=0,_xlfn.MINIFS(LOG!$G$2:$G$2001,LOG!$C$2:$C$2001,F306,LOG!$E$2:$E$2001,"",LOG!$D$2:$D$2001,"*BOOKED"),IF(_xlfn.MINIFS(LOG!$G$2:$G$2001,LOG!$C$2:$C$2001,F306,LOG!$E$2:$E$2001,"",LOG!$D$2:$D$2001,"*BOOKED")=0,_xlfn.MINIFS(LOG!$G$2:$G$2001,LOG!$C$2:$C$2001,F306,LOG!$E$2:$E$2001,B306,LOG!$D$2:$D$2001,"*BOOKED"),MIN(_xlfn.MINIFS(LOG!$G$2:$G$2001,LOG!$C$2:$C$2001,F306,LOG!$E$2:$E$2001,B306,LOG!$D$2:$D$2001,"*BOOKED"),_xlfn.MINIFS(LOG!$G$2:$G$2001,LOG!$C$2:$C$2001,F306,LOG!$E$2:$E$2001,"",LOG!$D$2:$D$2001,"*BOOKED")))),"")</f>
        <v/>
      </c>
      <c r="AN306" s="28" t="str">
        <f t="shared" si="51"/>
        <v/>
      </c>
      <c r="AO306" s="28">
        <f>IF(AND(M306=1,AN306&lt;&gt;""),IF(AN306&lt;=SETTINGS!$B$5,1,0),0)</f>
        <v>0</v>
      </c>
      <c r="AP306" s="28">
        <f>IF(M306=1,IF(COUNTIFS(LOG!$C$2:$C$2001,F306,LOG!$E$2:$E$2001,B306,LOG!$D$2:$D$2001,"BOOKED")+COUNTIFS(LOG!$C$2:$C$2001,F306,LOG!$E$2:$E$2001,"",LOG!$D$2:$D$2001,"BOOKED")&gt;0,1,0),0)</f>
        <v>0</v>
      </c>
      <c r="AQ306" s="28" t="str">
        <f t="shared" si="52"/>
        <v>Karan</v>
      </c>
      <c r="AR306" s="28">
        <f>IF(AND(AK306=1,K306="OK"),COUNTIFS($AK$2:AK306,1,$K$2:K306,"OK"),"")</f>
        <v>268</v>
      </c>
      <c r="AS306" s="28" t="str">
        <f>IF(L306=1,IFERROR(INDEX(MESSAGES!$J$9:$J$1008,MATCH(F306,MESSAGES!$M$9:$M$1008,0))&amp;"",""),"")</f>
        <v/>
      </c>
      <c r="AT306" s="28" t="str">
        <f>IF(L306=1,IFERROR(INDEX(MESSAGES!$K$9:$K$1008,MATCH(F306,MESSAGES!$M$9:$M$1008,0))&amp;"",""),"")</f>
        <v/>
      </c>
      <c r="AU306" s="28">
        <f t="shared" ca="1" si="53"/>
        <v>0</v>
      </c>
      <c r="AV306" s="28" t="str">
        <f t="shared" si="54"/>
        <v>HOLD</v>
      </c>
    </row>
    <row r="307" spans="1:48" x14ac:dyDescent="0.35">
      <c r="A307" s="28">
        <v>306</v>
      </c>
      <c r="B307" s="28" t="str">
        <f>IF(INPUT!A307="","",TRIM(INPUT!A307))</f>
        <v>Partner 004</v>
      </c>
      <c r="C307" s="28" t="str">
        <f>IF(B307="","",INPUT!C307)</f>
        <v>interviewer1@partner004.example.com</v>
      </c>
      <c r="D307" s="28" t="str">
        <f>IF(B307="","",INPUT!D307)</f>
        <v>Pooja M.</v>
      </c>
      <c r="E307" s="28" t="str">
        <f>IF(B307="","",INPUT!E307)</f>
        <v>pooja.m351@example.com</v>
      </c>
      <c r="F307" s="43" t="str">
        <f>IF(B307="","",TRIM(INPUT!F307&amp;""))</f>
        <v>9000004570</v>
      </c>
      <c r="G307" s="28" t="str">
        <f>IF(B307="","",INPUT!H307)</f>
        <v>Round1</v>
      </c>
      <c r="H307" s="46">
        <f>IF(B307="","",INPUT!I307)</f>
        <v>46308.82708333333</v>
      </c>
      <c r="I307" s="28" t="str">
        <f>IF(B307="","",IF(INPUT!J307="","None",INPUT!J307))</f>
        <v>Opened</v>
      </c>
      <c r="J307" s="28" t="str">
        <f t="shared" si="44"/>
        <v>pooja.m351@example.com|partner 004|Round1|interviewer1@partner004.example.com</v>
      </c>
      <c r="K307" s="28" t="str">
        <f>IF(B307="","",IF(SUMPRODUCT(($J$2:$J$601=J307)*($H$2:$H$601&lt;H307))+SUMPRODUCT(($J$2:J307=J307)*($H$2:H307=H307))-1&gt;0,"DUPLICATE",IF(AND(ISNUMBER(SEARCH("@",E307)),ISNUMBER(SEARCH(".",E307)),LEN(F307)=10,ISNUMBER(VALUE(F307))),"OK","BAD CONTACT")))</f>
        <v>OK</v>
      </c>
      <c r="L307" s="28">
        <f t="shared" si="45"/>
        <v>1</v>
      </c>
      <c r="M307" s="28">
        <f>IF(L307=1,IF(COUNTIFS(LOG!$C$2:$C$2001,F307,LOG!$E$2:$E$2001,B307,LOG!$D$2:$D$2001,"*BOOKED")+COUNTIFS(LOG!$C$2:$C$2001,F307,LOG!$E$2:$E$2001,"",LOG!$D$2:$D$2001,"*BOOKED")&gt;0,1,0),0)</f>
        <v>0</v>
      </c>
      <c r="N307" s="28">
        <f>IF(L307=1,IF(COUNTIFS(LOG!$C$2:$C$2001,F307,LOG!$E$2:$E$2001,B307,LOG!$D$2:$D$2001,"NOT_INTERESTED")+COUNTIFS(LOG!$C$2:$C$2001,F307,LOG!$E$2:$E$2001,"",LOG!$D$2:$D$2001,"NOT_INTERESTED")&gt;0,1,0),0)</f>
        <v>0</v>
      </c>
      <c r="O307" s="28">
        <f>IF(L307=1,IF(COUNTIFS(LOG!$C$2:$C$2001,F307,LOG!$D$2:$D$2001,"STOP")+COUNTIFS(LOG!$C$2:$C$2001,F307,LOG!$D$2:$D$2001,"WRONG_NUMBER")&gt;0,1,IF(ISNUMBER(SEARCH("STOP",AT307)),1,0)),0)</f>
        <v>0</v>
      </c>
      <c r="P307" s="28">
        <f>IF(L307=1,IF(IFERROR(INDEX(PARTNERS!$D$2:$D$88,MATCH(B307,PARTNERS!$A$2:$A$88,0)),"")="NO SLOTS",1,IF(AND(IFERROR(INDEX(PARTNERS!$D$2:$D$88,MATCH(B307,PARTNERS!$A$2:$A$88,0)),"")&lt;&gt;"REOPENED",COUNTIFS(LOG!$E$2:$E$2001,B307,LOG!$D$2:$D$2001,"NO_SLOTS")&gt;0),1,0)),0)</f>
        <v>0</v>
      </c>
      <c r="Q307" s="28">
        <f>IF(L307=1,COUNTIFS(LOG!$C$2:$C$2001,F307,LOG!$H$2:$H$2001,1),0)</f>
        <v>0</v>
      </c>
      <c r="R307" s="46">
        <f>IF(Q307&gt;0,_xlfn.MAXIFS(LOG!$G$2:$G$2001,LOG!$C$2:$C$2001,F307,LOG!$H$2:$H$2001,1),0)</f>
        <v>0</v>
      </c>
      <c r="S307" s="28" t="str">
        <f>IF(Q307&gt;0,IFERROR(INDEX(LOG!$D$2:$D$2001,MATCH(F307&amp;"|"&amp;Q307,LOG!$I$2:$I$2001,0)),""),"")</f>
        <v/>
      </c>
      <c r="T307" s="28">
        <f>IF(S307="",0,IFERROR(VLOOKUP(S307,LISTS!$A$2:$E$10,4,FALSE),0))</f>
        <v>0</v>
      </c>
      <c r="U307" s="46">
        <f t="shared" si="46"/>
        <v>0</v>
      </c>
      <c r="V307" s="46">
        <f>IF(L307=1,H307+SETTINGS!$B$5/24,"")</f>
        <v>46309.82708333333</v>
      </c>
      <c r="W307" s="28">
        <f ca="1">IF(L307=1,(V307-SETTINGS!$B$4)*24,"")</f>
        <v>-1.6666666720993817E-2</v>
      </c>
      <c r="X307" s="28">
        <f ca="1">IF(AND(L307=1,K307="OK",M307=0,N307=0,O307=0,P307=0,SETTINGS!$B$4&lt;V307,Q307&lt;SETTINGS!$B$6),1,0)</f>
        <v>0</v>
      </c>
      <c r="Y307" s="28">
        <f ca="1">IF(AND(X307=1,SETTINGS!$B$4&gt;=H307,SETTINGS!$B$4&gt;=U307,ROUND(MOD(SETTINGS!$B$4,1)*1440,0)&gt;=ROUND(SETTINGS!$B$7*1440,0),ROUND(MOD(SETTINGS!$B$4,1)*1440,0)&lt;ROUND(SETTINGS!$B$8*1440,0)),1,0)</f>
        <v>0</v>
      </c>
      <c r="Z307" s="28" t="str">
        <f ca="1">IF(B307="","",IF(ROUND(MOD(SETTINGS!$B$4,1)*1440,0)&lt;ROUND(SETTINGS!$B$11*1440,0),"Ram",IF(ROUND(MOD(SETTINGS!$B$4,1)*1440,0)&gt;=ROUND(SETTINGS!$B$10*1440,0),"Shyam",IF(MOD(IFERROR(VALUE(RIGHT(F307,2)),0),2)=0,"Ram","Shyam"))))</f>
        <v>Shyam</v>
      </c>
      <c r="AA307" s="28">
        <f t="shared" ca="1" si="47"/>
        <v>0</v>
      </c>
      <c r="AB307" s="28">
        <f ca="1">IF(X307=1,COUNTIFS($F$2:F307,F307,$X$2:X307,1),0)</f>
        <v>0</v>
      </c>
      <c r="AC307" s="28" t="str">
        <f>IF(L307=1,IF(IFERROR(INDEX(PARTNERS!$C$2:$C$88,MATCH(B307,PARTNERS!$A$2:$A$88,0)),"")="YES","YES","NO"),"")</f>
        <v>YES</v>
      </c>
      <c r="AD307" s="28" t="str">
        <f>IF(L307=1,IFERROR(INDEX(PARTNERS!$B$2:$B$88,MATCH(B307,PARTNERS!$A$2:$A$88,0)),""),"")</f>
        <v>https://calendly.com/partner004/interview</v>
      </c>
      <c r="AE307" s="28">
        <f ca="1">IF(X307=1,IFERROR(INDEX(SETTINGS!$B$34:$D$36,MATCH(I307,SETTINGS!$A$34:$A$36,0),MIN(Q307,2)+1),SETTINGS!$B$36),0)</f>
        <v>0</v>
      </c>
      <c r="AF307" s="28">
        <f t="shared" si="48"/>
        <v>1</v>
      </c>
      <c r="AG307" s="28">
        <f ca="1">IF(AND(Y307=1,AB307=1),ROUND(AA307*AE307*IF(AF307&gt;1,SETTINGS!$B$16,1)*IF(W307&lt;=SETTINGS!$B$14,SETTINGS!$B$15,1)*IF(AU307=1,SETTINGS!$B$21,1),6),0)</f>
        <v>0</v>
      </c>
      <c r="AH307" s="28" t="str">
        <f ca="1">IF(AG307&gt;0,COUNTIFS($Z$2:$Z$601,Z307,$AG$2:$AG$601,"&gt;"&amp;AG307)+COUNTIFS($Z$2:Z307,Z307,$AG$2:AG307,AG307),"")</f>
        <v/>
      </c>
      <c r="AI307" s="28" t="str">
        <f t="shared" ca="1" si="49"/>
        <v/>
      </c>
      <c r="AJ307" s="28" t="str">
        <f t="shared" ca="1" si="50"/>
        <v/>
      </c>
      <c r="AK307" s="28">
        <f>IF(L307=1,IF(COUNTIFS($F$2:F307,F307,$L$2:L307,1)=1,1,0),0)</f>
        <v>1</v>
      </c>
      <c r="AL307" s="28" t="str">
        <f ca="1">IF(B307="","",IF(K307="DUPLICATE","Duplicate (removed)",IF(AO307=1,"Scheduled within 24h",IF(M307=1,"Scheduled late",IF(K307="BAD CONTACT","Bad contact details",IF(O307=1,"Stopped / wrong number",IF(N307=1,"Not interested",IF(P307=1,"Partner has no slots",IF(SETTINGS!$B$4&gt;=V307,IF(Q307=0,"Missed deadline: never tried","Missed deadline: tried, not booked"),IF(Q307&gt;=SETTINGS!$B$6,"No reply after max tries","Open"))))))))))</f>
        <v>Missed deadline: never tried</v>
      </c>
      <c r="AM307" s="46" t="str">
        <f>IF(M307=1,IF(_xlfn.MINIFS(LOG!$G$2:$G$2001,LOG!$C$2:$C$2001,F307,LOG!$E$2:$E$2001,B307,LOG!$D$2:$D$2001,"*BOOKED")=0,_xlfn.MINIFS(LOG!$G$2:$G$2001,LOG!$C$2:$C$2001,F307,LOG!$E$2:$E$2001,"",LOG!$D$2:$D$2001,"*BOOKED"),IF(_xlfn.MINIFS(LOG!$G$2:$G$2001,LOG!$C$2:$C$2001,F307,LOG!$E$2:$E$2001,"",LOG!$D$2:$D$2001,"*BOOKED")=0,_xlfn.MINIFS(LOG!$G$2:$G$2001,LOG!$C$2:$C$2001,F307,LOG!$E$2:$E$2001,B307,LOG!$D$2:$D$2001,"*BOOKED"),MIN(_xlfn.MINIFS(LOG!$G$2:$G$2001,LOG!$C$2:$C$2001,F307,LOG!$E$2:$E$2001,B307,LOG!$D$2:$D$2001,"*BOOKED"),_xlfn.MINIFS(LOG!$G$2:$G$2001,LOG!$C$2:$C$2001,F307,LOG!$E$2:$E$2001,"",LOG!$D$2:$D$2001,"*BOOKED")))),"")</f>
        <v/>
      </c>
      <c r="AN307" s="28" t="str">
        <f t="shared" si="51"/>
        <v/>
      </c>
      <c r="AO307" s="28">
        <f>IF(AND(M307=1,AN307&lt;&gt;""),IF(AN307&lt;=SETTINGS!$B$5,1,0),0)</f>
        <v>0</v>
      </c>
      <c r="AP307" s="28">
        <f>IF(M307=1,IF(COUNTIFS(LOG!$C$2:$C$2001,F307,LOG!$E$2:$E$2001,B307,LOG!$D$2:$D$2001,"BOOKED")+COUNTIFS(LOG!$C$2:$C$2001,F307,LOG!$E$2:$E$2001,"",LOG!$D$2:$D$2001,"BOOKED")&gt;0,1,0),0)</f>
        <v>0</v>
      </c>
      <c r="AQ307" s="28" t="str">
        <f t="shared" si="52"/>
        <v>Pooja</v>
      </c>
      <c r="AR307" s="28">
        <f>IF(AND(AK307=1,K307="OK"),COUNTIFS($AK$2:AK307,1,$K$2:K307,"OK"),"")</f>
        <v>269</v>
      </c>
      <c r="AS307" s="28" t="str">
        <f>IF(L307=1,IFERROR(INDEX(MESSAGES!$J$9:$J$1008,MATCH(F307,MESSAGES!$M$9:$M$1008,0))&amp;"",""),"")</f>
        <v/>
      </c>
      <c r="AT307" s="28" t="str">
        <f>IF(L307=1,IFERROR(INDEX(MESSAGES!$K$9:$K$1008,MATCH(F307,MESSAGES!$M$9:$M$1008,0))&amp;"",""),"")</f>
        <v/>
      </c>
      <c r="AU307" s="28">
        <f t="shared" ca="1" si="53"/>
        <v>0</v>
      </c>
      <c r="AV307" s="28" t="str">
        <f t="shared" si="54"/>
        <v>HOLD</v>
      </c>
    </row>
    <row r="308" spans="1:48" x14ac:dyDescent="0.35">
      <c r="A308" s="28">
        <v>307</v>
      </c>
      <c r="B308" s="28" t="str">
        <f>IF(INPUT!A308="","",TRIM(INPUT!A308))</f>
        <v>Partner 014</v>
      </c>
      <c r="C308" s="28" t="str">
        <f>IF(B308="","",INPUT!C308)</f>
        <v>interviewer0@partner014.example.com</v>
      </c>
      <c r="D308" s="28" t="str">
        <f>IF(B308="","",INPUT!D308)</f>
        <v>Riya M.</v>
      </c>
      <c r="E308" s="28" t="str">
        <f>IF(B308="","",INPUT!E308)</f>
        <v>riya.m349@example.com</v>
      </c>
      <c r="F308" s="43" t="str">
        <f>IF(B308="","",TRIM(INPUT!F308&amp;""))</f>
        <v>9000004544</v>
      </c>
      <c r="G308" s="28" t="str">
        <f>IF(B308="","",INPUT!H308)</f>
        <v>Round1</v>
      </c>
      <c r="H308" s="46">
        <f>IF(B308="","",INPUT!I308)</f>
        <v>46308.82708333333</v>
      </c>
      <c r="I308" s="28" t="str">
        <f>IF(B308="","",IF(INPUT!J308="","None",INPUT!J308))</f>
        <v>Clicked</v>
      </c>
      <c r="J308" s="28" t="str">
        <f t="shared" si="44"/>
        <v>riya.m349@example.com|partner 014|Round1|interviewer0@partner014.example.com</v>
      </c>
      <c r="K308" s="28" t="str">
        <f>IF(B308="","",IF(SUMPRODUCT(($J$2:$J$601=J308)*($H$2:$H$601&lt;H308))+SUMPRODUCT(($J$2:J308=J308)*($H$2:H308=H308))-1&gt;0,"DUPLICATE",IF(AND(ISNUMBER(SEARCH("@",E308)),ISNUMBER(SEARCH(".",E308)),LEN(F308)=10,ISNUMBER(VALUE(F308))),"OK","BAD CONTACT")))</f>
        <v>OK</v>
      </c>
      <c r="L308" s="28">
        <f t="shared" si="45"/>
        <v>1</v>
      </c>
      <c r="M308" s="28">
        <f>IF(L308=1,IF(COUNTIFS(LOG!$C$2:$C$2001,F308,LOG!$E$2:$E$2001,B308,LOG!$D$2:$D$2001,"*BOOKED")+COUNTIFS(LOG!$C$2:$C$2001,F308,LOG!$E$2:$E$2001,"",LOG!$D$2:$D$2001,"*BOOKED")&gt;0,1,0),0)</f>
        <v>1</v>
      </c>
      <c r="N308" s="28">
        <f>IF(L308=1,IF(COUNTIFS(LOG!$C$2:$C$2001,F308,LOG!$E$2:$E$2001,B308,LOG!$D$2:$D$2001,"NOT_INTERESTED")+COUNTIFS(LOG!$C$2:$C$2001,F308,LOG!$E$2:$E$2001,"",LOG!$D$2:$D$2001,"NOT_INTERESTED")&gt;0,1,0),0)</f>
        <v>0</v>
      </c>
      <c r="O308" s="28">
        <f>IF(L308=1,IF(COUNTIFS(LOG!$C$2:$C$2001,F308,LOG!$D$2:$D$2001,"STOP")+COUNTIFS(LOG!$C$2:$C$2001,F308,LOG!$D$2:$D$2001,"WRONG_NUMBER")&gt;0,1,IF(ISNUMBER(SEARCH("STOP",AT308)),1,0)),0)</f>
        <v>1</v>
      </c>
      <c r="P308" s="28">
        <f>IF(L308=1,IF(IFERROR(INDEX(PARTNERS!$D$2:$D$88,MATCH(B308,PARTNERS!$A$2:$A$88,0)),"")="NO SLOTS",1,IF(AND(IFERROR(INDEX(PARTNERS!$D$2:$D$88,MATCH(B308,PARTNERS!$A$2:$A$88,0)),"")&lt;&gt;"REOPENED",COUNTIFS(LOG!$E$2:$E$2001,B308,LOG!$D$2:$D$2001,"NO_SLOTS")&gt;0),1,0)),0)</f>
        <v>0</v>
      </c>
      <c r="Q308" s="28">
        <f>IF(L308=1,COUNTIFS(LOG!$C$2:$C$2001,F308,LOG!$H$2:$H$2001,1),0)</f>
        <v>1</v>
      </c>
      <c r="R308" s="46">
        <f>IF(Q308&gt;0,_xlfn.MAXIFS(LOG!$G$2:$G$2001,LOG!$C$2:$C$2001,F308,LOG!$H$2:$H$2001,1),0)</f>
        <v>46309.656827807004</v>
      </c>
      <c r="S308" s="28" t="str">
        <f>IF(Q308&gt;0,IFERROR(INDEX(LOG!$D$2:$D$2001,MATCH(F308&amp;"|"&amp;Q308,LOG!$I$2:$I$2001,0)),""),"")</f>
        <v>STOP</v>
      </c>
      <c r="T308" s="28">
        <f>IF(S308="",0,IFERROR(VLOOKUP(S308,LISTS!$A$2:$E$10,4,FALSE),0))</f>
        <v>0</v>
      </c>
      <c r="U308" s="46">
        <f t="shared" si="46"/>
        <v>46309.656827807004</v>
      </c>
      <c r="V308" s="46">
        <f>IF(L308=1,H308+SETTINGS!$B$5/24,"")</f>
        <v>46309.82708333333</v>
      </c>
      <c r="W308" s="28">
        <f ca="1">IF(L308=1,(V308-SETTINGS!$B$4)*24,"")</f>
        <v>-1.6666666720993817E-2</v>
      </c>
      <c r="X308" s="28">
        <f ca="1">IF(AND(L308=1,K308="OK",M308=0,N308=0,O308=0,P308=0,SETTINGS!$B$4&lt;V308,Q308&lt;SETTINGS!$B$6),1,0)</f>
        <v>0</v>
      </c>
      <c r="Y308" s="28">
        <f ca="1">IF(AND(X308=1,SETTINGS!$B$4&gt;=H308,SETTINGS!$B$4&gt;=U308,ROUND(MOD(SETTINGS!$B$4,1)*1440,0)&gt;=ROUND(SETTINGS!$B$7*1440,0),ROUND(MOD(SETTINGS!$B$4,1)*1440,0)&lt;ROUND(SETTINGS!$B$8*1440,0)),1,0)</f>
        <v>0</v>
      </c>
      <c r="Z308" s="28" t="str">
        <f ca="1">IF(B308="","",IF(ROUND(MOD(SETTINGS!$B$4,1)*1440,0)&lt;ROUND(SETTINGS!$B$11*1440,0),"Ram",IF(ROUND(MOD(SETTINGS!$B$4,1)*1440,0)&gt;=ROUND(SETTINGS!$B$10*1440,0),"Shyam",IF(MOD(IFERROR(VALUE(RIGHT(F308,2)),0),2)=0,"Ram","Shyam"))))</f>
        <v>Shyam</v>
      </c>
      <c r="AA308" s="28">
        <f t="shared" ca="1" si="47"/>
        <v>0</v>
      </c>
      <c r="AB308" s="28">
        <f ca="1">IF(X308=1,COUNTIFS($F$2:F308,F308,$X$2:X308,1),0)</f>
        <v>0</v>
      </c>
      <c r="AC308" s="28" t="str">
        <f>IF(L308=1,IF(IFERROR(INDEX(PARTNERS!$C$2:$C$88,MATCH(B308,PARTNERS!$A$2:$A$88,0)),"")="YES","YES","NO"),"")</f>
        <v>NO</v>
      </c>
      <c r="AD308" s="28" t="str">
        <f>IF(L308=1,IFERROR(INDEX(PARTNERS!$B$2:$B$88,MATCH(B308,PARTNERS!$A$2:$A$88,0)),""),"")</f>
        <v>https://calendly.com/partner014/interview</v>
      </c>
      <c r="AE308" s="28">
        <f ca="1">IF(X308=1,IFERROR(INDEX(SETTINGS!$B$34:$D$36,MATCH(I308,SETTINGS!$A$34:$A$36,0),MIN(Q308,2)+1),SETTINGS!$B$36),0)</f>
        <v>0</v>
      </c>
      <c r="AF308" s="28">
        <f t="shared" si="48"/>
        <v>1</v>
      </c>
      <c r="AG308" s="28">
        <f ca="1">IF(AND(Y308=1,AB308=1),ROUND(AA308*AE308*IF(AF308&gt;1,SETTINGS!$B$16,1)*IF(W308&lt;=SETTINGS!$B$14,SETTINGS!$B$15,1)*IF(AU308=1,SETTINGS!$B$21,1),6),0)</f>
        <v>0</v>
      </c>
      <c r="AH308" s="28" t="str">
        <f ca="1">IF(AG308&gt;0,COUNTIFS($Z$2:$Z$601,Z308,$AG$2:$AG$601,"&gt;"&amp;AG308)+COUNTIFS($Z$2:Z308,Z308,$AG$2:AG308,AG308),"")</f>
        <v/>
      </c>
      <c r="AI308" s="28" t="str">
        <f t="shared" ca="1" si="49"/>
        <v/>
      </c>
      <c r="AJ308" s="28" t="str">
        <f t="shared" ca="1" si="50"/>
        <v/>
      </c>
      <c r="AK308" s="28">
        <f>IF(L308=1,IF(COUNTIFS($F$2:F308,F308,$L$2:L308,1)=1,1,0),0)</f>
        <v>1</v>
      </c>
      <c r="AL308" s="28" t="str">
        <f>IF(B308="","",IF(K308="DUPLICATE","Duplicate (removed)",IF(AO308=1,"Scheduled within 24h",IF(M308=1,"Scheduled late",IF(K308="BAD CONTACT","Bad contact details",IF(O308=1,"Stopped / wrong number",IF(N308=1,"Not interested",IF(P308=1,"Partner has no slots",IF(SETTINGS!$B$4&gt;=V308,IF(Q308=0,"Missed deadline: never tried","Missed deadline: tried, not booked"),IF(Q308&gt;=SETTINGS!$B$6,"No reply after max tries","Open"))))))))))</f>
        <v>Scheduled within 24h</v>
      </c>
      <c r="AM308" s="46">
        <f>IF(M308=1,IF(_xlfn.MINIFS(LOG!$G$2:$G$2001,LOG!$C$2:$C$2001,F308,LOG!$E$2:$E$2001,B308,LOG!$D$2:$D$2001,"*BOOKED")=0,_xlfn.MINIFS(LOG!$G$2:$G$2001,LOG!$C$2:$C$2001,F308,LOG!$E$2:$E$2001,"",LOG!$D$2:$D$2001,"*BOOKED"),IF(_xlfn.MINIFS(LOG!$G$2:$G$2001,LOG!$C$2:$C$2001,F308,LOG!$E$2:$E$2001,"",LOG!$D$2:$D$2001,"*BOOKED")=0,_xlfn.MINIFS(LOG!$G$2:$G$2001,LOG!$C$2:$C$2001,F308,LOG!$E$2:$E$2001,B308,LOG!$D$2:$D$2001,"*BOOKED"),MIN(_xlfn.MINIFS(LOG!$G$2:$G$2001,LOG!$C$2:$C$2001,F308,LOG!$E$2:$E$2001,B308,LOG!$D$2:$D$2001,"*BOOKED"),_xlfn.MINIFS(LOG!$G$2:$G$2001,LOG!$C$2:$C$2001,F308,LOG!$E$2:$E$2001,"",LOG!$D$2:$D$2001,"*BOOKED")))),"")</f>
        <v>46309.666870311295</v>
      </c>
      <c r="AN308" s="28">
        <f t="shared" si="51"/>
        <v>20.154887471173424</v>
      </c>
      <c r="AO308" s="28">
        <f>IF(AND(M308=1,AN308&lt;&gt;""),IF(AN308&lt;=SETTINGS!$B$5,1,0),0)</f>
        <v>1</v>
      </c>
      <c r="AP308" s="28">
        <f>IF(M308=1,IF(COUNTIFS(LOG!$C$2:$C$2001,F308,LOG!$E$2:$E$2001,B308,LOG!$D$2:$D$2001,"BOOKED")+COUNTIFS(LOG!$C$2:$C$2001,F308,LOG!$E$2:$E$2001,"",LOG!$D$2:$D$2001,"BOOKED")&gt;0,1,0),0)</f>
        <v>0</v>
      </c>
      <c r="AQ308" s="28" t="str">
        <f t="shared" si="52"/>
        <v>Riya</v>
      </c>
      <c r="AR308" s="28">
        <f>IF(AND(AK308=1,K308="OK"),COUNTIFS($AK$2:AK308,1,$K$2:K308,"OK"),"")</f>
        <v>270</v>
      </c>
      <c r="AS308" s="28" t="str">
        <f>IF(L308=1,IFERROR(INDEX(MESSAGES!$J$9:$J$1008,MATCH(F308,MESSAGES!$M$9:$M$1008,0))&amp;"",""),"")</f>
        <v/>
      </c>
      <c r="AT308" s="28" t="str">
        <f>IF(L308=1,IFERROR(INDEX(MESSAGES!$K$9:$K$1008,MATCH(F308,MESSAGES!$M$9:$M$1008,0))&amp;"",""),"")</f>
        <v/>
      </c>
      <c r="AU308" s="28">
        <f t="shared" ca="1" si="53"/>
        <v>0</v>
      </c>
      <c r="AV308" s="28" t="str">
        <f t="shared" si="54"/>
        <v>SEND</v>
      </c>
    </row>
    <row r="309" spans="1:48" x14ac:dyDescent="0.35">
      <c r="A309" s="28">
        <v>308</v>
      </c>
      <c r="B309" s="28" t="str">
        <f>IF(INPUT!A309="","",TRIM(INPUT!A309))</f>
        <v>Partner 005</v>
      </c>
      <c r="C309" s="28" t="str">
        <f>IF(B309="","",INPUT!C309)</f>
        <v>interviewer2@partner005.example.com</v>
      </c>
      <c r="D309" s="28" t="str">
        <f>IF(B309="","",INPUT!D309)</f>
        <v>Neil J.</v>
      </c>
      <c r="E309" s="28" t="str">
        <f>IF(B309="","",INPUT!E309)</f>
        <v>neil.j258@example.com</v>
      </c>
      <c r="F309" s="43" t="str">
        <f>IF(B309="","",TRIM(INPUT!F309&amp;""))</f>
        <v>9000003361</v>
      </c>
      <c r="G309" s="28" t="str">
        <f>IF(B309="","",INPUT!H309)</f>
        <v>Round1</v>
      </c>
      <c r="H309" s="46">
        <f>IF(B309="","",INPUT!I309)</f>
        <v>46308.82708333333</v>
      </c>
      <c r="I309" s="28" t="str">
        <f>IF(B309="","",IF(INPUT!J309="","None",INPUT!J309))</f>
        <v>None</v>
      </c>
      <c r="J309" s="28" t="str">
        <f t="shared" si="44"/>
        <v>neil.j258@example.com|partner 005|Round1|interviewer2@partner005.example.com</v>
      </c>
      <c r="K309" s="28" t="str">
        <f>IF(B309="","",IF(SUMPRODUCT(($J$2:$J$601=J309)*($H$2:$H$601&lt;H309))+SUMPRODUCT(($J$2:J309=J309)*($H$2:H309=H309))-1&gt;0,"DUPLICATE",IF(AND(ISNUMBER(SEARCH("@",E309)),ISNUMBER(SEARCH(".",E309)),LEN(F309)=10,ISNUMBER(VALUE(F309))),"OK","BAD CONTACT")))</f>
        <v>OK</v>
      </c>
      <c r="L309" s="28">
        <f t="shared" si="45"/>
        <v>1</v>
      </c>
      <c r="M309" s="28">
        <f>IF(L309=1,IF(COUNTIFS(LOG!$C$2:$C$2001,F309,LOG!$E$2:$E$2001,B309,LOG!$D$2:$D$2001,"*BOOKED")+COUNTIFS(LOG!$C$2:$C$2001,F309,LOG!$E$2:$E$2001,"",LOG!$D$2:$D$2001,"*BOOKED")&gt;0,1,0),0)</f>
        <v>1</v>
      </c>
      <c r="N309" s="28">
        <f>IF(L309=1,IF(COUNTIFS(LOG!$C$2:$C$2001,F309,LOG!$E$2:$E$2001,B309,LOG!$D$2:$D$2001,"NOT_INTERESTED")+COUNTIFS(LOG!$C$2:$C$2001,F309,LOG!$E$2:$E$2001,"",LOG!$D$2:$D$2001,"NOT_INTERESTED")&gt;0,1,0),0)</f>
        <v>0</v>
      </c>
      <c r="O309" s="28">
        <f>IF(L309=1,IF(COUNTIFS(LOG!$C$2:$C$2001,F309,LOG!$D$2:$D$2001,"STOP")+COUNTIFS(LOG!$C$2:$C$2001,F309,LOG!$D$2:$D$2001,"WRONG_NUMBER")&gt;0,1,IF(ISNUMBER(SEARCH("STOP",AT309)),1,0)),0)</f>
        <v>0</v>
      </c>
      <c r="P309" s="28">
        <f>IF(L309=1,IF(IFERROR(INDEX(PARTNERS!$D$2:$D$88,MATCH(B309,PARTNERS!$A$2:$A$88,0)),"")="NO SLOTS",1,IF(AND(IFERROR(INDEX(PARTNERS!$D$2:$D$88,MATCH(B309,PARTNERS!$A$2:$A$88,0)),"")&lt;&gt;"REOPENED",COUNTIFS(LOG!$E$2:$E$2001,B309,LOG!$D$2:$D$2001,"NO_SLOTS")&gt;0),1,0)),0)</f>
        <v>0</v>
      </c>
      <c r="Q309" s="28">
        <f>IF(L309=1,COUNTIFS(LOG!$C$2:$C$2001,F309,LOG!$H$2:$H$2001,1),0)</f>
        <v>1</v>
      </c>
      <c r="R309" s="46">
        <f>IF(Q309&gt;0,_xlfn.MAXIFS(LOG!$G$2:$G$2001,LOG!$C$2:$C$2001,F309,LOG!$H$2:$H$2001,1),0)</f>
        <v>46309.515194377796</v>
      </c>
      <c r="S309" s="28" t="str">
        <f>IF(Q309&gt;0,IFERROR(INDEX(LOG!$D$2:$D$2001,MATCH(F309&amp;"|"&amp;Q309,LOG!$I$2:$I$2001,0)),""),"")</f>
        <v>BOOKED</v>
      </c>
      <c r="T309" s="28">
        <f>IF(S309="",0,IFERROR(VLOOKUP(S309,LISTS!$A$2:$E$10,4,FALSE),0))</f>
        <v>0</v>
      </c>
      <c r="U309" s="46">
        <f t="shared" si="46"/>
        <v>46309.515194377796</v>
      </c>
      <c r="V309" s="46">
        <f>IF(L309=1,H309+SETTINGS!$B$5/24,"")</f>
        <v>46309.82708333333</v>
      </c>
      <c r="W309" s="28">
        <f ca="1">IF(L309=1,(V309-SETTINGS!$B$4)*24,"")</f>
        <v>-1.6666666720993817E-2</v>
      </c>
      <c r="X309" s="28">
        <f ca="1">IF(AND(L309=1,K309="OK",M309=0,N309=0,O309=0,P309=0,SETTINGS!$B$4&lt;V309,Q309&lt;SETTINGS!$B$6),1,0)</f>
        <v>0</v>
      </c>
      <c r="Y309" s="28">
        <f ca="1">IF(AND(X309=1,SETTINGS!$B$4&gt;=H309,SETTINGS!$B$4&gt;=U309,ROUND(MOD(SETTINGS!$B$4,1)*1440,0)&gt;=ROUND(SETTINGS!$B$7*1440,0),ROUND(MOD(SETTINGS!$B$4,1)*1440,0)&lt;ROUND(SETTINGS!$B$8*1440,0)),1,0)</f>
        <v>0</v>
      </c>
      <c r="Z309" s="28" t="str">
        <f ca="1">IF(B309="","",IF(ROUND(MOD(SETTINGS!$B$4,1)*1440,0)&lt;ROUND(SETTINGS!$B$11*1440,0),"Ram",IF(ROUND(MOD(SETTINGS!$B$4,1)*1440,0)&gt;=ROUND(SETTINGS!$B$10*1440,0),"Shyam",IF(MOD(IFERROR(VALUE(RIGHT(F309,2)),0),2)=0,"Ram","Shyam"))))</f>
        <v>Shyam</v>
      </c>
      <c r="AA309" s="28">
        <f t="shared" ca="1" si="47"/>
        <v>0</v>
      </c>
      <c r="AB309" s="28">
        <f ca="1">IF(X309=1,COUNTIFS($F$2:F309,F309,$X$2:X309,1),0)</f>
        <v>0</v>
      </c>
      <c r="AC309" s="28" t="str">
        <f>IF(L309=1,IF(IFERROR(INDEX(PARTNERS!$C$2:$C$88,MATCH(B309,PARTNERS!$A$2:$A$88,0)),"")="YES","YES","NO"),"")</f>
        <v>YES</v>
      </c>
      <c r="AD309" s="28" t="str">
        <f>IF(L309=1,IFERROR(INDEX(PARTNERS!$B$2:$B$88,MATCH(B309,PARTNERS!$A$2:$A$88,0)),""),"")</f>
        <v>https://calendly.com/partner005/interview</v>
      </c>
      <c r="AE309" s="28">
        <f ca="1">IF(X309=1,IFERROR(INDEX(SETTINGS!$B$34:$D$36,MATCH(I309,SETTINGS!$A$34:$A$36,0),MIN(Q309,2)+1),SETTINGS!$B$36),0)</f>
        <v>0</v>
      </c>
      <c r="AF309" s="28">
        <f t="shared" si="48"/>
        <v>1</v>
      </c>
      <c r="AG309" s="28">
        <f ca="1">IF(AND(Y309=1,AB309=1),ROUND(AA309*AE309*IF(AF309&gt;1,SETTINGS!$B$16,1)*IF(W309&lt;=SETTINGS!$B$14,SETTINGS!$B$15,1)*IF(AU309=1,SETTINGS!$B$21,1),6),0)</f>
        <v>0</v>
      </c>
      <c r="AH309" s="28" t="str">
        <f ca="1">IF(AG309&gt;0,COUNTIFS($Z$2:$Z$601,Z309,$AG$2:$AG$601,"&gt;"&amp;AG309)+COUNTIFS($Z$2:Z309,Z309,$AG$2:AG309,AG309),"")</f>
        <v/>
      </c>
      <c r="AI309" s="28" t="str">
        <f t="shared" ca="1" si="49"/>
        <v/>
      </c>
      <c r="AJ309" s="28" t="str">
        <f t="shared" ca="1" si="50"/>
        <v/>
      </c>
      <c r="AK309" s="28">
        <f>IF(L309=1,IF(COUNTIFS($F$2:F309,F309,$L$2:L309,1)=1,1,0),0)</f>
        <v>0</v>
      </c>
      <c r="AL309" s="28" t="str">
        <f>IF(B309="","",IF(K309="DUPLICATE","Duplicate (removed)",IF(AO309=1,"Scheduled within 24h",IF(M309=1,"Scheduled late",IF(K309="BAD CONTACT","Bad contact details",IF(O309=1,"Stopped / wrong number",IF(N309=1,"Not interested",IF(P309=1,"Partner has no slots",IF(SETTINGS!$B$4&gt;=V309,IF(Q309=0,"Missed deadline: never tried","Missed deadline: tried, not booked"),IF(Q309&gt;=SETTINGS!$B$6,"No reply after max tries","Open"))))))))))</f>
        <v>Scheduled within 24h</v>
      </c>
      <c r="AM309" s="46">
        <f>IF(M309=1,IF(_xlfn.MINIFS(LOG!$G$2:$G$2001,LOG!$C$2:$C$2001,F309,LOG!$E$2:$E$2001,B309,LOG!$D$2:$D$2001,"*BOOKED")=0,_xlfn.MINIFS(LOG!$G$2:$G$2001,LOG!$C$2:$C$2001,F309,LOG!$E$2:$E$2001,"",LOG!$D$2:$D$2001,"*BOOKED"),IF(_xlfn.MINIFS(LOG!$G$2:$G$2001,LOG!$C$2:$C$2001,F309,LOG!$E$2:$E$2001,"",LOG!$D$2:$D$2001,"*BOOKED")=0,_xlfn.MINIFS(LOG!$G$2:$G$2001,LOG!$C$2:$C$2001,F309,LOG!$E$2:$E$2001,B309,LOG!$D$2:$D$2001,"*BOOKED"),MIN(_xlfn.MINIFS(LOG!$G$2:$G$2001,LOG!$C$2:$C$2001,F309,LOG!$E$2:$E$2001,B309,LOG!$D$2:$D$2001,"*BOOKED"),_xlfn.MINIFS(LOG!$G$2:$G$2001,LOG!$C$2:$C$2001,F309,LOG!$E$2:$E$2001,"",LOG!$D$2:$D$2001,"*BOOKED")))),"")</f>
        <v>46309.515194377796</v>
      </c>
      <c r="AN309" s="28">
        <f t="shared" si="51"/>
        <v>16.514665067195892</v>
      </c>
      <c r="AO309" s="28">
        <f>IF(AND(M309=1,AN309&lt;&gt;""),IF(AN309&lt;=SETTINGS!$B$5,1,0),0)</f>
        <v>1</v>
      </c>
      <c r="AP309" s="28">
        <f>IF(M309=1,IF(COUNTIFS(LOG!$C$2:$C$2001,F309,LOG!$E$2:$E$2001,B309,LOG!$D$2:$D$2001,"BOOKED")+COUNTIFS(LOG!$C$2:$C$2001,F309,LOG!$E$2:$E$2001,"",LOG!$D$2:$D$2001,"BOOKED")&gt;0,1,0),0)</f>
        <v>1</v>
      </c>
      <c r="AQ309" s="28" t="str">
        <f t="shared" si="52"/>
        <v>Neil</v>
      </c>
      <c r="AR309" s="28" t="str">
        <f>IF(AND(AK309=1,K309="OK"),COUNTIFS($AK$2:AK309,1,$K$2:K309,"OK"),"")</f>
        <v/>
      </c>
      <c r="AS309" s="28" t="str">
        <f>IF(L309=1,IFERROR(INDEX(MESSAGES!$J$9:$J$1008,MATCH(F309,MESSAGES!$M$9:$M$1008,0))&amp;"",""),"")</f>
        <v/>
      </c>
      <c r="AT309" s="28" t="str">
        <f>IF(L309=1,IFERROR(INDEX(MESSAGES!$K$9:$K$1008,MATCH(F309,MESSAGES!$M$9:$M$1008,0))&amp;"",""),"")</f>
        <v/>
      </c>
      <c r="AU309" s="28">
        <f t="shared" ca="1" si="53"/>
        <v>0</v>
      </c>
      <c r="AV309" s="28" t="str">
        <f t="shared" si="54"/>
        <v>SEND</v>
      </c>
    </row>
    <row r="310" spans="1:48" x14ac:dyDescent="0.35">
      <c r="A310" s="28">
        <v>309</v>
      </c>
      <c r="B310" s="28" t="str">
        <f>IF(INPUT!A310="","",TRIM(INPUT!A310))</f>
        <v>Partner 023</v>
      </c>
      <c r="C310" s="28" t="str">
        <f>IF(B310="","",INPUT!C310)</f>
        <v>interviewer0@partner023.example.com</v>
      </c>
      <c r="D310" s="28" t="str">
        <f>IF(B310="","",INPUT!D310)</f>
        <v>Riya H.</v>
      </c>
      <c r="E310" s="28" t="str">
        <f>IF(B310="","",INPUT!E310)</f>
        <v>riya.h229@example.com</v>
      </c>
      <c r="F310" s="43" t="str">
        <f>IF(B310="","",TRIM(INPUT!F310&amp;""))</f>
        <v>9000002984</v>
      </c>
      <c r="G310" s="28" t="str">
        <f>IF(B310="","",INPUT!H310)</f>
        <v>Round1</v>
      </c>
      <c r="H310" s="46">
        <f>IF(B310="","",INPUT!I310)</f>
        <v>46308.82708333333</v>
      </c>
      <c r="I310" s="28" t="str">
        <f>IF(B310="","",IF(INPUT!J310="","None",INPUT!J310))</f>
        <v>None</v>
      </c>
      <c r="J310" s="28" t="str">
        <f t="shared" si="44"/>
        <v>riya.h229@example.com|partner 023|Round1|interviewer0@partner023.example.com</v>
      </c>
      <c r="K310" s="28" t="str">
        <f>IF(B310="","",IF(SUMPRODUCT(($J$2:$J$601=J310)*($H$2:$H$601&lt;H310))+SUMPRODUCT(($J$2:J310=J310)*($H$2:H310=H310))-1&gt;0,"DUPLICATE",IF(AND(ISNUMBER(SEARCH("@",E310)),ISNUMBER(SEARCH(".",E310)),LEN(F310)=10,ISNUMBER(VALUE(F310))),"OK","BAD CONTACT")))</f>
        <v>OK</v>
      </c>
      <c r="L310" s="28">
        <f t="shared" si="45"/>
        <v>1</v>
      </c>
      <c r="M310" s="28">
        <f>IF(L310=1,IF(COUNTIFS(LOG!$C$2:$C$2001,F310,LOG!$E$2:$E$2001,B310,LOG!$D$2:$D$2001,"*BOOKED")+COUNTIFS(LOG!$C$2:$C$2001,F310,LOG!$E$2:$E$2001,"",LOG!$D$2:$D$2001,"*BOOKED")&gt;0,1,0),0)</f>
        <v>0</v>
      </c>
      <c r="N310" s="28">
        <f>IF(L310=1,IF(COUNTIFS(LOG!$C$2:$C$2001,F310,LOG!$E$2:$E$2001,B310,LOG!$D$2:$D$2001,"NOT_INTERESTED")+COUNTIFS(LOG!$C$2:$C$2001,F310,LOG!$E$2:$E$2001,"",LOG!$D$2:$D$2001,"NOT_INTERESTED")&gt;0,1,0),0)</f>
        <v>0</v>
      </c>
      <c r="O310" s="28">
        <f>IF(L310=1,IF(COUNTIFS(LOG!$C$2:$C$2001,F310,LOG!$D$2:$D$2001,"STOP")+COUNTIFS(LOG!$C$2:$C$2001,F310,LOG!$D$2:$D$2001,"WRONG_NUMBER")&gt;0,1,IF(ISNUMBER(SEARCH("STOP",AT310)),1,0)),0)</f>
        <v>0</v>
      </c>
      <c r="P310" s="28">
        <f>IF(L310=1,IF(IFERROR(INDEX(PARTNERS!$D$2:$D$88,MATCH(B310,PARTNERS!$A$2:$A$88,0)),"")="NO SLOTS",1,IF(AND(IFERROR(INDEX(PARTNERS!$D$2:$D$88,MATCH(B310,PARTNERS!$A$2:$A$88,0)),"")&lt;&gt;"REOPENED",COUNTIFS(LOG!$E$2:$E$2001,B310,LOG!$D$2:$D$2001,"NO_SLOTS")&gt;0),1,0)),0)</f>
        <v>0</v>
      </c>
      <c r="Q310" s="28">
        <f>IF(L310=1,COUNTIFS(LOG!$C$2:$C$2001,F310,LOG!$H$2:$H$2001,1),0)</f>
        <v>0</v>
      </c>
      <c r="R310" s="46">
        <f>IF(Q310&gt;0,_xlfn.MAXIFS(LOG!$G$2:$G$2001,LOG!$C$2:$C$2001,F310,LOG!$H$2:$H$2001,1),0)</f>
        <v>0</v>
      </c>
      <c r="S310" s="28" t="str">
        <f>IF(Q310&gt;0,IFERROR(INDEX(LOG!$D$2:$D$2001,MATCH(F310&amp;"|"&amp;Q310,LOG!$I$2:$I$2001,0)),""),"")</f>
        <v/>
      </c>
      <c r="T310" s="28">
        <f>IF(S310="",0,IFERROR(VLOOKUP(S310,LISTS!$A$2:$E$10,4,FALSE),0))</f>
        <v>0</v>
      </c>
      <c r="U310" s="46">
        <f t="shared" si="46"/>
        <v>0</v>
      </c>
      <c r="V310" s="46">
        <f>IF(L310=1,H310+SETTINGS!$B$5/24,"")</f>
        <v>46309.82708333333</v>
      </c>
      <c r="W310" s="28">
        <f ca="1">IF(L310=1,(V310-SETTINGS!$B$4)*24,"")</f>
        <v>-1.6666666720993817E-2</v>
      </c>
      <c r="X310" s="28">
        <f ca="1">IF(AND(L310=1,K310="OK",M310=0,N310=0,O310=0,P310=0,SETTINGS!$B$4&lt;V310,Q310&lt;SETTINGS!$B$6),1,0)</f>
        <v>0</v>
      </c>
      <c r="Y310" s="28">
        <f ca="1">IF(AND(X310=1,SETTINGS!$B$4&gt;=H310,SETTINGS!$B$4&gt;=U310,ROUND(MOD(SETTINGS!$B$4,1)*1440,0)&gt;=ROUND(SETTINGS!$B$7*1440,0),ROUND(MOD(SETTINGS!$B$4,1)*1440,0)&lt;ROUND(SETTINGS!$B$8*1440,0)),1,0)</f>
        <v>0</v>
      </c>
      <c r="Z310" s="28" t="str">
        <f ca="1">IF(B310="","",IF(ROUND(MOD(SETTINGS!$B$4,1)*1440,0)&lt;ROUND(SETTINGS!$B$11*1440,0),"Ram",IF(ROUND(MOD(SETTINGS!$B$4,1)*1440,0)&gt;=ROUND(SETTINGS!$B$10*1440,0),"Shyam",IF(MOD(IFERROR(VALUE(RIGHT(F310,2)),0),2)=0,"Ram","Shyam"))))</f>
        <v>Shyam</v>
      </c>
      <c r="AA310" s="28">
        <f t="shared" ca="1" si="47"/>
        <v>0</v>
      </c>
      <c r="AB310" s="28">
        <f ca="1">IF(X310=1,COUNTIFS($F$2:F310,F310,$X$2:X310,1),0)</f>
        <v>0</v>
      </c>
      <c r="AC310" s="28" t="str">
        <f>IF(L310=1,IF(IFERROR(INDEX(PARTNERS!$C$2:$C$88,MATCH(B310,PARTNERS!$A$2:$A$88,0)),"")="YES","YES","NO"),"")</f>
        <v>YES</v>
      </c>
      <c r="AD310" s="28" t="str">
        <f>IF(L310=1,IFERROR(INDEX(PARTNERS!$B$2:$B$88,MATCH(B310,PARTNERS!$A$2:$A$88,0)),""),"")</f>
        <v>https://calendly.com/partner023/interview</v>
      </c>
      <c r="AE310" s="28">
        <f ca="1">IF(X310=1,IFERROR(INDEX(SETTINGS!$B$34:$D$36,MATCH(I310,SETTINGS!$A$34:$A$36,0),MIN(Q310,2)+1),SETTINGS!$B$36),0)</f>
        <v>0</v>
      </c>
      <c r="AF310" s="28">
        <f t="shared" si="48"/>
        <v>1</v>
      </c>
      <c r="AG310" s="28">
        <f ca="1">IF(AND(Y310=1,AB310=1),ROUND(AA310*AE310*IF(AF310&gt;1,SETTINGS!$B$16,1)*IF(W310&lt;=SETTINGS!$B$14,SETTINGS!$B$15,1)*IF(AU310=1,SETTINGS!$B$21,1),6),0)</f>
        <v>0</v>
      </c>
      <c r="AH310" s="28" t="str">
        <f ca="1">IF(AG310&gt;0,COUNTIFS($Z$2:$Z$601,Z310,$AG$2:$AG$601,"&gt;"&amp;AG310)+COUNTIFS($Z$2:Z310,Z310,$AG$2:AG310,AG310),"")</f>
        <v/>
      </c>
      <c r="AI310" s="28" t="str">
        <f t="shared" ca="1" si="49"/>
        <v/>
      </c>
      <c r="AJ310" s="28" t="str">
        <f t="shared" ca="1" si="50"/>
        <v/>
      </c>
      <c r="AK310" s="28">
        <f>IF(L310=1,IF(COUNTIFS($F$2:F310,F310,$L$2:L310,1)=1,1,0),0)</f>
        <v>0</v>
      </c>
      <c r="AL310" s="28" t="str">
        <f ca="1">IF(B310="","",IF(K310="DUPLICATE","Duplicate (removed)",IF(AO310=1,"Scheduled within 24h",IF(M310=1,"Scheduled late",IF(K310="BAD CONTACT","Bad contact details",IF(O310=1,"Stopped / wrong number",IF(N310=1,"Not interested",IF(P310=1,"Partner has no slots",IF(SETTINGS!$B$4&gt;=V310,IF(Q310=0,"Missed deadline: never tried","Missed deadline: tried, not booked"),IF(Q310&gt;=SETTINGS!$B$6,"No reply after max tries","Open"))))))))))</f>
        <v>Missed deadline: never tried</v>
      </c>
      <c r="AM310" s="46" t="str">
        <f>IF(M310=1,IF(_xlfn.MINIFS(LOG!$G$2:$G$2001,LOG!$C$2:$C$2001,F310,LOG!$E$2:$E$2001,B310,LOG!$D$2:$D$2001,"*BOOKED")=0,_xlfn.MINIFS(LOG!$G$2:$G$2001,LOG!$C$2:$C$2001,F310,LOG!$E$2:$E$2001,"",LOG!$D$2:$D$2001,"*BOOKED"),IF(_xlfn.MINIFS(LOG!$G$2:$G$2001,LOG!$C$2:$C$2001,F310,LOG!$E$2:$E$2001,"",LOG!$D$2:$D$2001,"*BOOKED")=0,_xlfn.MINIFS(LOG!$G$2:$G$2001,LOG!$C$2:$C$2001,F310,LOG!$E$2:$E$2001,B310,LOG!$D$2:$D$2001,"*BOOKED"),MIN(_xlfn.MINIFS(LOG!$G$2:$G$2001,LOG!$C$2:$C$2001,F310,LOG!$E$2:$E$2001,B310,LOG!$D$2:$D$2001,"*BOOKED"),_xlfn.MINIFS(LOG!$G$2:$G$2001,LOG!$C$2:$C$2001,F310,LOG!$E$2:$E$2001,"",LOG!$D$2:$D$2001,"*BOOKED")))),"")</f>
        <v/>
      </c>
      <c r="AN310" s="28" t="str">
        <f t="shared" si="51"/>
        <v/>
      </c>
      <c r="AO310" s="28">
        <f>IF(AND(M310=1,AN310&lt;&gt;""),IF(AN310&lt;=SETTINGS!$B$5,1,0),0)</f>
        <v>0</v>
      </c>
      <c r="AP310" s="28">
        <f>IF(M310=1,IF(COUNTIFS(LOG!$C$2:$C$2001,F310,LOG!$E$2:$E$2001,B310,LOG!$D$2:$D$2001,"BOOKED")+COUNTIFS(LOG!$C$2:$C$2001,F310,LOG!$E$2:$E$2001,"",LOG!$D$2:$D$2001,"BOOKED")&gt;0,1,0),0)</f>
        <v>0</v>
      </c>
      <c r="AQ310" s="28" t="str">
        <f t="shared" si="52"/>
        <v>Riya</v>
      </c>
      <c r="AR310" s="28" t="str">
        <f>IF(AND(AK310=1,K310="OK"),COUNTIFS($AK$2:AK310,1,$K$2:K310,"OK"),"")</f>
        <v/>
      </c>
      <c r="AS310" s="28" t="str">
        <f>IF(L310=1,IFERROR(INDEX(MESSAGES!$J$9:$J$1008,MATCH(F310,MESSAGES!$M$9:$M$1008,0))&amp;"",""),"")</f>
        <v/>
      </c>
      <c r="AT310" s="28" t="str">
        <f>IF(L310=1,IFERROR(INDEX(MESSAGES!$K$9:$K$1008,MATCH(F310,MESSAGES!$M$9:$M$1008,0))&amp;"",""),"")</f>
        <v/>
      </c>
      <c r="AU310" s="28">
        <f t="shared" ca="1" si="53"/>
        <v>0</v>
      </c>
      <c r="AV310" s="28" t="str">
        <f t="shared" si="54"/>
        <v>SEND</v>
      </c>
    </row>
    <row r="311" spans="1:48" x14ac:dyDescent="0.35">
      <c r="A311" s="28">
        <v>310</v>
      </c>
      <c r="B311" s="28" t="str">
        <f>IF(INPUT!A311="","",TRIM(INPUT!A311))</f>
        <v>Partner 000</v>
      </c>
      <c r="C311" s="28" t="str">
        <f>IF(B311="","",INPUT!C311)</f>
        <v>interviewer0@partner000.example.com</v>
      </c>
      <c r="D311" s="28" t="str">
        <f>IF(B311="","",INPUT!D311)</f>
        <v>Dev E.</v>
      </c>
      <c r="E311" s="28" t="str">
        <f>IF(B311="","",INPUT!E311)</f>
        <v>dev.e132@example.com</v>
      </c>
      <c r="F311" s="43" t="str">
        <f>IF(B311="","",TRIM(INPUT!F311&amp;""))</f>
        <v>9000001723</v>
      </c>
      <c r="G311" s="28" t="str">
        <f>IF(B311="","",INPUT!H311)</f>
        <v>Round1</v>
      </c>
      <c r="H311" s="46">
        <f>IF(B311="","",INPUT!I311)</f>
        <v>46308.82708333333</v>
      </c>
      <c r="I311" s="28" t="str">
        <f>IF(B311="","",IF(INPUT!J311="","None",INPUT!J311))</f>
        <v>Clicked</v>
      </c>
      <c r="J311" s="28" t="str">
        <f t="shared" si="44"/>
        <v>dev.e132@example.com|partner 000|Round1|interviewer0@partner000.example.com</v>
      </c>
      <c r="K311" s="28" t="str">
        <f>IF(B311="","",IF(SUMPRODUCT(($J$2:$J$601=J311)*($H$2:$H$601&lt;H311))+SUMPRODUCT(($J$2:J311=J311)*($H$2:H311=H311))-1&gt;0,"DUPLICATE",IF(AND(ISNUMBER(SEARCH("@",E311)),ISNUMBER(SEARCH(".",E311)),LEN(F311)=10,ISNUMBER(VALUE(F311))),"OK","BAD CONTACT")))</f>
        <v>OK</v>
      </c>
      <c r="L311" s="28">
        <f t="shared" si="45"/>
        <v>1</v>
      </c>
      <c r="M311" s="28">
        <f>IF(L311=1,IF(COUNTIFS(LOG!$C$2:$C$2001,F311,LOG!$E$2:$E$2001,B311,LOG!$D$2:$D$2001,"*BOOKED")+COUNTIFS(LOG!$C$2:$C$2001,F311,LOG!$E$2:$E$2001,"",LOG!$D$2:$D$2001,"*BOOKED")&gt;0,1,0),0)</f>
        <v>1</v>
      </c>
      <c r="N311" s="28">
        <f>IF(L311=1,IF(COUNTIFS(LOG!$C$2:$C$2001,F311,LOG!$E$2:$E$2001,B311,LOG!$D$2:$D$2001,"NOT_INTERESTED")+COUNTIFS(LOG!$C$2:$C$2001,F311,LOG!$E$2:$E$2001,"",LOG!$D$2:$D$2001,"NOT_INTERESTED")&gt;0,1,0),0)</f>
        <v>0</v>
      </c>
      <c r="O311" s="28">
        <f>IF(L311=1,IF(COUNTIFS(LOG!$C$2:$C$2001,F311,LOG!$D$2:$D$2001,"STOP")+COUNTIFS(LOG!$C$2:$C$2001,F311,LOG!$D$2:$D$2001,"WRONG_NUMBER")&gt;0,1,IF(ISNUMBER(SEARCH("STOP",AT311)),1,0)),0)</f>
        <v>0</v>
      </c>
      <c r="P311" s="28">
        <f>IF(L311=1,IF(IFERROR(INDEX(PARTNERS!$D$2:$D$88,MATCH(B311,PARTNERS!$A$2:$A$88,0)),"")="NO SLOTS",1,IF(AND(IFERROR(INDEX(PARTNERS!$D$2:$D$88,MATCH(B311,PARTNERS!$A$2:$A$88,0)),"")&lt;&gt;"REOPENED",COUNTIFS(LOG!$E$2:$E$2001,B311,LOG!$D$2:$D$2001,"NO_SLOTS")&gt;0),1,0)),0)</f>
        <v>0</v>
      </c>
      <c r="Q311" s="28">
        <f>IF(L311=1,COUNTIFS(LOG!$C$2:$C$2001,F311,LOG!$H$2:$H$2001,1),0)</f>
        <v>1</v>
      </c>
      <c r="R311" s="46">
        <f>IF(Q311&gt;0,_xlfn.MAXIFS(LOG!$G$2:$G$2001,LOG!$C$2:$C$2001,F311,LOG!$H$2:$H$2001,1),0)</f>
        <v>46309.658605200668</v>
      </c>
      <c r="S311" s="28" t="str">
        <f>IF(Q311&gt;0,IFERROR(INDEX(LOG!$D$2:$D$2001,MATCH(F311&amp;"|"&amp;Q311,LOG!$I$2:$I$2001,0)),""),"")</f>
        <v>SENT_LINK</v>
      </c>
      <c r="T311" s="28">
        <f>IF(S311="",0,IFERROR(VLOOKUP(S311,LISTS!$A$2:$E$10,4,FALSE),0))</f>
        <v>180</v>
      </c>
      <c r="U311" s="46">
        <f t="shared" si="46"/>
        <v>46309.783605200668</v>
      </c>
      <c r="V311" s="46">
        <f>IF(L311=1,H311+SETTINGS!$B$5/24,"")</f>
        <v>46309.82708333333</v>
      </c>
      <c r="W311" s="28">
        <f ca="1">IF(L311=1,(V311-SETTINGS!$B$4)*24,"")</f>
        <v>-1.6666666720993817E-2</v>
      </c>
      <c r="X311" s="28">
        <f ca="1">IF(AND(L311=1,K311="OK",M311=0,N311=0,O311=0,P311=0,SETTINGS!$B$4&lt;V311,Q311&lt;SETTINGS!$B$6),1,0)</f>
        <v>0</v>
      </c>
      <c r="Y311" s="28">
        <f ca="1">IF(AND(X311=1,SETTINGS!$B$4&gt;=H311,SETTINGS!$B$4&gt;=U311,ROUND(MOD(SETTINGS!$B$4,1)*1440,0)&gt;=ROUND(SETTINGS!$B$7*1440,0),ROUND(MOD(SETTINGS!$B$4,1)*1440,0)&lt;ROUND(SETTINGS!$B$8*1440,0)),1,0)</f>
        <v>0</v>
      </c>
      <c r="Z311" s="28" t="str">
        <f ca="1">IF(B311="","",IF(ROUND(MOD(SETTINGS!$B$4,1)*1440,0)&lt;ROUND(SETTINGS!$B$11*1440,0),"Ram",IF(ROUND(MOD(SETTINGS!$B$4,1)*1440,0)&gt;=ROUND(SETTINGS!$B$10*1440,0),"Shyam",IF(MOD(IFERROR(VALUE(RIGHT(F311,2)),0),2)=0,"Ram","Shyam"))))</f>
        <v>Shyam</v>
      </c>
      <c r="AA311" s="28">
        <f t="shared" ca="1" si="47"/>
        <v>0</v>
      </c>
      <c r="AB311" s="28">
        <f ca="1">IF(X311=1,COUNTIFS($F$2:F311,F311,$X$2:X311,1),0)</f>
        <v>0</v>
      </c>
      <c r="AC311" s="28" t="str">
        <f>IF(L311=1,IF(IFERROR(INDEX(PARTNERS!$C$2:$C$88,MATCH(B311,PARTNERS!$A$2:$A$88,0)),"")="YES","YES","NO"),"")</f>
        <v>NO</v>
      </c>
      <c r="AD311" s="28" t="str">
        <f>IF(L311=1,IFERROR(INDEX(PARTNERS!$B$2:$B$88,MATCH(B311,PARTNERS!$A$2:$A$88,0)),""),"")</f>
        <v>https://calendly.com/partner000/interview</v>
      </c>
      <c r="AE311" s="28">
        <f ca="1">IF(X311=1,IFERROR(INDEX(SETTINGS!$B$34:$D$36,MATCH(I311,SETTINGS!$A$34:$A$36,0),MIN(Q311,2)+1),SETTINGS!$B$36),0)</f>
        <v>0</v>
      </c>
      <c r="AF311" s="28">
        <f t="shared" si="48"/>
        <v>1</v>
      </c>
      <c r="AG311" s="28">
        <f ca="1">IF(AND(Y311=1,AB311=1),ROUND(AA311*AE311*IF(AF311&gt;1,SETTINGS!$B$16,1)*IF(W311&lt;=SETTINGS!$B$14,SETTINGS!$B$15,1)*IF(AU311=1,SETTINGS!$B$21,1),6),0)</f>
        <v>0</v>
      </c>
      <c r="AH311" s="28" t="str">
        <f ca="1">IF(AG311&gt;0,COUNTIFS($Z$2:$Z$601,Z311,$AG$2:$AG$601,"&gt;"&amp;AG311)+COUNTIFS($Z$2:Z311,Z311,$AG$2:AG311,AG311),"")</f>
        <v/>
      </c>
      <c r="AI311" s="28" t="str">
        <f t="shared" ca="1" si="49"/>
        <v/>
      </c>
      <c r="AJ311" s="28" t="str">
        <f t="shared" ca="1" si="50"/>
        <v/>
      </c>
      <c r="AK311" s="28">
        <f>IF(L311=1,IF(COUNTIFS($F$2:F311,F311,$L$2:L311,1)=1,1,0),0)</f>
        <v>1</v>
      </c>
      <c r="AL311" s="28" t="str">
        <f>IF(B311="","",IF(K311="DUPLICATE","Duplicate (removed)",IF(AO311=1,"Scheduled within 24h",IF(M311=1,"Scheduled late",IF(K311="BAD CONTACT","Bad contact details",IF(O311=1,"Stopped / wrong number",IF(N311=1,"Not interested",IF(P311=1,"Partner has no slots",IF(SETTINGS!$B$4&gt;=V311,IF(Q311=0,"Missed deadline: never tried","Missed deadline: tried, not booked"),IF(Q311&gt;=SETTINGS!$B$6,"No reply after max tries","Open"))))))))))</f>
        <v>Scheduled within 24h</v>
      </c>
      <c r="AM311" s="46">
        <f>IF(M311=1,IF(_xlfn.MINIFS(LOG!$G$2:$G$2001,LOG!$C$2:$C$2001,F311,LOG!$E$2:$E$2001,B311,LOG!$D$2:$D$2001,"*BOOKED")=0,_xlfn.MINIFS(LOG!$G$2:$G$2001,LOG!$C$2:$C$2001,F311,LOG!$E$2:$E$2001,"",LOG!$D$2:$D$2001,"*BOOKED"),IF(_xlfn.MINIFS(LOG!$G$2:$G$2001,LOG!$C$2:$C$2001,F311,LOG!$E$2:$E$2001,"",LOG!$D$2:$D$2001,"*BOOKED")=0,_xlfn.MINIFS(LOG!$G$2:$G$2001,LOG!$C$2:$C$2001,F311,LOG!$E$2:$E$2001,B311,LOG!$D$2:$D$2001,"*BOOKED"),MIN(_xlfn.MINIFS(LOG!$G$2:$G$2001,LOG!$C$2:$C$2001,F311,LOG!$E$2:$E$2001,B311,LOG!$D$2:$D$2001,"*BOOKED"),_xlfn.MINIFS(LOG!$G$2:$G$2001,LOG!$C$2:$C$2001,F311,LOG!$E$2:$E$2001,"",LOG!$D$2:$D$2001,"*BOOKED")))),"")</f>
        <v>46309.74980062095</v>
      </c>
      <c r="AN311" s="28">
        <f t="shared" si="51"/>
        <v>22.145214902877342</v>
      </c>
      <c r="AO311" s="28">
        <f>IF(AND(M311=1,AN311&lt;&gt;""),IF(AN311&lt;=SETTINGS!$B$5,1,0),0)</f>
        <v>1</v>
      </c>
      <c r="AP311" s="28">
        <f>IF(M311=1,IF(COUNTIFS(LOG!$C$2:$C$2001,F311,LOG!$E$2:$E$2001,B311,LOG!$D$2:$D$2001,"BOOKED")+COUNTIFS(LOG!$C$2:$C$2001,F311,LOG!$E$2:$E$2001,"",LOG!$D$2:$D$2001,"BOOKED")&gt;0,1,0),0)</f>
        <v>0</v>
      </c>
      <c r="AQ311" s="28" t="str">
        <f t="shared" si="52"/>
        <v>Dev</v>
      </c>
      <c r="AR311" s="28">
        <f>IF(AND(AK311=1,K311="OK"),COUNTIFS($AK$2:AK311,1,$K$2:K311,"OK"),"")</f>
        <v>271</v>
      </c>
      <c r="AS311" s="28" t="str">
        <f>IF(L311=1,IFERROR(INDEX(MESSAGES!$J$9:$J$1008,MATCH(F311,MESSAGES!$M$9:$M$1008,0))&amp;"",""),"")</f>
        <v/>
      </c>
      <c r="AT311" s="28" t="str">
        <f>IF(L311=1,IFERROR(INDEX(MESSAGES!$K$9:$K$1008,MATCH(F311,MESSAGES!$M$9:$M$1008,0))&amp;"",""),"")</f>
        <v/>
      </c>
      <c r="AU311" s="28">
        <f t="shared" ca="1" si="53"/>
        <v>0</v>
      </c>
      <c r="AV311" s="28" t="str">
        <f t="shared" si="54"/>
        <v>SEND</v>
      </c>
    </row>
    <row r="312" spans="1:48" x14ac:dyDescent="0.35">
      <c r="A312" s="28">
        <v>311</v>
      </c>
      <c r="B312" s="28" t="str">
        <f>IF(INPUT!A312="","",TRIM(INPUT!A312))</f>
        <v>Partner 012</v>
      </c>
      <c r="C312" s="28" t="str">
        <f>IF(B312="","",INPUT!C312)</f>
        <v>interviewer0@partner012.example.com</v>
      </c>
      <c r="D312" s="28" t="str">
        <f>IF(B312="","",INPUT!D312)</f>
        <v>Manav A.</v>
      </c>
      <c r="E312" s="28" t="str">
        <f>IF(B312="","",INPUT!E312)</f>
        <v>manav.a024@example.com</v>
      </c>
      <c r="F312" s="43" t="str">
        <f>IF(B312="","",TRIM(INPUT!F312&amp;""))</f>
        <v>9000000319</v>
      </c>
      <c r="G312" s="28" t="str">
        <f>IF(B312="","",INPUT!H312)</f>
        <v>Round1</v>
      </c>
      <c r="H312" s="46">
        <f>IF(B312="","",INPUT!I312)</f>
        <v>46308.82708333333</v>
      </c>
      <c r="I312" s="28" t="str">
        <f>IF(B312="","",IF(INPUT!J312="","None",INPUT!J312))</f>
        <v>None</v>
      </c>
      <c r="J312" s="28" t="str">
        <f t="shared" si="44"/>
        <v>manav.a024@example.com|partner 012|Round1|interviewer0@partner012.example.com</v>
      </c>
      <c r="K312" s="28" t="str">
        <f>IF(B312="","",IF(SUMPRODUCT(($J$2:$J$601=J312)*($H$2:$H$601&lt;H312))+SUMPRODUCT(($J$2:J312=J312)*($H$2:H312=H312))-1&gt;0,"DUPLICATE",IF(AND(ISNUMBER(SEARCH("@",E312)),ISNUMBER(SEARCH(".",E312)),LEN(F312)=10,ISNUMBER(VALUE(F312))),"OK","BAD CONTACT")))</f>
        <v>OK</v>
      </c>
      <c r="L312" s="28">
        <f t="shared" si="45"/>
        <v>1</v>
      </c>
      <c r="M312" s="28">
        <f>IF(L312=1,IF(COUNTIFS(LOG!$C$2:$C$2001,F312,LOG!$E$2:$E$2001,B312,LOG!$D$2:$D$2001,"*BOOKED")+COUNTIFS(LOG!$C$2:$C$2001,F312,LOG!$E$2:$E$2001,"",LOG!$D$2:$D$2001,"*BOOKED")&gt;0,1,0),0)</f>
        <v>0</v>
      </c>
      <c r="N312" s="28">
        <f>IF(L312=1,IF(COUNTIFS(LOG!$C$2:$C$2001,F312,LOG!$E$2:$E$2001,B312,LOG!$D$2:$D$2001,"NOT_INTERESTED")+COUNTIFS(LOG!$C$2:$C$2001,F312,LOG!$E$2:$E$2001,"",LOG!$D$2:$D$2001,"NOT_INTERESTED")&gt;0,1,0),0)</f>
        <v>0</v>
      </c>
      <c r="O312" s="28">
        <f>IF(L312=1,IF(COUNTIFS(LOG!$C$2:$C$2001,F312,LOG!$D$2:$D$2001,"STOP")+COUNTIFS(LOG!$C$2:$C$2001,F312,LOG!$D$2:$D$2001,"WRONG_NUMBER")&gt;0,1,IF(ISNUMBER(SEARCH("STOP",AT312)),1,0)),0)</f>
        <v>0</v>
      </c>
      <c r="P312" s="28">
        <f>IF(L312=1,IF(IFERROR(INDEX(PARTNERS!$D$2:$D$88,MATCH(B312,PARTNERS!$A$2:$A$88,0)),"")="NO SLOTS",1,IF(AND(IFERROR(INDEX(PARTNERS!$D$2:$D$88,MATCH(B312,PARTNERS!$A$2:$A$88,0)),"")&lt;&gt;"REOPENED",COUNTIFS(LOG!$E$2:$E$2001,B312,LOG!$D$2:$D$2001,"NO_SLOTS")&gt;0),1,0)),0)</f>
        <v>0</v>
      </c>
      <c r="Q312" s="28">
        <f>IF(L312=1,COUNTIFS(LOG!$C$2:$C$2001,F312,LOG!$H$2:$H$2001,1),0)</f>
        <v>0</v>
      </c>
      <c r="R312" s="46">
        <f>IF(Q312&gt;0,_xlfn.MAXIFS(LOG!$G$2:$G$2001,LOG!$C$2:$C$2001,F312,LOG!$H$2:$H$2001,1),0)</f>
        <v>0</v>
      </c>
      <c r="S312" s="28" t="str">
        <f>IF(Q312&gt;0,IFERROR(INDEX(LOG!$D$2:$D$2001,MATCH(F312&amp;"|"&amp;Q312,LOG!$I$2:$I$2001,0)),""),"")</f>
        <v/>
      </c>
      <c r="T312" s="28">
        <f>IF(S312="",0,IFERROR(VLOOKUP(S312,LISTS!$A$2:$E$10,4,FALSE),0))</f>
        <v>0</v>
      </c>
      <c r="U312" s="46">
        <f t="shared" si="46"/>
        <v>0</v>
      </c>
      <c r="V312" s="46">
        <f>IF(L312=1,H312+SETTINGS!$B$5/24,"")</f>
        <v>46309.82708333333</v>
      </c>
      <c r="W312" s="28">
        <f ca="1">IF(L312=1,(V312-SETTINGS!$B$4)*24,"")</f>
        <v>-1.6666666720993817E-2</v>
      </c>
      <c r="X312" s="28">
        <f ca="1">IF(AND(L312=1,K312="OK",M312=0,N312=0,O312=0,P312=0,SETTINGS!$B$4&lt;V312,Q312&lt;SETTINGS!$B$6),1,0)</f>
        <v>0</v>
      </c>
      <c r="Y312" s="28">
        <f ca="1">IF(AND(X312=1,SETTINGS!$B$4&gt;=H312,SETTINGS!$B$4&gt;=U312,ROUND(MOD(SETTINGS!$B$4,1)*1440,0)&gt;=ROUND(SETTINGS!$B$7*1440,0),ROUND(MOD(SETTINGS!$B$4,1)*1440,0)&lt;ROUND(SETTINGS!$B$8*1440,0)),1,0)</f>
        <v>0</v>
      </c>
      <c r="Z312" s="28" t="str">
        <f ca="1">IF(B312="","",IF(ROUND(MOD(SETTINGS!$B$4,1)*1440,0)&lt;ROUND(SETTINGS!$B$11*1440,0),"Ram",IF(ROUND(MOD(SETTINGS!$B$4,1)*1440,0)&gt;=ROUND(SETTINGS!$B$10*1440,0),"Shyam",IF(MOD(IFERROR(VALUE(RIGHT(F312,2)),0),2)=0,"Ram","Shyam"))))</f>
        <v>Shyam</v>
      </c>
      <c r="AA312" s="28">
        <f t="shared" ca="1" si="47"/>
        <v>0</v>
      </c>
      <c r="AB312" s="28">
        <f ca="1">IF(X312=1,COUNTIFS($F$2:F312,F312,$X$2:X312,1),0)</f>
        <v>0</v>
      </c>
      <c r="AC312" s="28" t="str">
        <f>IF(L312=1,IF(IFERROR(INDEX(PARTNERS!$C$2:$C$88,MATCH(B312,PARTNERS!$A$2:$A$88,0)),"")="YES","YES","NO"),"")</f>
        <v>NO</v>
      </c>
      <c r="AD312" s="28" t="str">
        <f>IF(L312=1,IFERROR(INDEX(PARTNERS!$B$2:$B$88,MATCH(B312,PARTNERS!$A$2:$A$88,0)),""),"")</f>
        <v>https://calendly.com/partner012/interview</v>
      </c>
      <c r="AE312" s="28">
        <f ca="1">IF(X312=1,IFERROR(INDEX(SETTINGS!$B$34:$D$36,MATCH(I312,SETTINGS!$A$34:$A$36,0),MIN(Q312,2)+1),SETTINGS!$B$36),0)</f>
        <v>0</v>
      </c>
      <c r="AF312" s="28">
        <f t="shared" si="48"/>
        <v>1</v>
      </c>
      <c r="AG312" s="28">
        <f ca="1">IF(AND(Y312=1,AB312=1),ROUND(AA312*AE312*IF(AF312&gt;1,SETTINGS!$B$16,1)*IF(W312&lt;=SETTINGS!$B$14,SETTINGS!$B$15,1)*IF(AU312=1,SETTINGS!$B$21,1),6),0)</f>
        <v>0</v>
      </c>
      <c r="AH312" s="28" t="str">
        <f ca="1">IF(AG312&gt;0,COUNTIFS($Z$2:$Z$601,Z312,$AG$2:$AG$601,"&gt;"&amp;AG312)+COUNTIFS($Z$2:Z312,Z312,$AG$2:AG312,AG312),"")</f>
        <v/>
      </c>
      <c r="AI312" s="28" t="str">
        <f t="shared" ca="1" si="49"/>
        <v/>
      </c>
      <c r="AJ312" s="28" t="str">
        <f t="shared" ca="1" si="50"/>
        <v/>
      </c>
      <c r="AK312" s="28">
        <f>IF(L312=1,IF(COUNTIFS($F$2:F312,F312,$L$2:L312,1)=1,1,0),0)</f>
        <v>1</v>
      </c>
      <c r="AL312" s="28" t="str">
        <f ca="1">IF(B312="","",IF(K312="DUPLICATE","Duplicate (removed)",IF(AO312=1,"Scheduled within 24h",IF(M312=1,"Scheduled late",IF(K312="BAD CONTACT","Bad contact details",IF(O312=1,"Stopped / wrong number",IF(N312=1,"Not interested",IF(P312=1,"Partner has no slots",IF(SETTINGS!$B$4&gt;=V312,IF(Q312=0,"Missed deadline: never tried","Missed deadline: tried, not booked"),IF(Q312&gt;=SETTINGS!$B$6,"No reply after max tries","Open"))))))))))</f>
        <v>Missed deadline: never tried</v>
      </c>
      <c r="AM312" s="46" t="str">
        <f>IF(M312=1,IF(_xlfn.MINIFS(LOG!$G$2:$G$2001,LOG!$C$2:$C$2001,F312,LOG!$E$2:$E$2001,B312,LOG!$D$2:$D$2001,"*BOOKED")=0,_xlfn.MINIFS(LOG!$G$2:$G$2001,LOG!$C$2:$C$2001,F312,LOG!$E$2:$E$2001,"",LOG!$D$2:$D$2001,"*BOOKED"),IF(_xlfn.MINIFS(LOG!$G$2:$G$2001,LOG!$C$2:$C$2001,F312,LOG!$E$2:$E$2001,"",LOG!$D$2:$D$2001,"*BOOKED")=0,_xlfn.MINIFS(LOG!$G$2:$G$2001,LOG!$C$2:$C$2001,F312,LOG!$E$2:$E$2001,B312,LOG!$D$2:$D$2001,"*BOOKED"),MIN(_xlfn.MINIFS(LOG!$G$2:$G$2001,LOG!$C$2:$C$2001,F312,LOG!$E$2:$E$2001,B312,LOG!$D$2:$D$2001,"*BOOKED"),_xlfn.MINIFS(LOG!$G$2:$G$2001,LOG!$C$2:$C$2001,F312,LOG!$E$2:$E$2001,"",LOG!$D$2:$D$2001,"*BOOKED")))),"")</f>
        <v/>
      </c>
      <c r="AN312" s="28" t="str">
        <f t="shared" si="51"/>
        <v/>
      </c>
      <c r="AO312" s="28">
        <f>IF(AND(M312=1,AN312&lt;&gt;""),IF(AN312&lt;=SETTINGS!$B$5,1,0),0)</f>
        <v>0</v>
      </c>
      <c r="AP312" s="28">
        <f>IF(M312=1,IF(COUNTIFS(LOG!$C$2:$C$2001,F312,LOG!$E$2:$E$2001,B312,LOG!$D$2:$D$2001,"BOOKED")+COUNTIFS(LOG!$C$2:$C$2001,F312,LOG!$E$2:$E$2001,"",LOG!$D$2:$D$2001,"BOOKED")&gt;0,1,0),0)</f>
        <v>0</v>
      </c>
      <c r="AQ312" s="28" t="str">
        <f t="shared" si="52"/>
        <v>Manav</v>
      </c>
      <c r="AR312" s="28">
        <f>IF(AND(AK312=1,K312="OK"),COUNTIFS($AK$2:AK312,1,$K$2:K312,"OK"),"")</f>
        <v>272</v>
      </c>
      <c r="AS312" s="28" t="str">
        <f>IF(L312=1,IFERROR(INDEX(MESSAGES!$J$9:$J$1008,MATCH(F312,MESSAGES!$M$9:$M$1008,0))&amp;"",""),"")</f>
        <v/>
      </c>
      <c r="AT312" s="28" t="str">
        <f>IF(L312=1,IFERROR(INDEX(MESSAGES!$K$9:$K$1008,MATCH(F312,MESSAGES!$M$9:$M$1008,0))&amp;"",""),"")</f>
        <v/>
      </c>
      <c r="AU312" s="28">
        <f t="shared" ca="1" si="53"/>
        <v>0</v>
      </c>
      <c r="AV312" s="28" t="str">
        <f t="shared" si="54"/>
        <v>HOLD</v>
      </c>
    </row>
    <row r="313" spans="1:48" x14ac:dyDescent="0.35">
      <c r="A313" s="28">
        <v>312</v>
      </c>
      <c r="B313" s="28" t="str">
        <f>IF(INPUT!A313="","",TRIM(INPUT!A313))</f>
        <v>Partner 002</v>
      </c>
      <c r="C313" s="28" t="str">
        <f>IF(B313="","",INPUT!C313)</f>
        <v>interviewer0@partner002.example.com</v>
      </c>
      <c r="D313" s="28" t="str">
        <f>IF(B313="","",INPUT!D313)</f>
        <v>Vihaan N.</v>
      </c>
      <c r="E313" s="28" t="str">
        <f>IF(B313="","",INPUT!E313)</f>
        <v>vihaan.n364@example.com</v>
      </c>
      <c r="F313" s="43" t="str">
        <f>IF(B313="","",TRIM(INPUT!F313&amp;""))</f>
        <v>9000004739</v>
      </c>
      <c r="G313" s="28" t="str">
        <f>IF(B313="","",INPUT!H313)</f>
        <v>Round1</v>
      </c>
      <c r="H313" s="46">
        <f>IF(B313="","",INPUT!I313)</f>
        <v>46308.82708333333</v>
      </c>
      <c r="I313" s="28" t="str">
        <f>IF(B313="","",IF(INPUT!J313="","None",INPUT!J313))</f>
        <v>Opened</v>
      </c>
      <c r="J313" s="28" t="str">
        <f t="shared" si="44"/>
        <v>vihaan.n364@example.com|partner 002|Round1|interviewer0@partner002.example.com</v>
      </c>
      <c r="K313" s="28" t="str">
        <f>IF(B313="","",IF(SUMPRODUCT(($J$2:$J$601=J313)*($H$2:$H$601&lt;H313))+SUMPRODUCT(($J$2:J313=J313)*($H$2:H313=H313))-1&gt;0,"DUPLICATE",IF(AND(ISNUMBER(SEARCH("@",E313)),ISNUMBER(SEARCH(".",E313)),LEN(F313)=10,ISNUMBER(VALUE(F313))),"OK","BAD CONTACT")))</f>
        <v>OK</v>
      </c>
      <c r="L313" s="28">
        <f t="shared" si="45"/>
        <v>1</v>
      </c>
      <c r="M313" s="28">
        <f>IF(L313=1,IF(COUNTIFS(LOG!$C$2:$C$2001,F313,LOG!$E$2:$E$2001,B313,LOG!$D$2:$D$2001,"*BOOKED")+COUNTIFS(LOG!$C$2:$C$2001,F313,LOG!$E$2:$E$2001,"",LOG!$D$2:$D$2001,"*BOOKED")&gt;0,1,0),0)</f>
        <v>1</v>
      </c>
      <c r="N313" s="28">
        <f>IF(L313=1,IF(COUNTIFS(LOG!$C$2:$C$2001,F313,LOG!$E$2:$E$2001,B313,LOG!$D$2:$D$2001,"NOT_INTERESTED")+COUNTIFS(LOG!$C$2:$C$2001,F313,LOG!$E$2:$E$2001,"",LOG!$D$2:$D$2001,"NOT_INTERESTED")&gt;0,1,0),0)</f>
        <v>0</v>
      </c>
      <c r="O313" s="28">
        <f>IF(L313=1,IF(COUNTIFS(LOG!$C$2:$C$2001,F313,LOG!$D$2:$D$2001,"STOP")+COUNTIFS(LOG!$C$2:$C$2001,F313,LOG!$D$2:$D$2001,"WRONG_NUMBER")&gt;0,1,IF(ISNUMBER(SEARCH("STOP",AT313)),1,0)),0)</f>
        <v>0</v>
      </c>
      <c r="P313" s="28">
        <f>IF(L313=1,IF(IFERROR(INDEX(PARTNERS!$D$2:$D$88,MATCH(B313,PARTNERS!$A$2:$A$88,0)),"")="NO SLOTS",1,IF(AND(IFERROR(INDEX(PARTNERS!$D$2:$D$88,MATCH(B313,PARTNERS!$A$2:$A$88,0)),"")&lt;&gt;"REOPENED",COUNTIFS(LOG!$E$2:$E$2001,B313,LOG!$D$2:$D$2001,"NO_SLOTS")&gt;0),1,0)),0)</f>
        <v>0</v>
      </c>
      <c r="Q313" s="28">
        <f>IF(L313=1,COUNTIFS(LOG!$C$2:$C$2001,F313,LOG!$H$2:$H$2001,1),0)</f>
        <v>0</v>
      </c>
      <c r="R313" s="46">
        <f>IF(Q313&gt;0,_xlfn.MAXIFS(LOG!$G$2:$G$2001,LOG!$C$2:$C$2001,F313,LOG!$H$2:$H$2001,1),0)</f>
        <v>0</v>
      </c>
      <c r="S313" s="28" t="str">
        <f>IF(Q313&gt;0,IFERROR(INDEX(LOG!$D$2:$D$2001,MATCH(F313&amp;"|"&amp;Q313,LOG!$I$2:$I$2001,0)),""),"")</f>
        <v/>
      </c>
      <c r="T313" s="28">
        <f>IF(S313="",0,IFERROR(VLOOKUP(S313,LISTS!$A$2:$E$10,4,FALSE),0))</f>
        <v>0</v>
      </c>
      <c r="U313" s="46">
        <f t="shared" si="46"/>
        <v>0</v>
      </c>
      <c r="V313" s="46">
        <f>IF(L313=1,H313+SETTINGS!$B$5/24,"")</f>
        <v>46309.82708333333</v>
      </c>
      <c r="W313" s="28">
        <f ca="1">IF(L313=1,(V313-SETTINGS!$B$4)*24,"")</f>
        <v>-1.6666666720993817E-2</v>
      </c>
      <c r="X313" s="28">
        <f ca="1">IF(AND(L313=1,K313="OK",M313=0,N313=0,O313=0,P313=0,SETTINGS!$B$4&lt;V313,Q313&lt;SETTINGS!$B$6),1,0)</f>
        <v>0</v>
      </c>
      <c r="Y313" s="28">
        <f ca="1">IF(AND(X313=1,SETTINGS!$B$4&gt;=H313,SETTINGS!$B$4&gt;=U313,ROUND(MOD(SETTINGS!$B$4,1)*1440,0)&gt;=ROUND(SETTINGS!$B$7*1440,0),ROUND(MOD(SETTINGS!$B$4,1)*1440,0)&lt;ROUND(SETTINGS!$B$8*1440,0)),1,0)</f>
        <v>0</v>
      </c>
      <c r="Z313" s="28" t="str">
        <f ca="1">IF(B313="","",IF(ROUND(MOD(SETTINGS!$B$4,1)*1440,0)&lt;ROUND(SETTINGS!$B$11*1440,0),"Ram",IF(ROUND(MOD(SETTINGS!$B$4,1)*1440,0)&gt;=ROUND(SETTINGS!$B$10*1440,0),"Shyam",IF(MOD(IFERROR(VALUE(RIGHT(F313,2)),0),2)=0,"Ram","Shyam"))))</f>
        <v>Shyam</v>
      </c>
      <c r="AA313" s="28">
        <f t="shared" ca="1" si="47"/>
        <v>0</v>
      </c>
      <c r="AB313" s="28">
        <f ca="1">IF(X313=1,COUNTIFS($F$2:F313,F313,$X$2:X313,1),0)</f>
        <v>0</v>
      </c>
      <c r="AC313" s="28" t="str">
        <f>IF(L313=1,IF(IFERROR(INDEX(PARTNERS!$C$2:$C$88,MATCH(B313,PARTNERS!$A$2:$A$88,0)),"")="YES","YES","NO"),"")</f>
        <v>YES</v>
      </c>
      <c r="AD313" s="28" t="str">
        <f>IF(L313=1,IFERROR(INDEX(PARTNERS!$B$2:$B$88,MATCH(B313,PARTNERS!$A$2:$A$88,0)),""),"")</f>
        <v>https://calendly.com/partner002/interview</v>
      </c>
      <c r="AE313" s="28">
        <f ca="1">IF(X313=1,IFERROR(INDEX(SETTINGS!$B$34:$D$36,MATCH(I313,SETTINGS!$A$34:$A$36,0),MIN(Q313,2)+1),SETTINGS!$B$36),0)</f>
        <v>0</v>
      </c>
      <c r="AF313" s="28">
        <f t="shared" si="48"/>
        <v>1</v>
      </c>
      <c r="AG313" s="28">
        <f ca="1">IF(AND(Y313=1,AB313=1),ROUND(AA313*AE313*IF(AF313&gt;1,SETTINGS!$B$16,1)*IF(W313&lt;=SETTINGS!$B$14,SETTINGS!$B$15,1)*IF(AU313=1,SETTINGS!$B$21,1),6),0)</f>
        <v>0</v>
      </c>
      <c r="AH313" s="28" t="str">
        <f ca="1">IF(AG313&gt;0,COUNTIFS($Z$2:$Z$601,Z313,$AG$2:$AG$601,"&gt;"&amp;AG313)+COUNTIFS($Z$2:Z313,Z313,$AG$2:AG313,AG313),"")</f>
        <v/>
      </c>
      <c r="AI313" s="28" t="str">
        <f t="shared" ca="1" si="49"/>
        <v/>
      </c>
      <c r="AJ313" s="28" t="str">
        <f t="shared" ca="1" si="50"/>
        <v/>
      </c>
      <c r="AK313" s="28">
        <f>IF(L313=1,IF(COUNTIFS($F$2:F313,F313,$L$2:L313,1)=1,1,0),0)</f>
        <v>1</v>
      </c>
      <c r="AL313" s="28" t="str">
        <f>IF(B313="","",IF(K313="DUPLICATE","Duplicate (removed)",IF(AO313=1,"Scheduled within 24h",IF(M313=1,"Scheduled late",IF(K313="BAD CONTACT","Bad contact details",IF(O313=1,"Stopped / wrong number",IF(N313=1,"Not interested",IF(P313=1,"Partner has no slots",IF(SETTINGS!$B$4&gt;=V313,IF(Q313=0,"Missed deadline: never tried","Missed deadline: tried, not booked"),IF(Q313&gt;=SETTINGS!$B$6,"No reply after max tries","Open"))))))))))</f>
        <v>Scheduled within 24h</v>
      </c>
      <c r="AM313" s="46">
        <f>IF(M313=1,IF(_xlfn.MINIFS(LOG!$G$2:$G$2001,LOG!$C$2:$C$2001,F313,LOG!$E$2:$E$2001,B313,LOG!$D$2:$D$2001,"*BOOKED")=0,_xlfn.MINIFS(LOG!$G$2:$G$2001,LOG!$C$2:$C$2001,F313,LOG!$E$2:$E$2001,"",LOG!$D$2:$D$2001,"*BOOKED"),IF(_xlfn.MINIFS(LOG!$G$2:$G$2001,LOG!$C$2:$C$2001,F313,LOG!$E$2:$E$2001,"",LOG!$D$2:$D$2001,"*BOOKED")=0,_xlfn.MINIFS(LOG!$G$2:$G$2001,LOG!$C$2:$C$2001,F313,LOG!$E$2:$E$2001,B313,LOG!$D$2:$D$2001,"*BOOKED"),MIN(_xlfn.MINIFS(LOG!$G$2:$G$2001,LOG!$C$2:$C$2001,F313,LOG!$E$2:$E$2001,B313,LOG!$D$2:$D$2001,"*BOOKED"),_xlfn.MINIFS(LOG!$G$2:$G$2001,LOG!$C$2:$C$2001,F313,LOG!$E$2:$E$2001,"",LOG!$D$2:$D$2001,"*BOOKED")))),"")</f>
        <v>46309.412344054108</v>
      </c>
      <c r="AN313" s="28">
        <f t="shared" si="51"/>
        <v>14.046257298672572</v>
      </c>
      <c r="AO313" s="28">
        <f>IF(AND(M313=1,AN313&lt;&gt;""),IF(AN313&lt;=SETTINGS!$B$5,1,0),0)</f>
        <v>1</v>
      </c>
      <c r="AP313" s="28">
        <f>IF(M313=1,IF(COUNTIFS(LOG!$C$2:$C$2001,F313,LOG!$E$2:$E$2001,B313,LOG!$D$2:$D$2001,"BOOKED")+COUNTIFS(LOG!$C$2:$C$2001,F313,LOG!$E$2:$E$2001,"",LOG!$D$2:$D$2001,"BOOKED")&gt;0,1,0),0)</f>
        <v>0</v>
      </c>
      <c r="AQ313" s="28" t="str">
        <f t="shared" si="52"/>
        <v>Vihaan</v>
      </c>
      <c r="AR313" s="28">
        <f>IF(AND(AK313=1,K313="OK"),COUNTIFS($AK$2:AK313,1,$K$2:K313,"OK"),"")</f>
        <v>273</v>
      </c>
      <c r="AS313" s="28" t="str">
        <f>IF(L313=1,IFERROR(INDEX(MESSAGES!$J$9:$J$1008,MATCH(F313,MESSAGES!$M$9:$M$1008,0))&amp;"",""),"")</f>
        <v/>
      </c>
      <c r="AT313" s="28" t="str">
        <f>IF(L313=1,IFERROR(INDEX(MESSAGES!$K$9:$K$1008,MATCH(F313,MESSAGES!$M$9:$M$1008,0))&amp;"",""),"")</f>
        <v/>
      </c>
      <c r="AU313" s="28">
        <f t="shared" ca="1" si="53"/>
        <v>0</v>
      </c>
      <c r="AV313" s="28" t="str">
        <f t="shared" si="54"/>
        <v>HOLD</v>
      </c>
    </row>
    <row r="314" spans="1:48" x14ac:dyDescent="0.35">
      <c r="A314" s="28">
        <v>313</v>
      </c>
      <c r="B314" s="28" t="str">
        <f>IF(INPUT!A314="","",TRIM(INPUT!A314))</f>
        <v>Partner 000</v>
      </c>
      <c r="C314" s="28" t="str">
        <f>IF(B314="","",INPUT!C314)</f>
        <v>interviewer2@partner000.example.com</v>
      </c>
      <c r="D314" s="28" t="str">
        <f>IF(B314="","",INPUT!D314)</f>
        <v>Rahul B.</v>
      </c>
      <c r="E314" s="28" t="str">
        <f>IF(B314="","",INPUT!E314)</f>
        <v>rahul.b056@example.com</v>
      </c>
      <c r="F314" s="43" t="str">
        <f>IF(B314="","",TRIM(INPUT!F314&amp;""))</f>
        <v>9000000735</v>
      </c>
      <c r="G314" s="28" t="str">
        <f>IF(B314="","",INPUT!H314)</f>
        <v>Round1</v>
      </c>
      <c r="H314" s="46">
        <f>IF(B314="","",INPUT!I314)</f>
        <v>46308.82708333333</v>
      </c>
      <c r="I314" s="28" t="str">
        <f>IF(B314="","",IF(INPUT!J314="","None",INPUT!J314))</f>
        <v>Clicked</v>
      </c>
      <c r="J314" s="28" t="str">
        <f t="shared" si="44"/>
        <v>rahul.b056@example.com|partner 000|Round1|interviewer2@partner000.example.com</v>
      </c>
      <c r="K314" s="28" t="str">
        <f>IF(B314="","",IF(SUMPRODUCT(($J$2:$J$601=J314)*($H$2:$H$601&lt;H314))+SUMPRODUCT(($J$2:J314=J314)*($H$2:H314=H314))-1&gt;0,"DUPLICATE",IF(AND(ISNUMBER(SEARCH("@",E314)),ISNUMBER(SEARCH(".",E314)),LEN(F314)=10,ISNUMBER(VALUE(F314))),"OK","BAD CONTACT")))</f>
        <v>OK</v>
      </c>
      <c r="L314" s="28">
        <f t="shared" si="45"/>
        <v>1</v>
      </c>
      <c r="M314" s="28">
        <f>IF(L314=1,IF(COUNTIFS(LOG!$C$2:$C$2001,F314,LOG!$E$2:$E$2001,B314,LOG!$D$2:$D$2001,"*BOOKED")+COUNTIFS(LOG!$C$2:$C$2001,F314,LOG!$E$2:$E$2001,"",LOG!$D$2:$D$2001,"*BOOKED")&gt;0,1,0),0)</f>
        <v>1</v>
      </c>
      <c r="N314" s="28">
        <f>IF(L314=1,IF(COUNTIFS(LOG!$C$2:$C$2001,F314,LOG!$E$2:$E$2001,B314,LOG!$D$2:$D$2001,"NOT_INTERESTED")+COUNTIFS(LOG!$C$2:$C$2001,F314,LOG!$E$2:$E$2001,"",LOG!$D$2:$D$2001,"NOT_INTERESTED")&gt;0,1,0),0)</f>
        <v>0</v>
      </c>
      <c r="O314" s="28">
        <f>IF(L314=1,IF(COUNTIFS(LOG!$C$2:$C$2001,F314,LOG!$D$2:$D$2001,"STOP")+COUNTIFS(LOG!$C$2:$C$2001,F314,LOG!$D$2:$D$2001,"WRONG_NUMBER")&gt;0,1,IF(ISNUMBER(SEARCH("STOP",AT314)),1,0)),0)</f>
        <v>0</v>
      </c>
      <c r="P314" s="28">
        <f>IF(L314=1,IF(IFERROR(INDEX(PARTNERS!$D$2:$D$88,MATCH(B314,PARTNERS!$A$2:$A$88,0)),"")="NO SLOTS",1,IF(AND(IFERROR(INDEX(PARTNERS!$D$2:$D$88,MATCH(B314,PARTNERS!$A$2:$A$88,0)),"")&lt;&gt;"REOPENED",COUNTIFS(LOG!$E$2:$E$2001,B314,LOG!$D$2:$D$2001,"NO_SLOTS")&gt;0),1,0)),0)</f>
        <v>0</v>
      </c>
      <c r="Q314" s="28">
        <f>IF(L314=1,COUNTIFS(LOG!$C$2:$C$2001,F314,LOG!$H$2:$H$2001,1),0)</f>
        <v>2</v>
      </c>
      <c r="R314" s="46">
        <f>IF(Q314&gt;0,_xlfn.MAXIFS(LOG!$G$2:$G$2001,LOG!$C$2:$C$2001,F314,LOG!$H$2:$H$2001,1),0)</f>
        <v>46309.762253263521</v>
      </c>
      <c r="S314" s="28" t="str">
        <f>IF(Q314&gt;0,IFERROR(INDEX(LOG!$D$2:$D$2001,MATCH(F314&amp;"|"&amp;Q314,LOG!$I$2:$I$2001,0)),""),"")</f>
        <v>SENT_LINK</v>
      </c>
      <c r="T314" s="28">
        <f>IF(S314="",0,IFERROR(VLOOKUP(S314,LISTS!$A$2:$E$10,4,FALSE),0))</f>
        <v>180</v>
      </c>
      <c r="U314" s="46">
        <f t="shared" si="46"/>
        <v>46309.887253263521</v>
      </c>
      <c r="V314" s="46">
        <f>IF(L314=1,H314+SETTINGS!$B$5/24,"")</f>
        <v>46309.82708333333</v>
      </c>
      <c r="W314" s="28">
        <f ca="1">IF(L314=1,(V314-SETTINGS!$B$4)*24,"")</f>
        <v>-1.6666666720993817E-2</v>
      </c>
      <c r="X314" s="28">
        <f ca="1">IF(AND(L314=1,K314="OK",M314=0,N314=0,O314=0,P314=0,SETTINGS!$B$4&lt;V314,Q314&lt;SETTINGS!$B$6),1,0)</f>
        <v>0</v>
      </c>
      <c r="Y314" s="28">
        <f ca="1">IF(AND(X314=1,SETTINGS!$B$4&gt;=H314,SETTINGS!$B$4&gt;=U314,ROUND(MOD(SETTINGS!$B$4,1)*1440,0)&gt;=ROUND(SETTINGS!$B$7*1440,0),ROUND(MOD(SETTINGS!$B$4,1)*1440,0)&lt;ROUND(SETTINGS!$B$8*1440,0)),1,0)</f>
        <v>0</v>
      </c>
      <c r="Z314" s="28" t="str">
        <f ca="1">IF(B314="","",IF(ROUND(MOD(SETTINGS!$B$4,1)*1440,0)&lt;ROUND(SETTINGS!$B$11*1440,0),"Ram",IF(ROUND(MOD(SETTINGS!$B$4,1)*1440,0)&gt;=ROUND(SETTINGS!$B$10*1440,0),"Shyam",IF(MOD(IFERROR(VALUE(RIGHT(F314,2)),0),2)=0,"Ram","Shyam"))))</f>
        <v>Shyam</v>
      </c>
      <c r="AA314" s="28">
        <f t="shared" ca="1" si="47"/>
        <v>0</v>
      </c>
      <c r="AB314" s="28">
        <f ca="1">IF(X314=1,COUNTIFS($F$2:F314,F314,$X$2:X314,1),0)</f>
        <v>0</v>
      </c>
      <c r="AC314" s="28" t="str">
        <f>IF(L314=1,IF(IFERROR(INDEX(PARTNERS!$C$2:$C$88,MATCH(B314,PARTNERS!$A$2:$A$88,0)),"")="YES","YES","NO"),"")</f>
        <v>NO</v>
      </c>
      <c r="AD314" s="28" t="str">
        <f>IF(L314=1,IFERROR(INDEX(PARTNERS!$B$2:$B$88,MATCH(B314,PARTNERS!$A$2:$A$88,0)),""),"")</f>
        <v>https://calendly.com/partner000/interview</v>
      </c>
      <c r="AE314" s="28">
        <f ca="1">IF(X314=1,IFERROR(INDEX(SETTINGS!$B$34:$D$36,MATCH(I314,SETTINGS!$A$34:$A$36,0),MIN(Q314,2)+1),SETTINGS!$B$36),0)</f>
        <v>0</v>
      </c>
      <c r="AF314" s="28">
        <f t="shared" si="48"/>
        <v>1</v>
      </c>
      <c r="AG314" s="28">
        <f ca="1">IF(AND(Y314=1,AB314=1),ROUND(AA314*AE314*IF(AF314&gt;1,SETTINGS!$B$16,1)*IF(W314&lt;=SETTINGS!$B$14,SETTINGS!$B$15,1)*IF(AU314=1,SETTINGS!$B$21,1),6),0)</f>
        <v>0</v>
      </c>
      <c r="AH314" s="28" t="str">
        <f ca="1">IF(AG314&gt;0,COUNTIFS($Z$2:$Z$601,Z314,$AG$2:$AG$601,"&gt;"&amp;AG314)+COUNTIFS($Z$2:Z314,Z314,$AG$2:AG314,AG314),"")</f>
        <v/>
      </c>
      <c r="AI314" s="28" t="str">
        <f t="shared" ca="1" si="49"/>
        <v/>
      </c>
      <c r="AJ314" s="28" t="str">
        <f t="shared" ca="1" si="50"/>
        <v/>
      </c>
      <c r="AK314" s="28">
        <f>IF(L314=1,IF(COUNTIFS($F$2:F314,F314,$L$2:L314,1)=1,1,0),0)</f>
        <v>1</v>
      </c>
      <c r="AL314" s="28" t="str">
        <f>IF(B314="","",IF(K314="DUPLICATE","Duplicate (removed)",IF(AO314=1,"Scheduled within 24h",IF(M314=1,"Scheduled late",IF(K314="BAD CONTACT","Bad contact details",IF(O314=1,"Stopped / wrong number",IF(N314=1,"Not interested",IF(P314=1,"Partner has no slots",IF(SETTINGS!$B$4&gt;=V314,IF(Q314=0,"Missed deadline: never tried","Missed deadline: tried, not booked"),IF(Q314&gt;=SETTINGS!$B$6,"No reply after max tries","Open"))))))))))</f>
        <v>Scheduled within 24h</v>
      </c>
      <c r="AM314" s="46">
        <f>IF(M314=1,IF(_xlfn.MINIFS(LOG!$G$2:$G$2001,LOG!$C$2:$C$2001,F314,LOG!$E$2:$E$2001,B314,LOG!$D$2:$D$2001,"*BOOKED")=0,_xlfn.MINIFS(LOG!$G$2:$G$2001,LOG!$C$2:$C$2001,F314,LOG!$E$2:$E$2001,"",LOG!$D$2:$D$2001,"*BOOKED"),IF(_xlfn.MINIFS(LOG!$G$2:$G$2001,LOG!$C$2:$C$2001,F314,LOG!$E$2:$E$2001,"",LOG!$D$2:$D$2001,"*BOOKED")=0,_xlfn.MINIFS(LOG!$G$2:$G$2001,LOG!$C$2:$C$2001,F314,LOG!$E$2:$E$2001,B314,LOG!$D$2:$D$2001,"*BOOKED"),MIN(_xlfn.MINIFS(LOG!$G$2:$G$2001,LOG!$C$2:$C$2001,F314,LOG!$E$2:$E$2001,B314,LOG!$D$2:$D$2001,"*BOOKED"),_xlfn.MINIFS(LOG!$G$2:$G$2001,LOG!$C$2:$C$2001,F314,LOG!$E$2:$E$2001,"",LOG!$D$2:$D$2001,"*BOOKED")))),"")</f>
        <v>46309.819130638134</v>
      </c>
      <c r="AN314" s="28">
        <f t="shared" si="51"/>
        <v>23.8091353152995</v>
      </c>
      <c r="AO314" s="28">
        <f>IF(AND(M314=1,AN314&lt;&gt;""),IF(AN314&lt;=SETTINGS!$B$5,1,0),0)</f>
        <v>1</v>
      </c>
      <c r="AP314" s="28">
        <f>IF(M314=1,IF(COUNTIFS(LOG!$C$2:$C$2001,F314,LOG!$E$2:$E$2001,B314,LOG!$D$2:$D$2001,"BOOKED")+COUNTIFS(LOG!$C$2:$C$2001,F314,LOG!$E$2:$E$2001,"",LOG!$D$2:$D$2001,"BOOKED")&gt;0,1,0),0)</f>
        <v>0</v>
      </c>
      <c r="AQ314" s="28" t="str">
        <f t="shared" si="52"/>
        <v>Rahul</v>
      </c>
      <c r="AR314" s="28">
        <f>IF(AND(AK314=1,K314="OK"),COUNTIFS($AK$2:AK314,1,$K$2:K314,"OK"),"")</f>
        <v>274</v>
      </c>
      <c r="AS314" s="28" t="str">
        <f>IF(L314=1,IFERROR(INDEX(MESSAGES!$J$9:$J$1008,MATCH(F314,MESSAGES!$M$9:$M$1008,0))&amp;"",""),"")</f>
        <v/>
      </c>
      <c r="AT314" s="28" t="str">
        <f>IF(L314=1,IFERROR(INDEX(MESSAGES!$K$9:$K$1008,MATCH(F314,MESSAGES!$M$9:$M$1008,0))&amp;"",""),"")</f>
        <v/>
      </c>
      <c r="AU314" s="28">
        <f t="shared" ca="1" si="53"/>
        <v>0</v>
      </c>
      <c r="AV314" s="28" t="str">
        <f t="shared" si="54"/>
        <v>HOLD</v>
      </c>
    </row>
    <row r="315" spans="1:48" x14ac:dyDescent="0.35">
      <c r="A315" s="28">
        <v>314</v>
      </c>
      <c r="B315" s="28" t="str">
        <f>IF(INPUT!A315="","",TRIM(INPUT!A315))</f>
        <v>Partner 009</v>
      </c>
      <c r="C315" s="28" t="str">
        <f>IF(B315="","",INPUT!C315)</f>
        <v>interviewer2@partner009.example.com</v>
      </c>
      <c r="D315" s="28" t="str">
        <f>IF(B315="","",INPUT!D315)</f>
        <v>Kiara N.</v>
      </c>
      <c r="E315" s="28" t="str">
        <f>IF(B315="","",INPUT!E315)</f>
        <v>kiara.n371@example.com</v>
      </c>
      <c r="F315" s="43" t="str">
        <f>IF(B315="","",TRIM(INPUT!F315&amp;""))</f>
        <v>9000004830</v>
      </c>
      <c r="G315" s="28" t="str">
        <f>IF(B315="","",INPUT!H315)</f>
        <v>Round1</v>
      </c>
      <c r="H315" s="46">
        <f>IF(B315="","",INPUT!I315)</f>
        <v>46308.82708333333</v>
      </c>
      <c r="I315" s="28" t="str">
        <f>IF(B315="","",IF(INPUT!J315="","None",INPUT!J315))</f>
        <v>None</v>
      </c>
      <c r="J315" s="28" t="str">
        <f t="shared" si="44"/>
        <v>kiara.n371@example.com|partner 009|Round1|interviewer2@partner009.example.com</v>
      </c>
      <c r="K315" s="28" t="str">
        <f>IF(B315="","",IF(SUMPRODUCT(($J$2:$J$601=J315)*($H$2:$H$601&lt;H315))+SUMPRODUCT(($J$2:J315=J315)*($H$2:H315=H315))-1&gt;0,"DUPLICATE",IF(AND(ISNUMBER(SEARCH("@",E315)),ISNUMBER(SEARCH(".",E315)),LEN(F315)=10,ISNUMBER(VALUE(F315))),"OK","BAD CONTACT")))</f>
        <v>OK</v>
      </c>
      <c r="L315" s="28">
        <f t="shared" si="45"/>
        <v>1</v>
      </c>
      <c r="M315" s="28">
        <f>IF(L315=1,IF(COUNTIFS(LOG!$C$2:$C$2001,F315,LOG!$E$2:$E$2001,B315,LOG!$D$2:$D$2001,"*BOOKED")+COUNTIFS(LOG!$C$2:$C$2001,F315,LOG!$E$2:$E$2001,"",LOG!$D$2:$D$2001,"*BOOKED")&gt;0,1,0),0)</f>
        <v>0</v>
      </c>
      <c r="N315" s="28">
        <f>IF(L315=1,IF(COUNTIFS(LOG!$C$2:$C$2001,F315,LOG!$E$2:$E$2001,B315,LOG!$D$2:$D$2001,"NOT_INTERESTED")+COUNTIFS(LOG!$C$2:$C$2001,F315,LOG!$E$2:$E$2001,"",LOG!$D$2:$D$2001,"NOT_INTERESTED")&gt;0,1,0),0)</f>
        <v>0</v>
      </c>
      <c r="O315" s="28">
        <f>IF(L315=1,IF(COUNTIFS(LOG!$C$2:$C$2001,F315,LOG!$D$2:$D$2001,"STOP")+COUNTIFS(LOG!$C$2:$C$2001,F315,LOG!$D$2:$D$2001,"WRONG_NUMBER")&gt;0,1,IF(ISNUMBER(SEARCH("STOP",AT315)),1,0)),0)</f>
        <v>0</v>
      </c>
      <c r="P315" s="28">
        <f>IF(L315=1,IF(IFERROR(INDEX(PARTNERS!$D$2:$D$88,MATCH(B315,PARTNERS!$A$2:$A$88,0)),"")="NO SLOTS",1,IF(AND(IFERROR(INDEX(PARTNERS!$D$2:$D$88,MATCH(B315,PARTNERS!$A$2:$A$88,0)),"")&lt;&gt;"REOPENED",COUNTIFS(LOG!$E$2:$E$2001,B315,LOG!$D$2:$D$2001,"NO_SLOTS")&gt;0),1,0)),0)</f>
        <v>0</v>
      </c>
      <c r="Q315" s="28">
        <f>IF(L315=1,COUNTIFS(LOG!$C$2:$C$2001,F315,LOG!$H$2:$H$2001,1),0)</f>
        <v>0</v>
      </c>
      <c r="R315" s="46">
        <f>IF(Q315&gt;0,_xlfn.MAXIFS(LOG!$G$2:$G$2001,LOG!$C$2:$C$2001,F315,LOG!$H$2:$H$2001,1),0)</f>
        <v>0</v>
      </c>
      <c r="S315" s="28" t="str">
        <f>IF(Q315&gt;0,IFERROR(INDEX(LOG!$D$2:$D$2001,MATCH(F315&amp;"|"&amp;Q315,LOG!$I$2:$I$2001,0)),""),"")</f>
        <v/>
      </c>
      <c r="T315" s="28">
        <f>IF(S315="",0,IFERROR(VLOOKUP(S315,LISTS!$A$2:$E$10,4,FALSE),0))</f>
        <v>0</v>
      </c>
      <c r="U315" s="46">
        <f t="shared" si="46"/>
        <v>0</v>
      </c>
      <c r="V315" s="46">
        <f>IF(L315=1,H315+SETTINGS!$B$5/24,"")</f>
        <v>46309.82708333333</v>
      </c>
      <c r="W315" s="28">
        <f ca="1">IF(L315=1,(V315-SETTINGS!$B$4)*24,"")</f>
        <v>-1.6666666720993817E-2</v>
      </c>
      <c r="X315" s="28">
        <f ca="1">IF(AND(L315=1,K315="OK",M315=0,N315=0,O315=0,P315=0,SETTINGS!$B$4&lt;V315,Q315&lt;SETTINGS!$B$6),1,0)</f>
        <v>0</v>
      </c>
      <c r="Y315" s="28">
        <f ca="1">IF(AND(X315=1,SETTINGS!$B$4&gt;=H315,SETTINGS!$B$4&gt;=U315,ROUND(MOD(SETTINGS!$B$4,1)*1440,0)&gt;=ROUND(SETTINGS!$B$7*1440,0),ROUND(MOD(SETTINGS!$B$4,1)*1440,0)&lt;ROUND(SETTINGS!$B$8*1440,0)),1,0)</f>
        <v>0</v>
      </c>
      <c r="Z315" s="28" t="str">
        <f ca="1">IF(B315="","",IF(ROUND(MOD(SETTINGS!$B$4,1)*1440,0)&lt;ROUND(SETTINGS!$B$11*1440,0),"Ram",IF(ROUND(MOD(SETTINGS!$B$4,1)*1440,0)&gt;=ROUND(SETTINGS!$B$10*1440,0),"Shyam",IF(MOD(IFERROR(VALUE(RIGHT(F315,2)),0),2)=0,"Ram","Shyam"))))</f>
        <v>Shyam</v>
      </c>
      <c r="AA315" s="28">
        <f t="shared" ca="1" si="47"/>
        <v>0</v>
      </c>
      <c r="AB315" s="28">
        <f ca="1">IF(X315=1,COUNTIFS($F$2:F315,F315,$X$2:X315,1),0)</f>
        <v>0</v>
      </c>
      <c r="AC315" s="28" t="str">
        <f>IF(L315=1,IF(IFERROR(INDEX(PARTNERS!$C$2:$C$88,MATCH(B315,PARTNERS!$A$2:$A$88,0)),"")="YES","YES","NO"),"")</f>
        <v>YES</v>
      </c>
      <c r="AD315" s="28" t="str">
        <f>IF(L315=1,IFERROR(INDEX(PARTNERS!$B$2:$B$88,MATCH(B315,PARTNERS!$A$2:$A$88,0)),""),"")</f>
        <v>https://calendly.com/partner009/interview</v>
      </c>
      <c r="AE315" s="28">
        <f ca="1">IF(X315=1,IFERROR(INDEX(SETTINGS!$B$34:$D$36,MATCH(I315,SETTINGS!$A$34:$A$36,0),MIN(Q315,2)+1),SETTINGS!$B$36),0)</f>
        <v>0</v>
      </c>
      <c r="AF315" s="28">
        <f t="shared" si="48"/>
        <v>1</v>
      </c>
      <c r="AG315" s="28">
        <f ca="1">IF(AND(Y315=1,AB315=1),ROUND(AA315*AE315*IF(AF315&gt;1,SETTINGS!$B$16,1)*IF(W315&lt;=SETTINGS!$B$14,SETTINGS!$B$15,1)*IF(AU315=1,SETTINGS!$B$21,1),6),0)</f>
        <v>0</v>
      </c>
      <c r="AH315" s="28" t="str">
        <f ca="1">IF(AG315&gt;0,COUNTIFS($Z$2:$Z$601,Z315,$AG$2:$AG$601,"&gt;"&amp;AG315)+COUNTIFS($Z$2:Z315,Z315,$AG$2:AG315,AG315),"")</f>
        <v/>
      </c>
      <c r="AI315" s="28" t="str">
        <f t="shared" ca="1" si="49"/>
        <v/>
      </c>
      <c r="AJ315" s="28" t="str">
        <f t="shared" ca="1" si="50"/>
        <v/>
      </c>
      <c r="AK315" s="28">
        <f>IF(L315=1,IF(COUNTIFS($F$2:F315,F315,$L$2:L315,1)=1,1,0),0)</f>
        <v>1</v>
      </c>
      <c r="AL315" s="28" t="str">
        <f ca="1">IF(B315="","",IF(K315="DUPLICATE","Duplicate (removed)",IF(AO315=1,"Scheduled within 24h",IF(M315=1,"Scheduled late",IF(K315="BAD CONTACT","Bad contact details",IF(O315=1,"Stopped / wrong number",IF(N315=1,"Not interested",IF(P315=1,"Partner has no slots",IF(SETTINGS!$B$4&gt;=V315,IF(Q315=0,"Missed deadline: never tried","Missed deadline: tried, not booked"),IF(Q315&gt;=SETTINGS!$B$6,"No reply after max tries","Open"))))))))))</f>
        <v>Missed deadline: never tried</v>
      </c>
      <c r="AM315" s="46" t="str">
        <f>IF(M315=1,IF(_xlfn.MINIFS(LOG!$G$2:$G$2001,LOG!$C$2:$C$2001,F315,LOG!$E$2:$E$2001,B315,LOG!$D$2:$D$2001,"*BOOKED")=0,_xlfn.MINIFS(LOG!$G$2:$G$2001,LOG!$C$2:$C$2001,F315,LOG!$E$2:$E$2001,"",LOG!$D$2:$D$2001,"*BOOKED"),IF(_xlfn.MINIFS(LOG!$G$2:$G$2001,LOG!$C$2:$C$2001,F315,LOG!$E$2:$E$2001,"",LOG!$D$2:$D$2001,"*BOOKED")=0,_xlfn.MINIFS(LOG!$G$2:$G$2001,LOG!$C$2:$C$2001,F315,LOG!$E$2:$E$2001,B315,LOG!$D$2:$D$2001,"*BOOKED"),MIN(_xlfn.MINIFS(LOG!$G$2:$G$2001,LOG!$C$2:$C$2001,F315,LOG!$E$2:$E$2001,B315,LOG!$D$2:$D$2001,"*BOOKED"),_xlfn.MINIFS(LOG!$G$2:$G$2001,LOG!$C$2:$C$2001,F315,LOG!$E$2:$E$2001,"",LOG!$D$2:$D$2001,"*BOOKED")))),"")</f>
        <v/>
      </c>
      <c r="AN315" s="28" t="str">
        <f t="shared" si="51"/>
        <v/>
      </c>
      <c r="AO315" s="28">
        <f>IF(AND(M315=1,AN315&lt;&gt;""),IF(AN315&lt;=SETTINGS!$B$5,1,0),0)</f>
        <v>0</v>
      </c>
      <c r="AP315" s="28">
        <f>IF(M315=1,IF(COUNTIFS(LOG!$C$2:$C$2001,F315,LOG!$E$2:$E$2001,B315,LOG!$D$2:$D$2001,"BOOKED")+COUNTIFS(LOG!$C$2:$C$2001,F315,LOG!$E$2:$E$2001,"",LOG!$D$2:$D$2001,"BOOKED")&gt;0,1,0),0)</f>
        <v>0</v>
      </c>
      <c r="AQ315" s="28" t="str">
        <f t="shared" si="52"/>
        <v>Kiara</v>
      </c>
      <c r="AR315" s="28">
        <f>IF(AND(AK315=1,K315="OK"),COUNTIFS($AK$2:AK315,1,$K$2:K315,"OK"),"")</f>
        <v>275</v>
      </c>
      <c r="AS315" s="28" t="str">
        <f>IF(L315=1,IFERROR(INDEX(MESSAGES!$J$9:$J$1008,MATCH(F315,MESSAGES!$M$9:$M$1008,0))&amp;"",""),"")</f>
        <v/>
      </c>
      <c r="AT315" s="28" t="str">
        <f>IF(L315=1,IFERROR(INDEX(MESSAGES!$K$9:$K$1008,MATCH(F315,MESSAGES!$M$9:$M$1008,0))&amp;"",""),"")</f>
        <v/>
      </c>
      <c r="AU315" s="28">
        <f t="shared" ca="1" si="53"/>
        <v>0</v>
      </c>
      <c r="AV315" s="28" t="str">
        <f t="shared" si="54"/>
        <v>HOLD</v>
      </c>
    </row>
    <row r="316" spans="1:48" x14ac:dyDescent="0.35">
      <c r="A316" s="28">
        <v>315</v>
      </c>
      <c r="B316" s="28" t="str">
        <f>IF(INPUT!A316="","",TRIM(INPUT!A316))</f>
        <v>Partner 029</v>
      </c>
      <c r="C316" s="28" t="str">
        <f>IF(B316="","",INPUT!C316)</f>
        <v>interviewer0@partner029.example.com</v>
      </c>
      <c r="D316" s="28" t="str">
        <f>IF(B316="","",INPUT!D316)</f>
        <v>Vihaan G.</v>
      </c>
      <c r="E316" s="28" t="str">
        <f>IF(B316="","",INPUT!E316)</f>
        <v>vihaan.g184@example.com</v>
      </c>
      <c r="F316" s="43" t="str">
        <f>IF(B316="","",TRIM(INPUT!F316&amp;""))</f>
        <v>9000002399</v>
      </c>
      <c r="G316" s="28" t="str">
        <f>IF(B316="","",INPUT!H316)</f>
        <v>Round1</v>
      </c>
      <c r="H316" s="46">
        <f>IF(B316="","",INPUT!I316)</f>
        <v>46308.82708333333</v>
      </c>
      <c r="I316" s="28" t="str">
        <f>IF(B316="","",IF(INPUT!J316="","None",INPUT!J316))</f>
        <v>Clicked</v>
      </c>
      <c r="J316" s="28" t="str">
        <f t="shared" si="44"/>
        <v>vihaan.g184@example.com|partner 029|Round1|interviewer0@partner029.example.com</v>
      </c>
      <c r="K316" s="28" t="str">
        <f>IF(B316="","",IF(SUMPRODUCT(($J$2:$J$601=J316)*($H$2:$H$601&lt;H316))+SUMPRODUCT(($J$2:J316=J316)*($H$2:H316=H316))-1&gt;0,"DUPLICATE",IF(AND(ISNUMBER(SEARCH("@",E316)),ISNUMBER(SEARCH(".",E316)),LEN(F316)=10,ISNUMBER(VALUE(F316))),"OK","BAD CONTACT")))</f>
        <v>OK</v>
      </c>
      <c r="L316" s="28">
        <f t="shared" si="45"/>
        <v>1</v>
      </c>
      <c r="M316" s="28">
        <f>IF(L316=1,IF(COUNTIFS(LOG!$C$2:$C$2001,F316,LOG!$E$2:$E$2001,B316,LOG!$D$2:$D$2001,"*BOOKED")+COUNTIFS(LOG!$C$2:$C$2001,F316,LOG!$E$2:$E$2001,"",LOG!$D$2:$D$2001,"*BOOKED")&gt;0,1,0),0)</f>
        <v>1</v>
      </c>
      <c r="N316" s="28">
        <f>IF(L316=1,IF(COUNTIFS(LOG!$C$2:$C$2001,F316,LOG!$E$2:$E$2001,B316,LOG!$D$2:$D$2001,"NOT_INTERESTED")+COUNTIFS(LOG!$C$2:$C$2001,F316,LOG!$E$2:$E$2001,"",LOG!$D$2:$D$2001,"NOT_INTERESTED")&gt;0,1,0),0)</f>
        <v>0</v>
      </c>
      <c r="O316" s="28">
        <f>IF(L316=1,IF(COUNTIFS(LOG!$C$2:$C$2001,F316,LOG!$D$2:$D$2001,"STOP")+COUNTIFS(LOG!$C$2:$C$2001,F316,LOG!$D$2:$D$2001,"WRONG_NUMBER")&gt;0,1,IF(ISNUMBER(SEARCH("STOP",AT316)),1,0)),0)</f>
        <v>0</v>
      </c>
      <c r="P316" s="28">
        <f>IF(L316=1,IF(IFERROR(INDEX(PARTNERS!$D$2:$D$88,MATCH(B316,PARTNERS!$A$2:$A$88,0)),"")="NO SLOTS",1,IF(AND(IFERROR(INDEX(PARTNERS!$D$2:$D$88,MATCH(B316,PARTNERS!$A$2:$A$88,0)),"")&lt;&gt;"REOPENED",COUNTIFS(LOG!$E$2:$E$2001,B316,LOG!$D$2:$D$2001,"NO_SLOTS")&gt;0),1,0)),0)</f>
        <v>0</v>
      </c>
      <c r="Q316" s="28">
        <f>IF(L316=1,COUNTIFS(LOG!$C$2:$C$2001,F316,LOG!$H$2:$H$2001,1),0)</f>
        <v>0</v>
      </c>
      <c r="R316" s="46">
        <f>IF(Q316&gt;0,_xlfn.MAXIFS(LOG!$G$2:$G$2001,LOG!$C$2:$C$2001,F316,LOG!$H$2:$H$2001,1),0)</f>
        <v>0</v>
      </c>
      <c r="S316" s="28" t="str">
        <f>IF(Q316&gt;0,IFERROR(INDEX(LOG!$D$2:$D$2001,MATCH(F316&amp;"|"&amp;Q316,LOG!$I$2:$I$2001,0)),""),"")</f>
        <v/>
      </c>
      <c r="T316" s="28">
        <f>IF(S316="",0,IFERROR(VLOOKUP(S316,LISTS!$A$2:$E$10,4,FALSE),0))</f>
        <v>0</v>
      </c>
      <c r="U316" s="46">
        <f t="shared" si="46"/>
        <v>0</v>
      </c>
      <c r="V316" s="46">
        <f>IF(L316=1,H316+SETTINGS!$B$5/24,"")</f>
        <v>46309.82708333333</v>
      </c>
      <c r="W316" s="28">
        <f ca="1">IF(L316=1,(V316-SETTINGS!$B$4)*24,"")</f>
        <v>-1.6666666720993817E-2</v>
      </c>
      <c r="X316" s="28">
        <f ca="1">IF(AND(L316=1,K316="OK",M316=0,N316=0,O316=0,P316=0,SETTINGS!$B$4&lt;V316,Q316&lt;SETTINGS!$B$6),1,0)</f>
        <v>0</v>
      </c>
      <c r="Y316" s="28">
        <f ca="1">IF(AND(X316=1,SETTINGS!$B$4&gt;=H316,SETTINGS!$B$4&gt;=U316,ROUND(MOD(SETTINGS!$B$4,1)*1440,0)&gt;=ROUND(SETTINGS!$B$7*1440,0),ROUND(MOD(SETTINGS!$B$4,1)*1440,0)&lt;ROUND(SETTINGS!$B$8*1440,0)),1,0)</f>
        <v>0</v>
      </c>
      <c r="Z316" s="28" t="str">
        <f ca="1">IF(B316="","",IF(ROUND(MOD(SETTINGS!$B$4,1)*1440,0)&lt;ROUND(SETTINGS!$B$11*1440,0),"Ram",IF(ROUND(MOD(SETTINGS!$B$4,1)*1440,0)&gt;=ROUND(SETTINGS!$B$10*1440,0),"Shyam",IF(MOD(IFERROR(VALUE(RIGHT(F316,2)),0),2)=0,"Ram","Shyam"))))</f>
        <v>Shyam</v>
      </c>
      <c r="AA316" s="28">
        <f t="shared" ca="1" si="47"/>
        <v>0</v>
      </c>
      <c r="AB316" s="28">
        <f ca="1">IF(X316=1,COUNTIFS($F$2:F316,F316,$X$2:X316,1),0)</f>
        <v>0</v>
      </c>
      <c r="AC316" s="28" t="str">
        <f>IF(L316=1,IF(IFERROR(INDEX(PARTNERS!$C$2:$C$88,MATCH(B316,PARTNERS!$A$2:$A$88,0)),"")="YES","YES","NO"),"")</f>
        <v>YES</v>
      </c>
      <c r="AD316" s="28" t="str">
        <f>IF(L316=1,IFERROR(INDEX(PARTNERS!$B$2:$B$88,MATCH(B316,PARTNERS!$A$2:$A$88,0)),""),"")</f>
        <v>https://calendly.com/partner029/interview</v>
      </c>
      <c r="AE316" s="28">
        <f ca="1">IF(X316=1,IFERROR(INDEX(SETTINGS!$B$34:$D$36,MATCH(I316,SETTINGS!$A$34:$A$36,0),MIN(Q316,2)+1),SETTINGS!$B$36),0)</f>
        <v>0</v>
      </c>
      <c r="AF316" s="28">
        <f t="shared" si="48"/>
        <v>1</v>
      </c>
      <c r="AG316" s="28">
        <f ca="1">IF(AND(Y316=1,AB316=1),ROUND(AA316*AE316*IF(AF316&gt;1,SETTINGS!$B$16,1)*IF(W316&lt;=SETTINGS!$B$14,SETTINGS!$B$15,1)*IF(AU316=1,SETTINGS!$B$21,1),6),0)</f>
        <v>0</v>
      </c>
      <c r="AH316" s="28" t="str">
        <f ca="1">IF(AG316&gt;0,COUNTIFS($Z$2:$Z$601,Z316,$AG$2:$AG$601,"&gt;"&amp;AG316)+COUNTIFS($Z$2:Z316,Z316,$AG$2:AG316,AG316),"")</f>
        <v/>
      </c>
      <c r="AI316" s="28" t="str">
        <f t="shared" ca="1" si="49"/>
        <v/>
      </c>
      <c r="AJ316" s="28" t="str">
        <f t="shared" ca="1" si="50"/>
        <v/>
      </c>
      <c r="AK316" s="28">
        <f>IF(L316=1,IF(COUNTIFS($F$2:F316,F316,$L$2:L316,1)=1,1,0),0)</f>
        <v>1</v>
      </c>
      <c r="AL316" s="28" t="str">
        <f>IF(B316="","",IF(K316="DUPLICATE","Duplicate (removed)",IF(AO316=1,"Scheduled within 24h",IF(M316=1,"Scheduled late",IF(K316="BAD CONTACT","Bad contact details",IF(O316=1,"Stopped / wrong number",IF(N316=1,"Not interested",IF(P316=1,"Partner has no slots",IF(SETTINGS!$B$4&gt;=V316,IF(Q316=0,"Missed deadline: never tried","Missed deadline: tried, not booked"),IF(Q316&gt;=SETTINGS!$B$6,"No reply after max tries","Open"))))))))))</f>
        <v>Scheduled within 24h</v>
      </c>
      <c r="AM316" s="46">
        <f>IF(M316=1,IF(_xlfn.MINIFS(LOG!$G$2:$G$2001,LOG!$C$2:$C$2001,F316,LOG!$E$2:$E$2001,B316,LOG!$D$2:$D$2001,"*BOOKED")=0,_xlfn.MINIFS(LOG!$G$2:$G$2001,LOG!$C$2:$C$2001,F316,LOG!$E$2:$E$2001,"",LOG!$D$2:$D$2001,"*BOOKED"),IF(_xlfn.MINIFS(LOG!$G$2:$G$2001,LOG!$C$2:$C$2001,F316,LOG!$E$2:$E$2001,"",LOG!$D$2:$D$2001,"*BOOKED")=0,_xlfn.MINIFS(LOG!$G$2:$G$2001,LOG!$C$2:$C$2001,F316,LOG!$E$2:$E$2001,B316,LOG!$D$2:$D$2001,"*BOOKED"),MIN(_xlfn.MINIFS(LOG!$G$2:$G$2001,LOG!$C$2:$C$2001,F316,LOG!$E$2:$E$2001,B316,LOG!$D$2:$D$2001,"*BOOKED"),_xlfn.MINIFS(LOG!$G$2:$G$2001,LOG!$C$2:$C$2001,F316,LOG!$E$2:$E$2001,"",LOG!$D$2:$D$2001,"*BOOKED")))),"")</f>
        <v>46309.295594006151</v>
      </c>
      <c r="AN316" s="28">
        <f t="shared" si="51"/>
        <v>11.244256147707347</v>
      </c>
      <c r="AO316" s="28">
        <f>IF(AND(M316=1,AN316&lt;&gt;""),IF(AN316&lt;=SETTINGS!$B$5,1,0),0)</f>
        <v>1</v>
      </c>
      <c r="AP316" s="28">
        <f>IF(M316=1,IF(COUNTIFS(LOG!$C$2:$C$2001,F316,LOG!$E$2:$E$2001,B316,LOG!$D$2:$D$2001,"BOOKED")+COUNTIFS(LOG!$C$2:$C$2001,F316,LOG!$E$2:$E$2001,"",LOG!$D$2:$D$2001,"BOOKED")&gt;0,1,0),0)</f>
        <v>0</v>
      </c>
      <c r="AQ316" s="28" t="str">
        <f t="shared" si="52"/>
        <v>Vihaan</v>
      </c>
      <c r="AR316" s="28">
        <f>IF(AND(AK316=1,K316="OK"),COUNTIFS($AK$2:AK316,1,$K$2:K316,"OK"),"")</f>
        <v>276</v>
      </c>
      <c r="AS316" s="28" t="str">
        <f>IF(L316=1,IFERROR(INDEX(MESSAGES!$J$9:$J$1008,MATCH(F316,MESSAGES!$M$9:$M$1008,0))&amp;"",""),"")</f>
        <v/>
      </c>
      <c r="AT316" s="28" t="str">
        <f>IF(L316=1,IFERROR(INDEX(MESSAGES!$K$9:$K$1008,MATCH(F316,MESSAGES!$M$9:$M$1008,0))&amp;"",""),"")</f>
        <v/>
      </c>
      <c r="AU316" s="28">
        <f t="shared" ca="1" si="53"/>
        <v>0</v>
      </c>
      <c r="AV316" s="28" t="str">
        <f t="shared" si="54"/>
        <v>HOLD</v>
      </c>
    </row>
    <row r="317" spans="1:48" x14ac:dyDescent="0.35">
      <c r="A317" s="28">
        <v>316</v>
      </c>
      <c r="B317" s="28" t="str">
        <f>IF(INPUT!A317="","",TRIM(INPUT!A317))</f>
        <v>Partner 004</v>
      </c>
      <c r="C317" s="28" t="str">
        <f>IF(B317="","",INPUT!C317)</f>
        <v>interviewer2@partner004.example.com</v>
      </c>
      <c r="D317" s="28" t="str">
        <f>IF(B317="","",INPUT!D317)</f>
        <v>Meera L.</v>
      </c>
      <c r="E317" s="28" t="str">
        <f>IF(B317="","",INPUT!E317)</f>
        <v>meera.l307@example.com</v>
      </c>
      <c r="F317" s="43" t="str">
        <f>IF(B317="","",TRIM(INPUT!F317&amp;""))</f>
        <v>9000003998</v>
      </c>
      <c r="G317" s="28" t="str">
        <f>IF(B317="","",INPUT!H317)</f>
        <v>Round1</v>
      </c>
      <c r="H317" s="46">
        <f>IF(B317="","",INPUT!I317)</f>
        <v>46308.82708333333</v>
      </c>
      <c r="I317" s="28" t="str">
        <f>IF(B317="","",IF(INPUT!J317="","None",INPUT!J317))</f>
        <v>None</v>
      </c>
      <c r="J317" s="28" t="str">
        <f t="shared" si="44"/>
        <v>meera.l307@example.com|partner 004|Round1|interviewer2@partner004.example.com</v>
      </c>
      <c r="K317" s="28" t="str">
        <f>IF(B317="","",IF(SUMPRODUCT(($J$2:$J$601=J317)*($H$2:$H$601&lt;H317))+SUMPRODUCT(($J$2:J317=J317)*($H$2:H317=H317))-1&gt;0,"DUPLICATE",IF(AND(ISNUMBER(SEARCH("@",E317)),ISNUMBER(SEARCH(".",E317)),LEN(F317)=10,ISNUMBER(VALUE(F317))),"OK","BAD CONTACT")))</f>
        <v>OK</v>
      </c>
      <c r="L317" s="28">
        <f t="shared" si="45"/>
        <v>1</v>
      </c>
      <c r="M317" s="28">
        <f>IF(L317=1,IF(COUNTIFS(LOG!$C$2:$C$2001,F317,LOG!$E$2:$E$2001,B317,LOG!$D$2:$D$2001,"*BOOKED")+COUNTIFS(LOG!$C$2:$C$2001,F317,LOG!$E$2:$E$2001,"",LOG!$D$2:$D$2001,"*BOOKED")&gt;0,1,0),0)</f>
        <v>0</v>
      </c>
      <c r="N317" s="28">
        <f>IF(L317=1,IF(COUNTIFS(LOG!$C$2:$C$2001,F317,LOG!$E$2:$E$2001,B317,LOG!$D$2:$D$2001,"NOT_INTERESTED")+COUNTIFS(LOG!$C$2:$C$2001,F317,LOG!$E$2:$E$2001,"",LOG!$D$2:$D$2001,"NOT_INTERESTED")&gt;0,1,0),0)</f>
        <v>0</v>
      </c>
      <c r="O317" s="28">
        <f>IF(L317=1,IF(COUNTIFS(LOG!$C$2:$C$2001,F317,LOG!$D$2:$D$2001,"STOP")+COUNTIFS(LOG!$C$2:$C$2001,F317,LOG!$D$2:$D$2001,"WRONG_NUMBER")&gt;0,1,IF(ISNUMBER(SEARCH("STOP",AT317)),1,0)),0)</f>
        <v>0</v>
      </c>
      <c r="P317" s="28">
        <f>IF(L317=1,IF(IFERROR(INDEX(PARTNERS!$D$2:$D$88,MATCH(B317,PARTNERS!$A$2:$A$88,0)),"")="NO SLOTS",1,IF(AND(IFERROR(INDEX(PARTNERS!$D$2:$D$88,MATCH(B317,PARTNERS!$A$2:$A$88,0)),"")&lt;&gt;"REOPENED",COUNTIFS(LOG!$E$2:$E$2001,B317,LOG!$D$2:$D$2001,"NO_SLOTS")&gt;0),1,0)),0)</f>
        <v>0</v>
      </c>
      <c r="Q317" s="28">
        <f>IF(L317=1,COUNTIFS(LOG!$C$2:$C$2001,F317,LOG!$H$2:$H$2001,1),0)</f>
        <v>0</v>
      </c>
      <c r="R317" s="46">
        <f>IF(Q317&gt;0,_xlfn.MAXIFS(LOG!$G$2:$G$2001,LOG!$C$2:$C$2001,F317,LOG!$H$2:$H$2001,1),0)</f>
        <v>0</v>
      </c>
      <c r="S317" s="28" t="str">
        <f>IF(Q317&gt;0,IFERROR(INDEX(LOG!$D$2:$D$2001,MATCH(F317&amp;"|"&amp;Q317,LOG!$I$2:$I$2001,0)),""),"")</f>
        <v/>
      </c>
      <c r="T317" s="28">
        <f>IF(S317="",0,IFERROR(VLOOKUP(S317,LISTS!$A$2:$E$10,4,FALSE),0))</f>
        <v>0</v>
      </c>
      <c r="U317" s="46">
        <f t="shared" si="46"/>
        <v>0</v>
      </c>
      <c r="V317" s="46">
        <f>IF(L317=1,H317+SETTINGS!$B$5/24,"")</f>
        <v>46309.82708333333</v>
      </c>
      <c r="W317" s="28">
        <f ca="1">IF(L317=1,(V317-SETTINGS!$B$4)*24,"")</f>
        <v>-1.6666666720993817E-2</v>
      </c>
      <c r="X317" s="28">
        <f ca="1">IF(AND(L317=1,K317="OK",M317=0,N317=0,O317=0,P317=0,SETTINGS!$B$4&lt;V317,Q317&lt;SETTINGS!$B$6),1,0)</f>
        <v>0</v>
      </c>
      <c r="Y317" s="28">
        <f ca="1">IF(AND(X317=1,SETTINGS!$B$4&gt;=H317,SETTINGS!$B$4&gt;=U317,ROUND(MOD(SETTINGS!$B$4,1)*1440,0)&gt;=ROUND(SETTINGS!$B$7*1440,0),ROUND(MOD(SETTINGS!$B$4,1)*1440,0)&lt;ROUND(SETTINGS!$B$8*1440,0)),1,0)</f>
        <v>0</v>
      </c>
      <c r="Z317" s="28" t="str">
        <f ca="1">IF(B317="","",IF(ROUND(MOD(SETTINGS!$B$4,1)*1440,0)&lt;ROUND(SETTINGS!$B$11*1440,0),"Ram",IF(ROUND(MOD(SETTINGS!$B$4,1)*1440,0)&gt;=ROUND(SETTINGS!$B$10*1440,0),"Shyam",IF(MOD(IFERROR(VALUE(RIGHT(F317,2)),0),2)=0,"Ram","Shyam"))))</f>
        <v>Shyam</v>
      </c>
      <c r="AA317" s="28">
        <f t="shared" ca="1" si="47"/>
        <v>0</v>
      </c>
      <c r="AB317" s="28">
        <f ca="1">IF(X317=1,COUNTIFS($F$2:F317,F317,$X$2:X317,1),0)</f>
        <v>0</v>
      </c>
      <c r="AC317" s="28" t="str">
        <f>IF(L317=1,IF(IFERROR(INDEX(PARTNERS!$C$2:$C$88,MATCH(B317,PARTNERS!$A$2:$A$88,0)),"")="YES","YES","NO"),"")</f>
        <v>YES</v>
      </c>
      <c r="AD317" s="28" t="str">
        <f>IF(L317=1,IFERROR(INDEX(PARTNERS!$B$2:$B$88,MATCH(B317,PARTNERS!$A$2:$A$88,0)),""),"")</f>
        <v>https://calendly.com/partner004/interview</v>
      </c>
      <c r="AE317" s="28">
        <f ca="1">IF(X317=1,IFERROR(INDEX(SETTINGS!$B$34:$D$36,MATCH(I317,SETTINGS!$A$34:$A$36,0),MIN(Q317,2)+1),SETTINGS!$B$36),0)</f>
        <v>0</v>
      </c>
      <c r="AF317" s="28">
        <f t="shared" si="48"/>
        <v>1</v>
      </c>
      <c r="AG317" s="28">
        <f ca="1">IF(AND(Y317=1,AB317=1),ROUND(AA317*AE317*IF(AF317&gt;1,SETTINGS!$B$16,1)*IF(W317&lt;=SETTINGS!$B$14,SETTINGS!$B$15,1)*IF(AU317=1,SETTINGS!$B$21,1),6),0)</f>
        <v>0</v>
      </c>
      <c r="AH317" s="28" t="str">
        <f ca="1">IF(AG317&gt;0,COUNTIFS($Z$2:$Z$601,Z317,$AG$2:$AG$601,"&gt;"&amp;AG317)+COUNTIFS($Z$2:Z317,Z317,$AG$2:AG317,AG317),"")</f>
        <v/>
      </c>
      <c r="AI317" s="28" t="str">
        <f t="shared" ca="1" si="49"/>
        <v/>
      </c>
      <c r="AJ317" s="28" t="str">
        <f t="shared" ca="1" si="50"/>
        <v/>
      </c>
      <c r="AK317" s="28">
        <f>IF(L317=1,IF(COUNTIFS($F$2:F317,F317,$L$2:L317,1)=1,1,0),0)</f>
        <v>1</v>
      </c>
      <c r="AL317" s="28" t="str">
        <f ca="1">IF(B317="","",IF(K317="DUPLICATE","Duplicate (removed)",IF(AO317=1,"Scheduled within 24h",IF(M317=1,"Scheduled late",IF(K317="BAD CONTACT","Bad contact details",IF(O317=1,"Stopped / wrong number",IF(N317=1,"Not interested",IF(P317=1,"Partner has no slots",IF(SETTINGS!$B$4&gt;=V317,IF(Q317=0,"Missed deadline: never tried","Missed deadline: tried, not booked"),IF(Q317&gt;=SETTINGS!$B$6,"No reply after max tries","Open"))))))))))</f>
        <v>Missed deadline: never tried</v>
      </c>
      <c r="AM317" s="46" t="str">
        <f>IF(M317=1,IF(_xlfn.MINIFS(LOG!$G$2:$G$2001,LOG!$C$2:$C$2001,F317,LOG!$E$2:$E$2001,B317,LOG!$D$2:$D$2001,"*BOOKED")=0,_xlfn.MINIFS(LOG!$G$2:$G$2001,LOG!$C$2:$C$2001,F317,LOG!$E$2:$E$2001,"",LOG!$D$2:$D$2001,"*BOOKED"),IF(_xlfn.MINIFS(LOG!$G$2:$G$2001,LOG!$C$2:$C$2001,F317,LOG!$E$2:$E$2001,"",LOG!$D$2:$D$2001,"*BOOKED")=0,_xlfn.MINIFS(LOG!$G$2:$G$2001,LOG!$C$2:$C$2001,F317,LOG!$E$2:$E$2001,B317,LOG!$D$2:$D$2001,"*BOOKED"),MIN(_xlfn.MINIFS(LOG!$G$2:$G$2001,LOG!$C$2:$C$2001,F317,LOG!$E$2:$E$2001,B317,LOG!$D$2:$D$2001,"*BOOKED"),_xlfn.MINIFS(LOG!$G$2:$G$2001,LOG!$C$2:$C$2001,F317,LOG!$E$2:$E$2001,"",LOG!$D$2:$D$2001,"*BOOKED")))),"")</f>
        <v/>
      </c>
      <c r="AN317" s="28" t="str">
        <f t="shared" si="51"/>
        <v/>
      </c>
      <c r="AO317" s="28">
        <f>IF(AND(M317=1,AN317&lt;&gt;""),IF(AN317&lt;=SETTINGS!$B$5,1,0),0)</f>
        <v>0</v>
      </c>
      <c r="AP317" s="28">
        <f>IF(M317=1,IF(COUNTIFS(LOG!$C$2:$C$2001,F317,LOG!$E$2:$E$2001,B317,LOG!$D$2:$D$2001,"BOOKED")+COUNTIFS(LOG!$C$2:$C$2001,F317,LOG!$E$2:$E$2001,"",LOG!$D$2:$D$2001,"BOOKED")&gt;0,1,0),0)</f>
        <v>0</v>
      </c>
      <c r="AQ317" s="28" t="str">
        <f t="shared" si="52"/>
        <v>Meera</v>
      </c>
      <c r="AR317" s="28">
        <f>IF(AND(AK317=1,K317="OK"),COUNTIFS($AK$2:AK317,1,$K$2:K317,"OK"),"")</f>
        <v>277</v>
      </c>
      <c r="AS317" s="28" t="str">
        <f>IF(L317=1,IFERROR(INDEX(MESSAGES!$J$9:$J$1008,MATCH(F317,MESSAGES!$M$9:$M$1008,0))&amp;"",""),"")</f>
        <v/>
      </c>
      <c r="AT317" s="28" t="str">
        <f>IF(L317=1,IFERROR(INDEX(MESSAGES!$K$9:$K$1008,MATCH(F317,MESSAGES!$M$9:$M$1008,0))&amp;"",""),"")</f>
        <v/>
      </c>
      <c r="AU317" s="28">
        <f t="shared" ca="1" si="53"/>
        <v>0</v>
      </c>
      <c r="AV317" s="28" t="str">
        <f t="shared" si="54"/>
        <v>HOLD</v>
      </c>
    </row>
    <row r="318" spans="1:48" x14ac:dyDescent="0.35">
      <c r="A318" s="28">
        <v>317</v>
      </c>
      <c r="B318" s="28" t="str">
        <f>IF(INPUT!A318="","",TRIM(INPUT!A318))</f>
        <v>Partner 011</v>
      </c>
      <c r="C318" s="28" t="str">
        <f>IF(B318="","",INPUT!C318)</f>
        <v>interviewer1@partner011.example.com</v>
      </c>
      <c r="D318" s="28" t="str">
        <f>IF(B318="","",INPUT!D318)</f>
        <v>Ira P.</v>
      </c>
      <c r="E318" s="28" t="str">
        <f>IF(B318="","",INPUT!E318)</f>
        <v>ira.p395@example.com</v>
      </c>
      <c r="F318" s="43" t="str">
        <f>IF(B318="","",TRIM(INPUT!F318&amp;""))</f>
        <v>9000005142</v>
      </c>
      <c r="G318" s="28" t="str">
        <f>IF(B318="","",INPUT!H318)</f>
        <v>Round1</v>
      </c>
      <c r="H318" s="46">
        <f>IF(B318="","",INPUT!I318)</f>
        <v>46308.82708333333</v>
      </c>
      <c r="I318" s="28" t="str">
        <f>IF(B318="","",IF(INPUT!J318="","None",INPUT!J318))</f>
        <v>Opened</v>
      </c>
      <c r="J318" s="28" t="str">
        <f t="shared" si="44"/>
        <v>ira.p395@example.com|partner 011|Round1|interviewer1@partner011.example.com</v>
      </c>
      <c r="K318" s="28" t="str">
        <f>IF(B318="","",IF(SUMPRODUCT(($J$2:$J$601=J318)*($H$2:$H$601&lt;H318))+SUMPRODUCT(($J$2:J318=J318)*($H$2:H318=H318))-1&gt;0,"DUPLICATE",IF(AND(ISNUMBER(SEARCH("@",E318)),ISNUMBER(SEARCH(".",E318)),LEN(F318)=10,ISNUMBER(VALUE(F318))),"OK","BAD CONTACT")))</f>
        <v>OK</v>
      </c>
      <c r="L318" s="28">
        <f t="shared" si="45"/>
        <v>1</v>
      </c>
      <c r="M318" s="28">
        <f>IF(L318=1,IF(COUNTIFS(LOG!$C$2:$C$2001,F318,LOG!$E$2:$E$2001,B318,LOG!$D$2:$D$2001,"*BOOKED")+COUNTIFS(LOG!$C$2:$C$2001,F318,LOG!$E$2:$E$2001,"",LOG!$D$2:$D$2001,"*BOOKED")&gt;0,1,0),0)</f>
        <v>1</v>
      </c>
      <c r="N318" s="28">
        <f>IF(L318=1,IF(COUNTIFS(LOG!$C$2:$C$2001,F318,LOG!$E$2:$E$2001,B318,LOG!$D$2:$D$2001,"NOT_INTERESTED")+COUNTIFS(LOG!$C$2:$C$2001,F318,LOG!$E$2:$E$2001,"",LOG!$D$2:$D$2001,"NOT_INTERESTED")&gt;0,1,0),0)</f>
        <v>0</v>
      </c>
      <c r="O318" s="28">
        <f>IF(L318=1,IF(COUNTIFS(LOG!$C$2:$C$2001,F318,LOG!$D$2:$D$2001,"STOP")+COUNTIFS(LOG!$C$2:$C$2001,F318,LOG!$D$2:$D$2001,"WRONG_NUMBER")&gt;0,1,IF(ISNUMBER(SEARCH("STOP",AT318)),1,0)),0)</f>
        <v>0</v>
      </c>
      <c r="P318" s="28">
        <f>IF(L318=1,IF(IFERROR(INDEX(PARTNERS!$D$2:$D$88,MATCH(B318,PARTNERS!$A$2:$A$88,0)),"")="NO SLOTS",1,IF(AND(IFERROR(INDEX(PARTNERS!$D$2:$D$88,MATCH(B318,PARTNERS!$A$2:$A$88,0)),"")&lt;&gt;"REOPENED",COUNTIFS(LOG!$E$2:$E$2001,B318,LOG!$D$2:$D$2001,"NO_SLOTS")&gt;0),1,0)),0)</f>
        <v>0</v>
      </c>
      <c r="Q318" s="28">
        <f>IF(L318=1,COUNTIFS(LOG!$C$2:$C$2001,F318,LOG!$H$2:$H$2001,1),0)</f>
        <v>0</v>
      </c>
      <c r="R318" s="46">
        <f>IF(Q318&gt;0,_xlfn.MAXIFS(LOG!$G$2:$G$2001,LOG!$C$2:$C$2001,F318,LOG!$H$2:$H$2001,1),0)</f>
        <v>0</v>
      </c>
      <c r="S318" s="28" t="str">
        <f>IF(Q318&gt;0,IFERROR(INDEX(LOG!$D$2:$D$2001,MATCH(F318&amp;"|"&amp;Q318,LOG!$I$2:$I$2001,0)),""),"")</f>
        <v/>
      </c>
      <c r="T318" s="28">
        <f>IF(S318="",0,IFERROR(VLOOKUP(S318,LISTS!$A$2:$E$10,4,FALSE),0))</f>
        <v>0</v>
      </c>
      <c r="U318" s="46">
        <f t="shared" si="46"/>
        <v>0</v>
      </c>
      <c r="V318" s="46">
        <f>IF(L318=1,H318+SETTINGS!$B$5/24,"")</f>
        <v>46309.82708333333</v>
      </c>
      <c r="W318" s="28">
        <f ca="1">IF(L318=1,(V318-SETTINGS!$B$4)*24,"")</f>
        <v>-1.6666666720993817E-2</v>
      </c>
      <c r="X318" s="28">
        <f ca="1">IF(AND(L318=1,K318="OK",M318=0,N318=0,O318=0,P318=0,SETTINGS!$B$4&lt;V318,Q318&lt;SETTINGS!$B$6),1,0)</f>
        <v>0</v>
      </c>
      <c r="Y318" s="28">
        <f ca="1">IF(AND(X318=1,SETTINGS!$B$4&gt;=H318,SETTINGS!$B$4&gt;=U318,ROUND(MOD(SETTINGS!$B$4,1)*1440,0)&gt;=ROUND(SETTINGS!$B$7*1440,0),ROUND(MOD(SETTINGS!$B$4,1)*1440,0)&lt;ROUND(SETTINGS!$B$8*1440,0)),1,0)</f>
        <v>0</v>
      </c>
      <c r="Z318" s="28" t="str">
        <f ca="1">IF(B318="","",IF(ROUND(MOD(SETTINGS!$B$4,1)*1440,0)&lt;ROUND(SETTINGS!$B$11*1440,0),"Ram",IF(ROUND(MOD(SETTINGS!$B$4,1)*1440,0)&gt;=ROUND(SETTINGS!$B$10*1440,0),"Shyam",IF(MOD(IFERROR(VALUE(RIGHT(F318,2)),0),2)=0,"Ram","Shyam"))))</f>
        <v>Shyam</v>
      </c>
      <c r="AA318" s="28">
        <f t="shared" ca="1" si="47"/>
        <v>0</v>
      </c>
      <c r="AB318" s="28">
        <f ca="1">IF(X318=1,COUNTIFS($F$2:F318,F318,$X$2:X318,1),0)</f>
        <v>0</v>
      </c>
      <c r="AC318" s="28" t="str">
        <f>IF(L318=1,IF(IFERROR(INDEX(PARTNERS!$C$2:$C$88,MATCH(B318,PARTNERS!$A$2:$A$88,0)),"")="YES","YES","NO"),"")</f>
        <v>YES</v>
      </c>
      <c r="AD318" s="28" t="str">
        <f>IF(L318=1,IFERROR(INDEX(PARTNERS!$B$2:$B$88,MATCH(B318,PARTNERS!$A$2:$A$88,0)),""),"")</f>
        <v>https://calendly.com/partner011/interview</v>
      </c>
      <c r="AE318" s="28">
        <f ca="1">IF(X318=1,IFERROR(INDEX(SETTINGS!$B$34:$D$36,MATCH(I318,SETTINGS!$A$34:$A$36,0),MIN(Q318,2)+1),SETTINGS!$B$36),0)</f>
        <v>0</v>
      </c>
      <c r="AF318" s="28">
        <f t="shared" si="48"/>
        <v>1</v>
      </c>
      <c r="AG318" s="28">
        <f ca="1">IF(AND(Y318=1,AB318=1),ROUND(AA318*AE318*IF(AF318&gt;1,SETTINGS!$B$16,1)*IF(W318&lt;=SETTINGS!$B$14,SETTINGS!$B$15,1)*IF(AU318=1,SETTINGS!$B$21,1),6),0)</f>
        <v>0</v>
      </c>
      <c r="AH318" s="28" t="str">
        <f ca="1">IF(AG318&gt;0,COUNTIFS($Z$2:$Z$601,Z318,$AG$2:$AG$601,"&gt;"&amp;AG318)+COUNTIFS($Z$2:Z318,Z318,$AG$2:AG318,AG318),"")</f>
        <v/>
      </c>
      <c r="AI318" s="28" t="str">
        <f t="shared" ca="1" si="49"/>
        <v/>
      </c>
      <c r="AJ318" s="28" t="str">
        <f t="shared" ca="1" si="50"/>
        <v/>
      </c>
      <c r="AK318" s="28">
        <f>IF(L318=1,IF(COUNTIFS($F$2:F318,F318,$L$2:L318,1)=1,1,0),0)</f>
        <v>1</v>
      </c>
      <c r="AL318" s="28" t="str">
        <f>IF(B318="","",IF(K318="DUPLICATE","Duplicate (removed)",IF(AO318=1,"Scheduled within 24h",IF(M318=1,"Scheduled late",IF(K318="BAD CONTACT","Bad contact details",IF(O318=1,"Stopped / wrong number",IF(N318=1,"Not interested",IF(P318=1,"Partner has no slots",IF(SETTINGS!$B$4&gt;=V318,IF(Q318=0,"Missed deadline: never tried","Missed deadline: tried, not booked"),IF(Q318&gt;=SETTINGS!$B$6,"No reply after max tries","Open"))))))))))</f>
        <v>Scheduled within 24h</v>
      </c>
      <c r="AM318" s="46">
        <f>IF(M318=1,IF(_xlfn.MINIFS(LOG!$G$2:$G$2001,LOG!$C$2:$C$2001,F318,LOG!$E$2:$E$2001,B318,LOG!$D$2:$D$2001,"*BOOKED")=0,_xlfn.MINIFS(LOG!$G$2:$G$2001,LOG!$C$2:$C$2001,F318,LOG!$E$2:$E$2001,"",LOG!$D$2:$D$2001,"*BOOKED"),IF(_xlfn.MINIFS(LOG!$G$2:$G$2001,LOG!$C$2:$C$2001,F318,LOG!$E$2:$E$2001,"",LOG!$D$2:$D$2001,"*BOOKED")=0,_xlfn.MINIFS(LOG!$G$2:$G$2001,LOG!$C$2:$C$2001,F318,LOG!$E$2:$E$2001,B318,LOG!$D$2:$D$2001,"*BOOKED"),MIN(_xlfn.MINIFS(LOG!$G$2:$G$2001,LOG!$C$2:$C$2001,F318,LOG!$E$2:$E$2001,B318,LOG!$D$2:$D$2001,"*BOOKED"),_xlfn.MINIFS(LOG!$G$2:$G$2001,LOG!$C$2:$C$2001,F318,LOG!$E$2:$E$2001,"",LOG!$D$2:$D$2001,"*BOOKED")))),"")</f>
        <v>46308.944820447316</v>
      </c>
      <c r="AN318" s="28">
        <f t="shared" si="51"/>
        <v>2.8256907356553711</v>
      </c>
      <c r="AO318" s="28">
        <f>IF(AND(M318=1,AN318&lt;&gt;""),IF(AN318&lt;=SETTINGS!$B$5,1,0),0)</f>
        <v>1</v>
      </c>
      <c r="AP318" s="28">
        <f>IF(M318=1,IF(COUNTIFS(LOG!$C$2:$C$2001,F318,LOG!$E$2:$E$2001,B318,LOG!$D$2:$D$2001,"BOOKED")+COUNTIFS(LOG!$C$2:$C$2001,F318,LOG!$E$2:$E$2001,"",LOG!$D$2:$D$2001,"BOOKED")&gt;0,1,0),0)</f>
        <v>0</v>
      </c>
      <c r="AQ318" s="28" t="str">
        <f t="shared" si="52"/>
        <v>Ira</v>
      </c>
      <c r="AR318" s="28">
        <f>IF(AND(AK318=1,K318="OK"),COUNTIFS($AK$2:AK318,1,$K$2:K318,"OK"),"")</f>
        <v>278</v>
      </c>
      <c r="AS318" s="28" t="str">
        <f>IF(L318=1,IFERROR(INDEX(MESSAGES!$J$9:$J$1008,MATCH(F318,MESSAGES!$M$9:$M$1008,0))&amp;"",""),"")</f>
        <v/>
      </c>
      <c r="AT318" s="28" t="str">
        <f>IF(L318=1,IFERROR(INDEX(MESSAGES!$K$9:$K$1008,MATCH(F318,MESSAGES!$M$9:$M$1008,0))&amp;"",""),"")</f>
        <v/>
      </c>
      <c r="AU318" s="28">
        <f t="shared" ca="1" si="53"/>
        <v>0</v>
      </c>
      <c r="AV318" s="28" t="str">
        <f t="shared" si="54"/>
        <v>SEND</v>
      </c>
    </row>
    <row r="319" spans="1:48" x14ac:dyDescent="0.35">
      <c r="A319" s="28">
        <v>318</v>
      </c>
      <c r="B319" s="28" t="str">
        <f>IF(INPUT!A319="","",TRIM(INPUT!A319))</f>
        <v>Partner 009</v>
      </c>
      <c r="C319" s="28" t="str">
        <f>IF(B319="","",INPUT!C319)</f>
        <v>interviewer1@partner009.example.com</v>
      </c>
      <c r="D319" s="28" t="str">
        <f>IF(B319="","",INPUT!D319)</f>
        <v>Riya A.</v>
      </c>
      <c r="E319" s="28" t="str">
        <f>IF(B319="","",INPUT!E319)</f>
        <v>riya.a019@example.com</v>
      </c>
      <c r="F319" s="43" t="str">
        <f>IF(B319="","",TRIM(INPUT!F319&amp;""))</f>
        <v>9000000254</v>
      </c>
      <c r="G319" s="28" t="str">
        <f>IF(B319="","",INPUT!H319)</f>
        <v>Round1</v>
      </c>
      <c r="H319" s="46">
        <f>IF(B319="","",INPUT!I319)</f>
        <v>46308.82708333333</v>
      </c>
      <c r="I319" s="28" t="str">
        <f>IF(B319="","",IF(INPUT!J319="","None",INPUT!J319))</f>
        <v>Opened</v>
      </c>
      <c r="J319" s="28" t="str">
        <f t="shared" si="44"/>
        <v>riya.a019@example.com|partner 009|Round1|interviewer1@partner009.example.com</v>
      </c>
      <c r="K319" s="28" t="str">
        <f>IF(B319="","",IF(SUMPRODUCT(($J$2:$J$601=J319)*($H$2:$H$601&lt;H319))+SUMPRODUCT(($J$2:J319=J319)*($H$2:H319=H319))-1&gt;0,"DUPLICATE",IF(AND(ISNUMBER(SEARCH("@",E319)),ISNUMBER(SEARCH(".",E319)),LEN(F319)=10,ISNUMBER(VALUE(F319))),"OK","BAD CONTACT")))</f>
        <v>OK</v>
      </c>
      <c r="L319" s="28">
        <f t="shared" si="45"/>
        <v>1</v>
      </c>
      <c r="M319" s="28">
        <f>IF(L319=1,IF(COUNTIFS(LOG!$C$2:$C$2001,F319,LOG!$E$2:$E$2001,B319,LOG!$D$2:$D$2001,"*BOOKED")+COUNTIFS(LOG!$C$2:$C$2001,F319,LOG!$E$2:$E$2001,"",LOG!$D$2:$D$2001,"*BOOKED")&gt;0,1,0),0)</f>
        <v>1</v>
      </c>
      <c r="N319" s="28">
        <f>IF(L319=1,IF(COUNTIFS(LOG!$C$2:$C$2001,F319,LOG!$E$2:$E$2001,B319,LOG!$D$2:$D$2001,"NOT_INTERESTED")+COUNTIFS(LOG!$C$2:$C$2001,F319,LOG!$E$2:$E$2001,"",LOG!$D$2:$D$2001,"NOT_INTERESTED")&gt;0,1,0),0)</f>
        <v>0</v>
      </c>
      <c r="O319" s="28">
        <f>IF(L319=1,IF(COUNTIFS(LOG!$C$2:$C$2001,F319,LOG!$D$2:$D$2001,"STOP")+COUNTIFS(LOG!$C$2:$C$2001,F319,LOG!$D$2:$D$2001,"WRONG_NUMBER")&gt;0,1,IF(ISNUMBER(SEARCH("STOP",AT319)),1,0)),0)</f>
        <v>0</v>
      </c>
      <c r="P319" s="28">
        <f>IF(L319=1,IF(IFERROR(INDEX(PARTNERS!$D$2:$D$88,MATCH(B319,PARTNERS!$A$2:$A$88,0)),"")="NO SLOTS",1,IF(AND(IFERROR(INDEX(PARTNERS!$D$2:$D$88,MATCH(B319,PARTNERS!$A$2:$A$88,0)),"")&lt;&gt;"REOPENED",COUNTIFS(LOG!$E$2:$E$2001,B319,LOG!$D$2:$D$2001,"NO_SLOTS")&gt;0),1,0)),0)</f>
        <v>0</v>
      </c>
      <c r="Q319" s="28">
        <f>IF(L319=1,COUNTIFS(LOG!$C$2:$C$2001,F319,LOG!$H$2:$H$2001,1),0)</f>
        <v>0</v>
      </c>
      <c r="R319" s="46">
        <f>IF(Q319&gt;0,_xlfn.MAXIFS(LOG!$G$2:$G$2001,LOG!$C$2:$C$2001,F319,LOG!$H$2:$H$2001,1),0)</f>
        <v>0</v>
      </c>
      <c r="S319" s="28" t="str">
        <f>IF(Q319&gt;0,IFERROR(INDEX(LOG!$D$2:$D$2001,MATCH(F319&amp;"|"&amp;Q319,LOG!$I$2:$I$2001,0)),""),"")</f>
        <v/>
      </c>
      <c r="T319" s="28">
        <f>IF(S319="",0,IFERROR(VLOOKUP(S319,LISTS!$A$2:$E$10,4,FALSE),0))</f>
        <v>0</v>
      </c>
      <c r="U319" s="46">
        <f t="shared" si="46"/>
        <v>0</v>
      </c>
      <c r="V319" s="46">
        <f>IF(L319=1,H319+SETTINGS!$B$5/24,"")</f>
        <v>46309.82708333333</v>
      </c>
      <c r="W319" s="28">
        <f ca="1">IF(L319=1,(V319-SETTINGS!$B$4)*24,"")</f>
        <v>-1.6666666720993817E-2</v>
      </c>
      <c r="X319" s="28">
        <f ca="1">IF(AND(L319=1,K319="OK",M319=0,N319=0,O319=0,P319=0,SETTINGS!$B$4&lt;V319,Q319&lt;SETTINGS!$B$6),1,0)</f>
        <v>0</v>
      </c>
      <c r="Y319" s="28">
        <f ca="1">IF(AND(X319=1,SETTINGS!$B$4&gt;=H319,SETTINGS!$B$4&gt;=U319,ROUND(MOD(SETTINGS!$B$4,1)*1440,0)&gt;=ROUND(SETTINGS!$B$7*1440,0),ROUND(MOD(SETTINGS!$B$4,1)*1440,0)&lt;ROUND(SETTINGS!$B$8*1440,0)),1,0)</f>
        <v>0</v>
      </c>
      <c r="Z319" s="28" t="str">
        <f ca="1">IF(B319="","",IF(ROUND(MOD(SETTINGS!$B$4,1)*1440,0)&lt;ROUND(SETTINGS!$B$11*1440,0),"Ram",IF(ROUND(MOD(SETTINGS!$B$4,1)*1440,0)&gt;=ROUND(SETTINGS!$B$10*1440,0),"Shyam",IF(MOD(IFERROR(VALUE(RIGHT(F319,2)),0),2)=0,"Ram","Shyam"))))</f>
        <v>Shyam</v>
      </c>
      <c r="AA319" s="28">
        <f t="shared" ca="1" si="47"/>
        <v>0</v>
      </c>
      <c r="AB319" s="28">
        <f ca="1">IF(X319=1,COUNTIFS($F$2:F319,F319,$X$2:X319,1),0)</f>
        <v>0</v>
      </c>
      <c r="AC319" s="28" t="str">
        <f>IF(L319=1,IF(IFERROR(INDEX(PARTNERS!$C$2:$C$88,MATCH(B319,PARTNERS!$A$2:$A$88,0)),"")="YES","YES","NO"),"")</f>
        <v>YES</v>
      </c>
      <c r="AD319" s="28" t="str">
        <f>IF(L319=1,IFERROR(INDEX(PARTNERS!$B$2:$B$88,MATCH(B319,PARTNERS!$A$2:$A$88,0)),""),"")</f>
        <v>https://calendly.com/partner009/interview</v>
      </c>
      <c r="AE319" s="28">
        <f ca="1">IF(X319=1,IFERROR(INDEX(SETTINGS!$B$34:$D$36,MATCH(I319,SETTINGS!$A$34:$A$36,0),MIN(Q319,2)+1),SETTINGS!$B$36),0)</f>
        <v>0</v>
      </c>
      <c r="AF319" s="28">
        <f t="shared" si="48"/>
        <v>1</v>
      </c>
      <c r="AG319" s="28">
        <f ca="1">IF(AND(Y319=1,AB319=1),ROUND(AA319*AE319*IF(AF319&gt;1,SETTINGS!$B$16,1)*IF(W319&lt;=SETTINGS!$B$14,SETTINGS!$B$15,1)*IF(AU319=1,SETTINGS!$B$21,1),6),0)</f>
        <v>0</v>
      </c>
      <c r="AH319" s="28" t="str">
        <f ca="1">IF(AG319&gt;0,COUNTIFS($Z$2:$Z$601,Z319,$AG$2:$AG$601,"&gt;"&amp;AG319)+COUNTIFS($Z$2:Z319,Z319,$AG$2:AG319,AG319),"")</f>
        <v/>
      </c>
      <c r="AI319" s="28" t="str">
        <f t="shared" ca="1" si="49"/>
        <v/>
      </c>
      <c r="AJ319" s="28" t="str">
        <f t="shared" ca="1" si="50"/>
        <v/>
      </c>
      <c r="AK319" s="28">
        <f>IF(L319=1,IF(COUNTIFS($F$2:F319,F319,$L$2:L319,1)=1,1,0),0)</f>
        <v>1</v>
      </c>
      <c r="AL319" s="28" t="str">
        <f>IF(B319="","",IF(K319="DUPLICATE","Duplicate (removed)",IF(AO319=1,"Scheduled within 24h",IF(M319=1,"Scheduled late",IF(K319="BAD CONTACT","Bad contact details",IF(O319=1,"Stopped / wrong number",IF(N319=1,"Not interested",IF(P319=1,"Partner has no slots",IF(SETTINGS!$B$4&gt;=V319,IF(Q319=0,"Missed deadline: never tried","Missed deadline: tried, not booked"),IF(Q319&gt;=SETTINGS!$B$6,"No reply after max tries","Open"))))))))))</f>
        <v>Scheduled within 24h</v>
      </c>
      <c r="AM319" s="46">
        <f>IF(M319=1,IF(_xlfn.MINIFS(LOG!$G$2:$G$2001,LOG!$C$2:$C$2001,F319,LOG!$E$2:$E$2001,B319,LOG!$D$2:$D$2001,"*BOOKED")=0,_xlfn.MINIFS(LOG!$G$2:$G$2001,LOG!$C$2:$C$2001,F319,LOG!$E$2:$E$2001,"",LOG!$D$2:$D$2001,"*BOOKED"),IF(_xlfn.MINIFS(LOG!$G$2:$G$2001,LOG!$C$2:$C$2001,F319,LOG!$E$2:$E$2001,"",LOG!$D$2:$D$2001,"*BOOKED")=0,_xlfn.MINIFS(LOG!$G$2:$G$2001,LOG!$C$2:$C$2001,F319,LOG!$E$2:$E$2001,B319,LOG!$D$2:$D$2001,"*BOOKED"),MIN(_xlfn.MINIFS(LOG!$G$2:$G$2001,LOG!$C$2:$C$2001,F319,LOG!$E$2:$E$2001,B319,LOG!$D$2:$D$2001,"*BOOKED"),_xlfn.MINIFS(LOG!$G$2:$G$2001,LOG!$C$2:$C$2001,F319,LOG!$E$2:$E$2001,"",LOG!$D$2:$D$2001,"*BOOKED")))),"")</f>
        <v>46309.62103185014</v>
      </c>
      <c r="AN319" s="28">
        <f t="shared" si="51"/>
        <v>19.05476440343773</v>
      </c>
      <c r="AO319" s="28">
        <f>IF(AND(M319=1,AN319&lt;&gt;""),IF(AN319&lt;=SETTINGS!$B$5,1,0),0)</f>
        <v>1</v>
      </c>
      <c r="AP319" s="28">
        <f>IF(M319=1,IF(COUNTIFS(LOG!$C$2:$C$2001,F319,LOG!$E$2:$E$2001,B319,LOG!$D$2:$D$2001,"BOOKED")+COUNTIFS(LOG!$C$2:$C$2001,F319,LOG!$E$2:$E$2001,"",LOG!$D$2:$D$2001,"BOOKED")&gt;0,1,0),0)</f>
        <v>0</v>
      </c>
      <c r="AQ319" s="28" t="str">
        <f t="shared" si="52"/>
        <v>Riya</v>
      </c>
      <c r="AR319" s="28">
        <f>IF(AND(AK319=1,K319="OK"),COUNTIFS($AK$2:AK319,1,$K$2:K319,"OK"),"")</f>
        <v>279</v>
      </c>
      <c r="AS319" s="28" t="str">
        <f>IF(L319=1,IFERROR(INDEX(MESSAGES!$J$9:$J$1008,MATCH(F319,MESSAGES!$M$9:$M$1008,0))&amp;"",""),"")</f>
        <v/>
      </c>
      <c r="AT319" s="28" t="str">
        <f>IF(L319=1,IFERROR(INDEX(MESSAGES!$K$9:$K$1008,MATCH(F319,MESSAGES!$M$9:$M$1008,0))&amp;"",""),"")</f>
        <v/>
      </c>
      <c r="AU319" s="28">
        <f t="shared" ca="1" si="53"/>
        <v>0</v>
      </c>
      <c r="AV319" s="28" t="str">
        <f t="shared" si="54"/>
        <v>HOLD</v>
      </c>
    </row>
    <row r="320" spans="1:48" x14ac:dyDescent="0.35">
      <c r="A320" s="28">
        <v>319</v>
      </c>
      <c r="B320" s="28" t="str">
        <f>IF(INPUT!A320="","",TRIM(INPUT!A320))</f>
        <v>Partner 000</v>
      </c>
      <c r="C320" s="28" t="str">
        <f>IF(B320="","",INPUT!C320)</f>
        <v>interviewer2@partner000.example.com</v>
      </c>
      <c r="D320" s="28" t="str">
        <f>IF(B320="","",INPUT!D320)</f>
        <v>Rahul E.</v>
      </c>
      <c r="E320" s="28" t="str">
        <f>IF(B320="","",INPUT!E320)</f>
        <v>rahul.e146@example.com</v>
      </c>
      <c r="F320" s="43" t="str">
        <f>IF(B320="","",TRIM(INPUT!F320&amp;""))</f>
        <v>900000190</v>
      </c>
      <c r="G320" s="28" t="str">
        <f>IF(B320="","",INPUT!H320)</f>
        <v>Round1</v>
      </c>
      <c r="H320" s="46">
        <f>IF(B320="","",INPUT!I320)</f>
        <v>46308.82708333333</v>
      </c>
      <c r="I320" s="28" t="str">
        <f>IF(B320="","",IF(INPUT!J320="","None",INPUT!J320))</f>
        <v>None</v>
      </c>
      <c r="J320" s="28" t="str">
        <f t="shared" si="44"/>
        <v>rahul.e146@example.com|partner 000|Round1|interviewer2@partner000.example.com</v>
      </c>
      <c r="K320" s="28" t="str">
        <f>IF(B320="","",IF(SUMPRODUCT(($J$2:$J$601=J320)*($H$2:$H$601&lt;H320))+SUMPRODUCT(($J$2:J320=J320)*($H$2:H320=H320))-1&gt;0,"DUPLICATE",IF(AND(ISNUMBER(SEARCH("@",E320)),ISNUMBER(SEARCH(".",E320)),LEN(F320)=10,ISNUMBER(VALUE(F320))),"OK","BAD CONTACT")))</f>
        <v>BAD CONTACT</v>
      </c>
      <c r="L320" s="28">
        <f t="shared" si="45"/>
        <v>1</v>
      </c>
      <c r="M320" s="28">
        <f>IF(L320=1,IF(COUNTIFS(LOG!$C$2:$C$2001,F320,LOG!$E$2:$E$2001,B320,LOG!$D$2:$D$2001,"*BOOKED")+COUNTIFS(LOG!$C$2:$C$2001,F320,LOG!$E$2:$E$2001,"",LOG!$D$2:$D$2001,"*BOOKED")&gt;0,1,0),0)</f>
        <v>0</v>
      </c>
      <c r="N320" s="28">
        <f>IF(L320=1,IF(COUNTIFS(LOG!$C$2:$C$2001,F320,LOG!$E$2:$E$2001,B320,LOG!$D$2:$D$2001,"NOT_INTERESTED")+COUNTIFS(LOG!$C$2:$C$2001,F320,LOG!$E$2:$E$2001,"",LOG!$D$2:$D$2001,"NOT_INTERESTED")&gt;0,1,0),0)</f>
        <v>0</v>
      </c>
      <c r="O320" s="28">
        <f>IF(L320=1,IF(COUNTIFS(LOG!$C$2:$C$2001,F320,LOG!$D$2:$D$2001,"STOP")+COUNTIFS(LOG!$C$2:$C$2001,F320,LOG!$D$2:$D$2001,"WRONG_NUMBER")&gt;0,1,IF(ISNUMBER(SEARCH("STOP",AT320)),1,0)),0)</f>
        <v>0</v>
      </c>
      <c r="P320" s="28">
        <f>IF(L320=1,IF(IFERROR(INDEX(PARTNERS!$D$2:$D$88,MATCH(B320,PARTNERS!$A$2:$A$88,0)),"")="NO SLOTS",1,IF(AND(IFERROR(INDEX(PARTNERS!$D$2:$D$88,MATCH(B320,PARTNERS!$A$2:$A$88,0)),"")&lt;&gt;"REOPENED",COUNTIFS(LOG!$E$2:$E$2001,B320,LOG!$D$2:$D$2001,"NO_SLOTS")&gt;0),1,0)),0)</f>
        <v>0</v>
      </c>
      <c r="Q320" s="28">
        <f>IF(L320=1,COUNTIFS(LOG!$C$2:$C$2001,F320,LOG!$H$2:$H$2001,1),0)</f>
        <v>0</v>
      </c>
      <c r="R320" s="46">
        <f>IF(Q320&gt;0,_xlfn.MAXIFS(LOG!$G$2:$G$2001,LOG!$C$2:$C$2001,F320,LOG!$H$2:$H$2001,1),0)</f>
        <v>0</v>
      </c>
      <c r="S320" s="28" t="str">
        <f>IF(Q320&gt;0,IFERROR(INDEX(LOG!$D$2:$D$2001,MATCH(F320&amp;"|"&amp;Q320,LOG!$I$2:$I$2001,0)),""),"")</f>
        <v/>
      </c>
      <c r="T320" s="28">
        <f>IF(S320="",0,IFERROR(VLOOKUP(S320,LISTS!$A$2:$E$10,4,FALSE),0))</f>
        <v>0</v>
      </c>
      <c r="U320" s="46">
        <f t="shared" si="46"/>
        <v>0</v>
      </c>
      <c r="V320" s="46">
        <f>IF(L320=1,H320+SETTINGS!$B$5/24,"")</f>
        <v>46309.82708333333</v>
      </c>
      <c r="W320" s="28">
        <f ca="1">IF(L320=1,(V320-SETTINGS!$B$4)*24,"")</f>
        <v>-1.6666666720993817E-2</v>
      </c>
      <c r="X320" s="28">
        <f ca="1">IF(AND(L320=1,K320="OK",M320=0,N320=0,O320=0,P320=0,SETTINGS!$B$4&lt;V320,Q320&lt;SETTINGS!$B$6),1,0)</f>
        <v>0</v>
      </c>
      <c r="Y320" s="28">
        <f ca="1">IF(AND(X320=1,SETTINGS!$B$4&gt;=H320,SETTINGS!$B$4&gt;=U320,ROUND(MOD(SETTINGS!$B$4,1)*1440,0)&gt;=ROUND(SETTINGS!$B$7*1440,0),ROUND(MOD(SETTINGS!$B$4,1)*1440,0)&lt;ROUND(SETTINGS!$B$8*1440,0)),1,0)</f>
        <v>0</v>
      </c>
      <c r="Z320" s="28" t="str">
        <f ca="1">IF(B320="","",IF(ROUND(MOD(SETTINGS!$B$4,1)*1440,0)&lt;ROUND(SETTINGS!$B$11*1440,0),"Ram",IF(ROUND(MOD(SETTINGS!$B$4,1)*1440,0)&gt;=ROUND(SETTINGS!$B$10*1440,0),"Shyam",IF(MOD(IFERROR(VALUE(RIGHT(F320,2)),0),2)=0,"Ram","Shyam"))))</f>
        <v>Shyam</v>
      </c>
      <c r="AA320" s="28">
        <f t="shared" ca="1" si="47"/>
        <v>0</v>
      </c>
      <c r="AB320" s="28">
        <f ca="1">IF(X320=1,COUNTIFS($F$2:F320,F320,$X$2:X320,1),0)</f>
        <v>0</v>
      </c>
      <c r="AC320" s="28" t="str">
        <f>IF(L320=1,IF(IFERROR(INDEX(PARTNERS!$C$2:$C$88,MATCH(B320,PARTNERS!$A$2:$A$88,0)),"")="YES","YES","NO"),"")</f>
        <v>NO</v>
      </c>
      <c r="AD320" s="28" t="str">
        <f>IF(L320=1,IFERROR(INDEX(PARTNERS!$B$2:$B$88,MATCH(B320,PARTNERS!$A$2:$A$88,0)),""),"")</f>
        <v>https://calendly.com/partner000/interview</v>
      </c>
      <c r="AE320" s="28">
        <f ca="1">IF(X320=1,IFERROR(INDEX(SETTINGS!$B$34:$D$36,MATCH(I320,SETTINGS!$A$34:$A$36,0),MIN(Q320,2)+1),SETTINGS!$B$36),0)</f>
        <v>0</v>
      </c>
      <c r="AF320" s="28">
        <f t="shared" si="48"/>
        <v>1</v>
      </c>
      <c r="AG320" s="28">
        <f ca="1">IF(AND(Y320=1,AB320=1),ROUND(AA320*AE320*IF(AF320&gt;1,SETTINGS!$B$16,1)*IF(W320&lt;=SETTINGS!$B$14,SETTINGS!$B$15,1)*IF(AU320=1,SETTINGS!$B$21,1),6),0)</f>
        <v>0</v>
      </c>
      <c r="AH320" s="28" t="str">
        <f ca="1">IF(AG320&gt;0,COUNTIFS($Z$2:$Z$601,Z320,$AG$2:$AG$601,"&gt;"&amp;AG320)+COUNTIFS($Z$2:Z320,Z320,$AG$2:AG320,AG320),"")</f>
        <v/>
      </c>
      <c r="AI320" s="28" t="str">
        <f t="shared" ca="1" si="49"/>
        <v/>
      </c>
      <c r="AJ320" s="28" t="str">
        <f t="shared" ca="1" si="50"/>
        <v/>
      </c>
      <c r="AK320" s="28">
        <f>IF(L320=1,IF(COUNTIFS($F$2:F320,F320,$L$2:L320,1)=1,1,0),0)</f>
        <v>1</v>
      </c>
      <c r="AL320" s="28" t="str">
        <f>IF(B320="","",IF(K320="DUPLICATE","Duplicate (removed)",IF(AO320=1,"Scheduled within 24h",IF(M320=1,"Scheduled late",IF(K320="BAD CONTACT","Bad contact details",IF(O320=1,"Stopped / wrong number",IF(N320=1,"Not interested",IF(P320=1,"Partner has no slots",IF(SETTINGS!$B$4&gt;=V320,IF(Q320=0,"Missed deadline: never tried","Missed deadline: tried, not booked"),IF(Q320&gt;=SETTINGS!$B$6,"No reply after max tries","Open"))))))))))</f>
        <v>Bad contact details</v>
      </c>
      <c r="AM320" s="46" t="str">
        <f>IF(M320=1,IF(_xlfn.MINIFS(LOG!$G$2:$G$2001,LOG!$C$2:$C$2001,F320,LOG!$E$2:$E$2001,B320,LOG!$D$2:$D$2001,"*BOOKED")=0,_xlfn.MINIFS(LOG!$G$2:$G$2001,LOG!$C$2:$C$2001,F320,LOG!$E$2:$E$2001,"",LOG!$D$2:$D$2001,"*BOOKED"),IF(_xlfn.MINIFS(LOG!$G$2:$G$2001,LOG!$C$2:$C$2001,F320,LOG!$E$2:$E$2001,"",LOG!$D$2:$D$2001,"*BOOKED")=0,_xlfn.MINIFS(LOG!$G$2:$G$2001,LOG!$C$2:$C$2001,F320,LOG!$E$2:$E$2001,B320,LOG!$D$2:$D$2001,"*BOOKED"),MIN(_xlfn.MINIFS(LOG!$G$2:$G$2001,LOG!$C$2:$C$2001,F320,LOG!$E$2:$E$2001,B320,LOG!$D$2:$D$2001,"*BOOKED"),_xlfn.MINIFS(LOG!$G$2:$G$2001,LOG!$C$2:$C$2001,F320,LOG!$E$2:$E$2001,"",LOG!$D$2:$D$2001,"*BOOKED")))),"")</f>
        <v/>
      </c>
      <c r="AN320" s="28" t="str">
        <f t="shared" si="51"/>
        <v/>
      </c>
      <c r="AO320" s="28">
        <f>IF(AND(M320=1,AN320&lt;&gt;""),IF(AN320&lt;=SETTINGS!$B$5,1,0),0)</f>
        <v>0</v>
      </c>
      <c r="AP320" s="28">
        <f>IF(M320=1,IF(COUNTIFS(LOG!$C$2:$C$2001,F320,LOG!$E$2:$E$2001,B320,LOG!$D$2:$D$2001,"BOOKED")+COUNTIFS(LOG!$C$2:$C$2001,F320,LOG!$E$2:$E$2001,"",LOG!$D$2:$D$2001,"BOOKED")&gt;0,1,0),0)</f>
        <v>0</v>
      </c>
      <c r="AQ320" s="28" t="str">
        <f t="shared" si="52"/>
        <v>Rahul</v>
      </c>
      <c r="AR320" s="28" t="str">
        <f>IF(AND(AK320=1,K320="OK"),COUNTIFS($AK$2:AK320,1,$K$2:K320,"OK"),"")</f>
        <v/>
      </c>
      <c r="AS320" s="28" t="str">
        <f>IF(L320=1,IFERROR(INDEX(MESSAGES!$J$9:$J$1008,MATCH(F320,MESSAGES!$M$9:$M$1008,0))&amp;"",""),"")</f>
        <v/>
      </c>
      <c r="AT320" s="28" t="str">
        <f>IF(L320=1,IFERROR(INDEX(MESSAGES!$K$9:$K$1008,MATCH(F320,MESSAGES!$M$9:$M$1008,0))&amp;"",""),"")</f>
        <v/>
      </c>
      <c r="AU320" s="28">
        <f t="shared" ca="1" si="53"/>
        <v>0</v>
      </c>
      <c r="AV320" s="28" t="str">
        <f t="shared" si="54"/>
        <v>SEND</v>
      </c>
    </row>
    <row r="321" spans="1:48" x14ac:dyDescent="0.35">
      <c r="A321" s="28">
        <v>320</v>
      </c>
      <c r="B321" s="28" t="str">
        <f>IF(INPUT!A321="","",TRIM(INPUT!A321))</f>
        <v>Partner 022</v>
      </c>
      <c r="C321" s="28" t="str">
        <f>IF(B321="","",INPUT!C321)</f>
        <v>interviewer0@partner022.example.com</v>
      </c>
      <c r="D321" s="28" t="str">
        <f>IF(B321="","",INPUT!D321)</f>
        <v>Sneha K.</v>
      </c>
      <c r="E321" s="28" t="str">
        <f>IF(B321="","",INPUT!E321)</f>
        <v>sneha.k293@example.com</v>
      </c>
      <c r="F321" s="43" t="str">
        <f>IF(B321="","",TRIM(INPUT!F321&amp;""))</f>
        <v>9000003816</v>
      </c>
      <c r="G321" s="28" t="str">
        <f>IF(B321="","",INPUT!H321)</f>
        <v>Round3</v>
      </c>
      <c r="H321" s="46">
        <f>IF(B321="","",INPUT!I321)</f>
        <v>46308.82708333333</v>
      </c>
      <c r="I321" s="28" t="str">
        <f>IF(B321="","",IF(INPUT!J321="","None",INPUT!J321))</f>
        <v>Opened</v>
      </c>
      <c r="J321" s="28" t="str">
        <f t="shared" si="44"/>
        <v>sneha.k293@example.com|partner 022|Round3|interviewer0@partner022.example.com</v>
      </c>
      <c r="K321" s="28" t="str">
        <f>IF(B321="","",IF(SUMPRODUCT(($J$2:$J$601=J321)*($H$2:$H$601&lt;H321))+SUMPRODUCT(($J$2:J321=J321)*($H$2:H321=H321))-1&gt;0,"DUPLICATE",IF(AND(ISNUMBER(SEARCH("@",E321)),ISNUMBER(SEARCH(".",E321)),LEN(F321)=10,ISNUMBER(VALUE(F321))),"OK","BAD CONTACT")))</f>
        <v>OK</v>
      </c>
      <c r="L321" s="28">
        <f t="shared" si="45"/>
        <v>1</v>
      </c>
      <c r="M321" s="28">
        <f>IF(L321=1,IF(COUNTIFS(LOG!$C$2:$C$2001,F321,LOG!$E$2:$E$2001,B321,LOG!$D$2:$D$2001,"*BOOKED")+COUNTIFS(LOG!$C$2:$C$2001,F321,LOG!$E$2:$E$2001,"",LOG!$D$2:$D$2001,"*BOOKED")&gt;0,1,0),0)</f>
        <v>1</v>
      </c>
      <c r="N321" s="28">
        <f>IF(L321=1,IF(COUNTIFS(LOG!$C$2:$C$2001,F321,LOG!$E$2:$E$2001,B321,LOG!$D$2:$D$2001,"NOT_INTERESTED")+COUNTIFS(LOG!$C$2:$C$2001,F321,LOG!$E$2:$E$2001,"",LOG!$D$2:$D$2001,"NOT_INTERESTED")&gt;0,1,0),0)</f>
        <v>0</v>
      </c>
      <c r="O321" s="28">
        <f>IF(L321=1,IF(COUNTIFS(LOG!$C$2:$C$2001,F321,LOG!$D$2:$D$2001,"STOP")+COUNTIFS(LOG!$C$2:$C$2001,F321,LOG!$D$2:$D$2001,"WRONG_NUMBER")&gt;0,1,IF(ISNUMBER(SEARCH("STOP",AT321)),1,0)),0)</f>
        <v>0</v>
      </c>
      <c r="P321" s="28">
        <f>IF(L321=1,IF(IFERROR(INDEX(PARTNERS!$D$2:$D$88,MATCH(B321,PARTNERS!$A$2:$A$88,0)),"")="NO SLOTS",1,IF(AND(IFERROR(INDEX(PARTNERS!$D$2:$D$88,MATCH(B321,PARTNERS!$A$2:$A$88,0)),"")&lt;&gt;"REOPENED",COUNTIFS(LOG!$E$2:$E$2001,B321,LOG!$D$2:$D$2001,"NO_SLOTS")&gt;0),1,0)),0)</f>
        <v>0</v>
      </c>
      <c r="Q321" s="28">
        <f>IF(L321=1,COUNTIFS(LOG!$C$2:$C$2001,F321,LOG!$H$2:$H$2001,1),0)</f>
        <v>1</v>
      </c>
      <c r="R321" s="46">
        <f>IF(Q321&gt;0,_xlfn.MAXIFS(LOG!$G$2:$G$2001,LOG!$C$2:$C$2001,F321,LOG!$H$2:$H$2001,1),0)</f>
        <v>46309.748476335895</v>
      </c>
      <c r="S321" s="28" t="str">
        <f>IF(Q321&gt;0,IFERROR(INDEX(LOG!$D$2:$D$2001,MATCH(F321&amp;"|"&amp;Q321,LOG!$I$2:$I$2001,0)),""),"")</f>
        <v>BOOKED</v>
      </c>
      <c r="T321" s="28">
        <f>IF(S321="",0,IFERROR(VLOOKUP(S321,LISTS!$A$2:$E$10,4,FALSE),0))</f>
        <v>0</v>
      </c>
      <c r="U321" s="46">
        <f t="shared" si="46"/>
        <v>46309.748476335895</v>
      </c>
      <c r="V321" s="46">
        <f>IF(L321=1,H321+SETTINGS!$B$5/24,"")</f>
        <v>46309.82708333333</v>
      </c>
      <c r="W321" s="28">
        <f ca="1">IF(L321=1,(V321-SETTINGS!$B$4)*24,"")</f>
        <v>-1.6666666720993817E-2</v>
      </c>
      <c r="X321" s="28">
        <f ca="1">IF(AND(L321=1,K321="OK",M321=0,N321=0,O321=0,P321=0,SETTINGS!$B$4&lt;V321,Q321&lt;SETTINGS!$B$6),1,0)</f>
        <v>0</v>
      </c>
      <c r="Y321" s="28">
        <f ca="1">IF(AND(X321=1,SETTINGS!$B$4&gt;=H321,SETTINGS!$B$4&gt;=U321,ROUND(MOD(SETTINGS!$B$4,1)*1440,0)&gt;=ROUND(SETTINGS!$B$7*1440,0),ROUND(MOD(SETTINGS!$B$4,1)*1440,0)&lt;ROUND(SETTINGS!$B$8*1440,0)),1,0)</f>
        <v>0</v>
      </c>
      <c r="Z321" s="28" t="str">
        <f ca="1">IF(B321="","",IF(ROUND(MOD(SETTINGS!$B$4,1)*1440,0)&lt;ROUND(SETTINGS!$B$11*1440,0),"Ram",IF(ROUND(MOD(SETTINGS!$B$4,1)*1440,0)&gt;=ROUND(SETTINGS!$B$10*1440,0),"Shyam",IF(MOD(IFERROR(VALUE(RIGHT(F321,2)),0),2)=0,"Ram","Shyam"))))</f>
        <v>Shyam</v>
      </c>
      <c r="AA321" s="28">
        <f t="shared" ca="1" si="47"/>
        <v>0</v>
      </c>
      <c r="AB321" s="28">
        <f ca="1">IF(X321=1,COUNTIFS($F$2:F321,F321,$X$2:X321,1),0)</f>
        <v>0</v>
      </c>
      <c r="AC321" s="28" t="str">
        <f>IF(L321=1,IF(IFERROR(INDEX(PARTNERS!$C$2:$C$88,MATCH(B321,PARTNERS!$A$2:$A$88,0)),"")="YES","YES","NO"),"")</f>
        <v>YES</v>
      </c>
      <c r="AD321" s="28" t="str">
        <f>IF(L321=1,IFERROR(INDEX(PARTNERS!$B$2:$B$88,MATCH(B321,PARTNERS!$A$2:$A$88,0)),""),"")</f>
        <v>https://calendly.com/partner022/interview</v>
      </c>
      <c r="AE321" s="28">
        <f ca="1">IF(X321=1,IFERROR(INDEX(SETTINGS!$B$34:$D$36,MATCH(I321,SETTINGS!$A$34:$A$36,0),MIN(Q321,2)+1),SETTINGS!$B$36),0)</f>
        <v>0</v>
      </c>
      <c r="AF321" s="28">
        <f t="shared" si="48"/>
        <v>3</v>
      </c>
      <c r="AG321" s="28">
        <f ca="1">IF(AND(Y321=1,AB321=1),ROUND(AA321*AE321*IF(AF321&gt;1,SETTINGS!$B$16,1)*IF(W321&lt;=SETTINGS!$B$14,SETTINGS!$B$15,1)*IF(AU321=1,SETTINGS!$B$21,1),6),0)</f>
        <v>0</v>
      </c>
      <c r="AH321" s="28" t="str">
        <f ca="1">IF(AG321&gt;0,COUNTIFS($Z$2:$Z$601,Z321,$AG$2:$AG$601,"&gt;"&amp;AG321)+COUNTIFS($Z$2:Z321,Z321,$AG$2:AG321,AG321),"")</f>
        <v/>
      </c>
      <c r="AI321" s="28" t="str">
        <f t="shared" ca="1" si="49"/>
        <v/>
      </c>
      <c r="AJ321" s="28" t="str">
        <f t="shared" ca="1" si="50"/>
        <v/>
      </c>
      <c r="AK321" s="28">
        <f>IF(L321=1,IF(COUNTIFS($F$2:F321,F321,$L$2:L321,1)=1,1,0),0)</f>
        <v>1</v>
      </c>
      <c r="AL321" s="28" t="str">
        <f>IF(B321="","",IF(K321="DUPLICATE","Duplicate (removed)",IF(AO321=1,"Scheduled within 24h",IF(M321=1,"Scheduled late",IF(K321="BAD CONTACT","Bad contact details",IF(O321=1,"Stopped / wrong number",IF(N321=1,"Not interested",IF(P321=1,"Partner has no slots",IF(SETTINGS!$B$4&gt;=V321,IF(Q321=0,"Missed deadline: never tried","Missed deadline: tried, not booked"),IF(Q321&gt;=SETTINGS!$B$6,"No reply after max tries","Open"))))))))))</f>
        <v>Scheduled within 24h</v>
      </c>
      <c r="AM321" s="46">
        <f>IF(M321=1,IF(_xlfn.MINIFS(LOG!$G$2:$G$2001,LOG!$C$2:$C$2001,F321,LOG!$E$2:$E$2001,B321,LOG!$D$2:$D$2001,"*BOOKED")=0,_xlfn.MINIFS(LOG!$G$2:$G$2001,LOG!$C$2:$C$2001,F321,LOG!$E$2:$E$2001,"",LOG!$D$2:$D$2001,"*BOOKED"),IF(_xlfn.MINIFS(LOG!$G$2:$G$2001,LOG!$C$2:$C$2001,F321,LOG!$E$2:$E$2001,"",LOG!$D$2:$D$2001,"*BOOKED")=0,_xlfn.MINIFS(LOG!$G$2:$G$2001,LOG!$C$2:$C$2001,F321,LOG!$E$2:$E$2001,B321,LOG!$D$2:$D$2001,"*BOOKED"),MIN(_xlfn.MINIFS(LOG!$G$2:$G$2001,LOG!$C$2:$C$2001,F321,LOG!$E$2:$E$2001,B321,LOG!$D$2:$D$2001,"*BOOKED"),_xlfn.MINIFS(LOG!$G$2:$G$2001,LOG!$C$2:$C$2001,F321,LOG!$E$2:$E$2001,"",LOG!$D$2:$D$2001,"*BOOKED")))),"")</f>
        <v>46309.748476335895</v>
      </c>
      <c r="AN321" s="28">
        <f t="shared" si="51"/>
        <v>22.113432061567437</v>
      </c>
      <c r="AO321" s="28">
        <f>IF(AND(M321=1,AN321&lt;&gt;""),IF(AN321&lt;=SETTINGS!$B$5,1,0),0)</f>
        <v>1</v>
      </c>
      <c r="AP321" s="28">
        <f>IF(M321=1,IF(COUNTIFS(LOG!$C$2:$C$2001,F321,LOG!$E$2:$E$2001,B321,LOG!$D$2:$D$2001,"BOOKED")+COUNTIFS(LOG!$C$2:$C$2001,F321,LOG!$E$2:$E$2001,"",LOG!$D$2:$D$2001,"BOOKED")&gt;0,1,0),0)</f>
        <v>1</v>
      </c>
      <c r="AQ321" s="28" t="str">
        <f t="shared" si="52"/>
        <v>Sneha</v>
      </c>
      <c r="AR321" s="28">
        <f>IF(AND(AK321=1,K321="OK"),COUNTIFS($AK$2:AK321,1,$K$2:K321,"OK"),"")</f>
        <v>280</v>
      </c>
      <c r="AS321" s="28" t="str">
        <f>IF(L321=1,IFERROR(INDEX(MESSAGES!$J$9:$J$1008,MATCH(F321,MESSAGES!$M$9:$M$1008,0))&amp;"",""),"")</f>
        <v/>
      </c>
      <c r="AT321" s="28" t="str">
        <f>IF(L321=1,IFERROR(INDEX(MESSAGES!$K$9:$K$1008,MATCH(F321,MESSAGES!$M$9:$M$1008,0))&amp;"",""),"")</f>
        <v/>
      </c>
      <c r="AU321" s="28">
        <f t="shared" ca="1" si="53"/>
        <v>0</v>
      </c>
      <c r="AV321" s="28" t="str">
        <f t="shared" si="54"/>
        <v>HOLD</v>
      </c>
    </row>
    <row r="322" spans="1:48" x14ac:dyDescent="0.35">
      <c r="A322" s="28">
        <v>321</v>
      </c>
      <c r="B322" s="28" t="str">
        <f>IF(INPUT!A322="","",TRIM(INPUT!A322))</f>
        <v>Partner 002</v>
      </c>
      <c r="C322" s="28" t="str">
        <f>IF(B322="","",INPUT!C322)</f>
        <v>interviewer0@partner002.example.com</v>
      </c>
      <c r="D322" s="28" t="str">
        <f>IF(B322="","",INPUT!D322)</f>
        <v>Isha P.</v>
      </c>
      <c r="E322" s="28" t="str">
        <f>IF(B322="","",INPUT!E322)</f>
        <v>isha.p415@example.com</v>
      </c>
      <c r="F322" s="43" t="str">
        <f>IF(B322="","",TRIM(INPUT!F322&amp;""))</f>
        <v>9000005402</v>
      </c>
      <c r="G322" s="28" t="str">
        <f>IF(B322="","",INPUT!H322)</f>
        <v>Round1</v>
      </c>
      <c r="H322" s="46">
        <f>IF(B322="","",INPUT!I322)</f>
        <v>46308.82708333333</v>
      </c>
      <c r="I322" s="28" t="str">
        <f>IF(B322="","",IF(INPUT!J322="","None",INPUT!J322))</f>
        <v>None</v>
      </c>
      <c r="J322" s="28" t="str">
        <f t="shared" ref="J322:J385" si="55">IF(B322="","",LOWER(E322)&amp;"|"&amp;LOWER(B322)&amp;"|"&amp;G322&amp;"|"&amp;LOWER(C322))</f>
        <v>isha.p415@example.com|partner 002|Round1|interviewer0@partner002.example.com</v>
      </c>
      <c r="K322" s="28" t="str">
        <f>IF(B322="","",IF(SUMPRODUCT(($J$2:$J$601=J322)*($H$2:$H$601&lt;H322))+SUMPRODUCT(($J$2:J322=J322)*($H$2:H322=H322))-1&gt;0,"DUPLICATE",IF(AND(ISNUMBER(SEARCH("@",E322)),ISNUMBER(SEARCH(".",E322)),LEN(F322)=10,ISNUMBER(VALUE(F322))),"OK","BAD CONTACT")))</f>
        <v>OK</v>
      </c>
      <c r="L322" s="28">
        <f t="shared" ref="L322:L385" si="56">IF(B322="",0,IF(K322="DUPLICATE",0,1))</f>
        <v>1</v>
      </c>
      <c r="M322" s="28">
        <f>IF(L322=1,IF(COUNTIFS(LOG!$C$2:$C$2001,F322,LOG!$E$2:$E$2001,B322,LOG!$D$2:$D$2001,"*BOOKED")+COUNTIFS(LOG!$C$2:$C$2001,F322,LOG!$E$2:$E$2001,"",LOG!$D$2:$D$2001,"*BOOKED")&gt;0,1,0),0)</f>
        <v>0</v>
      </c>
      <c r="N322" s="28">
        <f>IF(L322=1,IF(COUNTIFS(LOG!$C$2:$C$2001,F322,LOG!$E$2:$E$2001,B322,LOG!$D$2:$D$2001,"NOT_INTERESTED")+COUNTIFS(LOG!$C$2:$C$2001,F322,LOG!$E$2:$E$2001,"",LOG!$D$2:$D$2001,"NOT_INTERESTED")&gt;0,1,0),0)</f>
        <v>0</v>
      </c>
      <c r="O322" s="28">
        <f>IF(L322=1,IF(COUNTIFS(LOG!$C$2:$C$2001,F322,LOG!$D$2:$D$2001,"STOP")+COUNTIFS(LOG!$C$2:$C$2001,F322,LOG!$D$2:$D$2001,"WRONG_NUMBER")&gt;0,1,IF(ISNUMBER(SEARCH("STOP",AT322)),1,0)),0)</f>
        <v>0</v>
      </c>
      <c r="P322" s="28">
        <f>IF(L322=1,IF(IFERROR(INDEX(PARTNERS!$D$2:$D$88,MATCH(B322,PARTNERS!$A$2:$A$88,0)),"")="NO SLOTS",1,IF(AND(IFERROR(INDEX(PARTNERS!$D$2:$D$88,MATCH(B322,PARTNERS!$A$2:$A$88,0)),"")&lt;&gt;"REOPENED",COUNTIFS(LOG!$E$2:$E$2001,B322,LOG!$D$2:$D$2001,"NO_SLOTS")&gt;0),1,0)),0)</f>
        <v>0</v>
      </c>
      <c r="Q322" s="28">
        <f>IF(L322=1,COUNTIFS(LOG!$C$2:$C$2001,F322,LOG!$H$2:$H$2001,1),0)</f>
        <v>0</v>
      </c>
      <c r="R322" s="46">
        <f>IF(Q322&gt;0,_xlfn.MAXIFS(LOG!$G$2:$G$2001,LOG!$C$2:$C$2001,F322,LOG!$H$2:$H$2001,1),0)</f>
        <v>0</v>
      </c>
      <c r="S322" s="28" t="str">
        <f>IF(Q322&gt;0,IFERROR(INDEX(LOG!$D$2:$D$2001,MATCH(F322&amp;"|"&amp;Q322,LOG!$I$2:$I$2001,0)),""),"")</f>
        <v/>
      </c>
      <c r="T322" s="28">
        <f>IF(S322="",0,IFERROR(VLOOKUP(S322,LISTS!$A$2:$E$10,4,FALSE),0))</f>
        <v>0</v>
      </c>
      <c r="U322" s="46">
        <f t="shared" ref="U322:U385" si="57">IF(Q322=0,0,R322+T322/1440)</f>
        <v>0</v>
      </c>
      <c r="V322" s="46">
        <f>IF(L322=1,H322+SETTINGS!$B$5/24,"")</f>
        <v>46309.82708333333</v>
      </c>
      <c r="W322" s="28">
        <f ca="1">IF(L322=1,(V322-SETTINGS!$B$4)*24,"")</f>
        <v>-1.6666666720993817E-2</v>
      </c>
      <c r="X322" s="28">
        <f ca="1">IF(AND(L322=1,K322="OK",M322=0,N322=0,O322=0,P322=0,SETTINGS!$B$4&lt;V322,Q322&lt;SETTINGS!$B$6),1,0)</f>
        <v>0</v>
      </c>
      <c r="Y322" s="28">
        <f ca="1">IF(AND(X322=1,SETTINGS!$B$4&gt;=H322,SETTINGS!$B$4&gt;=U322,ROUND(MOD(SETTINGS!$B$4,1)*1440,0)&gt;=ROUND(SETTINGS!$B$7*1440,0),ROUND(MOD(SETTINGS!$B$4,1)*1440,0)&lt;ROUND(SETTINGS!$B$8*1440,0)),1,0)</f>
        <v>0</v>
      </c>
      <c r="Z322" s="28" t="str">
        <f ca="1">IF(B322="","",IF(ROUND(MOD(SETTINGS!$B$4,1)*1440,0)&lt;ROUND(SETTINGS!$B$11*1440,0),"Ram",IF(ROUND(MOD(SETTINGS!$B$4,1)*1440,0)&gt;=ROUND(SETTINGS!$B$10*1440,0),"Shyam",IF(MOD(IFERROR(VALUE(RIGHT(F322,2)),0),2)=0,"Ram","Shyam"))))</f>
        <v>Shyam</v>
      </c>
      <c r="AA322" s="28">
        <f t="shared" ref="AA322:AA385" ca="1" si="58">IF(X322=1,COUNTIFS($F$2:$F$601,F322,$X$2:$X$601,1),0)</f>
        <v>0</v>
      </c>
      <c r="AB322" s="28">
        <f ca="1">IF(X322=1,COUNTIFS($F$2:F322,F322,$X$2:X322,1),0)</f>
        <v>0</v>
      </c>
      <c r="AC322" s="28" t="str">
        <f>IF(L322=1,IF(IFERROR(INDEX(PARTNERS!$C$2:$C$88,MATCH(B322,PARTNERS!$A$2:$A$88,0)),"")="YES","YES","NO"),"")</f>
        <v>YES</v>
      </c>
      <c r="AD322" s="28" t="str">
        <f>IF(L322=1,IFERROR(INDEX(PARTNERS!$B$2:$B$88,MATCH(B322,PARTNERS!$A$2:$A$88,0)),""),"")</f>
        <v>https://calendly.com/partner002/interview</v>
      </c>
      <c r="AE322" s="28">
        <f ca="1">IF(X322=1,IFERROR(INDEX(SETTINGS!$B$34:$D$36,MATCH(I322,SETTINGS!$A$34:$A$36,0),MIN(Q322,2)+1),SETTINGS!$B$36),0)</f>
        <v>0</v>
      </c>
      <c r="AF322" s="28">
        <f t="shared" ref="AF322:AF385" si="59">IF(L322=1,IFERROR(VALUE(RIGHT(G322,1)),1),0)</f>
        <v>1</v>
      </c>
      <c r="AG322" s="28">
        <f ca="1">IF(AND(Y322=1,AB322=1),ROUND(AA322*AE322*IF(AF322&gt;1,SETTINGS!$B$16,1)*IF(W322&lt;=SETTINGS!$B$14,SETTINGS!$B$15,1)*IF(AU322=1,SETTINGS!$B$21,1),6),0)</f>
        <v>0</v>
      </c>
      <c r="AH322" s="28" t="str">
        <f ca="1">IF(AG322&gt;0,COUNTIFS($Z$2:$Z$601,Z322,$AG$2:$AG$601,"&gt;"&amp;AG322)+COUNTIFS($Z$2:Z322,Z322,$AG$2:AG322,AG322),"")</f>
        <v/>
      </c>
      <c r="AI322" s="28" t="str">
        <f t="shared" ref="AI322:AI385" ca="1" si="60">IF(AH322&lt;&gt;"",Z322&amp;"|"&amp;AH322,"")</f>
        <v/>
      </c>
      <c r="AJ322" s="28" t="str">
        <f t="shared" ref="AJ322:AJ385" ca="1" si="61">IF(X322=1,F322&amp;"|"&amp;AB322,"")</f>
        <v/>
      </c>
      <c r="AK322" s="28">
        <f>IF(L322=1,IF(COUNTIFS($F$2:F322,F322,$L$2:L322,1)=1,1,0),0)</f>
        <v>1</v>
      </c>
      <c r="AL322" s="28" t="str">
        <f ca="1">IF(B322="","",IF(K322="DUPLICATE","Duplicate (removed)",IF(AO322=1,"Scheduled within 24h",IF(M322=1,"Scheduled late",IF(K322="BAD CONTACT","Bad contact details",IF(O322=1,"Stopped / wrong number",IF(N322=1,"Not interested",IF(P322=1,"Partner has no slots",IF(SETTINGS!$B$4&gt;=V322,IF(Q322=0,"Missed deadline: never tried","Missed deadline: tried, not booked"),IF(Q322&gt;=SETTINGS!$B$6,"No reply after max tries","Open"))))))))))</f>
        <v>Missed deadline: never tried</v>
      </c>
      <c r="AM322" s="46" t="str">
        <f>IF(M322=1,IF(_xlfn.MINIFS(LOG!$G$2:$G$2001,LOG!$C$2:$C$2001,F322,LOG!$E$2:$E$2001,B322,LOG!$D$2:$D$2001,"*BOOKED")=0,_xlfn.MINIFS(LOG!$G$2:$G$2001,LOG!$C$2:$C$2001,F322,LOG!$E$2:$E$2001,"",LOG!$D$2:$D$2001,"*BOOKED"),IF(_xlfn.MINIFS(LOG!$G$2:$G$2001,LOG!$C$2:$C$2001,F322,LOG!$E$2:$E$2001,"",LOG!$D$2:$D$2001,"*BOOKED")=0,_xlfn.MINIFS(LOG!$G$2:$G$2001,LOG!$C$2:$C$2001,F322,LOG!$E$2:$E$2001,B322,LOG!$D$2:$D$2001,"*BOOKED"),MIN(_xlfn.MINIFS(LOG!$G$2:$G$2001,LOG!$C$2:$C$2001,F322,LOG!$E$2:$E$2001,B322,LOG!$D$2:$D$2001,"*BOOKED"),_xlfn.MINIFS(LOG!$G$2:$G$2001,LOG!$C$2:$C$2001,F322,LOG!$E$2:$E$2001,"",LOG!$D$2:$D$2001,"*BOOKED")))),"")</f>
        <v/>
      </c>
      <c r="AN322" s="28" t="str">
        <f t="shared" ref="AN322:AN385" si="62">IF(M322=1,(AM322-H322)*24,"")</f>
        <v/>
      </c>
      <c r="AO322" s="28">
        <f>IF(AND(M322=1,AN322&lt;&gt;""),IF(AN322&lt;=SETTINGS!$B$5,1,0),0)</f>
        <v>0</v>
      </c>
      <c r="AP322" s="28">
        <f>IF(M322=1,IF(COUNTIFS(LOG!$C$2:$C$2001,F322,LOG!$E$2:$E$2001,B322,LOG!$D$2:$D$2001,"BOOKED")+COUNTIFS(LOG!$C$2:$C$2001,F322,LOG!$E$2:$E$2001,"",LOG!$D$2:$D$2001,"BOOKED")&gt;0,1,0),0)</f>
        <v>0</v>
      </c>
      <c r="AQ322" s="28" t="str">
        <f t="shared" ref="AQ322:AQ385" si="63">IF(B322="","",LEFT(D322,FIND(" ",D322&amp;" ")-1))</f>
        <v>Isha</v>
      </c>
      <c r="AR322" s="28">
        <f>IF(AND(AK322=1,K322="OK"),COUNTIFS($AK$2:AK322,1,$K$2:K322,"OK"),"")</f>
        <v>281</v>
      </c>
      <c r="AS322" s="28" t="str">
        <f>IF(L322=1,IFERROR(INDEX(MESSAGES!$J$9:$J$1008,MATCH(F322,MESSAGES!$M$9:$M$1008,0))&amp;"",""),"")</f>
        <v/>
      </c>
      <c r="AT322" s="28" t="str">
        <f>IF(L322=1,IFERROR(INDEX(MESSAGES!$K$9:$K$1008,MATCH(F322,MESSAGES!$M$9:$M$1008,0))&amp;"",""),"")</f>
        <v/>
      </c>
      <c r="AU322" s="28">
        <f t="shared" ref="AU322:AU385" ca="1" si="64">IF(AND(X322=1,ISNUMBER(SEARCH("YES",AT322))),1,0)</f>
        <v>0</v>
      </c>
      <c r="AV322" s="28" t="str">
        <f t="shared" ref="AV322:AV385" si="65">IF(L322=1,IF(MOD(IFERROR(VALUE(MID(F322,9,1)),0),2)=0,"SEND","HOLD"),"")</f>
        <v>SEND</v>
      </c>
    </row>
    <row r="323" spans="1:48" x14ac:dyDescent="0.35">
      <c r="A323" s="28">
        <v>322</v>
      </c>
      <c r="B323" s="28" t="str">
        <f>IF(INPUT!A323="","",TRIM(INPUT!A323))</f>
        <v>Partner 001</v>
      </c>
      <c r="C323" s="28" t="str">
        <f>IF(B323="","",INPUT!C323)</f>
        <v>interviewer2@partner001.example.com</v>
      </c>
      <c r="D323" s="28" t="str">
        <f>IF(B323="","",INPUT!D323)</f>
        <v>Varun G.</v>
      </c>
      <c r="E323" s="28" t="str">
        <f>IF(B323="","",INPUT!E323)</f>
        <v>varun.g208@example.com</v>
      </c>
      <c r="F323" s="43" t="str">
        <f>IF(B323="","",TRIM(INPUT!F323&amp;""))</f>
        <v>9000002711</v>
      </c>
      <c r="G323" s="28" t="str">
        <f>IF(B323="","",INPUT!H323)</f>
        <v>Round1</v>
      </c>
      <c r="H323" s="46">
        <f>IF(B323="","",INPUT!I323)</f>
        <v>46308.82708333333</v>
      </c>
      <c r="I323" s="28" t="str">
        <f>IF(B323="","",IF(INPUT!J323="","None",INPUT!J323))</f>
        <v>Opened</v>
      </c>
      <c r="J323" s="28" t="str">
        <f t="shared" si="55"/>
        <v>varun.g208@example.com|partner 001|Round1|interviewer2@partner001.example.com</v>
      </c>
      <c r="K323" s="28" t="str">
        <f>IF(B323="","",IF(SUMPRODUCT(($J$2:$J$601=J323)*($H$2:$H$601&lt;H323))+SUMPRODUCT(($J$2:J323=J323)*($H$2:H323=H323))-1&gt;0,"DUPLICATE",IF(AND(ISNUMBER(SEARCH("@",E323)),ISNUMBER(SEARCH(".",E323)),LEN(F323)=10,ISNUMBER(VALUE(F323))),"OK","BAD CONTACT")))</f>
        <v>OK</v>
      </c>
      <c r="L323" s="28">
        <f t="shared" si="56"/>
        <v>1</v>
      </c>
      <c r="M323" s="28">
        <f>IF(L323=1,IF(COUNTIFS(LOG!$C$2:$C$2001,F323,LOG!$E$2:$E$2001,B323,LOG!$D$2:$D$2001,"*BOOKED")+COUNTIFS(LOG!$C$2:$C$2001,F323,LOG!$E$2:$E$2001,"",LOG!$D$2:$D$2001,"*BOOKED")&gt;0,1,0),0)</f>
        <v>0</v>
      </c>
      <c r="N323" s="28">
        <f>IF(L323=1,IF(COUNTIFS(LOG!$C$2:$C$2001,F323,LOG!$E$2:$E$2001,B323,LOG!$D$2:$D$2001,"NOT_INTERESTED")+COUNTIFS(LOG!$C$2:$C$2001,F323,LOG!$E$2:$E$2001,"",LOG!$D$2:$D$2001,"NOT_INTERESTED")&gt;0,1,0),0)</f>
        <v>0</v>
      </c>
      <c r="O323" s="28">
        <f>IF(L323=1,IF(COUNTIFS(LOG!$C$2:$C$2001,F323,LOG!$D$2:$D$2001,"STOP")+COUNTIFS(LOG!$C$2:$C$2001,F323,LOG!$D$2:$D$2001,"WRONG_NUMBER")&gt;0,1,IF(ISNUMBER(SEARCH("STOP",AT323)),1,0)),0)</f>
        <v>0</v>
      </c>
      <c r="P323" s="28">
        <f>IF(L323=1,IF(IFERROR(INDEX(PARTNERS!$D$2:$D$88,MATCH(B323,PARTNERS!$A$2:$A$88,0)),"")="NO SLOTS",1,IF(AND(IFERROR(INDEX(PARTNERS!$D$2:$D$88,MATCH(B323,PARTNERS!$A$2:$A$88,0)),"")&lt;&gt;"REOPENED",COUNTIFS(LOG!$E$2:$E$2001,B323,LOG!$D$2:$D$2001,"NO_SLOTS")&gt;0),1,0)),0)</f>
        <v>0</v>
      </c>
      <c r="Q323" s="28">
        <f>IF(L323=1,COUNTIFS(LOG!$C$2:$C$2001,F323,LOG!$H$2:$H$2001,1),0)</f>
        <v>3</v>
      </c>
      <c r="R323" s="46">
        <f>IF(Q323&gt;0,_xlfn.MAXIFS(LOG!$G$2:$G$2001,LOG!$C$2:$C$2001,F323,LOG!$H$2:$H$2001,1),0)</f>
        <v>46309.712238135915</v>
      </c>
      <c r="S323" s="28" t="str">
        <f>IF(Q323&gt;0,IFERROR(INDEX(LOG!$D$2:$D$2001,MATCH(F323&amp;"|"&amp;Q323,LOG!$I$2:$I$2001,0)),""),"")</f>
        <v>NO_ANSWER</v>
      </c>
      <c r="T323" s="28">
        <f>IF(S323="",0,IFERROR(VLOOKUP(S323,LISTS!$A$2:$E$10,4,FALSE),0))</f>
        <v>120</v>
      </c>
      <c r="U323" s="46">
        <f t="shared" si="57"/>
        <v>46309.795571469251</v>
      </c>
      <c r="V323" s="46">
        <f>IF(L323=1,H323+SETTINGS!$B$5/24,"")</f>
        <v>46309.82708333333</v>
      </c>
      <c r="W323" s="28">
        <f ca="1">IF(L323=1,(V323-SETTINGS!$B$4)*24,"")</f>
        <v>-1.6666666720993817E-2</v>
      </c>
      <c r="X323" s="28">
        <f ca="1">IF(AND(L323=1,K323="OK",M323=0,N323=0,O323=0,P323=0,SETTINGS!$B$4&lt;V323,Q323&lt;SETTINGS!$B$6),1,0)</f>
        <v>0</v>
      </c>
      <c r="Y323" s="28">
        <f ca="1">IF(AND(X323=1,SETTINGS!$B$4&gt;=H323,SETTINGS!$B$4&gt;=U323,ROUND(MOD(SETTINGS!$B$4,1)*1440,0)&gt;=ROUND(SETTINGS!$B$7*1440,0),ROUND(MOD(SETTINGS!$B$4,1)*1440,0)&lt;ROUND(SETTINGS!$B$8*1440,0)),1,0)</f>
        <v>0</v>
      </c>
      <c r="Z323" s="28" t="str">
        <f ca="1">IF(B323="","",IF(ROUND(MOD(SETTINGS!$B$4,1)*1440,0)&lt;ROUND(SETTINGS!$B$11*1440,0),"Ram",IF(ROUND(MOD(SETTINGS!$B$4,1)*1440,0)&gt;=ROUND(SETTINGS!$B$10*1440,0),"Shyam",IF(MOD(IFERROR(VALUE(RIGHT(F323,2)),0),2)=0,"Ram","Shyam"))))</f>
        <v>Shyam</v>
      </c>
      <c r="AA323" s="28">
        <f t="shared" ca="1" si="58"/>
        <v>0</v>
      </c>
      <c r="AB323" s="28">
        <f ca="1">IF(X323=1,COUNTIFS($F$2:F323,F323,$X$2:X323,1),0)</f>
        <v>0</v>
      </c>
      <c r="AC323" s="28" t="str">
        <f>IF(L323=1,IF(IFERROR(INDEX(PARTNERS!$C$2:$C$88,MATCH(B323,PARTNERS!$A$2:$A$88,0)),"")="YES","YES","NO"),"")</f>
        <v>NO</v>
      </c>
      <c r="AD323" s="28" t="str">
        <f>IF(L323=1,IFERROR(INDEX(PARTNERS!$B$2:$B$88,MATCH(B323,PARTNERS!$A$2:$A$88,0)),""),"")</f>
        <v>https://calendly.com/partner001/interview</v>
      </c>
      <c r="AE323" s="28">
        <f ca="1">IF(X323=1,IFERROR(INDEX(SETTINGS!$B$34:$D$36,MATCH(I323,SETTINGS!$A$34:$A$36,0),MIN(Q323,2)+1),SETTINGS!$B$36),0)</f>
        <v>0</v>
      </c>
      <c r="AF323" s="28">
        <f t="shared" si="59"/>
        <v>1</v>
      </c>
      <c r="AG323" s="28">
        <f ca="1">IF(AND(Y323=1,AB323=1),ROUND(AA323*AE323*IF(AF323&gt;1,SETTINGS!$B$16,1)*IF(W323&lt;=SETTINGS!$B$14,SETTINGS!$B$15,1)*IF(AU323=1,SETTINGS!$B$21,1),6),0)</f>
        <v>0</v>
      </c>
      <c r="AH323" s="28" t="str">
        <f ca="1">IF(AG323&gt;0,COUNTIFS($Z$2:$Z$601,Z323,$AG$2:$AG$601,"&gt;"&amp;AG323)+COUNTIFS($Z$2:Z323,Z323,$AG$2:AG323,AG323),"")</f>
        <v/>
      </c>
      <c r="AI323" s="28" t="str">
        <f t="shared" ca="1" si="60"/>
        <v/>
      </c>
      <c r="AJ323" s="28" t="str">
        <f t="shared" ca="1" si="61"/>
        <v/>
      </c>
      <c r="AK323" s="28">
        <f>IF(L323=1,IF(COUNTIFS($F$2:F323,F323,$L$2:L323,1)=1,1,0),0)</f>
        <v>1</v>
      </c>
      <c r="AL323" s="28" t="str">
        <f ca="1">IF(B323="","",IF(K323="DUPLICATE","Duplicate (removed)",IF(AO323=1,"Scheduled within 24h",IF(M323=1,"Scheduled late",IF(K323="BAD CONTACT","Bad contact details",IF(O323=1,"Stopped / wrong number",IF(N323=1,"Not interested",IF(P323=1,"Partner has no slots",IF(SETTINGS!$B$4&gt;=V323,IF(Q323=0,"Missed deadline: never tried","Missed deadline: tried, not booked"),IF(Q323&gt;=SETTINGS!$B$6,"No reply after max tries","Open"))))))))))</f>
        <v>Missed deadline: tried, not booked</v>
      </c>
      <c r="AM323" s="46" t="str">
        <f>IF(M323=1,IF(_xlfn.MINIFS(LOG!$G$2:$G$2001,LOG!$C$2:$C$2001,F323,LOG!$E$2:$E$2001,B323,LOG!$D$2:$D$2001,"*BOOKED")=0,_xlfn.MINIFS(LOG!$G$2:$G$2001,LOG!$C$2:$C$2001,F323,LOG!$E$2:$E$2001,"",LOG!$D$2:$D$2001,"*BOOKED"),IF(_xlfn.MINIFS(LOG!$G$2:$G$2001,LOG!$C$2:$C$2001,F323,LOG!$E$2:$E$2001,"",LOG!$D$2:$D$2001,"*BOOKED")=0,_xlfn.MINIFS(LOG!$G$2:$G$2001,LOG!$C$2:$C$2001,F323,LOG!$E$2:$E$2001,B323,LOG!$D$2:$D$2001,"*BOOKED"),MIN(_xlfn.MINIFS(LOG!$G$2:$G$2001,LOG!$C$2:$C$2001,F323,LOG!$E$2:$E$2001,B323,LOG!$D$2:$D$2001,"*BOOKED"),_xlfn.MINIFS(LOG!$G$2:$G$2001,LOG!$C$2:$C$2001,F323,LOG!$E$2:$E$2001,"",LOG!$D$2:$D$2001,"*BOOKED")))),"")</f>
        <v/>
      </c>
      <c r="AN323" s="28" t="str">
        <f t="shared" si="62"/>
        <v/>
      </c>
      <c r="AO323" s="28">
        <f>IF(AND(M323=1,AN323&lt;&gt;""),IF(AN323&lt;=SETTINGS!$B$5,1,0),0)</f>
        <v>0</v>
      </c>
      <c r="AP323" s="28">
        <f>IF(M323=1,IF(COUNTIFS(LOG!$C$2:$C$2001,F323,LOG!$E$2:$E$2001,B323,LOG!$D$2:$D$2001,"BOOKED")+COUNTIFS(LOG!$C$2:$C$2001,F323,LOG!$E$2:$E$2001,"",LOG!$D$2:$D$2001,"BOOKED")&gt;0,1,0),0)</f>
        <v>0</v>
      </c>
      <c r="AQ323" s="28" t="str">
        <f t="shared" si="63"/>
        <v>Varun</v>
      </c>
      <c r="AR323" s="28">
        <f>IF(AND(AK323=1,K323="OK"),COUNTIFS($AK$2:AK323,1,$K$2:K323,"OK"),"")</f>
        <v>282</v>
      </c>
      <c r="AS323" s="28" t="str">
        <f>IF(L323=1,IFERROR(INDEX(MESSAGES!$J$9:$J$1008,MATCH(F323,MESSAGES!$M$9:$M$1008,0))&amp;"",""),"")</f>
        <v/>
      </c>
      <c r="AT323" s="28" t="str">
        <f>IF(L323=1,IFERROR(INDEX(MESSAGES!$K$9:$K$1008,MATCH(F323,MESSAGES!$M$9:$M$1008,0))&amp;"",""),"")</f>
        <v/>
      </c>
      <c r="AU323" s="28">
        <f t="shared" ca="1" si="64"/>
        <v>0</v>
      </c>
      <c r="AV323" s="28" t="str">
        <f t="shared" si="65"/>
        <v>HOLD</v>
      </c>
    </row>
    <row r="324" spans="1:48" x14ac:dyDescent="0.35">
      <c r="A324" s="28">
        <v>323</v>
      </c>
      <c r="B324" s="28" t="str">
        <f>IF(INPUT!A324="","",TRIM(INPUT!A324))</f>
        <v>Partner 054</v>
      </c>
      <c r="C324" s="28" t="str">
        <f>IF(B324="","",INPUT!C324)</f>
        <v>interviewer2@partner054.example.com</v>
      </c>
      <c r="D324" s="28" t="str">
        <f>IF(B324="","",INPUT!D324)</f>
        <v>Zoya G.</v>
      </c>
      <c r="E324" s="28" t="str">
        <f>IF(B324="","",INPUT!E324)</f>
        <v>zoya.g197@example.com</v>
      </c>
      <c r="F324" s="43" t="str">
        <f>IF(B324="","",TRIM(INPUT!F324&amp;""))</f>
        <v>9000002568</v>
      </c>
      <c r="G324" s="28" t="str">
        <f>IF(B324="","",INPUT!H324)</f>
        <v>Round1</v>
      </c>
      <c r="H324" s="46">
        <f>IF(B324="","",INPUT!I324)</f>
        <v>46308.82708333333</v>
      </c>
      <c r="I324" s="28" t="str">
        <f>IF(B324="","",IF(INPUT!J324="","None",INPUT!J324))</f>
        <v>Opened</v>
      </c>
      <c r="J324" s="28" t="str">
        <f t="shared" si="55"/>
        <v>zoya.g197@example.com|partner 054|Round1|interviewer2@partner054.example.com</v>
      </c>
      <c r="K324" s="28" t="str">
        <f>IF(B324="","",IF(SUMPRODUCT(($J$2:$J$601=J324)*($H$2:$H$601&lt;H324))+SUMPRODUCT(($J$2:J324=J324)*($H$2:H324=H324))-1&gt;0,"DUPLICATE",IF(AND(ISNUMBER(SEARCH("@",E324)),ISNUMBER(SEARCH(".",E324)),LEN(F324)=10,ISNUMBER(VALUE(F324))),"OK","BAD CONTACT")))</f>
        <v>OK</v>
      </c>
      <c r="L324" s="28">
        <f t="shared" si="56"/>
        <v>1</v>
      </c>
      <c r="M324" s="28">
        <f>IF(L324=1,IF(COUNTIFS(LOG!$C$2:$C$2001,F324,LOG!$E$2:$E$2001,B324,LOG!$D$2:$D$2001,"*BOOKED")+COUNTIFS(LOG!$C$2:$C$2001,F324,LOG!$E$2:$E$2001,"",LOG!$D$2:$D$2001,"*BOOKED")&gt;0,1,0),0)</f>
        <v>0</v>
      </c>
      <c r="N324" s="28">
        <f>IF(L324=1,IF(COUNTIFS(LOG!$C$2:$C$2001,F324,LOG!$E$2:$E$2001,B324,LOG!$D$2:$D$2001,"NOT_INTERESTED")+COUNTIFS(LOG!$C$2:$C$2001,F324,LOG!$E$2:$E$2001,"",LOG!$D$2:$D$2001,"NOT_INTERESTED")&gt;0,1,0),0)</f>
        <v>0</v>
      </c>
      <c r="O324" s="28">
        <f>IF(L324=1,IF(COUNTIFS(LOG!$C$2:$C$2001,F324,LOG!$D$2:$D$2001,"STOP")+COUNTIFS(LOG!$C$2:$C$2001,F324,LOG!$D$2:$D$2001,"WRONG_NUMBER")&gt;0,1,IF(ISNUMBER(SEARCH("STOP",AT324)),1,0)),0)</f>
        <v>0</v>
      </c>
      <c r="P324" s="28">
        <f>IF(L324=1,IF(IFERROR(INDEX(PARTNERS!$D$2:$D$88,MATCH(B324,PARTNERS!$A$2:$A$88,0)),"")="NO SLOTS",1,IF(AND(IFERROR(INDEX(PARTNERS!$D$2:$D$88,MATCH(B324,PARTNERS!$A$2:$A$88,0)),"")&lt;&gt;"REOPENED",COUNTIFS(LOG!$E$2:$E$2001,B324,LOG!$D$2:$D$2001,"NO_SLOTS")&gt;0),1,0)),0)</f>
        <v>0</v>
      </c>
      <c r="Q324" s="28">
        <f>IF(L324=1,COUNTIFS(LOG!$C$2:$C$2001,F324,LOG!$H$2:$H$2001,1),0)</f>
        <v>0</v>
      </c>
      <c r="R324" s="46">
        <f>IF(Q324&gt;0,_xlfn.MAXIFS(LOG!$G$2:$G$2001,LOG!$C$2:$C$2001,F324,LOG!$H$2:$H$2001,1),0)</f>
        <v>0</v>
      </c>
      <c r="S324" s="28" t="str">
        <f>IF(Q324&gt;0,IFERROR(INDEX(LOG!$D$2:$D$2001,MATCH(F324&amp;"|"&amp;Q324,LOG!$I$2:$I$2001,0)),""),"")</f>
        <v/>
      </c>
      <c r="T324" s="28">
        <f>IF(S324="",0,IFERROR(VLOOKUP(S324,LISTS!$A$2:$E$10,4,FALSE),0))</f>
        <v>0</v>
      </c>
      <c r="U324" s="46">
        <f t="shared" si="57"/>
        <v>0</v>
      </c>
      <c r="V324" s="46">
        <f>IF(L324=1,H324+SETTINGS!$B$5/24,"")</f>
        <v>46309.82708333333</v>
      </c>
      <c r="W324" s="28">
        <f ca="1">IF(L324=1,(V324-SETTINGS!$B$4)*24,"")</f>
        <v>-1.6666666720993817E-2</v>
      </c>
      <c r="X324" s="28">
        <f ca="1">IF(AND(L324=1,K324="OK",M324=0,N324=0,O324=0,P324=0,SETTINGS!$B$4&lt;V324,Q324&lt;SETTINGS!$B$6),1,0)</f>
        <v>0</v>
      </c>
      <c r="Y324" s="28">
        <f ca="1">IF(AND(X324=1,SETTINGS!$B$4&gt;=H324,SETTINGS!$B$4&gt;=U324,ROUND(MOD(SETTINGS!$B$4,1)*1440,0)&gt;=ROUND(SETTINGS!$B$7*1440,0),ROUND(MOD(SETTINGS!$B$4,1)*1440,0)&lt;ROUND(SETTINGS!$B$8*1440,0)),1,0)</f>
        <v>0</v>
      </c>
      <c r="Z324" s="28" t="str">
        <f ca="1">IF(B324="","",IF(ROUND(MOD(SETTINGS!$B$4,1)*1440,0)&lt;ROUND(SETTINGS!$B$11*1440,0),"Ram",IF(ROUND(MOD(SETTINGS!$B$4,1)*1440,0)&gt;=ROUND(SETTINGS!$B$10*1440,0),"Shyam",IF(MOD(IFERROR(VALUE(RIGHT(F324,2)),0),2)=0,"Ram","Shyam"))))</f>
        <v>Shyam</v>
      </c>
      <c r="AA324" s="28">
        <f t="shared" ca="1" si="58"/>
        <v>0</v>
      </c>
      <c r="AB324" s="28">
        <f ca="1">IF(X324=1,COUNTIFS($F$2:F324,F324,$X$2:X324,1),0)</f>
        <v>0</v>
      </c>
      <c r="AC324" s="28" t="str">
        <f>IF(L324=1,IF(IFERROR(INDEX(PARTNERS!$C$2:$C$88,MATCH(B324,PARTNERS!$A$2:$A$88,0)),"")="YES","YES","NO"),"")</f>
        <v>NO</v>
      </c>
      <c r="AD324" s="28" t="str">
        <f>IF(L324=1,IFERROR(INDEX(PARTNERS!$B$2:$B$88,MATCH(B324,PARTNERS!$A$2:$A$88,0)),""),"")</f>
        <v>https://calendly.com/partner054/interview</v>
      </c>
      <c r="AE324" s="28">
        <f ca="1">IF(X324=1,IFERROR(INDEX(SETTINGS!$B$34:$D$36,MATCH(I324,SETTINGS!$A$34:$A$36,0),MIN(Q324,2)+1),SETTINGS!$B$36),0)</f>
        <v>0</v>
      </c>
      <c r="AF324" s="28">
        <f t="shared" si="59"/>
        <v>1</v>
      </c>
      <c r="AG324" s="28">
        <f ca="1">IF(AND(Y324=1,AB324=1),ROUND(AA324*AE324*IF(AF324&gt;1,SETTINGS!$B$16,1)*IF(W324&lt;=SETTINGS!$B$14,SETTINGS!$B$15,1)*IF(AU324=1,SETTINGS!$B$21,1),6),0)</f>
        <v>0</v>
      </c>
      <c r="AH324" s="28" t="str">
        <f ca="1">IF(AG324&gt;0,COUNTIFS($Z$2:$Z$601,Z324,$AG$2:$AG$601,"&gt;"&amp;AG324)+COUNTIFS($Z$2:Z324,Z324,$AG$2:AG324,AG324),"")</f>
        <v/>
      </c>
      <c r="AI324" s="28" t="str">
        <f t="shared" ca="1" si="60"/>
        <v/>
      </c>
      <c r="AJ324" s="28" t="str">
        <f t="shared" ca="1" si="61"/>
        <v/>
      </c>
      <c r="AK324" s="28">
        <f>IF(L324=1,IF(COUNTIFS($F$2:F324,F324,$L$2:L324,1)=1,1,0),0)</f>
        <v>1</v>
      </c>
      <c r="AL324" s="28" t="str">
        <f ca="1">IF(B324="","",IF(K324="DUPLICATE","Duplicate (removed)",IF(AO324=1,"Scheduled within 24h",IF(M324=1,"Scheduled late",IF(K324="BAD CONTACT","Bad contact details",IF(O324=1,"Stopped / wrong number",IF(N324=1,"Not interested",IF(P324=1,"Partner has no slots",IF(SETTINGS!$B$4&gt;=V324,IF(Q324=0,"Missed deadline: never tried","Missed deadline: tried, not booked"),IF(Q324&gt;=SETTINGS!$B$6,"No reply after max tries","Open"))))))))))</f>
        <v>Missed deadline: never tried</v>
      </c>
      <c r="AM324" s="46" t="str">
        <f>IF(M324=1,IF(_xlfn.MINIFS(LOG!$G$2:$G$2001,LOG!$C$2:$C$2001,F324,LOG!$E$2:$E$2001,B324,LOG!$D$2:$D$2001,"*BOOKED")=0,_xlfn.MINIFS(LOG!$G$2:$G$2001,LOG!$C$2:$C$2001,F324,LOG!$E$2:$E$2001,"",LOG!$D$2:$D$2001,"*BOOKED"),IF(_xlfn.MINIFS(LOG!$G$2:$G$2001,LOG!$C$2:$C$2001,F324,LOG!$E$2:$E$2001,"",LOG!$D$2:$D$2001,"*BOOKED")=0,_xlfn.MINIFS(LOG!$G$2:$G$2001,LOG!$C$2:$C$2001,F324,LOG!$E$2:$E$2001,B324,LOG!$D$2:$D$2001,"*BOOKED"),MIN(_xlfn.MINIFS(LOG!$G$2:$G$2001,LOG!$C$2:$C$2001,F324,LOG!$E$2:$E$2001,B324,LOG!$D$2:$D$2001,"*BOOKED"),_xlfn.MINIFS(LOG!$G$2:$G$2001,LOG!$C$2:$C$2001,F324,LOG!$E$2:$E$2001,"",LOG!$D$2:$D$2001,"*BOOKED")))),"")</f>
        <v/>
      </c>
      <c r="AN324" s="28" t="str">
        <f t="shared" si="62"/>
        <v/>
      </c>
      <c r="AO324" s="28">
        <f>IF(AND(M324=1,AN324&lt;&gt;""),IF(AN324&lt;=SETTINGS!$B$5,1,0),0)</f>
        <v>0</v>
      </c>
      <c r="AP324" s="28">
        <f>IF(M324=1,IF(COUNTIFS(LOG!$C$2:$C$2001,F324,LOG!$E$2:$E$2001,B324,LOG!$D$2:$D$2001,"BOOKED")+COUNTIFS(LOG!$C$2:$C$2001,F324,LOG!$E$2:$E$2001,"",LOG!$D$2:$D$2001,"BOOKED")&gt;0,1,0),0)</f>
        <v>0</v>
      </c>
      <c r="AQ324" s="28" t="str">
        <f t="shared" si="63"/>
        <v>Zoya</v>
      </c>
      <c r="AR324" s="28">
        <f>IF(AND(AK324=1,K324="OK"),COUNTIFS($AK$2:AK324,1,$K$2:K324,"OK"),"")</f>
        <v>283</v>
      </c>
      <c r="AS324" s="28" t="str">
        <f>IF(L324=1,IFERROR(INDEX(MESSAGES!$J$9:$J$1008,MATCH(F324,MESSAGES!$M$9:$M$1008,0))&amp;"",""),"")</f>
        <v/>
      </c>
      <c r="AT324" s="28" t="str">
        <f>IF(L324=1,IFERROR(INDEX(MESSAGES!$K$9:$K$1008,MATCH(F324,MESSAGES!$M$9:$M$1008,0))&amp;"",""),"")</f>
        <v/>
      </c>
      <c r="AU324" s="28">
        <f t="shared" ca="1" si="64"/>
        <v>0</v>
      </c>
      <c r="AV324" s="28" t="str">
        <f t="shared" si="65"/>
        <v>SEND</v>
      </c>
    </row>
    <row r="325" spans="1:48" x14ac:dyDescent="0.35">
      <c r="A325" s="28">
        <v>324</v>
      </c>
      <c r="B325" s="28" t="str">
        <f>IF(INPUT!A325="","",TRIM(INPUT!A325))</f>
        <v>Partner 002</v>
      </c>
      <c r="C325" s="28" t="str">
        <f>IF(B325="","",INPUT!C325)</f>
        <v>interviewer0@partner002.example.com</v>
      </c>
      <c r="D325" s="28" t="str">
        <f>IF(B325="","",INPUT!D325)</f>
        <v>Rohan M.</v>
      </c>
      <c r="E325" s="28" t="str">
        <f>IF(B325="","",INPUT!E325)</f>
        <v>rohan.m340@example.com</v>
      </c>
      <c r="F325" s="43" t="str">
        <f>IF(B325="","",TRIM(INPUT!F325&amp;""))</f>
        <v>9000004427</v>
      </c>
      <c r="G325" s="28" t="str">
        <f>IF(B325="","",INPUT!H325)</f>
        <v>Round1</v>
      </c>
      <c r="H325" s="46">
        <f>IF(B325="","",INPUT!I325)</f>
        <v>46308.82708333333</v>
      </c>
      <c r="I325" s="28" t="str">
        <f>IF(B325="","",IF(INPUT!J325="","None",INPUT!J325))</f>
        <v>Opened</v>
      </c>
      <c r="J325" s="28" t="str">
        <f t="shared" si="55"/>
        <v>rohan.m340@example.com|partner 002|Round1|interviewer0@partner002.example.com</v>
      </c>
      <c r="K325" s="28" t="str">
        <f>IF(B325="","",IF(SUMPRODUCT(($J$2:$J$601=J325)*($H$2:$H$601&lt;H325))+SUMPRODUCT(($J$2:J325=J325)*($H$2:H325=H325))-1&gt;0,"DUPLICATE",IF(AND(ISNUMBER(SEARCH("@",E325)),ISNUMBER(SEARCH(".",E325)),LEN(F325)=10,ISNUMBER(VALUE(F325))),"OK","BAD CONTACT")))</f>
        <v>OK</v>
      </c>
      <c r="L325" s="28">
        <f t="shared" si="56"/>
        <v>1</v>
      </c>
      <c r="M325" s="28">
        <f>IF(L325=1,IF(COUNTIFS(LOG!$C$2:$C$2001,F325,LOG!$E$2:$E$2001,B325,LOG!$D$2:$D$2001,"*BOOKED")+COUNTIFS(LOG!$C$2:$C$2001,F325,LOG!$E$2:$E$2001,"",LOG!$D$2:$D$2001,"*BOOKED")&gt;0,1,0),0)</f>
        <v>1</v>
      </c>
      <c r="N325" s="28">
        <f>IF(L325=1,IF(COUNTIFS(LOG!$C$2:$C$2001,F325,LOG!$E$2:$E$2001,B325,LOG!$D$2:$D$2001,"NOT_INTERESTED")+COUNTIFS(LOG!$C$2:$C$2001,F325,LOG!$E$2:$E$2001,"",LOG!$D$2:$D$2001,"NOT_INTERESTED")&gt;0,1,0),0)</f>
        <v>0</v>
      </c>
      <c r="O325" s="28">
        <f>IF(L325=1,IF(COUNTIFS(LOG!$C$2:$C$2001,F325,LOG!$D$2:$D$2001,"STOP")+COUNTIFS(LOG!$C$2:$C$2001,F325,LOG!$D$2:$D$2001,"WRONG_NUMBER")&gt;0,1,IF(ISNUMBER(SEARCH("STOP",AT325)),1,0)),0)</f>
        <v>0</v>
      </c>
      <c r="P325" s="28">
        <f>IF(L325=1,IF(IFERROR(INDEX(PARTNERS!$D$2:$D$88,MATCH(B325,PARTNERS!$A$2:$A$88,0)),"")="NO SLOTS",1,IF(AND(IFERROR(INDEX(PARTNERS!$D$2:$D$88,MATCH(B325,PARTNERS!$A$2:$A$88,0)),"")&lt;&gt;"REOPENED",COUNTIFS(LOG!$E$2:$E$2001,B325,LOG!$D$2:$D$2001,"NO_SLOTS")&gt;0),1,0)),0)</f>
        <v>0</v>
      </c>
      <c r="Q325" s="28">
        <f>IF(L325=1,COUNTIFS(LOG!$C$2:$C$2001,F325,LOG!$H$2:$H$2001,1),0)</f>
        <v>1</v>
      </c>
      <c r="R325" s="46">
        <f>IF(Q325&gt;0,_xlfn.MAXIFS(LOG!$G$2:$G$2001,LOG!$C$2:$C$2001,F325,LOG!$H$2:$H$2001,1),0)</f>
        <v>46309.499735475416</v>
      </c>
      <c r="S325" s="28" t="str">
        <f>IF(Q325&gt;0,IFERROR(INDEX(LOG!$D$2:$D$2001,MATCH(F325&amp;"|"&amp;Q325,LOG!$I$2:$I$2001,0)),""),"")</f>
        <v>SENT_LINK</v>
      </c>
      <c r="T325" s="28">
        <f>IF(S325="",0,IFERROR(VLOOKUP(S325,LISTS!$A$2:$E$10,4,FALSE),0))</f>
        <v>180</v>
      </c>
      <c r="U325" s="46">
        <f t="shared" si="57"/>
        <v>46309.624735475416</v>
      </c>
      <c r="V325" s="46">
        <f>IF(L325=1,H325+SETTINGS!$B$5/24,"")</f>
        <v>46309.82708333333</v>
      </c>
      <c r="W325" s="28">
        <f ca="1">IF(L325=1,(V325-SETTINGS!$B$4)*24,"")</f>
        <v>-1.6666666720993817E-2</v>
      </c>
      <c r="X325" s="28">
        <f ca="1">IF(AND(L325=1,K325="OK",M325=0,N325=0,O325=0,P325=0,SETTINGS!$B$4&lt;V325,Q325&lt;SETTINGS!$B$6),1,0)</f>
        <v>0</v>
      </c>
      <c r="Y325" s="28">
        <f ca="1">IF(AND(X325=1,SETTINGS!$B$4&gt;=H325,SETTINGS!$B$4&gt;=U325,ROUND(MOD(SETTINGS!$B$4,1)*1440,0)&gt;=ROUND(SETTINGS!$B$7*1440,0),ROUND(MOD(SETTINGS!$B$4,1)*1440,0)&lt;ROUND(SETTINGS!$B$8*1440,0)),1,0)</f>
        <v>0</v>
      </c>
      <c r="Z325" s="28" t="str">
        <f ca="1">IF(B325="","",IF(ROUND(MOD(SETTINGS!$B$4,1)*1440,0)&lt;ROUND(SETTINGS!$B$11*1440,0),"Ram",IF(ROUND(MOD(SETTINGS!$B$4,1)*1440,0)&gt;=ROUND(SETTINGS!$B$10*1440,0),"Shyam",IF(MOD(IFERROR(VALUE(RIGHT(F325,2)),0),2)=0,"Ram","Shyam"))))</f>
        <v>Shyam</v>
      </c>
      <c r="AA325" s="28">
        <f t="shared" ca="1" si="58"/>
        <v>0</v>
      </c>
      <c r="AB325" s="28">
        <f ca="1">IF(X325=1,COUNTIFS($F$2:F325,F325,$X$2:X325,1),0)</f>
        <v>0</v>
      </c>
      <c r="AC325" s="28" t="str">
        <f>IF(L325=1,IF(IFERROR(INDEX(PARTNERS!$C$2:$C$88,MATCH(B325,PARTNERS!$A$2:$A$88,0)),"")="YES","YES","NO"),"")</f>
        <v>YES</v>
      </c>
      <c r="AD325" s="28" t="str">
        <f>IF(L325=1,IFERROR(INDEX(PARTNERS!$B$2:$B$88,MATCH(B325,PARTNERS!$A$2:$A$88,0)),""),"")</f>
        <v>https://calendly.com/partner002/interview</v>
      </c>
      <c r="AE325" s="28">
        <f ca="1">IF(X325=1,IFERROR(INDEX(SETTINGS!$B$34:$D$36,MATCH(I325,SETTINGS!$A$34:$A$36,0),MIN(Q325,2)+1),SETTINGS!$B$36),0)</f>
        <v>0</v>
      </c>
      <c r="AF325" s="28">
        <f t="shared" si="59"/>
        <v>1</v>
      </c>
      <c r="AG325" s="28">
        <f ca="1">IF(AND(Y325=1,AB325=1),ROUND(AA325*AE325*IF(AF325&gt;1,SETTINGS!$B$16,1)*IF(W325&lt;=SETTINGS!$B$14,SETTINGS!$B$15,1)*IF(AU325=1,SETTINGS!$B$21,1),6),0)</f>
        <v>0</v>
      </c>
      <c r="AH325" s="28" t="str">
        <f ca="1">IF(AG325&gt;0,COUNTIFS($Z$2:$Z$601,Z325,$AG$2:$AG$601,"&gt;"&amp;AG325)+COUNTIFS($Z$2:Z325,Z325,$AG$2:AG325,AG325),"")</f>
        <v/>
      </c>
      <c r="AI325" s="28" t="str">
        <f t="shared" ca="1" si="60"/>
        <v/>
      </c>
      <c r="AJ325" s="28" t="str">
        <f t="shared" ca="1" si="61"/>
        <v/>
      </c>
      <c r="AK325" s="28">
        <f>IF(L325=1,IF(COUNTIFS($F$2:F325,F325,$L$2:L325,1)=1,1,0),0)</f>
        <v>0</v>
      </c>
      <c r="AL325" s="28" t="str">
        <f>IF(B325="","",IF(K325="DUPLICATE","Duplicate (removed)",IF(AO325=1,"Scheduled within 24h",IF(M325=1,"Scheduled late",IF(K325="BAD CONTACT","Bad contact details",IF(O325=1,"Stopped / wrong number",IF(N325=1,"Not interested",IF(P325=1,"Partner has no slots",IF(SETTINGS!$B$4&gt;=V325,IF(Q325=0,"Missed deadline: never tried","Missed deadline: tried, not booked"),IF(Q325&gt;=SETTINGS!$B$6,"No reply after max tries","Open"))))))))))</f>
        <v>Scheduled within 24h</v>
      </c>
      <c r="AM325" s="46">
        <f>IF(M325=1,IF(_xlfn.MINIFS(LOG!$G$2:$G$2001,LOG!$C$2:$C$2001,F325,LOG!$E$2:$E$2001,B325,LOG!$D$2:$D$2001,"*BOOKED")=0,_xlfn.MINIFS(LOG!$G$2:$G$2001,LOG!$C$2:$C$2001,F325,LOG!$E$2:$E$2001,"",LOG!$D$2:$D$2001,"*BOOKED"),IF(_xlfn.MINIFS(LOG!$G$2:$G$2001,LOG!$C$2:$C$2001,F325,LOG!$E$2:$E$2001,"",LOG!$D$2:$D$2001,"*BOOKED")=0,_xlfn.MINIFS(LOG!$G$2:$G$2001,LOG!$C$2:$C$2001,F325,LOG!$E$2:$E$2001,B325,LOG!$D$2:$D$2001,"*BOOKED"),MIN(_xlfn.MINIFS(LOG!$G$2:$G$2001,LOG!$C$2:$C$2001,F325,LOG!$E$2:$E$2001,B325,LOG!$D$2:$D$2001,"*BOOKED"),_xlfn.MINIFS(LOG!$G$2:$G$2001,LOG!$C$2:$C$2001,F325,LOG!$E$2:$E$2001,"",LOG!$D$2:$D$2001,"*BOOKED")))),"")</f>
        <v>46309.499966956893</v>
      </c>
      <c r="AN325" s="28">
        <f t="shared" si="62"/>
        <v>16.149206965521444</v>
      </c>
      <c r="AO325" s="28">
        <f>IF(AND(M325=1,AN325&lt;&gt;""),IF(AN325&lt;=SETTINGS!$B$5,1,0),0)</f>
        <v>1</v>
      </c>
      <c r="AP325" s="28">
        <f>IF(M325=1,IF(COUNTIFS(LOG!$C$2:$C$2001,F325,LOG!$E$2:$E$2001,B325,LOG!$D$2:$D$2001,"BOOKED")+COUNTIFS(LOG!$C$2:$C$2001,F325,LOG!$E$2:$E$2001,"",LOG!$D$2:$D$2001,"BOOKED")&gt;0,1,0),0)</f>
        <v>1</v>
      </c>
      <c r="AQ325" s="28" t="str">
        <f t="shared" si="63"/>
        <v>Rohan</v>
      </c>
      <c r="AR325" s="28" t="str">
        <f>IF(AND(AK325=1,K325="OK"),COUNTIFS($AK$2:AK325,1,$K$2:K325,"OK"),"")</f>
        <v/>
      </c>
      <c r="AS325" s="28" t="str">
        <f>IF(L325=1,IFERROR(INDEX(MESSAGES!$J$9:$J$1008,MATCH(F325,MESSAGES!$M$9:$M$1008,0))&amp;"",""),"")</f>
        <v/>
      </c>
      <c r="AT325" s="28" t="str">
        <f>IF(L325=1,IFERROR(INDEX(MESSAGES!$K$9:$K$1008,MATCH(F325,MESSAGES!$M$9:$M$1008,0))&amp;"",""),"")</f>
        <v/>
      </c>
      <c r="AU325" s="28">
        <f t="shared" ca="1" si="64"/>
        <v>0</v>
      </c>
      <c r="AV325" s="28" t="str">
        <f t="shared" si="65"/>
        <v>SEND</v>
      </c>
    </row>
    <row r="326" spans="1:48" x14ac:dyDescent="0.35">
      <c r="A326" s="28">
        <v>325</v>
      </c>
      <c r="B326" s="28" t="str">
        <f>IF(INPUT!A326="","",TRIM(INPUT!A326))</f>
        <v>Partner 045</v>
      </c>
      <c r="C326" s="28" t="str">
        <f>IF(B326="","",INPUT!C326)</f>
        <v>interviewer1@partner045.example.com</v>
      </c>
      <c r="D326" s="28" t="str">
        <f>IF(B326="","",INPUT!D326)</f>
        <v>Diya N.</v>
      </c>
      <c r="E326" s="28" t="str">
        <f>IF(B326="","",INPUT!E326)</f>
        <v>diya.n361@example.com</v>
      </c>
      <c r="F326" s="43" t="str">
        <f>IF(B326="","",TRIM(INPUT!F326&amp;""))</f>
        <v>9000004700</v>
      </c>
      <c r="G326" s="28" t="str">
        <f>IF(B326="","",INPUT!H326)</f>
        <v>Round1</v>
      </c>
      <c r="H326" s="46">
        <f>IF(B326="","",INPUT!I326)</f>
        <v>46308.82708333333</v>
      </c>
      <c r="I326" s="28" t="str">
        <f>IF(B326="","",IF(INPUT!J326="","None",INPUT!J326))</f>
        <v>None</v>
      </c>
      <c r="J326" s="28" t="str">
        <f t="shared" si="55"/>
        <v>diya.n361@example.com|partner 045|Round1|interviewer1@partner045.example.com</v>
      </c>
      <c r="K326" s="28" t="str">
        <f>IF(B326="","",IF(SUMPRODUCT(($J$2:$J$601=J326)*($H$2:$H$601&lt;H326))+SUMPRODUCT(($J$2:J326=J326)*($H$2:H326=H326))-1&gt;0,"DUPLICATE",IF(AND(ISNUMBER(SEARCH("@",E326)),ISNUMBER(SEARCH(".",E326)),LEN(F326)=10,ISNUMBER(VALUE(F326))),"OK","BAD CONTACT")))</f>
        <v>OK</v>
      </c>
      <c r="L326" s="28">
        <f t="shared" si="56"/>
        <v>1</v>
      </c>
      <c r="M326" s="28">
        <f>IF(L326=1,IF(COUNTIFS(LOG!$C$2:$C$2001,F326,LOG!$E$2:$E$2001,B326,LOG!$D$2:$D$2001,"*BOOKED")+COUNTIFS(LOG!$C$2:$C$2001,F326,LOG!$E$2:$E$2001,"",LOG!$D$2:$D$2001,"*BOOKED")&gt;0,1,0),0)</f>
        <v>1</v>
      </c>
      <c r="N326" s="28">
        <f>IF(L326=1,IF(COUNTIFS(LOG!$C$2:$C$2001,F326,LOG!$E$2:$E$2001,B326,LOG!$D$2:$D$2001,"NOT_INTERESTED")+COUNTIFS(LOG!$C$2:$C$2001,F326,LOG!$E$2:$E$2001,"",LOG!$D$2:$D$2001,"NOT_INTERESTED")&gt;0,1,0),0)</f>
        <v>0</v>
      </c>
      <c r="O326" s="28">
        <f>IF(L326=1,IF(COUNTIFS(LOG!$C$2:$C$2001,F326,LOG!$D$2:$D$2001,"STOP")+COUNTIFS(LOG!$C$2:$C$2001,F326,LOG!$D$2:$D$2001,"WRONG_NUMBER")&gt;0,1,IF(ISNUMBER(SEARCH("STOP",AT326)),1,0)),0)</f>
        <v>0</v>
      </c>
      <c r="P326" s="28">
        <f>IF(L326=1,IF(IFERROR(INDEX(PARTNERS!$D$2:$D$88,MATCH(B326,PARTNERS!$A$2:$A$88,0)),"")="NO SLOTS",1,IF(AND(IFERROR(INDEX(PARTNERS!$D$2:$D$88,MATCH(B326,PARTNERS!$A$2:$A$88,0)),"")&lt;&gt;"REOPENED",COUNTIFS(LOG!$E$2:$E$2001,B326,LOG!$D$2:$D$2001,"NO_SLOTS")&gt;0),1,0)),0)</f>
        <v>0</v>
      </c>
      <c r="Q326" s="28">
        <f>IF(L326=1,COUNTIFS(LOG!$C$2:$C$2001,F326,LOG!$H$2:$H$2001,1),0)</f>
        <v>0</v>
      </c>
      <c r="R326" s="46">
        <f>IF(Q326&gt;0,_xlfn.MAXIFS(LOG!$G$2:$G$2001,LOG!$C$2:$C$2001,F326,LOG!$H$2:$H$2001,1),0)</f>
        <v>0</v>
      </c>
      <c r="S326" s="28" t="str">
        <f>IF(Q326&gt;0,IFERROR(INDEX(LOG!$D$2:$D$2001,MATCH(F326&amp;"|"&amp;Q326,LOG!$I$2:$I$2001,0)),""),"")</f>
        <v/>
      </c>
      <c r="T326" s="28">
        <f>IF(S326="",0,IFERROR(VLOOKUP(S326,LISTS!$A$2:$E$10,4,FALSE),0))</f>
        <v>0</v>
      </c>
      <c r="U326" s="46">
        <f t="shared" si="57"/>
        <v>0</v>
      </c>
      <c r="V326" s="46">
        <f>IF(L326=1,H326+SETTINGS!$B$5/24,"")</f>
        <v>46309.82708333333</v>
      </c>
      <c r="W326" s="28">
        <f ca="1">IF(L326=1,(V326-SETTINGS!$B$4)*24,"")</f>
        <v>-1.6666666720993817E-2</v>
      </c>
      <c r="X326" s="28">
        <f ca="1">IF(AND(L326=1,K326="OK",M326=0,N326=0,O326=0,P326=0,SETTINGS!$B$4&lt;V326,Q326&lt;SETTINGS!$B$6),1,0)</f>
        <v>0</v>
      </c>
      <c r="Y326" s="28">
        <f ca="1">IF(AND(X326=1,SETTINGS!$B$4&gt;=H326,SETTINGS!$B$4&gt;=U326,ROUND(MOD(SETTINGS!$B$4,1)*1440,0)&gt;=ROUND(SETTINGS!$B$7*1440,0),ROUND(MOD(SETTINGS!$B$4,1)*1440,0)&lt;ROUND(SETTINGS!$B$8*1440,0)),1,0)</f>
        <v>0</v>
      </c>
      <c r="Z326" s="28" t="str">
        <f ca="1">IF(B326="","",IF(ROUND(MOD(SETTINGS!$B$4,1)*1440,0)&lt;ROUND(SETTINGS!$B$11*1440,0),"Ram",IF(ROUND(MOD(SETTINGS!$B$4,1)*1440,0)&gt;=ROUND(SETTINGS!$B$10*1440,0),"Shyam",IF(MOD(IFERROR(VALUE(RIGHT(F326,2)),0),2)=0,"Ram","Shyam"))))</f>
        <v>Shyam</v>
      </c>
      <c r="AA326" s="28">
        <f t="shared" ca="1" si="58"/>
        <v>0</v>
      </c>
      <c r="AB326" s="28">
        <f ca="1">IF(X326=1,COUNTIFS($F$2:F326,F326,$X$2:X326,1),0)</f>
        <v>0</v>
      </c>
      <c r="AC326" s="28" t="str">
        <f>IF(L326=1,IF(IFERROR(INDEX(PARTNERS!$C$2:$C$88,MATCH(B326,PARTNERS!$A$2:$A$88,0)),"")="YES","YES","NO"),"")</f>
        <v>YES</v>
      </c>
      <c r="AD326" s="28" t="str">
        <f>IF(L326=1,IFERROR(INDEX(PARTNERS!$B$2:$B$88,MATCH(B326,PARTNERS!$A$2:$A$88,0)),""),"")</f>
        <v>https://calendly.com/partner045/interview</v>
      </c>
      <c r="AE326" s="28">
        <f ca="1">IF(X326=1,IFERROR(INDEX(SETTINGS!$B$34:$D$36,MATCH(I326,SETTINGS!$A$34:$A$36,0),MIN(Q326,2)+1),SETTINGS!$B$36),0)</f>
        <v>0</v>
      </c>
      <c r="AF326" s="28">
        <f t="shared" si="59"/>
        <v>1</v>
      </c>
      <c r="AG326" s="28">
        <f ca="1">IF(AND(Y326=1,AB326=1),ROUND(AA326*AE326*IF(AF326&gt;1,SETTINGS!$B$16,1)*IF(W326&lt;=SETTINGS!$B$14,SETTINGS!$B$15,1)*IF(AU326=1,SETTINGS!$B$21,1),6),0)</f>
        <v>0</v>
      </c>
      <c r="AH326" s="28" t="str">
        <f ca="1">IF(AG326&gt;0,COUNTIFS($Z$2:$Z$601,Z326,$AG$2:$AG$601,"&gt;"&amp;AG326)+COUNTIFS($Z$2:Z326,Z326,$AG$2:AG326,AG326),"")</f>
        <v/>
      </c>
      <c r="AI326" s="28" t="str">
        <f t="shared" ca="1" si="60"/>
        <v/>
      </c>
      <c r="AJ326" s="28" t="str">
        <f t="shared" ca="1" si="61"/>
        <v/>
      </c>
      <c r="AK326" s="28">
        <f>IF(L326=1,IF(COUNTIFS($F$2:F326,F326,$L$2:L326,1)=1,1,0),0)</f>
        <v>1</v>
      </c>
      <c r="AL326" s="28" t="str">
        <f>IF(B326="","",IF(K326="DUPLICATE","Duplicate (removed)",IF(AO326=1,"Scheduled within 24h",IF(M326=1,"Scheduled late",IF(K326="BAD CONTACT","Bad contact details",IF(O326=1,"Stopped / wrong number",IF(N326=1,"Not interested",IF(P326=1,"Partner has no slots",IF(SETTINGS!$B$4&gt;=V326,IF(Q326=0,"Missed deadline: never tried","Missed deadline: tried, not booked"),IF(Q326&gt;=SETTINGS!$B$6,"No reply after max tries","Open"))))))))))</f>
        <v>Scheduled within 24h</v>
      </c>
      <c r="AM326" s="46">
        <f>IF(M326=1,IF(_xlfn.MINIFS(LOG!$G$2:$G$2001,LOG!$C$2:$C$2001,F326,LOG!$E$2:$E$2001,B326,LOG!$D$2:$D$2001,"*BOOKED")=0,_xlfn.MINIFS(LOG!$G$2:$G$2001,LOG!$C$2:$C$2001,F326,LOG!$E$2:$E$2001,"",LOG!$D$2:$D$2001,"*BOOKED"),IF(_xlfn.MINIFS(LOG!$G$2:$G$2001,LOG!$C$2:$C$2001,F326,LOG!$E$2:$E$2001,"",LOG!$D$2:$D$2001,"*BOOKED")=0,_xlfn.MINIFS(LOG!$G$2:$G$2001,LOG!$C$2:$C$2001,F326,LOG!$E$2:$E$2001,B326,LOG!$D$2:$D$2001,"*BOOKED"),MIN(_xlfn.MINIFS(LOG!$G$2:$G$2001,LOG!$C$2:$C$2001,F326,LOG!$E$2:$E$2001,B326,LOG!$D$2:$D$2001,"*BOOKED"),_xlfn.MINIFS(LOG!$G$2:$G$2001,LOG!$C$2:$C$2001,F326,LOG!$E$2:$E$2001,"",LOG!$D$2:$D$2001,"*BOOKED")))),"")</f>
        <v>46308.905216339481</v>
      </c>
      <c r="AN326" s="28">
        <f t="shared" si="62"/>
        <v>1.8751921476214193</v>
      </c>
      <c r="AO326" s="28">
        <f>IF(AND(M326=1,AN326&lt;&gt;""),IF(AN326&lt;=SETTINGS!$B$5,1,0),0)</f>
        <v>1</v>
      </c>
      <c r="AP326" s="28">
        <f>IF(M326=1,IF(COUNTIFS(LOG!$C$2:$C$2001,F326,LOG!$E$2:$E$2001,B326,LOG!$D$2:$D$2001,"BOOKED")+COUNTIFS(LOG!$C$2:$C$2001,F326,LOG!$E$2:$E$2001,"",LOG!$D$2:$D$2001,"BOOKED")&gt;0,1,0),0)</f>
        <v>0</v>
      </c>
      <c r="AQ326" s="28" t="str">
        <f t="shared" si="63"/>
        <v>Diya</v>
      </c>
      <c r="AR326" s="28">
        <f>IF(AND(AK326=1,K326="OK"),COUNTIFS($AK$2:AK326,1,$K$2:K326,"OK"),"")</f>
        <v>284</v>
      </c>
      <c r="AS326" s="28" t="str">
        <f>IF(L326=1,IFERROR(INDEX(MESSAGES!$J$9:$J$1008,MATCH(F326,MESSAGES!$M$9:$M$1008,0))&amp;"",""),"")</f>
        <v/>
      </c>
      <c r="AT326" s="28" t="str">
        <f>IF(L326=1,IFERROR(INDEX(MESSAGES!$K$9:$K$1008,MATCH(F326,MESSAGES!$M$9:$M$1008,0))&amp;"",""),"")</f>
        <v/>
      </c>
      <c r="AU326" s="28">
        <f t="shared" ca="1" si="64"/>
        <v>0</v>
      </c>
      <c r="AV326" s="28" t="str">
        <f t="shared" si="65"/>
        <v>SEND</v>
      </c>
    </row>
    <row r="327" spans="1:48" x14ac:dyDescent="0.35">
      <c r="A327" s="28">
        <v>326</v>
      </c>
      <c r="B327" s="28" t="str">
        <f>IF(INPUT!A327="","",TRIM(INPUT!A327))</f>
        <v>Partner 001</v>
      </c>
      <c r="C327" s="28" t="str">
        <f>IF(B327="","",INPUT!C327)</f>
        <v>interviewer1@partner001.example.com</v>
      </c>
      <c r="D327" s="28" t="str">
        <f>IF(B327="","",INPUT!D327)</f>
        <v>Ananya N.</v>
      </c>
      <c r="E327" s="28" t="str">
        <f>IF(B327="","",INPUT!E327)</f>
        <v>ananya.n363@example.com</v>
      </c>
      <c r="F327" s="43" t="str">
        <f>IF(B327="","",TRIM(INPUT!F327&amp;""))</f>
        <v>9000004726</v>
      </c>
      <c r="G327" s="28" t="str">
        <f>IF(B327="","",INPUT!H327)</f>
        <v>Round1</v>
      </c>
      <c r="H327" s="46">
        <f>IF(B327="","",INPUT!I327)</f>
        <v>46308.82708333333</v>
      </c>
      <c r="I327" s="28" t="str">
        <f>IF(B327="","",IF(INPUT!J327="","None",INPUT!J327))</f>
        <v>Clicked</v>
      </c>
      <c r="J327" s="28" t="str">
        <f t="shared" si="55"/>
        <v>ananya.n363@example.com|partner 001|Round1|interviewer1@partner001.example.com</v>
      </c>
      <c r="K327" s="28" t="str">
        <f>IF(B327="","",IF(SUMPRODUCT(($J$2:$J$601=J327)*($H$2:$H$601&lt;H327))+SUMPRODUCT(($J$2:J327=J327)*($H$2:H327=H327))-1&gt;0,"DUPLICATE",IF(AND(ISNUMBER(SEARCH("@",E327)),ISNUMBER(SEARCH(".",E327)),LEN(F327)=10,ISNUMBER(VALUE(F327))),"OK","BAD CONTACT")))</f>
        <v>OK</v>
      </c>
      <c r="L327" s="28">
        <f t="shared" si="56"/>
        <v>1</v>
      </c>
      <c r="M327" s="28">
        <f>IF(L327=1,IF(COUNTIFS(LOG!$C$2:$C$2001,F327,LOG!$E$2:$E$2001,B327,LOG!$D$2:$D$2001,"*BOOKED")+COUNTIFS(LOG!$C$2:$C$2001,F327,LOG!$E$2:$E$2001,"",LOG!$D$2:$D$2001,"*BOOKED")&gt;0,1,0),0)</f>
        <v>1</v>
      </c>
      <c r="N327" s="28">
        <f>IF(L327=1,IF(COUNTIFS(LOG!$C$2:$C$2001,F327,LOG!$E$2:$E$2001,B327,LOG!$D$2:$D$2001,"NOT_INTERESTED")+COUNTIFS(LOG!$C$2:$C$2001,F327,LOG!$E$2:$E$2001,"",LOG!$D$2:$D$2001,"NOT_INTERESTED")&gt;0,1,0),0)</f>
        <v>0</v>
      </c>
      <c r="O327" s="28">
        <f>IF(L327=1,IF(COUNTIFS(LOG!$C$2:$C$2001,F327,LOG!$D$2:$D$2001,"STOP")+COUNTIFS(LOG!$C$2:$C$2001,F327,LOG!$D$2:$D$2001,"WRONG_NUMBER")&gt;0,1,IF(ISNUMBER(SEARCH("STOP",AT327)),1,0)),0)</f>
        <v>0</v>
      </c>
      <c r="P327" s="28">
        <f>IF(L327=1,IF(IFERROR(INDEX(PARTNERS!$D$2:$D$88,MATCH(B327,PARTNERS!$A$2:$A$88,0)),"")="NO SLOTS",1,IF(AND(IFERROR(INDEX(PARTNERS!$D$2:$D$88,MATCH(B327,PARTNERS!$A$2:$A$88,0)),"")&lt;&gt;"REOPENED",COUNTIFS(LOG!$E$2:$E$2001,B327,LOG!$D$2:$D$2001,"NO_SLOTS")&gt;0),1,0)),0)</f>
        <v>0</v>
      </c>
      <c r="Q327" s="28">
        <f>IF(L327=1,COUNTIFS(LOG!$C$2:$C$2001,F327,LOG!$H$2:$H$2001,1),0)</f>
        <v>0</v>
      </c>
      <c r="R327" s="46">
        <f>IF(Q327&gt;0,_xlfn.MAXIFS(LOG!$G$2:$G$2001,LOG!$C$2:$C$2001,F327,LOG!$H$2:$H$2001,1),0)</f>
        <v>0</v>
      </c>
      <c r="S327" s="28" t="str">
        <f>IF(Q327&gt;0,IFERROR(INDEX(LOG!$D$2:$D$2001,MATCH(F327&amp;"|"&amp;Q327,LOG!$I$2:$I$2001,0)),""),"")</f>
        <v/>
      </c>
      <c r="T327" s="28">
        <f>IF(S327="",0,IFERROR(VLOOKUP(S327,LISTS!$A$2:$E$10,4,FALSE),0))</f>
        <v>0</v>
      </c>
      <c r="U327" s="46">
        <f t="shared" si="57"/>
        <v>0</v>
      </c>
      <c r="V327" s="46">
        <f>IF(L327=1,H327+SETTINGS!$B$5/24,"")</f>
        <v>46309.82708333333</v>
      </c>
      <c r="W327" s="28">
        <f ca="1">IF(L327=1,(V327-SETTINGS!$B$4)*24,"")</f>
        <v>-1.6666666720993817E-2</v>
      </c>
      <c r="X327" s="28">
        <f ca="1">IF(AND(L327=1,K327="OK",M327=0,N327=0,O327=0,P327=0,SETTINGS!$B$4&lt;V327,Q327&lt;SETTINGS!$B$6),1,0)</f>
        <v>0</v>
      </c>
      <c r="Y327" s="28">
        <f ca="1">IF(AND(X327=1,SETTINGS!$B$4&gt;=H327,SETTINGS!$B$4&gt;=U327,ROUND(MOD(SETTINGS!$B$4,1)*1440,0)&gt;=ROUND(SETTINGS!$B$7*1440,0),ROUND(MOD(SETTINGS!$B$4,1)*1440,0)&lt;ROUND(SETTINGS!$B$8*1440,0)),1,0)</f>
        <v>0</v>
      </c>
      <c r="Z327" s="28" t="str">
        <f ca="1">IF(B327="","",IF(ROUND(MOD(SETTINGS!$B$4,1)*1440,0)&lt;ROUND(SETTINGS!$B$11*1440,0),"Ram",IF(ROUND(MOD(SETTINGS!$B$4,1)*1440,0)&gt;=ROUND(SETTINGS!$B$10*1440,0),"Shyam",IF(MOD(IFERROR(VALUE(RIGHT(F327,2)),0),2)=0,"Ram","Shyam"))))</f>
        <v>Shyam</v>
      </c>
      <c r="AA327" s="28">
        <f t="shared" ca="1" si="58"/>
        <v>0</v>
      </c>
      <c r="AB327" s="28">
        <f ca="1">IF(X327=1,COUNTIFS($F$2:F327,F327,$X$2:X327,1),0)</f>
        <v>0</v>
      </c>
      <c r="AC327" s="28" t="str">
        <f>IF(L327=1,IF(IFERROR(INDEX(PARTNERS!$C$2:$C$88,MATCH(B327,PARTNERS!$A$2:$A$88,0)),"")="YES","YES","NO"),"")</f>
        <v>NO</v>
      </c>
      <c r="AD327" s="28" t="str">
        <f>IF(L327=1,IFERROR(INDEX(PARTNERS!$B$2:$B$88,MATCH(B327,PARTNERS!$A$2:$A$88,0)),""),"")</f>
        <v>https://calendly.com/partner001/interview</v>
      </c>
      <c r="AE327" s="28">
        <f ca="1">IF(X327=1,IFERROR(INDEX(SETTINGS!$B$34:$D$36,MATCH(I327,SETTINGS!$A$34:$A$36,0),MIN(Q327,2)+1),SETTINGS!$B$36),0)</f>
        <v>0</v>
      </c>
      <c r="AF327" s="28">
        <f t="shared" si="59"/>
        <v>1</v>
      </c>
      <c r="AG327" s="28">
        <f ca="1">IF(AND(Y327=1,AB327=1),ROUND(AA327*AE327*IF(AF327&gt;1,SETTINGS!$B$16,1)*IF(W327&lt;=SETTINGS!$B$14,SETTINGS!$B$15,1)*IF(AU327=1,SETTINGS!$B$21,1),6),0)</f>
        <v>0</v>
      </c>
      <c r="AH327" s="28" t="str">
        <f ca="1">IF(AG327&gt;0,COUNTIFS($Z$2:$Z$601,Z327,$AG$2:$AG$601,"&gt;"&amp;AG327)+COUNTIFS($Z$2:Z327,Z327,$AG$2:AG327,AG327),"")</f>
        <v/>
      </c>
      <c r="AI327" s="28" t="str">
        <f t="shared" ca="1" si="60"/>
        <v/>
      </c>
      <c r="AJ327" s="28" t="str">
        <f t="shared" ca="1" si="61"/>
        <v/>
      </c>
      <c r="AK327" s="28">
        <f>IF(L327=1,IF(COUNTIFS($F$2:F327,F327,$L$2:L327,1)=1,1,0),0)</f>
        <v>1</v>
      </c>
      <c r="AL327" s="28" t="str">
        <f>IF(B327="","",IF(K327="DUPLICATE","Duplicate (removed)",IF(AO327=1,"Scheduled within 24h",IF(M327=1,"Scheduled late",IF(K327="BAD CONTACT","Bad contact details",IF(O327=1,"Stopped / wrong number",IF(N327=1,"Not interested",IF(P327=1,"Partner has no slots",IF(SETTINGS!$B$4&gt;=V327,IF(Q327=0,"Missed deadline: never tried","Missed deadline: tried, not booked"),IF(Q327&gt;=SETTINGS!$B$6,"No reply after max tries","Open"))))))))))</f>
        <v>Scheduled within 24h</v>
      </c>
      <c r="AM327" s="46">
        <f>IF(M327=1,IF(_xlfn.MINIFS(LOG!$G$2:$G$2001,LOG!$C$2:$C$2001,F327,LOG!$E$2:$E$2001,B327,LOG!$D$2:$D$2001,"*BOOKED")=0,_xlfn.MINIFS(LOG!$G$2:$G$2001,LOG!$C$2:$C$2001,F327,LOG!$E$2:$E$2001,"",LOG!$D$2:$D$2001,"*BOOKED"),IF(_xlfn.MINIFS(LOG!$G$2:$G$2001,LOG!$C$2:$C$2001,F327,LOG!$E$2:$E$2001,"",LOG!$D$2:$D$2001,"*BOOKED")=0,_xlfn.MINIFS(LOG!$G$2:$G$2001,LOG!$C$2:$C$2001,F327,LOG!$E$2:$E$2001,B327,LOG!$D$2:$D$2001,"*BOOKED"),MIN(_xlfn.MINIFS(LOG!$G$2:$G$2001,LOG!$C$2:$C$2001,F327,LOG!$E$2:$E$2001,B327,LOG!$D$2:$D$2001,"*BOOKED"),_xlfn.MINIFS(LOG!$G$2:$G$2001,LOG!$C$2:$C$2001,F327,LOG!$E$2:$E$2001,"",LOG!$D$2:$D$2001,"*BOOKED")))),"")</f>
        <v>46309.320030873896</v>
      </c>
      <c r="AN327" s="28">
        <f t="shared" si="62"/>
        <v>11.830740973586217</v>
      </c>
      <c r="AO327" s="28">
        <f>IF(AND(M327=1,AN327&lt;&gt;""),IF(AN327&lt;=SETTINGS!$B$5,1,0),0)</f>
        <v>1</v>
      </c>
      <c r="AP327" s="28">
        <f>IF(M327=1,IF(COUNTIFS(LOG!$C$2:$C$2001,F327,LOG!$E$2:$E$2001,B327,LOG!$D$2:$D$2001,"BOOKED")+COUNTIFS(LOG!$C$2:$C$2001,F327,LOG!$E$2:$E$2001,"",LOG!$D$2:$D$2001,"BOOKED")&gt;0,1,0),0)</f>
        <v>0</v>
      </c>
      <c r="AQ327" s="28" t="str">
        <f t="shared" si="63"/>
        <v>Ananya</v>
      </c>
      <c r="AR327" s="28">
        <f>IF(AND(AK327=1,K327="OK"),COUNTIFS($AK$2:AK327,1,$K$2:K327,"OK"),"")</f>
        <v>285</v>
      </c>
      <c r="AS327" s="28" t="str">
        <f>IF(L327=1,IFERROR(INDEX(MESSAGES!$J$9:$J$1008,MATCH(F327,MESSAGES!$M$9:$M$1008,0))&amp;"",""),"")</f>
        <v/>
      </c>
      <c r="AT327" s="28" t="str">
        <f>IF(L327=1,IFERROR(INDEX(MESSAGES!$K$9:$K$1008,MATCH(F327,MESSAGES!$M$9:$M$1008,0))&amp;"",""),"")</f>
        <v/>
      </c>
      <c r="AU327" s="28">
        <f t="shared" ca="1" si="64"/>
        <v>0</v>
      </c>
      <c r="AV327" s="28" t="str">
        <f t="shared" si="65"/>
        <v>SEND</v>
      </c>
    </row>
    <row r="328" spans="1:48" x14ac:dyDescent="0.35">
      <c r="A328" s="28">
        <v>327</v>
      </c>
      <c r="B328" s="28" t="str">
        <f>IF(INPUT!A328="","",TRIM(INPUT!A328))</f>
        <v>Partner 000</v>
      </c>
      <c r="C328" s="28" t="str">
        <f>IF(B328="","",INPUT!C328)</f>
        <v>interviewer1@partner000.example.com</v>
      </c>
      <c r="D328" s="28" t="str">
        <f>IF(B328="","",INPUT!D328)</f>
        <v>Rohan E.</v>
      </c>
      <c r="E328" s="28" t="str">
        <f>IF(B328="","",INPUT!E328)</f>
        <v>rohan.e130@example.com</v>
      </c>
      <c r="F328" s="43" t="str">
        <f>IF(B328="","",TRIM(INPUT!F328&amp;""))</f>
        <v>9000001697</v>
      </c>
      <c r="G328" s="28" t="str">
        <f>IF(B328="","",INPUT!H328)</f>
        <v>Round1</v>
      </c>
      <c r="H328" s="46">
        <f>IF(B328="","",INPUT!I328)</f>
        <v>46308.82708333333</v>
      </c>
      <c r="I328" s="28" t="str">
        <f>IF(B328="","",IF(INPUT!J328="","None",INPUT!J328))</f>
        <v>Opened</v>
      </c>
      <c r="J328" s="28" t="str">
        <f t="shared" si="55"/>
        <v>rohan.e130@example.com|partner 000|Round1|interviewer1@partner000.example.com</v>
      </c>
      <c r="K328" s="28" t="str">
        <f>IF(B328="","",IF(SUMPRODUCT(($J$2:$J$601=J328)*($H$2:$H$601&lt;H328))+SUMPRODUCT(($J$2:J328=J328)*($H$2:H328=H328))-1&gt;0,"DUPLICATE",IF(AND(ISNUMBER(SEARCH("@",E328)),ISNUMBER(SEARCH(".",E328)),LEN(F328)=10,ISNUMBER(VALUE(F328))),"OK","BAD CONTACT")))</f>
        <v>OK</v>
      </c>
      <c r="L328" s="28">
        <f t="shared" si="56"/>
        <v>1</v>
      </c>
      <c r="M328" s="28">
        <f>IF(L328=1,IF(COUNTIFS(LOG!$C$2:$C$2001,F328,LOG!$E$2:$E$2001,B328,LOG!$D$2:$D$2001,"*BOOKED")+COUNTIFS(LOG!$C$2:$C$2001,F328,LOG!$E$2:$E$2001,"",LOG!$D$2:$D$2001,"*BOOKED")&gt;0,1,0),0)</f>
        <v>1</v>
      </c>
      <c r="N328" s="28">
        <f>IF(L328=1,IF(COUNTIFS(LOG!$C$2:$C$2001,F328,LOG!$E$2:$E$2001,B328,LOG!$D$2:$D$2001,"NOT_INTERESTED")+COUNTIFS(LOG!$C$2:$C$2001,F328,LOG!$E$2:$E$2001,"",LOG!$D$2:$D$2001,"NOT_INTERESTED")&gt;0,1,0),0)</f>
        <v>0</v>
      </c>
      <c r="O328" s="28">
        <f>IF(L328=1,IF(COUNTIFS(LOG!$C$2:$C$2001,F328,LOG!$D$2:$D$2001,"STOP")+COUNTIFS(LOG!$C$2:$C$2001,F328,LOG!$D$2:$D$2001,"WRONG_NUMBER")&gt;0,1,IF(ISNUMBER(SEARCH("STOP",AT328)),1,0)),0)</f>
        <v>0</v>
      </c>
      <c r="P328" s="28">
        <f>IF(L328=1,IF(IFERROR(INDEX(PARTNERS!$D$2:$D$88,MATCH(B328,PARTNERS!$A$2:$A$88,0)),"")="NO SLOTS",1,IF(AND(IFERROR(INDEX(PARTNERS!$D$2:$D$88,MATCH(B328,PARTNERS!$A$2:$A$88,0)),"")&lt;&gt;"REOPENED",COUNTIFS(LOG!$E$2:$E$2001,B328,LOG!$D$2:$D$2001,"NO_SLOTS")&gt;0),1,0)),0)</f>
        <v>0</v>
      </c>
      <c r="Q328" s="28">
        <f>IF(L328=1,COUNTIFS(LOG!$C$2:$C$2001,F328,LOG!$H$2:$H$2001,1),0)</f>
        <v>0</v>
      </c>
      <c r="R328" s="46">
        <f>IF(Q328&gt;0,_xlfn.MAXIFS(LOG!$G$2:$G$2001,LOG!$C$2:$C$2001,F328,LOG!$H$2:$H$2001,1),0)</f>
        <v>0</v>
      </c>
      <c r="S328" s="28" t="str">
        <f>IF(Q328&gt;0,IFERROR(INDEX(LOG!$D$2:$D$2001,MATCH(F328&amp;"|"&amp;Q328,LOG!$I$2:$I$2001,0)),""),"")</f>
        <v/>
      </c>
      <c r="T328" s="28">
        <f>IF(S328="",0,IFERROR(VLOOKUP(S328,LISTS!$A$2:$E$10,4,FALSE),0))</f>
        <v>0</v>
      </c>
      <c r="U328" s="46">
        <f t="shared" si="57"/>
        <v>0</v>
      </c>
      <c r="V328" s="46">
        <f>IF(L328=1,H328+SETTINGS!$B$5/24,"")</f>
        <v>46309.82708333333</v>
      </c>
      <c r="W328" s="28">
        <f ca="1">IF(L328=1,(V328-SETTINGS!$B$4)*24,"")</f>
        <v>-1.6666666720993817E-2</v>
      </c>
      <c r="X328" s="28">
        <f ca="1">IF(AND(L328=1,K328="OK",M328=0,N328=0,O328=0,P328=0,SETTINGS!$B$4&lt;V328,Q328&lt;SETTINGS!$B$6),1,0)</f>
        <v>0</v>
      </c>
      <c r="Y328" s="28">
        <f ca="1">IF(AND(X328=1,SETTINGS!$B$4&gt;=H328,SETTINGS!$B$4&gt;=U328,ROUND(MOD(SETTINGS!$B$4,1)*1440,0)&gt;=ROUND(SETTINGS!$B$7*1440,0),ROUND(MOD(SETTINGS!$B$4,1)*1440,0)&lt;ROUND(SETTINGS!$B$8*1440,0)),1,0)</f>
        <v>0</v>
      </c>
      <c r="Z328" s="28" t="str">
        <f ca="1">IF(B328="","",IF(ROUND(MOD(SETTINGS!$B$4,1)*1440,0)&lt;ROUND(SETTINGS!$B$11*1440,0),"Ram",IF(ROUND(MOD(SETTINGS!$B$4,1)*1440,0)&gt;=ROUND(SETTINGS!$B$10*1440,0),"Shyam",IF(MOD(IFERROR(VALUE(RIGHT(F328,2)),0),2)=0,"Ram","Shyam"))))</f>
        <v>Shyam</v>
      </c>
      <c r="AA328" s="28">
        <f t="shared" ca="1" si="58"/>
        <v>0</v>
      </c>
      <c r="AB328" s="28">
        <f ca="1">IF(X328=1,COUNTIFS($F$2:F328,F328,$X$2:X328,1),0)</f>
        <v>0</v>
      </c>
      <c r="AC328" s="28" t="str">
        <f>IF(L328=1,IF(IFERROR(INDEX(PARTNERS!$C$2:$C$88,MATCH(B328,PARTNERS!$A$2:$A$88,0)),"")="YES","YES","NO"),"")</f>
        <v>NO</v>
      </c>
      <c r="AD328" s="28" t="str">
        <f>IF(L328=1,IFERROR(INDEX(PARTNERS!$B$2:$B$88,MATCH(B328,PARTNERS!$A$2:$A$88,0)),""),"")</f>
        <v>https://calendly.com/partner000/interview</v>
      </c>
      <c r="AE328" s="28">
        <f ca="1">IF(X328=1,IFERROR(INDEX(SETTINGS!$B$34:$D$36,MATCH(I328,SETTINGS!$A$34:$A$36,0),MIN(Q328,2)+1),SETTINGS!$B$36),0)</f>
        <v>0</v>
      </c>
      <c r="AF328" s="28">
        <f t="shared" si="59"/>
        <v>1</v>
      </c>
      <c r="AG328" s="28">
        <f ca="1">IF(AND(Y328=1,AB328=1),ROUND(AA328*AE328*IF(AF328&gt;1,SETTINGS!$B$16,1)*IF(W328&lt;=SETTINGS!$B$14,SETTINGS!$B$15,1)*IF(AU328=1,SETTINGS!$B$21,1),6),0)</f>
        <v>0</v>
      </c>
      <c r="AH328" s="28" t="str">
        <f ca="1">IF(AG328&gt;0,COUNTIFS($Z$2:$Z$601,Z328,$AG$2:$AG$601,"&gt;"&amp;AG328)+COUNTIFS($Z$2:Z328,Z328,$AG$2:AG328,AG328),"")</f>
        <v/>
      </c>
      <c r="AI328" s="28" t="str">
        <f t="shared" ca="1" si="60"/>
        <v/>
      </c>
      <c r="AJ328" s="28" t="str">
        <f t="shared" ca="1" si="61"/>
        <v/>
      </c>
      <c r="AK328" s="28">
        <f>IF(L328=1,IF(COUNTIFS($F$2:F328,F328,$L$2:L328,1)=1,1,0),0)</f>
        <v>1</v>
      </c>
      <c r="AL328" s="28" t="str">
        <f>IF(B328="","",IF(K328="DUPLICATE","Duplicate (removed)",IF(AO328=1,"Scheduled within 24h",IF(M328=1,"Scheduled late",IF(K328="BAD CONTACT","Bad contact details",IF(O328=1,"Stopped / wrong number",IF(N328=1,"Not interested",IF(P328=1,"Partner has no slots",IF(SETTINGS!$B$4&gt;=V328,IF(Q328=0,"Missed deadline: never tried","Missed deadline: tried, not booked"),IF(Q328&gt;=SETTINGS!$B$6,"No reply after max tries","Open"))))))))))</f>
        <v>Scheduled within 24h</v>
      </c>
      <c r="AM328" s="46">
        <f>IF(M328=1,IF(_xlfn.MINIFS(LOG!$G$2:$G$2001,LOG!$C$2:$C$2001,F328,LOG!$E$2:$E$2001,B328,LOG!$D$2:$D$2001,"*BOOKED")=0,_xlfn.MINIFS(LOG!$G$2:$G$2001,LOG!$C$2:$C$2001,F328,LOG!$E$2:$E$2001,"",LOG!$D$2:$D$2001,"*BOOKED"),IF(_xlfn.MINIFS(LOG!$G$2:$G$2001,LOG!$C$2:$C$2001,F328,LOG!$E$2:$E$2001,"",LOG!$D$2:$D$2001,"*BOOKED")=0,_xlfn.MINIFS(LOG!$G$2:$G$2001,LOG!$C$2:$C$2001,F328,LOG!$E$2:$E$2001,B328,LOG!$D$2:$D$2001,"*BOOKED"),MIN(_xlfn.MINIFS(LOG!$G$2:$G$2001,LOG!$C$2:$C$2001,F328,LOG!$E$2:$E$2001,B328,LOG!$D$2:$D$2001,"*BOOKED"),_xlfn.MINIFS(LOG!$G$2:$G$2001,LOG!$C$2:$C$2001,F328,LOG!$E$2:$E$2001,"",LOG!$D$2:$D$2001,"*BOOKED")))),"")</f>
        <v>46309.462033828015</v>
      </c>
      <c r="AN328" s="28">
        <f t="shared" si="62"/>
        <v>15.238811872433871</v>
      </c>
      <c r="AO328" s="28">
        <f>IF(AND(M328=1,AN328&lt;&gt;""),IF(AN328&lt;=SETTINGS!$B$5,1,0),0)</f>
        <v>1</v>
      </c>
      <c r="AP328" s="28">
        <f>IF(M328=1,IF(COUNTIFS(LOG!$C$2:$C$2001,F328,LOG!$E$2:$E$2001,B328,LOG!$D$2:$D$2001,"BOOKED")+COUNTIFS(LOG!$C$2:$C$2001,F328,LOG!$E$2:$E$2001,"",LOG!$D$2:$D$2001,"BOOKED")&gt;0,1,0),0)</f>
        <v>0</v>
      </c>
      <c r="AQ328" s="28" t="str">
        <f t="shared" si="63"/>
        <v>Rohan</v>
      </c>
      <c r="AR328" s="28">
        <f>IF(AND(AK328=1,K328="OK"),COUNTIFS($AK$2:AK328,1,$K$2:K328,"OK"),"")</f>
        <v>286</v>
      </c>
      <c r="AS328" s="28" t="str">
        <f>IF(L328=1,IFERROR(INDEX(MESSAGES!$J$9:$J$1008,MATCH(F328,MESSAGES!$M$9:$M$1008,0))&amp;"",""),"")</f>
        <v/>
      </c>
      <c r="AT328" s="28" t="str">
        <f>IF(L328=1,IFERROR(INDEX(MESSAGES!$K$9:$K$1008,MATCH(F328,MESSAGES!$M$9:$M$1008,0))&amp;"",""),"")</f>
        <v/>
      </c>
      <c r="AU328" s="28">
        <f t="shared" ca="1" si="64"/>
        <v>0</v>
      </c>
      <c r="AV328" s="28" t="str">
        <f t="shared" si="65"/>
        <v>HOLD</v>
      </c>
    </row>
    <row r="329" spans="1:48" x14ac:dyDescent="0.35">
      <c r="A329" s="28">
        <v>328</v>
      </c>
      <c r="B329" s="28" t="str">
        <f>IF(INPUT!A329="","",TRIM(INPUT!A329))</f>
        <v>Partner 040</v>
      </c>
      <c r="C329" s="28" t="str">
        <f>IF(B329="","",INPUT!C329)</f>
        <v>interviewer0@partner040.example.com</v>
      </c>
      <c r="D329" s="28" t="str">
        <f>IF(B329="","",INPUT!D329)</f>
        <v>Karan N.</v>
      </c>
      <c r="E329" s="28" t="str">
        <f>IF(B329="","",INPUT!E329)</f>
        <v>karan.n380@example.com</v>
      </c>
      <c r="F329" s="43" t="str">
        <f>IF(B329="","",TRIM(INPUT!F329&amp;""))</f>
        <v>9000004947</v>
      </c>
      <c r="G329" s="28" t="str">
        <f>IF(B329="","",INPUT!H329)</f>
        <v>Round1</v>
      </c>
      <c r="H329" s="46">
        <f>IF(B329="","",INPUT!I329)</f>
        <v>46308.82708333333</v>
      </c>
      <c r="I329" s="28" t="str">
        <f>IF(B329="","",IF(INPUT!J329="","None",INPUT!J329))</f>
        <v>Opened</v>
      </c>
      <c r="J329" s="28" t="str">
        <f t="shared" si="55"/>
        <v>karan.n380@example.com|partner 040|Round1|interviewer0@partner040.example.com</v>
      </c>
      <c r="K329" s="28" t="str">
        <f>IF(B329="","",IF(SUMPRODUCT(($J$2:$J$601=J329)*($H$2:$H$601&lt;H329))+SUMPRODUCT(($J$2:J329=J329)*($H$2:H329=H329))-1&gt;0,"DUPLICATE",IF(AND(ISNUMBER(SEARCH("@",E329)),ISNUMBER(SEARCH(".",E329)),LEN(F329)=10,ISNUMBER(VALUE(F329))),"OK","BAD CONTACT")))</f>
        <v>OK</v>
      </c>
      <c r="L329" s="28">
        <f t="shared" si="56"/>
        <v>1</v>
      </c>
      <c r="M329" s="28">
        <f>IF(L329=1,IF(COUNTIFS(LOG!$C$2:$C$2001,F329,LOG!$E$2:$E$2001,B329,LOG!$D$2:$D$2001,"*BOOKED")+COUNTIFS(LOG!$C$2:$C$2001,F329,LOG!$E$2:$E$2001,"",LOG!$D$2:$D$2001,"*BOOKED")&gt;0,1,0),0)</f>
        <v>1</v>
      </c>
      <c r="N329" s="28">
        <f>IF(L329=1,IF(COUNTIFS(LOG!$C$2:$C$2001,F329,LOG!$E$2:$E$2001,B329,LOG!$D$2:$D$2001,"NOT_INTERESTED")+COUNTIFS(LOG!$C$2:$C$2001,F329,LOG!$E$2:$E$2001,"",LOG!$D$2:$D$2001,"NOT_INTERESTED")&gt;0,1,0),0)</f>
        <v>0</v>
      </c>
      <c r="O329" s="28">
        <f>IF(L329=1,IF(COUNTIFS(LOG!$C$2:$C$2001,F329,LOG!$D$2:$D$2001,"STOP")+COUNTIFS(LOG!$C$2:$C$2001,F329,LOG!$D$2:$D$2001,"WRONG_NUMBER")&gt;0,1,IF(ISNUMBER(SEARCH("STOP",AT329)),1,0)),0)</f>
        <v>0</v>
      </c>
      <c r="P329" s="28">
        <f>IF(L329=1,IF(IFERROR(INDEX(PARTNERS!$D$2:$D$88,MATCH(B329,PARTNERS!$A$2:$A$88,0)),"")="NO SLOTS",1,IF(AND(IFERROR(INDEX(PARTNERS!$D$2:$D$88,MATCH(B329,PARTNERS!$A$2:$A$88,0)),"")&lt;&gt;"REOPENED",COUNTIFS(LOG!$E$2:$E$2001,B329,LOG!$D$2:$D$2001,"NO_SLOTS")&gt;0),1,0)),0)</f>
        <v>0</v>
      </c>
      <c r="Q329" s="28">
        <f>IF(L329=1,COUNTIFS(LOG!$C$2:$C$2001,F329,LOG!$H$2:$H$2001,1),0)</f>
        <v>0</v>
      </c>
      <c r="R329" s="46">
        <f>IF(Q329&gt;0,_xlfn.MAXIFS(LOG!$G$2:$G$2001,LOG!$C$2:$C$2001,F329,LOG!$H$2:$H$2001,1),0)</f>
        <v>0</v>
      </c>
      <c r="S329" s="28" t="str">
        <f>IF(Q329&gt;0,IFERROR(INDEX(LOG!$D$2:$D$2001,MATCH(F329&amp;"|"&amp;Q329,LOG!$I$2:$I$2001,0)),""),"")</f>
        <v/>
      </c>
      <c r="T329" s="28">
        <f>IF(S329="",0,IFERROR(VLOOKUP(S329,LISTS!$A$2:$E$10,4,FALSE),0))</f>
        <v>0</v>
      </c>
      <c r="U329" s="46">
        <f t="shared" si="57"/>
        <v>0</v>
      </c>
      <c r="V329" s="46">
        <f>IF(L329=1,H329+SETTINGS!$B$5/24,"")</f>
        <v>46309.82708333333</v>
      </c>
      <c r="W329" s="28">
        <f ca="1">IF(L329=1,(V329-SETTINGS!$B$4)*24,"")</f>
        <v>-1.6666666720993817E-2</v>
      </c>
      <c r="X329" s="28">
        <f ca="1">IF(AND(L329=1,K329="OK",M329=0,N329=0,O329=0,P329=0,SETTINGS!$B$4&lt;V329,Q329&lt;SETTINGS!$B$6),1,0)</f>
        <v>0</v>
      </c>
      <c r="Y329" s="28">
        <f ca="1">IF(AND(X329=1,SETTINGS!$B$4&gt;=H329,SETTINGS!$B$4&gt;=U329,ROUND(MOD(SETTINGS!$B$4,1)*1440,0)&gt;=ROUND(SETTINGS!$B$7*1440,0),ROUND(MOD(SETTINGS!$B$4,1)*1440,0)&lt;ROUND(SETTINGS!$B$8*1440,0)),1,0)</f>
        <v>0</v>
      </c>
      <c r="Z329" s="28" t="str">
        <f ca="1">IF(B329="","",IF(ROUND(MOD(SETTINGS!$B$4,1)*1440,0)&lt;ROUND(SETTINGS!$B$11*1440,0),"Ram",IF(ROUND(MOD(SETTINGS!$B$4,1)*1440,0)&gt;=ROUND(SETTINGS!$B$10*1440,0),"Shyam",IF(MOD(IFERROR(VALUE(RIGHT(F329,2)),0),2)=0,"Ram","Shyam"))))</f>
        <v>Shyam</v>
      </c>
      <c r="AA329" s="28">
        <f t="shared" ca="1" si="58"/>
        <v>0</v>
      </c>
      <c r="AB329" s="28">
        <f ca="1">IF(X329=1,COUNTIFS($F$2:F329,F329,$X$2:X329,1),0)</f>
        <v>0</v>
      </c>
      <c r="AC329" s="28" t="str">
        <f>IF(L329=1,IF(IFERROR(INDEX(PARTNERS!$C$2:$C$88,MATCH(B329,PARTNERS!$A$2:$A$88,0)),"")="YES","YES","NO"),"")</f>
        <v>YES</v>
      </c>
      <c r="AD329" s="28" t="str">
        <f>IF(L329=1,IFERROR(INDEX(PARTNERS!$B$2:$B$88,MATCH(B329,PARTNERS!$A$2:$A$88,0)),""),"")</f>
        <v>https://calendly.com/partner040/interview</v>
      </c>
      <c r="AE329" s="28">
        <f ca="1">IF(X329=1,IFERROR(INDEX(SETTINGS!$B$34:$D$36,MATCH(I329,SETTINGS!$A$34:$A$36,0),MIN(Q329,2)+1),SETTINGS!$B$36),0)</f>
        <v>0</v>
      </c>
      <c r="AF329" s="28">
        <f t="shared" si="59"/>
        <v>1</v>
      </c>
      <c r="AG329" s="28">
        <f ca="1">IF(AND(Y329=1,AB329=1),ROUND(AA329*AE329*IF(AF329&gt;1,SETTINGS!$B$16,1)*IF(W329&lt;=SETTINGS!$B$14,SETTINGS!$B$15,1)*IF(AU329=1,SETTINGS!$B$21,1),6),0)</f>
        <v>0</v>
      </c>
      <c r="AH329" s="28" t="str">
        <f ca="1">IF(AG329&gt;0,COUNTIFS($Z$2:$Z$601,Z329,$AG$2:$AG$601,"&gt;"&amp;AG329)+COUNTIFS($Z$2:Z329,Z329,$AG$2:AG329,AG329),"")</f>
        <v/>
      </c>
      <c r="AI329" s="28" t="str">
        <f t="shared" ca="1" si="60"/>
        <v/>
      </c>
      <c r="AJ329" s="28" t="str">
        <f t="shared" ca="1" si="61"/>
        <v/>
      </c>
      <c r="AK329" s="28">
        <f>IF(L329=1,IF(COUNTIFS($F$2:F329,F329,$L$2:L329,1)=1,1,0),0)</f>
        <v>1</v>
      </c>
      <c r="AL329" s="28" t="str">
        <f>IF(B329="","",IF(K329="DUPLICATE","Duplicate (removed)",IF(AO329=1,"Scheduled within 24h",IF(M329=1,"Scheduled late",IF(K329="BAD CONTACT","Bad contact details",IF(O329=1,"Stopped / wrong number",IF(N329=1,"Not interested",IF(P329=1,"Partner has no slots",IF(SETTINGS!$B$4&gt;=V329,IF(Q329=0,"Missed deadline: never tried","Missed deadline: tried, not booked"),IF(Q329&gt;=SETTINGS!$B$6,"No reply after max tries","Open"))))))))))</f>
        <v>Scheduled within 24h</v>
      </c>
      <c r="AM329" s="46">
        <f>IF(M329=1,IF(_xlfn.MINIFS(LOG!$G$2:$G$2001,LOG!$C$2:$C$2001,F329,LOG!$E$2:$E$2001,B329,LOG!$D$2:$D$2001,"*BOOKED")=0,_xlfn.MINIFS(LOG!$G$2:$G$2001,LOG!$C$2:$C$2001,F329,LOG!$E$2:$E$2001,"",LOG!$D$2:$D$2001,"*BOOKED"),IF(_xlfn.MINIFS(LOG!$G$2:$G$2001,LOG!$C$2:$C$2001,F329,LOG!$E$2:$E$2001,"",LOG!$D$2:$D$2001,"*BOOKED")=0,_xlfn.MINIFS(LOG!$G$2:$G$2001,LOG!$C$2:$C$2001,F329,LOG!$E$2:$E$2001,B329,LOG!$D$2:$D$2001,"*BOOKED"),MIN(_xlfn.MINIFS(LOG!$G$2:$G$2001,LOG!$C$2:$C$2001,F329,LOG!$E$2:$E$2001,B329,LOG!$D$2:$D$2001,"*BOOKED"),_xlfn.MINIFS(LOG!$G$2:$G$2001,LOG!$C$2:$C$2001,F329,LOG!$E$2:$E$2001,"",LOG!$D$2:$D$2001,"*BOOKED")))),"")</f>
        <v>46309.539099883987</v>
      </c>
      <c r="AN329" s="28">
        <f t="shared" si="62"/>
        <v>17.088397215760779</v>
      </c>
      <c r="AO329" s="28">
        <f>IF(AND(M329=1,AN329&lt;&gt;""),IF(AN329&lt;=SETTINGS!$B$5,1,0),0)</f>
        <v>1</v>
      </c>
      <c r="AP329" s="28">
        <f>IF(M329=1,IF(COUNTIFS(LOG!$C$2:$C$2001,F329,LOG!$E$2:$E$2001,B329,LOG!$D$2:$D$2001,"BOOKED")+COUNTIFS(LOG!$C$2:$C$2001,F329,LOG!$E$2:$E$2001,"",LOG!$D$2:$D$2001,"BOOKED")&gt;0,1,0),0)</f>
        <v>0</v>
      </c>
      <c r="AQ329" s="28" t="str">
        <f t="shared" si="63"/>
        <v>Karan</v>
      </c>
      <c r="AR329" s="28">
        <f>IF(AND(AK329=1,K329="OK"),COUNTIFS($AK$2:AK329,1,$K$2:K329,"OK"),"")</f>
        <v>287</v>
      </c>
      <c r="AS329" s="28" t="str">
        <f>IF(L329=1,IFERROR(INDEX(MESSAGES!$J$9:$J$1008,MATCH(F329,MESSAGES!$M$9:$M$1008,0))&amp;"",""),"")</f>
        <v/>
      </c>
      <c r="AT329" s="28" t="str">
        <f>IF(L329=1,IFERROR(INDEX(MESSAGES!$K$9:$K$1008,MATCH(F329,MESSAGES!$M$9:$M$1008,0))&amp;"",""),"")</f>
        <v/>
      </c>
      <c r="AU329" s="28">
        <f t="shared" ca="1" si="64"/>
        <v>0</v>
      </c>
      <c r="AV329" s="28" t="str">
        <f t="shared" si="65"/>
        <v>SEND</v>
      </c>
    </row>
    <row r="330" spans="1:48" x14ac:dyDescent="0.35">
      <c r="A330" s="28">
        <v>329</v>
      </c>
      <c r="B330" s="28" t="str">
        <f>IF(INPUT!A330="","",TRIM(INPUT!A330))</f>
        <v>Partner 022</v>
      </c>
      <c r="C330" s="28" t="str">
        <f>IF(B330="","",INPUT!C330)</f>
        <v>interviewer1@partner022.example.com</v>
      </c>
      <c r="D330" s="28" t="str">
        <f>IF(B330="","",INPUT!D330)</f>
        <v>Reyansh P.</v>
      </c>
      <c r="E330" s="28" t="str">
        <f>IF(B330="","",INPUT!E330)</f>
        <v>reyansh.p396@example.com</v>
      </c>
      <c r="F330" s="43" t="str">
        <f>IF(B330="","",TRIM(INPUT!F330&amp;""))</f>
        <v>9000005155</v>
      </c>
      <c r="G330" s="28" t="str">
        <f>IF(B330="","",INPUT!H330)</f>
        <v>Round1</v>
      </c>
      <c r="H330" s="46">
        <f>IF(B330="","",INPUT!I330)</f>
        <v>46308.82708333333</v>
      </c>
      <c r="I330" s="28" t="str">
        <f>IF(B330="","",IF(INPUT!J330="","None",INPUT!J330))</f>
        <v>Clicked</v>
      </c>
      <c r="J330" s="28" t="str">
        <f t="shared" si="55"/>
        <v>reyansh.p396@example.com|partner 022|Round1|interviewer1@partner022.example.com</v>
      </c>
      <c r="K330" s="28" t="str">
        <f>IF(B330="","",IF(SUMPRODUCT(($J$2:$J$601=J330)*($H$2:$H$601&lt;H330))+SUMPRODUCT(($J$2:J330=J330)*($H$2:H330=H330))-1&gt;0,"DUPLICATE",IF(AND(ISNUMBER(SEARCH("@",E330)),ISNUMBER(SEARCH(".",E330)),LEN(F330)=10,ISNUMBER(VALUE(F330))),"OK","BAD CONTACT")))</f>
        <v>OK</v>
      </c>
      <c r="L330" s="28">
        <f t="shared" si="56"/>
        <v>1</v>
      </c>
      <c r="M330" s="28">
        <f>IF(L330=1,IF(COUNTIFS(LOG!$C$2:$C$2001,F330,LOG!$E$2:$E$2001,B330,LOG!$D$2:$D$2001,"*BOOKED")+COUNTIFS(LOG!$C$2:$C$2001,F330,LOG!$E$2:$E$2001,"",LOG!$D$2:$D$2001,"*BOOKED")&gt;0,1,0),0)</f>
        <v>1</v>
      </c>
      <c r="N330" s="28">
        <f>IF(L330=1,IF(COUNTIFS(LOG!$C$2:$C$2001,F330,LOG!$E$2:$E$2001,B330,LOG!$D$2:$D$2001,"NOT_INTERESTED")+COUNTIFS(LOG!$C$2:$C$2001,F330,LOG!$E$2:$E$2001,"",LOG!$D$2:$D$2001,"NOT_INTERESTED")&gt;0,1,0),0)</f>
        <v>0</v>
      </c>
      <c r="O330" s="28">
        <f>IF(L330=1,IF(COUNTIFS(LOG!$C$2:$C$2001,F330,LOG!$D$2:$D$2001,"STOP")+COUNTIFS(LOG!$C$2:$C$2001,F330,LOG!$D$2:$D$2001,"WRONG_NUMBER")&gt;0,1,IF(ISNUMBER(SEARCH("STOP",AT330)),1,0)),0)</f>
        <v>0</v>
      </c>
      <c r="P330" s="28">
        <f>IF(L330=1,IF(IFERROR(INDEX(PARTNERS!$D$2:$D$88,MATCH(B330,PARTNERS!$A$2:$A$88,0)),"")="NO SLOTS",1,IF(AND(IFERROR(INDEX(PARTNERS!$D$2:$D$88,MATCH(B330,PARTNERS!$A$2:$A$88,0)),"")&lt;&gt;"REOPENED",COUNTIFS(LOG!$E$2:$E$2001,B330,LOG!$D$2:$D$2001,"NO_SLOTS")&gt;0),1,0)),0)</f>
        <v>0</v>
      </c>
      <c r="Q330" s="28">
        <f>IF(L330=1,COUNTIFS(LOG!$C$2:$C$2001,F330,LOG!$H$2:$H$2001,1),0)</f>
        <v>2</v>
      </c>
      <c r="R330" s="46">
        <f>IF(Q330&gt;0,_xlfn.MAXIFS(LOG!$G$2:$G$2001,LOG!$C$2:$C$2001,F330,LOG!$H$2:$H$2001,1),0)</f>
        <v>46309.765078065051</v>
      </c>
      <c r="S330" s="28" t="str">
        <f>IF(Q330&gt;0,IFERROR(INDEX(LOG!$D$2:$D$2001,MATCH(F330&amp;"|"&amp;Q330,LOG!$I$2:$I$2001,0)),""),"")</f>
        <v>NO_ANSWER</v>
      </c>
      <c r="T330" s="28">
        <f>IF(S330="",0,IFERROR(VLOOKUP(S330,LISTS!$A$2:$E$10,4,FALSE),0))</f>
        <v>120</v>
      </c>
      <c r="U330" s="46">
        <f t="shared" si="57"/>
        <v>46309.848411398387</v>
      </c>
      <c r="V330" s="46">
        <f>IF(L330=1,H330+SETTINGS!$B$5/24,"")</f>
        <v>46309.82708333333</v>
      </c>
      <c r="W330" s="28">
        <f ca="1">IF(L330=1,(V330-SETTINGS!$B$4)*24,"")</f>
        <v>-1.6666666720993817E-2</v>
      </c>
      <c r="X330" s="28">
        <f ca="1">IF(AND(L330=1,K330="OK",M330=0,N330=0,O330=0,P330=0,SETTINGS!$B$4&lt;V330,Q330&lt;SETTINGS!$B$6),1,0)</f>
        <v>0</v>
      </c>
      <c r="Y330" s="28">
        <f ca="1">IF(AND(X330=1,SETTINGS!$B$4&gt;=H330,SETTINGS!$B$4&gt;=U330,ROUND(MOD(SETTINGS!$B$4,1)*1440,0)&gt;=ROUND(SETTINGS!$B$7*1440,0),ROUND(MOD(SETTINGS!$B$4,1)*1440,0)&lt;ROUND(SETTINGS!$B$8*1440,0)),1,0)</f>
        <v>0</v>
      </c>
      <c r="Z330" s="28" t="str">
        <f ca="1">IF(B330="","",IF(ROUND(MOD(SETTINGS!$B$4,1)*1440,0)&lt;ROUND(SETTINGS!$B$11*1440,0),"Ram",IF(ROUND(MOD(SETTINGS!$B$4,1)*1440,0)&gt;=ROUND(SETTINGS!$B$10*1440,0),"Shyam",IF(MOD(IFERROR(VALUE(RIGHT(F330,2)),0),2)=0,"Ram","Shyam"))))</f>
        <v>Shyam</v>
      </c>
      <c r="AA330" s="28">
        <f t="shared" ca="1" si="58"/>
        <v>0</v>
      </c>
      <c r="AB330" s="28">
        <f ca="1">IF(X330=1,COUNTIFS($F$2:F330,F330,$X$2:X330,1),0)</f>
        <v>0</v>
      </c>
      <c r="AC330" s="28" t="str">
        <f>IF(L330=1,IF(IFERROR(INDEX(PARTNERS!$C$2:$C$88,MATCH(B330,PARTNERS!$A$2:$A$88,0)),"")="YES","YES","NO"),"")</f>
        <v>YES</v>
      </c>
      <c r="AD330" s="28" t="str">
        <f>IF(L330=1,IFERROR(INDEX(PARTNERS!$B$2:$B$88,MATCH(B330,PARTNERS!$A$2:$A$88,0)),""),"")</f>
        <v>https://calendly.com/partner022/interview</v>
      </c>
      <c r="AE330" s="28">
        <f ca="1">IF(X330=1,IFERROR(INDEX(SETTINGS!$B$34:$D$36,MATCH(I330,SETTINGS!$A$34:$A$36,0),MIN(Q330,2)+1),SETTINGS!$B$36),0)</f>
        <v>0</v>
      </c>
      <c r="AF330" s="28">
        <f t="shared" si="59"/>
        <v>1</v>
      </c>
      <c r="AG330" s="28">
        <f ca="1">IF(AND(Y330=1,AB330=1),ROUND(AA330*AE330*IF(AF330&gt;1,SETTINGS!$B$16,1)*IF(W330&lt;=SETTINGS!$B$14,SETTINGS!$B$15,1)*IF(AU330=1,SETTINGS!$B$21,1),6),0)</f>
        <v>0</v>
      </c>
      <c r="AH330" s="28" t="str">
        <f ca="1">IF(AG330&gt;0,COUNTIFS($Z$2:$Z$601,Z330,$AG$2:$AG$601,"&gt;"&amp;AG330)+COUNTIFS($Z$2:Z330,Z330,$AG$2:AG330,AG330),"")</f>
        <v/>
      </c>
      <c r="AI330" s="28" t="str">
        <f t="shared" ca="1" si="60"/>
        <v/>
      </c>
      <c r="AJ330" s="28" t="str">
        <f t="shared" ca="1" si="61"/>
        <v/>
      </c>
      <c r="AK330" s="28">
        <f>IF(L330=1,IF(COUNTIFS($F$2:F330,F330,$L$2:L330,1)=1,1,0),0)</f>
        <v>1</v>
      </c>
      <c r="AL330" s="28" t="str">
        <f>IF(B330="","",IF(K330="DUPLICATE","Duplicate (removed)",IF(AO330=1,"Scheduled within 24h",IF(M330=1,"Scheduled late",IF(K330="BAD CONTACT","Bad contact details",IF(O330=1,"Stopped / wrong number",IF(N330=1,"Not interested",IF(P330=1,"Partner has no slots",IF(SETTINGS!$B$4&gt;=V330,IF(Q330=0,"Missed deadline: never tried","Missed deadline: tried, not booked"),IF(Q330&gt;=SETTINGS!$B$6,"No reply after max tries","Open"))))))))))</f>
        <v>Scheduled within 24h</v>
      </c>
      <c r="AM330" s="46">
        <f>IF(M330=1,IF(_xlfn.MINIFS(LOG!$G$2:$G$2001,LOG!$C$2:$C$2001,F330,LOG!$E$2:$E$2001,B330,LOG!$D$2:$D$2001,"*BOOKED")=0,_xlfn.MINIFS(LOG!$G$2:$G$2001,LOG!$C$2:$C$2001,F330,LOG!$E$2:$E$2001,"",LOG!$D$2:$D$2001,"*BOOKED"),IF(_xlfn.MINIFS(LOG!$G$2:$G$2001,LOG!$C$2:$C$2001,F330,LOG!$E$2:$E$2001,"",LOG!$D$2:$D$2001,"*BOOKED")=0,_xlfn.MINIFS(LOG!$G$2:$G$2001,LOG!$C$2:$C$2001,F330,LOG!$E$2:$E$2001,B330,LOG!$D$2:$D$2001,"*BOOKED"),MIN(_xlfn.MINIFS(LOG!$G$2:$G$2001,LOG!$C$2:$C$2001,F330,LOG!$E$2:$E$2001,B330,LOG!$D$2:$D$2001,"*BOOKED"),_xlfn.MINIFS(LOG!$G$2:$G$2001,LOG!$C$2:$C$2001,F330,LOG!$E$2:$E$2001,"",LOG!$D$2:$D$2001,"*BOOKED")))),"")</f>
        <v>46309.824289818578</v>
      </c>
      <c r="AN330" s="28">
        <f t="shared" si="62"/>
        <v>23.932955645956099</v>
      </c>
      <c r="AO330" s="28">
        <f>IF(AND(M330=1,AN330&lt;&gt;""),IF(AN330&lt;=SETTINGS!$B$5,1,0),0)</f>
        <v>1</v>
      </c>
      <c r="AP330" s="28">
        <f>IF(M330=1,IF(COUNTIFS(LOG!$C$2:$C$2001,F330,LOG!$E$2:$E$2001,B330,LOG!$D$2:$D$2001,"BOOKED")+COUNTIFS(LOG!$C$2:$C$2001,F330,LOG!$E$2:$E$2001,"",LOG!$D$2:$D$2001,"BOOKED")&gt;0,1,0),0)</f>
        <v>0</v>
      </c>
      <c r="AQ330" s="28" t="str">
        <f t="shared" si="63"/>
        <v>Reyansh</v>
      </c>
      <c r="AR330" s="28">
        <f>IF(AND(AK330=1,K330="OK"),COUNTIFS($AK$2:AK330,1,$K$2:K330,"OK"),"")</f>
        <v>288</v>
      </c>
      <c r="AS330" s="28" t="str">
        <f>IF(L330=1,IFERROR(INDEX(MESSAGES!$J$9:$J$1008,MATCH(F330,MESSAGES!$M$9:$M$1008,0))&amp;"",""),"")</f>
        <v/>
      </c>
      <c r="AT330" s="28" t="str">
        <f>IF(L330=1,IFERROR(INDEX(MESSAGES!$K$9:$K$1008,MATCH(F330,MESSAGES!$M$9:$M$1008,0))&amp;"",""),"")</f>
        <v/>
      </c>
      <c r="AU330" s="28">
        <f t="shared" ca="1" si="64"/>
        <v>0</v>
      </c>
      <c r="AV330" s="28" t="str">
        <f t="shared" si="65"/>
        <v>HOLD</v>
      </c>
    </row>
    <row r="331" spans="1:48" x14ac:dyDescent="0.35">
      <c r="A331" s="28">
        <v>330</v>
      </c>
      <c r="B331" s="28" t="str">
        <f>IF(INPUT!A331="","",TRIM(INPUT!A331))</f>
        <v>Partner 000</v>
      </c>
      <c r="C331" s="28" t="str">
        <f>IF(B331="","",INPUT!C331)</f>
        <v>interviewer2@partner000.example.com</v>
      </c>
      <c r="D331" s="28" t="str">
        <f>IF(B331="","",INPUT!D331)</f>
        <v>Kavya A.</v>
      </c>
      <c r="E331" s="28" t="str">
        <f>IF(B331="","",INPUT!E331)</f>
        <v>kavya.a029@example.com</v>
      </c>
      <c r="F331" s="43" t="str">
        <f>IF(B331="","",TRIM(INPUT!F331&amp;""))</f>
        <v>9000000384</v>
      </c>
      <c r="G331" s="28" t="str">
        <f>IF(B331="","",INPUT!H331)</f>
        <v>Round1</v>
      </c>
      <c r="H331" s="46">
        <f>IF(B331="","",INPUT!I331)</f>
        <v>46308.82708333333</v>
      </c>
      <c r="I331" s="28" t="str">
        <f>IF(B331="","",IF(INPUT!J331="","None",INPUT!J331))</f>
        <v>None</v>
      </c>
      <c r="J331" s="28" t="str">
        <f t="shared" si="55"/>
        <v>kavya.a029@example.com|partner 000|Round1|interviewer2@partner000.example.com</v>
      </c>
      <c r="K331" s="28" t="str">
        <f>IF(B331="","",IF(SUMPRODUCT(($J$2:$J$601=J331)*($H$2:$H$601&lt;H331))+SUMPRODUCT(($J$2:J331=J331)*($H$2:H331=H331))-1&gt;0,"DUPLICATE",IF(AND(ISNUMBER(SEARCH("@",E331)),ISNUMBER(SEARCH(".",E331)),LEN(F331)=10,ISNUMBER(VALUE(F331))),"OK","BAD CONTACT")))</f>
        <v>OK</v>
      </c>
      <c r="L331" s="28">
        <f t="shared" si="56"/>
        <v>1</v>
      </c>
      <c r="M331" s="28">
        <f>IF(L331=1,IF(COUNTIFS(LOG!$C$2:$C$2001,F331,LOG!$E$2:$E$2001,B331,LOG!$D$2:$D$2001,"*BOOKED")+COUNTIFS(LOG!$C$2:$C$2001,F331,LOG!$E$2:$E$2001,"",LOG!$D$2:$D$2001,"*BOOKED")&gt;0,1,0),0)</f>
        <v>1</v>
      </c>
      <c r="N331" s="28">
        <f>IF(L331=1,IF(COUNTIFS(LOG!$C$2:$C$2001,F331,LOG!$E$2:$E$2001,B331,LOG!$D$2:$D$2001,"NOT_INTERESTED")+COUNTIFS(LOG!$C$2:$C$2001,F331,LOG!$E$2:$E$2001,"",LOG!$D$2:$D$2001,"NOT_INTERESTED")&gt;0,1,0),0)</f>
        <v>0</v>
      </c>
      <c r="O331" s="28">
        <f>IF(L331=1,IF(COUNTIFS(LOG!$C$2:$C$2001,F331,LOG!$D$2:$D$2001,"STOP")+COUNTIFS(LOG!$C$2:$C$2001,F331,LOG!$D$2:$D$2001,"WRONG_NUMBER")&gt;0,1,IF(ISNUMBER(SEARCH("STOP",AT331)),1,0)),0)</f>
        <v>0</v>
      </c>
      <c r="P331" s="28">
        <f>IF(L331=1,IF(IFERROR(INDEX(PARTNERS!$D$2:$D$88,MATCH(B331,PARTNERS!$A$2:$A$88,0)),"")="NO SLOTS",1,IF(AND(IFERROR(INDEX(PARTNERS!$D$2:$D$88,MATCH(B331,PARTNERS!$A$2:$A$88,0)),"")&lt;&gt;"REOPENED",COUNTIFS(LOG!$E$2:$E$2001,B331,LOG!$D$2:$D$2001,"NO_SLOTS")&gt;0),1,0)),0)</f>
        <v>0</v>
      </c>
      <c r="Q331" s="28">
        <f>IF(L331=1,COUNTIFS(LOG!$C$2:$C$2001,F331,LOG!$H$2:$H$2001,1),0)</f>
        <v>0</v>
      </c>
      <c r="R331" s="46">
        <f>IF(Q331&gt;0,_xlfn.MAXIFS(LOG!$G$2:$G$2001,LOG!$C$2:$C$2001,F331,LOG!$H$2:$H$2001,1),0)</f>
        <v>0</v>
      </c>
      <c r="S331" s="28" t="str">
        <f>IF(Q331&gt;0,IFERROR(INDEX(LOG!$D$2:$D$2001,MATCH(F331&amp;"|"&amp;Q331,LOG!$I$2:$I$2001,0)),""),"")</f>
        <v/>
      </c>
      <c r="T331" s="28">
        <f>IF(S331="",0,IFERROR(VLOOKUP(S331,LISTS!$A$2:$E$10,4,FALSE),0))</f>
        <v>0</v>
      </c>
      <c r="U331" s="46">
        <f t="shared" si="57"/>
        <v>0</v>
      </c>
      <c r="V331" s="46">
        <f>IF(L331=1,H331+SETTINGS!$B$5/24,"")</f>
        <v>46309.82708333333</v>
      </c>
      <c r="W331" s="28">
        <f ca="1">IF(L331=1,(V331-SETTINGS!$B$4)*24,"")</f>
        <v>-1.6666666720993817E-2</v>
      </c>
      <c r="X331" s="28">
        <f ca="1">IF(AND(L331=1,K331="OK",M331=0,N331=0,O331=0,P331=0,SETTINGS!$B$4&lt;V331,Q331&lt;SETTINGS!$B$6),1,0)</f>
        <v>0</v>
      </c>
      <c r="Y331" s="28">
        <f ca="1">IF(AND(X331=1,SETTINGS!$B$4&gt;=H331,SETTINGS!$B$4&gt;=U331,ROUND(MOD(SETTINGS!$B$4,1)*1440,0)&gt;=ROUND(SETTINGS!$B$7*1440,0),ROUND(MOD(SETTINGS!$B$4,1)*1440,0)&lt;ROUND(SETTINGS!$B$8*1440,0)),1,0)</f>
        <v>0</v>
      </c>
      <c r="Z331" s="28" t="str">
        <f ca="1">IF(B331="","",IF(ROUND(MOD(SETTINGS!$B$4,1)*1440,0)&lt;ROUND(SETTINGS!$B$11*1440,0),"Ram",IF(ROUND(MOD(SETTINGS!$B$4,1)*1440,0)&gt;=ROUND(SETTINGS!$B$10*1440,0),"Shyam",IF(MOD(IFERROR(VALUE(RIGHT(F331,2)),0),2)=0,"Ram","Shyam"))))</f>
        <v>Shyam</v>
      </c>
      <c r="AA331" s="28">
        <f t="shared" ca="1" si="58"/>
        <v>0</v>
      </c>
      <c r="AB331" s="28">
        <f ca="1">IF(X331=1,COUNTIFS($F$2:F331,F331,$X$2:X331,1),0)</f>
        <v>0</v>
      </c>
      <c r="AC331" s="28" t="str">
        <f>IF(L331=1,IF(IFERROR(INDEX(PARTNERS!$C$2:$C$88,MATCH(B331,PARTNERS!$A$2:$A$88,0)),"")="YES","YES","NO"),"")</f>
        <v>NO</v>
      </c>
      <c r="AD331" s="28" t="str">
        <f>IF(L331=1,IFERROR(INDEX(PARTNERS!$B$2:$B$88,MATCH(B331,PARTNERS!$A$2:$A$88,0)),""),"")</f>
        <v>https://calendly.com/partner000/interview</v>
      </c>
      <c r="AE331" s="28">
        <f ca="1">IF(X331=1,IFERROR(INDEX(SETTINGS!$B$34:$D$36,MATCH(I331,SETTINGS!$A$34:$A$36,0),MIN(Q331,2)+1),SETTINGS!$B$36),0)</f>
        <v>0</v>
      </c>
      <c r="AF331" s="28">
        <f t="shared" si="59"/>
        <v>1</v>
      </c>
      <c r="AG331" s="28">
        <f ca="1">IF(AND(Y331=1,AB331=1),ROUND(AA331*AE331*IF(AF331&gt;1,SETTINGS!$B$16,1)*IF(W331&lt;=SETTINGS!$B$14,SETTINGS!$B$15,1)*IF(AU331=1,SETTINGS!$B$21,1),6),0)</f>
        <v>0</v>
      </c>
      <c r="AH331" s="28" t="str">
        <f ca="1">IF(AG331&gt;0,COUNTIFS($Z$2:$Z$601,Z331,$AG$2:$AG$601,"&gt;"&amp;AG331)+COUNTIFS($Z$2:Z331,Z331,$AG$2:AG331,AG331),"")</f>
        <v/>
      </c>
      <c r="AI331" s="28" t="str">
        <f t="shared" ca="1" si="60"/>
        <v/>
      </c>
      <c r="AJ331" s="28" t="str">
        <f t="shared" ca="1" si="61"/>
        <v/>
      </c>
      <c r="AK331" s="28">
        <f>IF(L331=1,IF(COUNTIFS($F$2:F331,F331,$L$2:L331,1)=1,1,0),0)</f>
        <v>1</v>
      </c>
      <c r="AL331" s="28" t="str">
        <f>IF(B331="","",IF(K331="DUPLICATE","Duplicate (removed)",IF(AO331=1,"Scheduled within 24h",IF(M331=1,"Scheduled late",IF(K331="BAD CONTACT","Bad contact details",IF(O331=1,"Stopped / wrong number",IF(N331=1,"Not interested",IF(P331=1,"Partner has no slots",IF(SETTINGS!$B$4&gt;=V331,IF(Q331=0,"Missed deadline: never tried","Missed deadline: tried, not booked"),IF(Q331&gt;=SETTINGS!$B$6,"No reply after max tries","Open"))))))))))</f>
        <v>Scheduled within 24h</v>
      </c>
      <c r="AM331" s="46">
        <f>IF(M331=1,IF(_xlfn.MINIFS(LOG!$G$2:$G$2001,LOG!$C$2:$C$2001,F331,LOG!$E$2:$E$2001,B331,LOG!$D$2:$D$2001,"*BOOKED")=0,_xlfn.MINIFS(LOG!$G$2:$G$2001,LOG!$C$2:$C$2001,F331,LOG!$E$2:$E$2001,"",LOG!$D$2:$D$2001,"*BOOKED"),IF(_xlfn.MINIFS(LOG!$G$2:$G$2001,LOG!$C$2:$C$2001,F331,LOG!$E$2:$E$2001,"",LOG!$D$2:$D$2001,"*BOOKED")=0,_xlfn.MINIFS(LOG!$G$2:$G$2001,LOG!$C$2:$C$2001,F331,LOG!$E$2:$E$2001,B331,LOG!$D$2:$D$2001,"*BOOKED"),MIN(_xlfn.MINIFS(LOG!$G$2:$G$2001,LOG!$C$2:$C$2001,F331,LOG!$E$2:$E$2001,B331,LOG!$D$2:$D$2001,"*BOOKED"),_xlfn.MINIFS(LOG!$G$2:$G$2001,LOG!$C$2:$C$2001,F331,LOG!$E$2:$E$2001,"",LOG!$D$2:$D$2001,"*BOOKED")))),"")</f>
        <v>46309.334166539149</v>
      </c>
      <c r="AN331" s="28">
        <f t="shared" si="62"/>
        <v>12.169996939657722</v>
      </c>
      <c r="AO331" s="28">
        <f>IF(AND(M331=1,AN331&lt;&gt;""),IF(AN331&lt;=SETTINGS!$B$5,1,0),0)</f>
        <v>1</v>
      </c>
      <c r="AP331" s="28">
        <f>IF(M331=1,IF(COUNTIFS(LOG!$C$2:$C$2001,F331,LOG!$E$2:$E$2001,B331,LOG!$D$2:$D$2001,"BOOKED")+COUNTIFS(LOG!$C$2:$C$2001,F331,LOG!$E$2:$E$2001,"",LOG!$D$2:$D$2001,"BOOKED")&gt;0,1,0),0)</f>
        <v>0</v>
      </c>
      <c r="AQ331" s="28" t="str">
        <f t="shared" si="63"/>
        <v>Kavya</v>
      </c>
      <c r="AR331" s="28">
        <f>IF(AND(AK331=1,K331="OK"),COUNTIFS($AK$2:AK331,1,$K$2:K331,"OK"),"")</f>
        <v>289</v>
      </c>
      <c r="AS331" s="28" t="str">
        <f>IF(L331=1,IFERROR(INDEX(MESSAGES!$J$9:$J$1008,MATCH(F331,MESSAGES!$M$9:$M$1008,0))&amp;"",""),"")</f>
        <v/>
      </c>
      <c r="AT331" s="28" t="str">
        <f>IF(L331=1,IFERROR(INDEX(MESSAGES!$K$9:$K$1008,MATCH(F331,MESSAGES!$M$9:$M$1008,0))&amp;"",""),"")</f>
        <v/>
      </c>
      <c r="AU331" s="28">
        <f t="shared" ca="1" si="64"/>
        <v>0</v>
      </c>
      <c r="AV331" s="28" t="str">
        <f t="shared" si="65"/>
        <v>SEND</v>
      </c>
    </row>
    <row r="332" spans="1:48" x14ac:dyDescent="0.35">
      <c r="A332" s="28">
        <v>331</v>
      </c>
      <c r="B332" s="28" t="str">
        <f>IF(INPUT!A332="","",TRIM(INPUT!A332))</f>
        <v>Partner 046</v>
      </c>
      <c r="C332" s="28" t="str">
        <f>IF(B332="","",INPUT!C332)</f>
        <v>interviewer0@partner046.example.com</v>
      </c>
      <c r="D332" s="28" t="str">
        <f>IF(B332="","",INPUT!D332)</f>
        <v>Zoya D.</v>
      </c>
      <c r="E332" s="28" t="str">
        <f>IF(B332="","",INPUT!E332)</f>
        <v>zoya.d107@example.com</v>
      </c>
      <c r="F332" s="43" t="str">
        <f>IF(B332="","",TRIM(INPUT!F332&amp;""))</f>
        <v>9000001398</v>
      </c>
      <c r="G332" s="28" t="str">
        <f>IF(B332="","",INPUT!H332)</f>
        <v>Round1</v>
      </c>
      <c r="H332" s="46">
        <f>IF(B332="","",INPUT!I332)</f>
        <v>46308.82708333333</v>
      </c>
      <c r="I332" s="28" t="str">
        <f>IF(B332="","",IF(INPUT!J332="","None",INPUT!J332))</f>
        <v>Opened</v>
      </c>
      <c r="J332" s="28" t="str">
        <f t="shared" si="55"/>
        <v>zoya.d107@example.com|partner 046|Round1|interviewer0@partner046.example.com</v>
      </c>
      <c r="K332" s="28" t="str">
        <f>IF(B332="","",IF(SUMPRODUCT(($J$2:$J$601=J332)*($H$2:$H$601&lt;H332))+SUMPRODUCT(($J$2:J332=J332)*($H$2:H332=H332))-1&gt;0,"DUPLICATE",IF(AND(ISNUMBER(SEARCH("@",E332)),ISNUMBER(SEARCH(".",E332)),LEN(F332)=10,ISNUMBER(VALUE(F332))),"OK","BAD CONTACT")))</f>
        <v>OK</v>
      </c>
      <c r="L332" s="28">
        <f t="shared" si="56"/>
        <v>1</v>
      </c>
      <c r="M332" s="28">
        <f>IF(L332=1,IF(COUNTIFS(LOG!$C$2:$C$2001,F332,LOG!$E$2:$E$2001,B332,LOG!$D$2:$D$2001,"*BOOKED")+COUNTIFS(LOG!$C$2:$C$2001,F332,LOG!$E$2:$E$2001,"",LOG!$D$2:$D$2001,"*BOOKED")&gt;0,1,0),0)</f>
        <v>0</v>
      </c>
      <c r="N332" s="28">
        <f>IF(L332=1,IF(COUNTIFS(LOG!$C$2:$C$2001,F332,LOG!$E$2:$E$2001,B332,LOG!$D$2:$D$2001,"NOT_INTERESTED")+COUNTIFS(LOG!$C$2:$C$2001,F332,LOG!$E$2:$E$2001,"",LOG!$D$2:$D$2001,"NOT_INTERESTED")&gt;0,1,0),0)</f>
        <v>0</v>
      </c>
      <c r="O332" s="28">
        <f>IF(L332=1,IF(COUNTIFS(LOG!$C$2:$C$2001,F332,LOG!$D$2:$D$2001,"STOP")+COUNTIFS(LOG!$C$2:$C$2001,F332,LOG!$D$2:$D$2001,"WRONG_NUMBER")&gt;0,1,IF(ISNUMBER(SEARCH("STOP",AT332)),1,0)),0)</f>
        <v>0</v>
      </c>
      <c r="P332" s="28">
        <f>IF(L332=1,IF(IFERROR(INDEX(PARTNERS!$D$2:$D$88,MATCH(B332,PARTNERS!$A$2:$A$88,0)),"")="NO SLOTS",1,IF(AND(IFERROR(INDEX(PARTNERS!$D$2:$D$88,MATCH(B332,PARTNERS!$A$2:$A$88,0)),"")&lt;&gt;"REOPENED",COUNTIFS(LOG!$E$2:$E$2001,B332,LOG!$D$2:$D$2001,"NO_SLOTS")&gt;0),1,0)),0)</f>
        <v>0</v>
      </c>
      <c r="Q332" s="28">
        <f>IF(L332=1,COUNTIFS(LOG!$C$2:$C$2001,F332,LOG!$H$2:$H$2001,1),0)</f>
        <v>0</v>
      </c>
      <c r="R332" s="46">
        <f>IF(Q332&gt;0,_xlfn.MAXIFS(LOG!$G$2:$G$2001,LOG!$C$2:$C$2001,F332,LOG!$H$2:$H$2001,1),0)</f>
        <v>0</v>
      </c>
      <c r="S332" s="28" t="str">
        <f>IF(Q332&gt;0,IFERROR(INDEX(LOG!$D$2:$D$2001,MATCH(F332&amp;"|"&amp;Q332,LOG!$I$2:$I$2001,0)),""),"")</f>
        <v/>
      </c>
      <c r="T332" s="28">
        <f>IF(S332="",0,IFERROR(VLOOKUP(S332,LISTS!$A$2:$E$10,4,FALSE),0))</f>
        <v>0</v>
      </c>
      <c r="U332" s="46">
        <f t="shared" si="57"/>
        <v>0</v>
      </c>
      <c r="V332" s="46">
        <f>IF(L332=1,H332+SETTINGS!$B$5/24,"")</f>
        <v>46309.82708333333</v>
      </c>
      <c r="W332" s="28">
        <f ca="1">IF(L332=1,(V332-SETTINGS!$B$4)*24,"")</f>
        <v>-1.6666666720993817E-2</v>
      </c>
      <c r="X332" s="28">
        <f ca="1">IF(AND(L332=1,K332="OK",M332=0,N332=0,O332=0,P332=0,SETTINGS!$B$4&lt;V332,Q332&lt;SETTINGS!$B$6),1,0)</f>
        <v>0</v>
      </c>
      <c r="Y332" s="28">
        <f ca="1">IF(AND(X332=1,SETTINGS!$B$4&gt;=H332,SETTINGS!$B$4&gt;=U332,ROUND(MOD(SETTINGS!$B$4,1)*1440,0)&gt;=ROUND(SETTINGS!$B$7*1440,0),ROUND(MOD(SETTINGS!$B$4,1)*1440,0)&lt;ROUND(SETTINGS!$B$8*1440,0)),1,0)</f>
        <v>0</v>
      </c>
      <c r="Z332" s="28" t="str">
        <f ca="1">IF(B332="","",IF(ROUND(MOD(SETTINGS!$B$4,1)*1440,0)&lt;ROUND(SETTINGS!$B$11*1440,0),"Ram",IF(ROUND(MOD(SETTINGS!$B$4,1)*1440,0)&gt;=ROUND(SETTINGS!$B$10*1440,0),"Shyam",IF(MOD(IFERROR(VALUE(RIGHT(F332,2)),0),2)=0,"Ram","Shyam"))))</f>
        <v>Shyam</v>
      </c>
      <c r="AA332" s="28">
        <f t="shared" ca="1" si="58"/>
        <v>0</v>
      </c>
      <c r="AB332" s="28">
        <f ca="1">IF(X332=1,COUNTIFS($F$2:F332,F332,$X$2:X332,1),0)</f>
        <v>0</v>
      </c>
      <c r="AC332" s="28" t="str">
        <f>IF(L332=1,IF(IFERROR(INDEX(PARTNERS!$C$2:$C$88,MATCH(B332,PARTNERS!$A$2:$A$88,0)),"")="YES","YES","NO"),"")</f>
        <v>YES</v>
      </c>
      <c r="AD332" s="28" t="str">
        <f>IF(L332=1,IFERROR(INDEX(PARTNERS!$B$2:$B$88,MATCH(B332,PARTNERS!$A$2:$A$88,0)),""),"")</f>
        <v>https://calendly.com/partner046/interview</v>
      </c>
      <c r="AE332" s="28">
        <f ca="1">IF(X332=1,IFERROR(INDEX(SETTINGS!$B$34:$D$36,MATCH(I332,SETTINGS!$A$34:$A$36,0),MIN(Q332,2)+1),SETTINGS!$B$36),0)</f>
        <v>0</v>
      </c>
      <c r="AF332" s="28">
        <f t="shared" si="59"/>
        <v>1</v>
      </c>
      <c r="AG332" s="28">
        <f ca="1">IF(AND(Y332=1,AB332=1),ROUND(AA332*AE332*IF(AF332&gt;1,SETTINGS!$B$16,1)*IF(W332&lt;=SETTINGS!$B$14,SETTINGS!$B$15,1)*IF(AU332=1,SETTINGS!$B$21,1),6),0)</f>
        <v>0</v>
      </c>
      <c r="AH332" s="28" t="str">
        <f ca="1">IF(AG332&gt;0,COUNTIFS($Z$2:$Z$601,Z332,$AG$2:$AG$601,"&gt;"&amp;AG332)+COUNTIFS($Z$2:Z332,Z332,$AG$2:AG332,AG332),"")</f>
        <v/>
      </c>
      <c r="AI332" s="28" t="str">
        <f t="shared" ca="1" si="60"/>
        <v/>
      </c>
      <c r="AJ332" s="28" t="str">
        <f t="shared" ca="1" si="61"/>
        <v/>
      </c>
      <c r="AK332" s="28">
        <f>IF(L332=1,IF(COUNTIFS($F$2:F332,F332,$L$2:L332,1)=1,1,0),0)</f>
        <v>0</v>
      </c>
      <c r="AL332" s="28" t="str">
        <f ca="1">IF(B332="","",IF(K332="DUPLICATE","Duplicate (removed)",IF(AO332=1,"Scheduled within 24h",IF(M332=1,"Scheduled late",IF(K332="BAD CONTACT","Bad contact details",IF(O332=1,"Stopped / wrong number",IF(N332=1,"Not interested",IF(P332=1,"Partner has no slots",IF(SETTINGS!$B$4&gt;=V332,IF(Q332=0,"Missed deadline: never tried","Missed deadline: tried, not booked"),IF(Q332&gt;=SETTINGS!$B$6,"No reply after max tries","Open"))))))))))</f>
        <v>Missed deadline: never tried</v>
      </c>
      <c r="AM332" s="46" t="str">
        <f>IF(M332=1,IF(_xlfn.MINIFS(LOG!$G$2:$G$2001,LOG!$C$2:$C$2001,F332,LOG!$E$2:$E$2001,B332,LOG!$D$2:$D$2001,"*BOOKED")=0,_xlfn.MINIFS(LOG!$G$2:$G$2001,LOG!$C$2:$C$2001,F332,LOG!$E$2:$E$2001,"",LOG!$D$2:$D$2001,"*BOOKED"),IF(_xlfn.MINIFS(LOG!$G$2:$G$2001,LOG!$C$2:$C$2001,F332,LOG!$E$2:$E$2001,"",LOG!$D$2:$D$2001,"*BOOKED")=0,_xlfn.MINIFS(LOG!$G$2:$G$2001,LOG!$C$2:$C$2001,F332,LOG!$E$2:$E$2001,B332,LOG!$D$2:$D$2001,"*BOOKED"),MIN(_xlfn.MINIFS(LOG!$G$2:$G$2001,LOG!$C$2:$C$2001,F332,LOG!$E$2:$E$2001,B332,LOG!$D$2:$D$2001,"*BOOKED"),_xlfn.MINIFS(LOG!$G$2:$G$2001,LOG!$C$2:$C$2001,F332,LOG!$E$2:$E$2001,"",LOG!$D$2:$D$2001,"*BOOKED")))),"")</f>
        <v/>
      </c>
      <c r="AN332" s="28" t="str">
        <f t="shared" si="62"/>
        <v/>
      </c>
      <c r="AO332" s="28">
        <f>IF(AND(M332=1,AN332&lt;&gt;""),IF(AN332&lt;=SETTINGS!$B$5,1,0),0)</f>
        <v>0</v>
      </c>
      <c r="AP332" s="28">
        <f>IF(M332=1,IF(COUNTIFS(LOG!$C$2:$C$2001,F332,LOG!$E$2:$E$2001,B332,LOG!$D$2:$D$2001,"BOOKED")+COUNTIFS(LOG!$C$2:$C$2001,F332,LOG!$E$2:$E$2001,"",LOG!$D$2:$D$2001,"BOOKED")&gt;0,1,0),0)</f>
        <v>0</v>
      </c>
      <c r="AQ332" s="28" t="str">
        <f t="shared" si="63"/>
        <v>Zoya</v>
      </c>
      <c r="AR332" s="28" t="str">
        <f>IF(AND(AK332=1,K332="OK"),COUNTIFS($AK$2:AK332,1,$K$2:K332,"OK"),"")</f>
        <v/>
      </c>
      <c r="AS332" s="28" t="str">
        <f>IF(L332=1,IFERROR(INDEX(MESSAGES!$J$9:$J$1008,MATCH(F332,MESSAGES!$M$9:$M$1008,0))&amp;"",""),"")</f>
        <v/>
      </c>
      <c r="AT332" s="28" t="str">
        <f>IF(L332=1,IFERROR(INDEX(MESSAGES!$K$9:$K$1008,MATCH(F332,MESSAGES!$M$9:$M$1008,0))&amp;"",""),"")</f>
        <v/>
      </c>
      <c r="AU332" s="28">
        <f t="shared" ca="1" si="64"/>
        <v>0</v>
      </c>
      <c r="AV332" s="28" t="str">
        <f t="shared" si="65"/>
        <v>HOLD</v>
      </c>
    </row>
    <row r="333" spans="1:48" x14ac:dyDescent="0.35">
      <c r="A333" s="28">
        <v>332</v>
      </c>
      <c r="B333" s="28" t="str">
        <f>IF(INPUT!A333="","",TRIM(INPUT!A333))</f>
        <v>Partner 010</v>
      </c>
      <c r="C333" s="28" t="str">
        <f>IF(B333="","",INPUT!C333)</f>
        <v>interviewer2@partner010.example.com</v>
      </c>
      <c r="D333" s="28" t="str">
        <f>IF(B333="","",INPUT!D333)</f>
        <v>Vihaan N.</v>
      </c>
      <c r="E333" s="28" t="str">
        <f>IF(B333="","",INPUT!E333)</f>
        <v>vihaan.n364@example.com</v>
      </c>
      <c r="F333" s="43" t="str">
        <f>IF(B333="","",TRIM(INPUT!F333&amp;""))</f>
        <v>9000004739</v>
      </c>
      <c r="G333" s="28" t="str">
        <f>IF(B333="","",INPUT!H333)</f>
        <v>Round1</v>
      </c>
      <c r="H333" s="46">
        <f>IF(B333="","",INPUT!I333)</f>
        <v>46308.82708333333</v>
      </c>
      <c r="I333" s="28" t="str">
        <f>IF(B333="","",IF(INPUT!J333="","None",INPUT!J333))</f>
        <v>Opened</v>
      </c>
      <c r="J333" s="28" t="str">
        <f t="shared" si="55"/>
        <v>vihaan.n364@example.com|partner 010|Round1|interviewer2@partner010.example.com</v>
      </c>
      <c r="K333" s="28" t="str">
        <f>IF(B333="","",IF(SUMPRODUCT(($J$2:$J$601=J333)*($H$2:$H$601&lt;H333))+SUMPRODUCT(($J$2:J333=J333)*($H$2:H333=H333))-1&gt;0,"DUPLICATE",IF(AND(ISNUMBER(SEARCH("@",E333)),ISNUMBER(SEARCH(".",E333)),LEN(F333)=10,ISNUMBER(VALUE(F333))),"OK","BAD CONTACT")))</f>
        <v>OK</v>
      </c>
      <c r="L333" s="28">
        <f t="shared" si="56"/>
        <v>1</v>
      </c>
      <c r="M333" s="28">
        <f>IF(L333=1,IF(COUNTIFS(LOG!$C$2:$C$2001,F333,LOG!$E$2:$E$2001,B333,LOG!$D$2:$D$2001,"*BOOKED")+COUNTIFS(LOG!$C$2:$C$2001,F333,LOG!$E$2:$E$2001,"",LOG!$D$2:$D$2001,"*BOOKED")&gt;0,1,0),0)</f>
        <v>0</v>
      </c>
      <c r="N333" s="28">
        <f>IF(L333=1,IF(COUNTIFS(LOG!$C$2:$C$2001,F333,LOG!$E$2:$E$2001,B333,LOG!$D$2:$D$2001,"NOT_INTERESTED")+COUNTIFS(LOG!$C$2:$C$2001,F333,LOG!$E$2:$E$2001,"",LOG!$D$2:$D$2001,"NOT_INTERESTED")&gt;0,1,0),0)</f>
        <v>0</v>
      </c>
      <c r="O333" s="28">
        <f>IF(L333=1,IF(COUNTIFS(LOG!$C$2:$C$2001,F333,LOG!$D$2:$D$2001,"STOP")+COUNTIFS(LOG!$C$2:$C$2001,F333,LOG!$D$2:$D$2001,"WRONG_NUMBER")&gt;0,1,IF(ISNUMBER(SEARCH("STOP",AT333)),1,0)),0)</f>
        <v>0</v>
      </c>
      <c r="P333" s="28">
        <f>IF(L333=1,IF(IFERROR(INDEX(PARTNERS!$D$2:$D$88,MATCH(B333,PARTNERS!$A$2:$A$88,0)),"")="NO SLOTS",1,IF(AND(IFERROR(INDEX(PARTNERS!$D$2:$D$88,MATCH(B333,PARTNERS!$A$2:$A$88,0)),"")&lt;&gt;"REOPENED",COUNTIFS(LOG!$E$2:$E$2001,B333,LOG!$D$2:$D$2001,"NO_SLOTS")&gt;0),1,0)),0)</f>
        <v>0</v>
      </c>
      <c r="Q333" s="28">
        <f>IF(L333=1,COUNTIFS(LOG!$C$2:$C$2001,F333,LOG!$H$2:$H$2001,1),0)</f>
        <v>0</v>
      </c>
      <c r="R333" s="46">
        <f>IF(Q333&gt;0,_xlfn.MAXIFS(LOG!$G$2:$G$2001,LOG!$C$2:$C$2001,F333,LOG!$H$2:$H$2001,1),0)</f>
        <v>0</v>
      </c>
      <c r="S333" s="28" t="str">
        <f>IF(Q333&gt;0,IFERROR(INDEX(LOG!$D$2:$D$2001,MATCH(F333&amp;"|"&amp;Q333,LOG!$I$2:$I$2001,0)),""),"")</f>
        <v/>
      </c>
      <c r="T333" s="28">
        <f>IF(S333="",0,IFERROR(VLOOKUP(S333,LISTS!$A$2:$E$10,4,FALSE),0))</f>
        <v>0</v>
      </c>
      <c r="U333" s="46">
        <f t="shared" si="57"/>
        <v>0</v>
      </c>
      <c r="V333" s="46">
        <f>IF(L333=1,H333+SETTINGS!$B$5/24,"")</f>
        <v>46309.82708333333</v>
      </c>
      <c r="W333" s="28">
        <f ca="1">IF(L333=1,(V333-SETTINGS!$B$4)*24,"")</f>
        <v>-1.6666666720993817E-2</v>
      </c>
      <c r="X333" s="28">
        <f ca="1">IF(AND(L333=1,K333="OK",M333=0,N333=0,O333=0,P333=0,SETTINGS!$B$4&lt;V333,Q333&lt;SETTINGS!$B$6),1,0)</f>
        <v>0</v>
      </c>
      <c r="Y333" s="28">
        <f ca="1">IF(AND(X333=1,SETTINGS!$B$4&gt;=H333,SETTINGS!$B$4&gt;=U333,ROUND(MOD(SETTINGS!$B$4,1)*1440,0)&gt;=ROUND(SETTINGS!$B$7*1440,0),ROUND(MOD(SETTINGS!$B$4,1)*1440,0)&lt;ROUND(SETTINGS!$B$8*1440,0)),1,0)</f>
        <v>0</v>
      </c>
      <c r="Z333" s="28" t="str">
        <f ca="1">IF(B333="","",IF(ROUND(MOD(SETTINGS!$B$4,1)*1440,0)&lt;ROUND(SETTINGS!$B$11*1440,0),"Ram",IF(ROUND(MOD(SETTINGS!$B$4,1)*1440,0)&gt;=ROUND(SETTINGS!$B$10*1440,0),"Shyam",IF(MOD(IFERROR(VALUE(RIGHT(F333,2)),0),2)=0,"Ram","Shyam"))))</f>
        <v>Shyam</v>
      </c>
      <c r="AA333" s="28">
        <f t="shared" ca="1" si="58"/>
        <v>0</v>
      </c>
      <c r="AB333" s="28">
        <f ca="1">IF(X333=1,COUNTIFS($F$2:F333,F333,$X$2:X333,1),0)</f>
        <v>0</v>
      </c>
      <c r="AC333" s="28" t="str">
        <f>IF(L333=1,IF(IFERROR(INDEX(PARTNERS!$C$2:$C$88,MATCH(B333,PARTNERS!$A$2:$A$88,0)),"")="YES","YES","NO"),"")</f>
        <v>YES</v>
      </c>
      <c r="AD333" s="28" t="str">
        <f>IF(L333=1,IFERROR(INDEX(PARTNERS!$B$2:$B$88,MATCH(B333,PARTNERS!$A$2:$A$88,0)),""),"")</f>
        <v>https://calendly.com/partner010/interview</v>
      </c>
      <c r="AE333" s="28">
        <f ca="1">IF(X333=1,IFERROR(INDEX(SETTINGS!$B$34:$D$36,MATCH(I333,SETTINGS!$A$34:$A$36,0),MIN(Q333,2)+1),SETTINGS!$B$36),0)</f>
        <v>0</v>
      </c>
      <c r="AF333" s="28">
        <f t="shared" si="59"/>
        <v>1</v>
      </c>
      <c r="AG333" s="28">
        <f ca="1">IF(AND(Y333=1,AB333=1),ROUND(AA333*AE333*IF(AF333&gt;1,SETTINGS!$B$16,1)*IF(W333&lt;=SETTINGS!$B$14,SETTINGS!$B$15,1)*IF(AU333=1,SETTINGS!$B$21,1),6),0)</f>
        <v>0</v>
      </c>
      <c r="AH333" s="28" t="str">
        <f ca="1">IF(AG333&gt;0,COUNTIFS($Z$2:$Z$601,Z333,$AG$2:$AG$601,"&gt;"&amp;AG333)+COUNTIFS($Z$2:Z333,Z333,$AG$2:AG333,AG333),"")</f>
        <v/>
      </c>
      <c r="AI333" s="28" t="str">
        <f t="shared" ca="1" si="60"/>
        <v/>
      </c>
      <c r="AJ333" s="28" t="str">
        <f t="shared" ca="1" si="61"/>
        <v/>
      </c>
      <c r="AK333" s="28">
        <f>IF(L333=1,IF(COUNTIFS($F$2:F333,F333,$L$2:L333,1)=1,1,0),0)</f>
        <v>0</v>
      </c>
      <c r="AL333" s="28" t="str">
        <f ca="1">IF(B333="","",IF(K333="DUPLICATE","Duplicate (removed)",IF(AO333=1,"Scheduled within 24h",IF(M333=1,"Scheduled late",IF(K333="BAD CONTACT","Bad contact details",IF(O333=1,"Stopped / wrong number",IF(N333=1,"Not interested",IF(P333=1,"Partner has no slots",IF(SETTINGS!$B$4&gt;=V333,IF(Q333=0,"Missed deadline: never tried","Missed deadline: tried, not booked"),IF(Q333&gt;=SETTINGS!$B$6,"No reply after max tries","Open"))))))))))</f>
        <v>Missed deadline: never tried</v>
      </c>
      <c r="AM333" s="46" t="str">
        <f>IF(M333=1,IF(_xlfn.MINIFS(LOG!$G$2:$G$2001,LOG!$C$2:$C$2001,F333,LOG!$E$2:$E$2001,B333,LOG!$D$2:$D$2001,"*BOOKED")=0,_xlfn.MINIFS(LOG!$G$2:$G$2001,LOG!$C$2:$C$2001,F333,LOG!$E$2:$E$2001,"",LOG!$D$2:$D$2001,"*BOOKED"),IF(_xlfn.MINIFS(LOG!$G$2:$G$2001,LOG!$C$2:$C$2001,F333,LOG!$E$2:$E$2001,"",LOG!$D$2:$D$2001,"*BOOKED")=0,_xlfn.MINIFS(LOG!$G$2:$G$2001,LOG!$C$2:$C$2001,F333,LOG!$E$2:$E$2001,B333,LOG!$D$2:$D$2001,"*BOOKED"),MIN(_xlfn.MINIFS(LOG!$G$2:$G$2001,LOG!$C$2:$C$2001,F333,LOG!$E$2:$E$2001,B333,LOG!$D$2:$D$2001,"*BOOKED"),_xlfn.MINIFS(LOG!$G$2:$G$2001,LOG!$C$2:$C$2001,F333,LOG!$E$2:$E$2001,"",LOG!$D$2:$D$2001,"*BOOKED")))),"")</f>
        <v/>
      </c>
      <c r="AN333" s="28" t="str">
        <f t="shared" si="62"/>
        <v/>
      </c>
      <c r="AO333" s="28">
        <f>IF(AND(M333=1,AN333&lt;&gt;""),IF(AN333&lt;=SETTINGS!$B$5,1,0),0)</f>
        <v>0</v>
      </c>
      <c r="AP333" s="28">
        <f>IF(M333=1,IF(COUNTIFS(LOG!$C$2:$C$2001,F333,LOG!$E$2:$E$2001,B333,LOG!$D$2:$D$2001,"BOOKED")+COUNTIFS(LOG!$C$2:$C$2001,F333,LOG!$E$2:$E$2001,"",LOG!$D$2:$D$2001,"BOOKED")&gt;0,1,0),0)</f>
        <v>0</v>
      </c>
      <c r="AQ333" s="28" t="str">
        <f t="shared" si="63"/>
        <v>Vihaan</v>
      </c>
      <c r="AR333" s="28" t="str">
        <f>IF(AND(AK333=1,K333="OK"),COUNTIFS($AK$2:AK333,1,$K$2:K333,"OK"),"")</f>
        <v/>
      </c>
      <c r="AS333" s="28" t="str">
        <f>IF(L333=1,IFERROR(INDEX(MESSAGES!$J$9:$J$1008,MATCH(F333,MESSAGES!$M$9:$M$1008,0))&amp;"",""),"")</f>
        <v/>
      </c>
      <c r="AT333" s="28" t="str">
        <f>IF(L333=1,IFERROR(INDEX(MESSAGES!$K$9:$K$1008,MATCH(F333,MESSAGES!$M$9:$M$1008,0))&amp;"",""),"")</f>
        <v/>
      </c>
      <c r="AU333" s="28">
        <f t="shared" ca="1" si="64"/>
        <v>0</v>
      </c>
      <c r="AV333" s="28" t="str">
        <f t="shared" si="65"/>
        <v>HOLD</v>
      </c>
    </row>
    <row r="334" spans="1:48" x14ac:dyDescent="0.35">
      <c r="A334" s="28">
        <v>333</v>
      </c>
      <c r="B334" s="28" t="str">
        <f>IF(INPUT!A334="","",TRIM(INPUT!A334))</f>
        <v>Partner 002</v>
      </c>
      <c r="C334" s="28" t="str">
        <f>IF(B334="","",INPUT!C334)</f>
        <v>interviewer0@partner002.example.com</v>
      </c>
      <c r="D334" s="28" t="str">
        <f>IF(B334="","",INPUT!D334)</f>
        <v>Rohan C.</v>
      </c>
      <c r="E334" s="28" t="str">
        <f>IF(B334="","",INPUT!E334)</f>
        <v>rohan.c070@example.com</v>
      </c>
      <c r="F334" s="43" t="str">
        <f>IF(B334="","",TRIM(INPUT!F334&amp;""))</f>
        <v>9000000917</v>
      </c>
      <c r="G334" s="28" t="str">
        <f>IF(B334="","",INPUT!H334)</f>
        <v>Round1</v>
      </c>
      <c r="H334" s="46">
        <f>IF(B334="","",INPUT!I334)</f>
        <v>46308.82708333333</v>
      </c>
      <c r="I334" s="28" t="str">
        <f>IF(B334="","",IF(INPUT!J334="","None",INPUT!J334))</f>
        <v>None</v>
      </c>
      <c r="J334" s="28" t="str">
        <f t="shared" si="55"/>
        <v>rohan.c070@example.com|partner 002|Round1|interviewer0@partner002.example.com</v>
      </c>
      <c r="K334" s="28" t="str">
        <f>IF(B334="","",IF(SUMPRODUCT(($J$2:$J$601=J334)*($H$2:$H$601&lt;H334))+SUMPRODUCT(($J$2:J334=J334)*($H$2:H334=H334))-1&gt;0,"DUPLICATE",IF(AND(ISNUMBER(SEARCH("@",E334)),ISNUMBER(SEARCH(".",E334)),LEN(F334)=10,ISNUMBER(VALUE(F334))),"OK","BAD CONTACT")))</f>
        <v>OK</v>
      </c>
      <c r="L334" s="28">
        <f t="shared" si="56"/>
        <v>1</v>
      </c>
      <c r="M334" s="28">
        <f>IF(L334=1,IF(COUNTIFS(LOG!$C$2:$C$2001,F334,LOG!$E$2:$E$2001,B334,LOG!$D$2:$D$2001,"*BOOKED")+COUNTIFS(LOG!$C$2:$C$2001,F334,LOG!$E$2:$E$2001,"",LOG!$D$2:$D$2001,"*BOOKED")&gt;0,1,0),0)</f>
        <v>0</v>
      </c>
      <c r="N334" s="28">
        <f>IF(L334=1,IF(COUNTIFS(LOG!$C$2:$C$2001,F334,LOG!$E$2:$E$2001,B334,LOG!$D$2:$D$2001,"NOT_INTERESTED")+COUNTIFS(LOG!$C$2:$C$2001,F334,LOG!$E$2:$E$2001,"",LOG!$D$2:$D$2001,"NOT_INTERESTED")&gt;0,1,0),0)</f>
        <v>0</v>
      </c>
      <c r="O334" s="28">
        <f>IF(L334=1,IF(COUNTIFS(LOG!$C$2:$C$2001,F334,LOG!$D$2:$D$2001,"STOP")+COUNTIFS(LOG!$C$2:$C$2001,F334,LOG!$D$2:$D$2001,"WRONG_NUMBER")&gt;0,1,IF(ISNUMBER(SEARCH("STOP",AT334)),1,0)),0)</f>
        <v>0</v>
      </c>
      <c r="P334" s="28">
        <f>IF(L334=1,IF(IFERROR(INDEX(PARTNERS!$D$2:$D$88,MATCH(B334,PARTNERS!$A$2:$A$88,0)),"")="NO SLOTS",1,IF(AND(IFERROR(INDEX(PARTNERS!$D$2:$D$88,MATCH(B334,PARTNERS!$A$2:$A$88,0)),"")&lt;&gt;"REOPENED",COUNTIFS(LOG!$E$2:$E$2001,B334,LOG!$D$2:$D$2001,"NO_SLOTS")&gt;0),1,0)),0)</f>
        <v>0</v>
      </c>
      <c r="Q334" s="28">
        <f>IF(L334=1,COUNTIFS(LOG!$C$2:$C$2001,F334,LOG!$H$2:$H$2001,1),0)</f>
        <v>0</v>
      </c>
      <c r="R334" s="46">
        <f>IF(Q334&gt;0,_xlfn.MAXIFS(LOG!$G$2:$G$2001,LOG!$C$2:$C$2001,F334,LOG!$H$2:$H$2001,1),0)</f>
        <v>0</v>
      </c>
      <c r="S334" s="28" t="str">
        <f>IF(Q334&gt;0,IFERROR(INDEX(LOG!$D$2:$D$2001,MATCH(F334&amp;"|"&amp;Q334,LOG!$I$2:$I$2001,0)),""),"")</f>
        <v/>
      </c>
      <c r="T334" s="28">
        <f>IF(S334="",0,IFERROR(VLOOKUP(S334,LISTS!$A$2:$E$10,4,FALSE),0))</f>
        <v>0</v>
      </c>
      <c r="U334" s="46">
        <f t="shared" si="57"/>
        <v>0</v>
      </c>
      <c r="V334" s="46">
        <f>IF(L334=1,H334+SETTINGS!$B$5/24,"")</f>
        <v>46309.82708333333</v>
      </c>
      <c r="W334" s="28">
        <f ca="1">IF(L334=1,(V334-SETTINGS!$B$4)*24,"")</f>
        <v>-1.6666666720993817E-2</v>
      </c>
      <c r="X334" s="28">
        <f ca="1">IF(AND(L334=1,K334="OK",M334=0,N334=0,O334=0,P334=0,SETTINGS!$B$4&lt;V334,Q334&lt;SETTINGS!$B$6),1,0)</f>
        <v>0</v>
      </c>
      <c r="Y334" s="28">
        <f ca="1">IF(AND(X334=1,SETTINGS!$B$4&gt;=H334,SETTINGS!$B$4&gt;=U334,ROUND(MOD(SETTINGS!$B$4,1)*1440,0)&gt;=ROUND(SETTINGS!$B$7*1440,0),ROUND(MOD(SETTINGS!$B$4,1)*1440,0)&lt;ROUND(SETTINGS!$B$8*1440,0)),1,0)</f>
        <v>0</v>
      </c>
      <c r="Z334" s="28" t="str">
        <f ca="1">IF(B334="","",IF(ROUND(MOD(SETTINGS!$B$4,1)*1440,0)&lt;ROUND(SETTINGS!$B$11*1440,0),"Ram",IF(ROUND(MOD(SETTINGS!$B$4,1)*1440,0)&gt;=ROUND(SETTINGS!$B$10*1440,0),"Shyam",IF(MOD(IFERROR(VALUE(RIGHT(F334,2)),0),2)=0,"Ram","Shyam"))))</f>
        <v>Shyam</v>
      </c>
      <c r="AA334" s="28">
        <f t="shared" ca="1" si="58"/>
        <v>0</v>
      </c>
      <c r="AB334" s="28">
        <f ca="1">IF(X334=1,COUNTIFS($F$2:F334,F334,$X$2:X334,1),0)</f>
        <v>0</v>
      </c>
      <c r="AC334" s="28" t="str">
        <f>IF(L334=1,IF(IFERROR(INDEX(PARTNERS!$C$2:$C$88,MATCH(B334,PARTNERS!$A$2:$A$88,0)),"")="YES","YES","NO"),"")</f>
        <v>YES</v>
      </c>
      <c r="AD334" s="28" t="str">
        <f>IF(L334=1,IFERROR(INDEX(PARTNERS!$B$2:$B$88,MATCH(B334,PARTNERS!$A$2:$A$88,0)),""),"")</f>
        <v>https://calendly.com/partner002/interview</v>
      </c>
      <c r="AE334" s="28">
        <f ca="1">IF(X334=1,IFERROR(INDEX(SETTINGS!$B$34:$D$36,MATCH(I334,SETTINGS!$A$34:$A$36,0),MIN(Q334,2)+1),SETTINGS!$B$36),0)</f>
        <v>0</v>
      </c>
      <c r="AF334" s="28">
        <f t="shared" si="59"/>
        <v>1</v>
      </c>
      <c r="AG334" s="28">
        <f ca="1">IF(AND(Y334=1,AB334=1),ROUND(AA334*AE334*IF(AF334&gt;1,SETTINGS!$B$16,1)*IF(W334&lt;=SETTINGS!$B$14,SETTINGS!$B$15,1)*IF(AU334=1,SETTINGS!$B$21,1),6),0)</f>
        <v>0</v>
      </c>
      <c r="AH334" s="28" t="str">
        <f ca="1">IF(AG334&gt;0,COUNTIFS($Z$2:$Z$601,Z334,$AG$2:$AG$601,"&gt;"&amp;AG334)+COUNTIFS($Z$2:Z334,Z334,$AG$2:AG334,AG334),"")</f>
        <v/>
      </c>
      <c r="AI334" s="28" t="str">
        <f t="shared" ca="1" si="60"/>
        <v/>
      </c>
      <c r="AJ334" s="28" t="str">
        <f t="shared" ca="1" si="61"/>
        <v/>
      </c>
      <c r="AK334" s="28">
        <f>IF(L334=1,IF(COUNTIFS($F$2:F334,F334,$L$2:L334,1)=1,1,0),0)</f>
        <v>1</v>
      </c>
      <c r="AL334" s="28" t="str">
        <f ca="1">IF(B334="","",IF(K334="DUPLICATE","Duplicate (removed)",IF(AO334=1,"Scheduled within 24h",IF(M334=1,"Scheduled late",IF(K334="BAD CONTACT","Bad contact details",IF(O334=1,"Stopped / wrong number",IF(N334=1,"Not interested",IF(P334=1,"Partner has no slots",IF(SETTINGS!$B$4&gt;=V334,IF(Q334=0,"Missed deadline: never tried","Missed deadline: tried, not booked"),IF(Q334&gt;=SETTINGS!$B$6,"No reply after max tries","Open"))))))))))</f>
        <v>Missed deadline: never tried</v>
      </c>
      <c r="AM334" s="46" t="str">
        <f>IF(M334=1,IF(_xlfn.MINIFS(LOG!$G$2:$G$2001,LOG!$C$2:$C$2001,F334,LOG!$E$2:$E$2001,B334,LOG!$D$2:$D$2001,"*BOOKED")=0,_xlfn.MINIFS(LOG!$G$2:$G$2001,LOG!$C$2:$C$2001,F334,LOG!$E$2:$E$2001,"",LOG!$D$2:$D$2001,"*BOOKED"),IF(_xlfn.MINIFS(LOG!$G$2:$G$2001,LOG!$C$2:$C$2001,F334,LOG!$E$2:$E$2001,"",LOG!$D$2:$D$2001,"*BOOKED")=0,_xlfn.MINIFS(LOG!$G$2:$G$2001,LOG!$C$2:$C$2001,F334,LOG!$E$2:$E$2001,B334,LOG!$D$2:$D$2001,"*BOOKED"),MIN(_xlfn.MINIFS(LOG!$G$2:$G$2001,LOG!$C$2:$C$2001,F334,LOG!$E$2:$E$2001,B334,LOG!$D$2:$D$2001,"*BOOKED"),_xlfn.MINIFS(LOG!$G$2:$G$2001,LOG!$C$2:$C$2001,F334,LOG!$E$2:$E$2001,"",LOG!$D$2:$D$2001,"*BOOKED")))),"")</f>
        <v/>
      </c>
      <c r="AN334" s="28" t="str">
        <f t="shared" si="62"/>
        <v/>
      </c>
      <c r="AO334" s="28">
        <f>IF(AND(M334=1,AN334&lt;&gt;""),IF(AN334&lt;=SETTINGS!$B$5,1,0),0)</f>
        <v>0</v>
      </c>
      <c r="AP334" s="28">
        <f>IF(M334=1,IF(COUNTIFS(LOG!$C$2:$C$2001,F334,LOG!$E$2:$E$2001,B334,LOG!$D$2:$D$2001,"BOOKED")+COUNTIFS(LOG!$C$2:$C$2001,F334,LOG!$E$2:$E$2001,"",LOG!$D$2:$D$2001,"BOOKED")&gt;0,1,0),0)</f>
        <v>0</v>
      </c>
      <c r="AQ334" s="28" t="str">
        <f t="shared" si="63"/>
        <v>Rohan</v>
      </c>
      <c r="AR334" s="28">
        <f>IF(AND(AK334=1,K334="OK"),COUNTIFS($AK$2:AK334,1,$K$2:K334,"OK"),"")</f>
        <v>290</v>
      </c>
      <c r="AS334" s="28" t="str">
        <f>IF(L334=1,IFERROR(INDEX(MESSAGES!$J$9:$J$1008,MATCH(F334,MESSAGES!$M$9:$M$1008,0))&amp;"",""),"")</f>
        <v/>
      </c>
      <c r="AT334" s="28" t="str">
        <f>IF(L334=1,IFERROR(INDEX(MESSAGES!$K$9:$K$1008,MATCH(F334,MESSAGES!$M$9:$M$1008,0))&amp;"",""),"")</f>
        <v/>
      </c>
      <c r="AU334" s="28">
        <f t="shared" ca="1" si="64"/>
        <v>0</v>
      </c>
      <c r="AV334" s="28" t="str">
        <f t="shared" si="65"/>
        <v>HOLD</v>
      </c>
    </row>
    <row r="335" spans="1:48" x14ac:dyDescent="0.35">
      <c r="A335" s="28">
        <v>334</v>
      </c>
      <c r="B335" s="28" t="str">
        <f>IF(INPUT!A335="","",TRIM(INPUT!A335))</f>
        <v>Partner 008</v>
      </c>
      <c r="C335" s="28" t="str">
        <f>IF(B335="","",INPUT!C335)</f>
        <v>interviewer1@partner008.example.com</v>
      </c>
      <c r="D335" s="28" t="str">
        <f>IF(B335="","",INPUT!D335)</f>
        <v>Karan D.</v>
      </c>
      <c r="E335" s="28" t="str">
        <f>IF(B335="","",INPUT!E335)</f>
        <v>karan.d110@example.com</v>
      </c>
      <c r="F335" s="43" t="str">
        <f>IF(B335="","",TRIM(INPUT!F335&amp;""))</f>
        <v>9000001437</v>
      </c>
      <c r="G335" s="28" t="str">
        <f>IF(B335="","",INPUT!H335)</f>
        <v>Round1</v>
      </c>
      <c r="H335" s="46">
        <f>IF(B335="","",INPUT!I335)</f>
        <v>46308.82708333333</v>
      </c>
      <c r="I335" s="28" t="str">
        <f>IF(B335="","",IF(INPUT!J335="","None",INPUT!J335))</f>
        <v>Clicked</v>
      </c>
      <c r="J335" s="28" t="str">
        <f t="shared" si="55"/>
        <v>karan.d110@example.com|partner 008|Round1|interviewer1@partner008.example.com</v>
      </c>
      <c r="K335" s="28" t="str">
        <f>IF(B335="","",IF(SUMPRODUCT(($J$2:$J$601=J335)*($H$2:$H$601&lt;H335))+SUMPRODUCT(($J$2:J335=J335)*($H$2:H335=H335))-1&gt;0,"DUPLICATE",IF(AND(ISNUMBER(SEARCH("@",E335)),ISNUMBER(SEARCH(".",E335)),LEN(F335)=10,ISNUMBER(VALUE(F335))),"OK","BAD CONTACT")))</f>
        <v>OK</v>
      </c>
      <c r="L335" s="28">
        <f t="shared" si="56"/>
        <v>1</v>
      </c>
      <c r="M335" s="28">
        <f>IF(L335=1,IF(COUNTIFS(LOG!$C$2:$C$2001,F335,LOG!$E$2:$E$2001,B335,LOG!$D$2:$D$2001,"*BOOKED")+COUNTIFS(LOG!$C$2:$C$2001,F335,LOG!$E$2:$E$2001,"",LOG!$D$2:$D$2001,"*BOOKED")&gt;0,1,0),0)</f>
        <v>0</v>
      </c>
      <c r="N335" s="28">
        <f>IF(L335=1,IF(COUNTIFS(LOG!$C$2:$C$2001,F335,LOG!$E$2:$E$2001,B335,LOG!$D$2:$D$2001,"NOT_INTERESTED")+COUNTIFS(LOG!$C$2:$C$2001,F335,LOG!$E$2:$E$2001,"",LOG!$D$2:$D$2001,"NOT_INTERESTED")&gt;0,1,0),0)</f>
        <v>0</v>
      </c>
      <c r="O335" s="28">
        <f>IF(L335=1,IF(COUNTIFS(LOG!$C$2:$C$2001,F335,LOG!$D$2:$D$2001,"STOP")+COUNTIFS(LOG!$C$2:$C$2001,F335,LOG!$D$2:$D$2001,"WRONG_NUMBER")&gt;0,1,IF(ISNUMBER(SEARCH("STOP",AT335)),1,0)),0)</f>
        <v>0</v>
      </c>
      <c r="P335" s="28">
        <f>IF(L335=1,IF(IFERROR(INDEX(PARTNERS!$D$2:$D$88,MATCH(B335,PARTNERS!$A$2:$A$88,0)),"")="NO SLOTS",1,IF(AND(IFERROR(INDEX(PARTNERS!$D$2:$D$88,MATCH(B335,PARTNERS!$A$2:$A$88,0)),"")&lt;&gt;"REOPENED",COUNTIFS(LOG!$E$2:$E$2001,B335,LOG!$D$2:$D$2001,"NO_SLOTS")&gt;0),1,0)),0)</f>
        <v>0</v>
      </c>
      <c r="Q335" s="28">
        <f>IF(L335=1,COUNTIFS(LOG!$C$2:$C$2001,F335,LOG!$H$2:$H$2001,1),0)</f>
        <v>2</v>
      </c>
      <c r="R335" s="46">
        <f>IF(Q335&gt;0,_xlfn.MAXIFS(LOG!$G$2:$G$2001,LOG!$C$2:$C$2001,F335,LOG!$H$2:$H$2001,1),0)</f>
        <v>46309.773682408319</v>
      </c>
      <c r="S335" s="28" t="str">
        <f>IF(Q335&gt;0,IFERROR(INDEX(LOG!$D$2:$D$2001,MATCH(F335&amp;"|"&amp;Q335,LOG!$I$2:$I$2001,0)),""),"")</f>
        <v>CALL_BACK</v>
      </c>
      <c r="T335" s="28">
        <f>IF(S335="",0,IFERROR(VLOOKUP(S335,LISTS!$A$2:$E$10,4,FALSE),0))</f>
        <v>120</v>
      </c>
      <c r="U335" s="46">
        <f t="shared" si="57"/>
        <v>46309.857015741654</v>
      </c>
      <c r="V335" s="46">
        <f>IF(L335=1,H335+SETTINGS!$B$5/24,"")</f>
        <v>46309.82708333333</v>
      </c>
      <c r="W335" s="28">
        <f ca="1">IF(L335=1,(V335-SETTINGS!$B$4)*24,"")</f>
        <v>-1.6666666720993817E-2</v>
      </c>
      <c r="X335" s="28">
        <f ca="1">IF(AND(L335=1,K335="OK",M335=0,N335=0,O335=0,P335=0,SETTINGS!$B$4&lt;V335,Q335&lt;SETTINGS!$B$6),1,0)</f>
        <v>0</v>
      </c>
      <c r="Y335" s="28">
        <f ca="1">IF(AND(X335=1,SETTINGS!$B$4&gt;=H335,SETTINGS!$B$4&gt;=U335,ROUND(MOD(SETTINGS!$B$4,1)*1440,0)&gt;=ROUND(SETTINGS!$B$7*1440,0),ROUND(MOD(SETTINGS!$B$4,1)*1440,0)&lt;ROUND(SETTINGS!$B$8*1440,0)),1,0)</f>
        <v>0</v>
      </c>
      <c r="Z335" s="28" t="str">
        <f ca="1">IF(B335="","",IF(ROUND(MOD(SETTINGS!$B$4,1)*1440,0)&lt;ROUND(SETTINGS!$B$11*1440,0),"Ram",IF(ROUND(MOD(SETTINGS!$B$4,1)*1440,0)&gt;=ROUND(SETTINGS!$B$10*1440,0),"Shyam",IF(MOD(IFERROR(VALUE(RIGHT(F335,2)),0),2)=0,"Ram","Shyam"))))</f>
        <v>Shyam</v>
      </c>
      <c r="AA335" s="28">
        <f t="shared" ca="1" si="58"/>
        <v>0</v>
      </c>
      <c r="AB335" s="28">
        <f ca="1">IF(X335=1,COUNTIFS($F$2:F335,F335,$X$2:X335,1),0)</f>
        <v>0</v>
      </c>
      <c r="AC335" s="28" t="str">
        <f>IF(L335=1,IF(IFERROR(INDEX(PARTNERS!$C$2:$C$88,MATCH(B335,PARTNERS!$A$2:$A$88,0)),"")="YES","YES","NO"),"")</f>
        <v>YES</v>
      </c>
      <c r="AD335" s="28" t="str">
        <f>IF(L335=1,IFERROR(INDEX(PARTNERS!$B$2:$B$88,MATCH(B335,PARTNERS!$A$2:$A$88,0)),""),"")</f>
        <v>https://calendly.com/partner008/interview</v>
      </c>
      <c r="AE335" s="28">
        <f ca="1">IF(X335=1,IFERROR(INDEX(SETTINGS!$B$34:$D$36,MATCH(I335,SETTINGS!$A$34:$A$36,0),MIN(Q335,2)+1),SETTINGS!$B$36),0)</f>
        <v>0</v>
      </c>
      <c r="AF335" s="28">
        <f t="shared" si="59"/>
        <v>1</v>
      </c>
      <c r="AG335" s="28">
        <f ca="1">IF(AND(Y335=1,AB335=1),ROUND(AA335*AE335*IF(AF335&gt;1,SETTINGS!$B$16,1)*IF(W335&lt;=SETTINGS!$B$14,SETTINGS!$B$15,1)*IF(AU335=1,SETTINGS!$B$21,1),6),0)</f>
        <v>0</v>
      </c>
      <c r="AH335" s="28" t="str">
        <f ca="1">IF(AG335&gt;0,COUNTIFS($Z$2:$Z$601,Z335,$AG$2:$AG$601,"&gt;"&amp;AG335)+COUNTIFS($Z$2:Z335,Z335,$AG$2:AG335,AG335),"")</f>
        <v/>
      </c>
      <c r="AI335" s="28" t="str">
        <f t="shared" ca="1" si="60"/>
        <v/>
      </c>
      <c r="AJ335" s="28" t="str">
        <f t="shared" ca="1" si="61"/>
        <v/>
      </c>
      <c r="AK335" s="28">
        <f>IF(L335=1,IF(COUNTIFS($F$2:F335,F335,$L$2:L335,1)=1,1,0),0)</f>
        <v>1</v>
      </c>
      <c r="AL335" s="28" t="str">
        <f ca="1">IF(B335="","",IF(K335="DUPLICATE","Duplicate (removed)",IF(AO335=1,"Scheduled within 24h",IF(M335=1,"Scheduled late",IF(K335="BAD CONTACT","Bad contact details",IF(O335=1,"Stopped / wrong number",IF(N335=1,"Not interested",IF(P335=1,"Partner has no slots",IF(SETTINGS!$B$4&gt;=V335,IF(Q335=0,"Missed deadline: never tried","Missed deadline: tried, not booked"),IF(Q335&gt;=SETTINGS!$B$6,"No reply after max tries","Open"))))))))))</f>
        <v>Missed deadline: tried, not booked</v>
      </c>
      <c r="AM335" s="46" t="str">
        <f>IF(M335=1,IF(_xlfn.MINIFS(LOG!$G$2:$G$2001,LOG!$C$2:$C$2001,F335,LOG!$E$2:$E$2001,B335,LOG!$D$2:$D$2001,"*BOOKED")=0,_xlfn.MINIFS(LOG!$G$2:$G$2001,LOG!$C$2:$C$2001,F335,LOG!$E$2:$E$2001,"",LOG!$D$2:$D$2001,"*BOOKED"),IF(_xlfn.MINIFS(LOG!$G$2:$G$2001,LOG!$C$2:$C$2001,F335,LOG!$E$2:$E$2001,"",LOG!$D$2:$D$2001,"*BOOKED")=0,_xlfn.MINIFS(LOG!$G$2:$G$2001,LOG!$C$2:$C$2001,F335,LOG!$E$2:$E$2001,B335,LOG!$D$2:$D$2001,"*BOOKED"),MIN(_xlfn.MINIFS(LOG!$G$2:$G$2001,LOG!$C$2:$C$2001,F335,LOG!$E$2:$E$2001,B335,LOG!$D$2:$D$2001,"*BOOKED"),_xlfn.MINIFS(LOG!$G$2:$G$2001,LOG!$C$2:$C$2001,F335,LOG!$E$2:$E$2001,"",LOG!$D$2:$D$2001,"*BOOKED")))),"")</f>
        <v/>
      </c>
      <c r="AN335" s="28" t="str">
        <f t="shared" si="62"/>
        <v/>
      </c>
      <c r="AO335" s="28">
        <f>IF(AND(M335=1,AN335&lt;&gt;""),IF(AN335&lt;=SETTINGS!$B$5,1,0),0)</f>
        <v>0</v>
      </c>
      <c r="AP335" s="28">
        <f>IF(M335=1,IF(COUNTIFS(LOG!$C$2:$C$2001,F335,LOG!$E$2:$E$2001,B335,LOG!$D$2:$D$2001,"BOOKED")+COUNTIFS(LOG!$C$2:$C$2001,F335,LOG!$E$2:$E$2001,"",LOG!$D$2:$D$2001,"BOOKED")&gt;0,1,0),0)</f>
        <v>0</v>
      </c>
      <c r="AQ335" s="28" t="str">
        <f t="shared" si="63"/>
        <v>Karan</v>
      </c>
      <c r="AR335" s="28">
        <f>IF(AND(AK335=1,K335="OK"),COUNTIFS($AK$2:AK335,1,$K$2:K335,"OK"),"")</f>
        <v>291</v>
      </c>
      <c r="AS335" s="28" t="str">
        <f>IF(L335=1,IFERROR(INDEX(MESSAGES!$J$9:$J$1008,MATCH(F335,MESSAGES!$M$9:$M$1008,0))&amp;"",""),"")</f>
        <v/>
      </c>
      <c r="AT335" s="28" t="str">
        <f>IF(L335=1,IFERROR(INDEX(MESSAGES!$K$9:$K$1008,MATCH(F335,MESSAGES!$M$9:$M$1008,0))&amp;"",""),"")</f>
        <v/>
      </c>
      <c r="AU335" s="28">
        <f t="shared" ca="1" si="64"/>
        <v>0</v>
      </c>
      <c r="AV335" s="28" t="str">
        <f t="shared" si="65"/>
        <v>HOLD</v>
      </c>
    </row>
    <row r="336" spans="1:48" x14ac:dyDescent="0.35">
      <c r="A336" s="28">
        <v>335</v>
      </c>
      <c r="B336" s="28" t="str">
        <f>IF(INPUT!A336="","",TRIM(INPUT!A336))</f>
        <v>Partner 002</v>
      </c>
      <c r="C336" s="28" t="str">
        <f>IF(B336="","",INPUT!C336)</f>
        <v>interviewer1@partner002.example.com</v>
      </c>
      <c r="D336" s="28" t="str">
        <f>IF(B336="","",INPUT!D336)</f>
        <v>Arjun B.</v>
      </c>
      <c r="E336" s="28" t="str">
        <f>IF(B336="","",INPUT!E336)</f>
        <v>arjun.b038@example.com</v>
      </c>
      <c r="F336" s="43" t="str">
        <f>IF(B336="","",TRIM(INPUT!F336&amp;""))</f>
        <v>9000000501</v>
      </c>
      <c r="G336" s="28" t="str">
        <f>IF(B336="","",INPUT!H336)</f>
        <v>Round1</v>
      </c>
      <c r="H336" s="46">
        <f>IF(B336="","",INPUT!I336)</f>
        <v>46308.82708333333</v>
      </c>
      <c r="I336" s="28" t="str">
        <f>IF(B336="","",IF(INPUT!J336="","None",INPUT!J336))</f>
        <v>None</v>
      </c>
      <c r="J336" s="28" t="str">
        <f t="shared" si="55"/>
        <v>arjun.b038@example.com|partner 002|Round1|interviewer1@partner002.example.com</v>
      </c>
      <c r="K336" s="28" t="str">
        <f>IF(B336="","",IF(SUMPRODUCT(($J$2:$J$601=J336)*($H$2:$H$601&lt;H336))+SUMPRODUCT(($J$2:J336=J336)*($H$2:H336=H336))-1&gt;0,"DUPLICATE",IF(AND(ISNUMBER(SEARCH("@",E336)),ISNUMBER(SEARCH(".",E336)),LEN(F336)=10,ISNUMBER(VALUE(F336))),"OK","BAD CONTACT")))</f>
        <v>OK</v>
      </c>
      <c r="L336" s="28">
        <f t="shared" si="56"/>
        <v>1</v>
      </c>
      <c r="M336" s="28">
        <f>IF(L336=1,IF(COUNTIFS(LOG!$C$2:$C$2001,F336,LOG!$E$2:$E$2001,B336,LOG!$D$2:$D$2001,"*BOOKED")+COUNTIFS(LOG!$C$2:$C$2001,F336,LOG!$E$2:$E$2001,"",LOG!$D$2:$D$2001,"*BOOKED")&gt;0,1,0),0)</f>
        <v>0</v>
      </c>
      <c r="N336" s="28">
        <f>IF(L336=1,IF(COUNTIFS(LOG!$C$2:$C$2001,F336,LOG!$E$2:$E$2001,B336,LOG!$D$2:$D$2001,"NOT_INTERESTED")+COUNTIFS(LOG!$C$2:$C$2001,F336,LOG!$E$2:$E$2001,"",LOG!$D$2:$D$2001,"NOT_INTERESTED")&gt;0,1,0),0)</f>
        <v>0</v>
      </c>
      <c r="O336" s="28">
        <f>IF(L336=1,IF(COUNTIFS(LOG!$C$2:$C$2001,F336,LOG!$D$2:$D$2001,"STOP")+COUNTIFS(LOG!$C$2:$C$2001,F336,LOG!$D$2:$D$2001,"WRONG_NUMBER")&gt;0,1,IF(ISNUMBER(SEARCH("STOP",AT336)),1,0)),0)</f>
        <v>0</v>
      </c>
      <c r="P336" s="28">
        <f>IF(L336=1,IF(IFERROR(INDEX(PARTNERS!$D$2:$D$88,MATCH(B336,PARTNERS!$A$2:$A$88,0)),"")="NO SLOTS",1,IF(AND(IFERROR(INDEX(PARTNERS!$D$2:$D$88,MATCH(B336,PARTNERS!$A$2:$A$88,0)),"")&lt;&gt;"REOPENED",COUNTIFS(LOG!$E$2:$E$2001,B336,LOG!$D$2:$D$2001,"NO_SLOTS")&gt;0),1,0)),0)</f>
        <v>0</v>
      </c>
      <c r="Q336" s="28">
        <f>IF(L336=1,COUNTIFS(LOG!$C$2:$C$2001,F336,LOG!$H$2:$H$2001,1),0)</f>
        <v>0</v>
      </c>
      <c r="R336" s="46">
        <f>IF(Q336&gt;0,_xlfn.MAXIFS(LOG!$G$2:$G$2001,LOG!$C$2:$C$2001,F336,LOG!$H$2:$H$2001,1),0)</f>
        <v>0</v>
      </c>
      <c r="S336" s="28" t="str">
        <f>IF(Q336&gt;0,IFERROR(INDEX(LOG!$D$2:$D$2001,MATCH(F336&amp;"|"&amp;Q336,LOG!$I$2:$I$2001,0)),""),"")</f>
        <v/>
      </c>
      <c r="T336" s="28">
        <f>IF(S336="",0,IFERROR(VLOOKUP(S336,LISTS!$A$2:$E$10,4,FALSE),0))</f>
        <v>0</v>
      </c>
      <c r="U336" s="46">
        <f t="shared" si="57"/>
        <v>0</v>
      </c>
      <c r="V336" s="46">
        <f>IF(L336=1,H336+SETTINGS!$B$5/24,"")</f>
        <v>46309.82708333333</v>
      </c>
      <c r="W336" s="28">
        <f ca="1">IF(L336=1,(V336-SETTINGS!$B$4)*24,"")</f>
        <v>-1.6666666720993817E-2</v>
      </c>
      <c r="X336" s="28">
        <f ca="1">IF(AND(L336=1,K336="OK",M336=0,N336=0,O336=0,P336=0,SETTINGS!$B$4&lt;V336,Q336&lt;SETTINGS!$B$6),1,0)</f>
        <v>0</v>
      </c>
      <c r="Y336" s="28">
        <f ca="1">IF(AND(X336=1,SETTINGS!$B$4&gt;=H336,SETTINGS!$B$4&gt;=U336,ROUND(MOD(SETTINGS!$B$4,1)*1440,0)&gt;=ROUND(SETTINGS!$B$7*1440,0),ROUND(MOD(SETTINGS!$B$4,1)*1440,0)&lt;ROUND(SETTINGS!$B$8*1440,0)),1,0)</f>
        <v>0</v>
      </c>
      <c r="Z336" s="28" t="str">
        <f ca="1">IF(B336="","",IF(ROUND(MOD(SETTINGS!$B$4,1)*1440,0)&lt;ROUND(SETTINGS!$B$11*1440,0),"Ram",IF(ROUND(MOD(SETTINGS!$B$4,1)*1440,0)&gt;=ROUND(SETTINGS!$B$10*1440,0),"Shyam",IF(MOD(IFERROR(VALUE(RIGHT(F336,2)),0),2)=0,"Ram","Shyam"))))</f>
        <v>Shyam</v>
      </c>
      <c r="AA336" s="28">
        <f t="shared" ca="1" si="58"/>
        <v>0</v>
      </c>
      <c r="AB336" s="28">
        <f ca="1">IF(X336=1,COUNTIFS($F$2:F336,F336,$X$2:X336,1),0)</f>
        <v>0</v>
      </c>
      <c r="AC336" s="28" t="str">
        <f>IF(L336=1,IF(IFERROR(INDEX(PARTNERS!$C$2:$C$88,MATCH(B336,PARTNERS!$A$2:$A$88,0)),"")="YES","YES","NO"),"")</f>
        <v>YES</v>
      </c>
      <c r="AD336" s="28" t="str">
        <f>IF(L336=1,IFERROR(INDEX(PARTNERS!$B$2:$B$88,MATCH(B336,PARTNERS!$A$2:$A$88,0)),""),"")</f>
        <v>https://calendly.com/partner002/interview</v>
      </c>
      <c r="AE336" s="28">
        <f ca="1">IF(X336=1,IFERROR(INDEX(SETTINGS!$B$34:$D$36,MATCH(I336,SETTINGS!$A$34:$A$36,0),MIN(Q336,2)+1),SETTINGS!$B$36),0)</f>
        <v>0</v>
      </c>
      <c r="AF336" s="28">
        <f t="shared" si="59"/>
        <v>1</v>
      </c>
      <c r="AG336" s="28">
        <f ca="1">IF(AND(Y336=1,AB336=1),ROUND(AA336*AE336*IF(AF336&gt;1,SETTINGS!$B$16,1)*IF(W336&lt;=SETTINGS!$B$14,SETTINGS!$B$15,1)*IF(AU336=1,SETTINGS!$B$21,1),6),0)</f>
        <v>0</v>
      </c>
      <c r="AH336" s="28" t="str">
        <f ca="1">IF(AG336&gt;0,COUNTIFS($Z$2:$Z$601,Z336,$AG$2:$AG$601,"&gt;"&amp;AG336)+COUNTIFS($Z$2:Z336,Z336,$AG$2:AG336,AG336),"")</f>
        <v/>
      </c>
      <c r="AI336" s="28" t="str">
        <f t="shared" ca="1" si="60"/>
        <v/>
      </c>
      <c r="AJ336" s="28" t="str">
        <f t="shared" ca="1" si="61"/>
        <v/>
      </c>
      <c r="AK336" s="28">
        <f>IF(L336=1,IF(COUNTIFS($F$2:F336,F336,$L$2:L336,1)=1,1,0),0)</f>
        <v>1</v>
      </c>
      <c r="AL336" s="28" t="str">
        <f ca="1">IF(B336="","",IF(K336="DUPLICATE","Duplicate (removed)",IF(AO336=1,"Scheduled within 24h",IF(M336=1,"Scheduled late",IF(K336="BAD CONTACT","Bad contact details",IF(O336=1,"Stopped / wrong number",IF(N336=1,"Not interested",IF(P336=1,"Partner has no slots",IF(SETTINGS!$B$4&gt;=V336,IF(Q336=0,"Missed deadline: never tried","Missed deadline: tried, not booked"),IF(Q336&gt;=SETTINGS!$B$6,"No reply after max tries","Open"))))))))))</f>
        <v>Missed deadline: never tried</v>
      </c>
      <c r="AM336" s="46" t="str">
        <f>IF(M336=1,IF(_xlfn.MINIFS(LOG!$G$2:$G$2001,LOG!$C$2:$C$2001,F336,LOG!$E$2:$E$2001,B336,LOG!$D$2:$D$2001,"*BOOKED")=0,_xlfn.MINIFS(LOG!$G$2:$G$2001,LOG!$C$2:$C$2001,F336,LOG!$E$2:$E$2001,"",LOG!$D$2:$D$2001,"*BOOKED"),IF(_xlfn.MINIFS(LOG!$G$2:$G$2001,LOG!$C$2:$C$2001,F336,LOG!$E$2:$E$2001,"",LOG!$D$2:$D$2001,"*BOOKED")=0,_xlfn.MINIFS(LOG!$G$2:$G$2001,LOG!$C$2:$C$2001,F336,LOG!$E$2:$E$2001,B336,LOG!$D$2:$D$2001,"*BOOKED"),MIN(_xlfn.MINIFS(LOG!$G$2:$G$2001,LOG!$C$2:$C$2001,F336,LOG!$E$2:$E$2001,B336,LOG!$D$2:$D$2001,"*BOOKED"),_xlfn.MINIFS(LOG!$G$2:$G$2001,LOG!$C$2:$C$2001,F336,LOG!$E$2:$E$2001,"",LOG!$D$2:$D$2001,"*BOOKED")))),"")</f>
        <v/>
      </c>
      <c r="AN336" s="28" t="str">
        <f t="shared" si="62"/>
        <v/>
      </c>
      <c r="AO336" s="28">
        <f>IF(AND(M336=1,AN336&lt;&gt;""),IF(AN336&lt;=SETTINGS!$B$5,1,0),0)</f>
        <v>0</v>
      </c>
      <c r="AP336" s="28">
        <f>IF(M336=1,IF(COUNTIFS(LOG!$C$2:$C$2001,F336,LOG!$E$2:$E$2001,B336,LOG!$D$2:$D$2001,"BOOKED")+COUNTIFS(LOG!$C$2:$C$2001,F336,LOG!$E$2:$E$2001,"",LOG!$D$2:$D$2001,"BOOKED")&gt;0,1,0),0)</f>
        <v>0</v>
      </c>
      <c r="AQ336" s="28" t="str">
        <f t="shared" si="63"/>
        <v>Arjun</v>
      </c>
      <c r="AR336" s="28">
        <f>IF(AND(AK336=1,K336="OK"),COUNTIFS($AK$2:AK336,1,$K$2:K336,"OK"),"")</f>
        <v>292</v>
      </c>
      <c r="AS336" s="28" t="str">
        <f>IF(L336=1,IFERROR(INDEX(MESSAGES!$J$9:$J$1008,MATCH(F336,MESSAGES!$M$9:$M$1008,0))&amp;"",""),"")</f>
        <v/>
      </c>
      <c r="AT336" s="28" t="str">
        <f>IF(L336=1,IFERROR(INDEX(MESSAGES!$K$9:$K$1008,MATCH(F336,MESSAGES!$M$9:$M$1008,0))&amp;"",""),"")</f>
        <v/>
      </c>
      <c r="AU336" s="28">
        <f t="shared" ca="1" si="64"/>
        <v>0</v>
      </c>
      <c r="AV336" s="28" t="str">
        <f t="shared" si="65"/>
        <v>SEND</v>
      </c>
    </row>
    <row r="337" spans="1:48" x14ac:dyDescent="0.35">
      <c r="A337" s="28">
        <v>336</v>
      </c>
      <c r="B337" s="28" t="str">
        <f>IF(INPUT!A337="","",TRIM(INPUT!A337))</f>
        <v>Partner 000</v>
      </c>
      <c r="C337" s="28" t="str">
        <f>IF(B337="","",INPUT!C337)</f>
        <v>interviewer0@partner000.example.com</v>
      </c>
      <c r="D337" s="28" t="str">
        <f>IF(B337="","",INPUT!D337)</f>
        <v>Reyansh A.</v>
      </c>
      <c r="E337" s="28" t="str">
        <f>IF(B337="","",INPUT!E337)</f>
        <v>reyansh.a006@example.com</v>
      </c>
      <c r="F337" s="43" t="str">
        <f>IF(B337="","",TRIM(INPUT!F337&amp;""))</f>
        <v>9000000085</v>
      </c>
      <c r="G337" s="28" t="str">
        <f>IF(B337="","",INPUT!H337)</f>
        <v>Round1</v>
      </c>
      <c r="H337" s="46">
        <f>IF(B337="","",INPUT!I337)</f>
        <v>46308.82708333333</v>
      </c>
      <c r="I337" s="28" t="str">
        <f>IF(B337="","",IF(INPUT!J337="","None",INPUT!J337))</f>
        <v>None</v>
      </c>
      <c r="J337" s="28" t="str">
        <f t="shared" si="55"/>
        <v>reyansh.a006@example.com|partner 000|Round1|interviewer0@partner000.example.com</v>
      </c>
      <c r="K337" s="28" t="str">
        <f>IF(B337="","",IF(SUMPRODUCT(($J$2:$J$601=J337)*($H$2:$H$601&lt;H337))+SUMPRODUCT(($J$2:J337=J337)*($H$2:H337=H337))-1&gt;0,"DUPLICATE",IF(AND(ISNUMBER(SEARCH("@",E337)),ISNUMBER(SEARCH(".",E337)),LEN(F337)=10,ISNUMBER(VALUE(F337))),"OK","BAD CONTACT")))</f>
        <v>OK</v>
      </c>
      <c r="L337" s="28">
        <f t="shared" si="56"/>
        <v>1</v>
      </c>
      <c r="M337" s="28">
        <f>IF(L337=1,IF(COUNTIFS(LOG!$C$2:$C$2001,F337,LOG!$E$2:$E$2001,B337,LOG!$D$2:$D$2001,"*BOOKED")+COUNTIFS(LOG!$C$2:$C$2001,F337,LOG!$E$2:$E$2001,"",LOG!$D$2:$D$2001,"*BOOKED")&gt;0,1,0),0)</f>
        <v>1</v>
      </c>
      <c r="N337" s="28">
        <f>IF(L337=1,IF(COUNTIFS(LOG!$C$2:$C$2001,F337,LOG!$E$2:$E$2001,B337,LOG!$D$2:$D$2001,"NOT_INTERESTED")+COUNTIFS(LOG!$C$2:$C$2001,F337,LOG!$E$2:$E$2001,"",LOG!$D$2:$D$2001,"NOT_INTERESTED")&gt;0,1,0),0)</f>
        <v>0</v>
      </c>
      <c r="O337" s="28">
        <f>IF(L337=1,IF(COUNTIFS(LOG!$C$2:$C$2001,F337,LOG!$D$2:$D$2001,"STOP")+COUNTIFS(LOG!$C$2:$C$2001,F337,LOG!$D$2:$D$2001,"WRONG_NUMBER")&gt;0,1,IF(ISNUMBER(SEARCH("STOP",AT337)),1,0)),0)</f>
        <v>0</v>
      </c>
      <c r="P337" s="28">
        <f>IF(L337=1,IF(IFERROR(INDEX(PARTNERS!$D$2:$D$88,MATCH(B337,PARTNERS!$A$2:$A$88,0)),"")="NO SLOTS",1,IF(AND(IFERROR(INDEX(PARTNERS!$D$2:$D$88,MATCH(B337,PARTNERS!$A$2:$A$88,0)),"")&lt;&gt;"REOPENED",COUNTIFS(LOG!$E$2:$E$2001,B337,LOG!$D$2:$D$2001,"NO_SLOTS")&gt;0),1,0)),0)</f>
        <v>0</v>
      </c>
      <c r="Q337" s="28">
        <f>IF(L337=1,COUNTIFS(LOG!$C$2:$C$2001,F337,LOG!$H$2:$H$2001,1),0)</f>
        <v>0</v>
      </c>
      <c r="R337" s="46">
        <f>IF(Q337&gt;0,_xlfn.MAXIFS(LOG!$G$2:$G$2001,LOG!$C$2:$C$2001,F337,LOG!$H$2:$H$2001,1),0)</f>
        <v>0</v>
      </c>
      <c r="S337" s="28" t="str">
        <f>IF(Q337&gt;0,IFERROR(INDEX(LOG!$D$2:$D$2001,MATCH(F337&amp;"|"&amp;Q337,LOG!$I$2:$I$2001,0)),""),"")</f>
        <v/>
      </c>
      <c r="T337" s="28">
        <f>IF(S337="",0,IFERROR(VLOOKUP(S337,LISTS!$A$2:$E$10,4,FALSE),0))</f>
        <v>0</v>
      </c>
      <c r="U337" s="46">
        <f t="shared" si="57"/>
        <v>0</v>
      </c>
      <c r="V337" s="46">
        <f>IF(L337=1,H337+SETTINGS!$B$5/24,"")</f>
        <v>46309.82708333333</v>
      </c>
      <c r="W337" s="28">
        <f ca="1">IF(L337=1,(V337-SETTINGS!$B$4)*24,"")</f>
        <v>-1.6666666720993817E-2</v>
      </c>
      <c r="X337" s="28">
        <f ca="1">IF(AND(L337=1,K337="OK",M337=0,N337=0,O337=0,P337=0,SETTINGS!$B$4&lt;V337,Q337&lt;SETTINGS!$B$6),1,0)</f>
        <v>0</v>
      </c>
      <c r="Y337" s="28">
        <f ca="1">IF(AND(X337=1,SETTINGS!$B$4&gt;=H337,SETTINGS!$B$4&gt;=U337,ROUND(MOD(SETTINGS!$B$4,1)*1440,0)&gt;=ROUND(SETTINGS!$B$7*1440,0),ROUND(MOD(SETTINGS!$B$4,1)*1440,0)&lt;ROUND(SETTINGS!$B$8*1440,0)),1,0)</f>
        <v>0</v>
      </c>
      <c r="Z337" s="28" t="str">
        <f ca="1">IF(B337="","",IF(ROUND(MOD(SETTINGS!$B$4,1)*1440,0)&lt;ROUND(SETTINGS!$B$11*1440,0),"Ram",IF(ROUND(MOD(SETTINGS!$B$4,1)*1440,0)&gt;=ROUND(SETTINGS!$B$10*1440,0),"Shyam",IF(MOD(IFERROR(VALUE(RIGHT(F337,2)),0),2)=0,"Ram","Shyam"))))</f>
        <v>Shyam</v>
      </c>
      <c r="AA337" s="28">
        <f t="shared" ca="1" si="58"/>
        <v>0</v>
      </c>
      <c r="AB337" s="28">
        <f ca="1">IF(X337=1,COUNTIFS($F$2:F337,F337,$X$2:X337,1),0)</f>
        <v>0</v>
      </c>
      <c r="AC337" s="28" t="str">
        <f>IF(L337=1,IF(IFERROR(INDEX(PARTNERS!$C$2:$C$88,MATCH(B337,PARTNERS!$A$2:$A$88,0)),"")="YES","YES","NO"),"")</f>
        <v>NO</v>
      </c>
      <c r="AD337" s="28" t="str">
        <f>IF(L337=1,IFERROR(INDEX(PARTNERS!$B$2:$B$88,MATCH(B337,PARTNERS!$A$2:$A$88,0)),""),"")</f>
        <v>https://calendly.com/partner000/interview</v>
      </c>
      <c r="AE337" s="28">
        <f ca="1">IF(X337=1,IFERROR(INDEX(SETTINGS!$B$34:$D$36,MATCH(I337,SETTINGS!$A$34:$A$36,0),MIN(Q337,2)+1),SETTINGS!$B$36),0)</f>
        <v>0</v>
      </c>
      <c r="AF337" s="28">
        <f t="shared" si="59"/>
        <v>1</v>
      </c>
      <c r="AG337" s="28">
        <f ca="1">IF(AND(Y337=1,AB337=1),ROUND(AA337*AE337*IF(AF337&gt;1,SETTINGS!$B$16,1)*IF(W337&lt;=SETTINGS!$B$14,SETTINGS!$B$15,1)*IF(AU337=1,SETTINGS!$B$21,1),6),0)</f>
        <v>0</v>
      </c>
      <c r="AH337" s="28" t="str">
        <f ca="1">IF(AG337&gt;0,COUNTIFS($Z$2:$Z$601,Z337,$AG$2:$AG$601,"&gt;"&amp;AG337)+COUNTIFS($Z$2:Z337,Z337,$AG$2:AG337,AG337),"")</f>
        <v/>
      </c>
      <c r="AI337" s="28" t="str">
        <f t="shared" ca="1" si="60"/>
        <v/>
      </c>
      <c r="AJ337" s="28" t="str">
        <f t="shared" ca="1" si="61"/>
        <v/>
      </c>
      <c r="AK337" s="28">
        <f>IF(L337=1,IF(COUNTIFS($F$2:F337,F337,$L$2:L337,1)=1,1,0),0)</f>
        <v>1</v>
      </c>
      <c r="AL337" s="28" t="str">
        <f>IF(B337="","",IF(K337="DUPLICATE","Duplicate (removed)",IF(AO337=1,"Scheduled within 24h",IF(M337=1,"Scheduled late",IF(K337="BAD CONTACT","Bad contact details",IF(O337=1,"Stopped / wrong number",IF(N337=1,"Not interested",IF(P337=1,"Partner has no slots",IF(SETTINGS!$B$4&gt;=V337,IF(Q337=0,"Missed deadline: never tried","Missed deadline: tried, not booked"),IF(Q337&gt;=SETTINGS!$B$6,"No reply after max tries","Open"))))))))))</f>
        <v>Scheduled within 24h</v>
      </c>
      <c r="AM337" s="46">
        <f>IF(M337=1,IF(_xlfn.MINIFS(LOG!$G$2:$G$2001,LOG!$C$2:$C$2001,F337,LOG!$E$2:$E$2001,B337,LOG!$D$2:$D$2001,"*BOOKED")=0,_xlfn.MINIFS(LOG!$G$2:$G$2001,LOG!$C$2:$C$2001,F337,LOG!$E$2:$E$2001,"",LOG!$D$2:$D$2001,"*BOOKED"),IF(_xlfn.MINIFS(LOG!$G$2:$G$2001,LOG!$C$2:$C$2001,F337,LOG!$E$2:$E$2001,"",LOG!$D$2:$D$2001,"*BOOKED")=0,_xlfn.MINIFS(LOG!$G$2:$G$2001,LOG!$C$2:$C$2001,F337,LOG!$E$2:$E$2001,B337,LOG!$D$2:$D$2001,"*BOOKED"),MIN(_xlfn.MINIFS(LOG!$G$2:$G$2001,LOG!$C$2:$C$2001,F337,LOG!$E$2:$E$2001,B337,LOG!$D$2:$D$2001,"*BOOKED"),_xlfn.MINIFS(LOG!$G$2:$G$2001,LOG!$C$2:$C$2001,F337,LOG!$E$2:$E$2001,"",LOG!$D$2:$D$2001,"*BOOKED")))),"")</f>
        <v>46309.642959941768</v>
      </c>
      <c r="AN337" s="28">
        <f t="shared" si="62"/>
        <v>19.581038602511398</v>
      </c>
      <c r="AO337" s="28">
        <f>IF(AND(M337=1,AN337&lt;&gt;""),IF(AN337&lt;=SETTINGS!$B$5,1,0),0)</f>
        <v>1</v>
      </c>
      <c r="AP337" s="28">
        <f>IF(M337=1,IF(COUNTIFS(LOG!$C$2:$C$2001,F337,LOG!$E$2:$E$2001,B337,LOG!$D$2:$D$2001,"BOOKED")+COUNTIFS(LOG!$C$2:$C$2001,F337,LOG!$E$2:$E$2001,"",LOG!$D$2:$D$2001,"BOOKED")&gt;0,1,0),0)</f>
        <v>0</v>
      </c>
      <c r="AQ337" s="28" t="str">
        <f t="shared" si="63"/>
        <v>Reyansh</v>
      </c>
      <c r="AR337" s="28">
        <f>IF(AND(AK337=1,K337="OK"),COUNTIFS($AK$2:AK337,1,$K$2:K337,"OK"),"")</f>
        <v>293</v>
      </c>
      <c r="AS337" s="28" t="str">
        <f>IF(L337=1,IFERROR(INDEX(MESSAGES!$J$9:$J$1008,MATCH(F337,MESSAGES!$M$9:$M$1008,0))&amp;"",""),"")</f>
        <v/>
      </c>
      <c r="AT337" s="28" t="str">
        <f>IF(L337=1,IFERROR(INDEX(MESSAGES!$K$9:$K$1008,MATCH(F337,MESSAGES!$M$9:$M$1008,0))&amp;"",""),"")</f>
        <v/>
      </c>
      <c r="AU337" s="28">
        <f t="shared" ca="1" si="64"/>
        <v>0</v>
      </c>
      <c r="AV337" s="28" t="str">
        <f t="shared" si="65"/>
        <v>SEND</v>
      </c>
    </row>
    <row r="338" spans="1:48" x14ac:dyDescent="0.35">
      <c r="A338" s="28">
        <v>337</v>
      </c>
      <c r="B338" s="28" t="str">
        <f>IF(INPUT!A338="","",TRIM(INPUT!A338))</f>
        <v>Partner 002</v>
      </c>
      <c r="C338" s="28" t="str">
        <f>IF(B338="","",INPUT!C338)</f>
        <v>interviewer1@partner002.example.com</v>
      </c>
      <c r="D338" s="28" t="str">
        <f>IF(B338="","",INPUT!D338)</f>
        <v>Kabir J.</v>
      </c>
      <c r="E338" s="28" t="str">
        <f>IF(B338="","",INPUT!E338)</f>
        <v>kabir.j242@example.com</v>
      </c>
      <c r="F338" s="43" t="str">
        <f>IF(B338="","",TRIM(INPUT!F338&amp;""))</f>
        <v>9000003153</v>
      </c>
      <c r="G338" s="28" t="str">
        <f>IF(B338="","",INPUT!H338)</f>
        <v>Round1</v>
      </c>
      <c r="H338" s="46">
        <f>IF(B338="","",INPUT!I338)</f>
        <v>46308.82708333333</v>
      </c>
      <c r="I338" s="28" t="str">
        <f>IF(B338="","",IF(INPUT!J338="","None",INPUT!J338))</f>
        <v>None</v>
      </c>
      <c r="J338" s="28" t="str">
        <f t="shared" si="55"/>
        <v>kabir.j242@example.com|partner 002|Round1|interviewer1@partner002.example.com</v>
      </c>
      <c r="K338" s="28" t="str">
        <f>IF(B338="","",IF(SUMPRODUCT(($J$2:$J$601=J338)*($H$2:$H$601&lt;H338))+SUMPRODUCT(($J$2:J338=J338)*($H$2:H338=H338))-1&gt;0,"DUPLICATE",IF(AND(ISNUMBER(SEARCH("@",E338)),ISNUMBER(SEARCH(".",E338)),LEN(F338)=10,ISNUMBER(VALUE(F338))),"OK","BAD CONTACT")))</f>
        <v>OK</v>
      </c>
      <c r="L338" s="28">
        <f t="shared" si="56"/>
        <v>1</v>
      </c>
      <c r="M338" s="28">
        <f>IF(L338=1,IF(COUNTIFS(LOG!$C$2:$C$2001,F338,LOG!$E$2:$E$2001,B338,LOG!$D$2:$D$2001,"*BOOKED")+COUNTIFS(LOG!$C$2:$C$2001,F338,LOG!$E$2:$E$2001,"",LOG!$D$2:$D$2001,"*BOOKED")&gt;0,1,0),0)</f>
        <v>0</v>
      </c>
      <c r="N338" s="28">
        <f>IF(L338=1,IF(COUNTIFS(LOG!$C$2:$C$2001,F338,LOG!$E$2:$E$2001,B338,LOG!$D$2:$D$2001,"NOT_INTERESTED")+COUNTIFS(LOG!$C$2:$C$2001,F338,LOG!$E$2:$E$2001,"",LOG!$D$2:$D$2001,"NOT_INTERESTED")&gt;0,1,0),0)</f>
        <v>0</v>
      </c>
      <c r="O338" s="28">
        <f>IF(L338=1,IF(COUNTIFS(LOG!$C$2:$C$2001,F338,LOG!$D$2:$D$2001,"STOP")+COUNTIFS(LOG!$C$2:$C$2001,F338,LOG!$D$2:$D$2001,"WRONG_NUMBER")&gt;0,1,IF(ISNUMBER(SEARCH("STOP",AT338)),1,0)),0)</f>
        <v>0</v>
      </c>
      <c r="P338" s="28">
        <f>IF(L338=1,IF(IFERROR(INDEX(PARTNERS!$D$2:$D$88,MATCH(B338,PARTNERS!$A$2:$A$88,0)),"")="NO SLOTS",1,IF(AND(IFERROR(INDEX(PARTNERS!$D$2:$D$88,MATCH(B338,PARTNERS!$A$2:$A$88,0)),"")&lt;&gt;"REOPENED",COUNTIFS(LOG!$E$2:$E$2001,B338,LOG!$D$2:$D$2001,"NO_SLOTS")&gt;0),1,0)),0)</f>
        <v>0</v>
      </c>
      <c r="Q338" s="28">
        <f>IF(L338=1,COUNTIFS(LOG!$C$2:$C$2001,F338,LOG!$H$2:$H$2001,1),0)</f>
        <v>2</v>
      </c>
      <c r="R338" s="46">
        <f>IF(Q338&gt;0,_xlfn.MAXIFS(LOG!$G$2:$G$2001,LOG!$C$2:$C$2001,F338,LOG!$H$2:$H$2001,1),0)</f>
        <v>46309.634030132605</v>
      </c>
      <c r="S338" s="28" t="str">
        <f>IF(Q338&gt;0,IFERROR(INDEX(LOG!$D$2:$D$2001,MATCH(F338&amp;"|"&amp;Q338,LOG!$I$2:$I$2001,0)),""),"")</f>
        <v>NO_ANSWER</v>
      </c>
      <c r="T338" s="28">
        <f>IF(S338="",0,IFERROR(VLOOKUP(S338,LISTS!$A$2:$E$10,4,FALSE),0))</f>
        <v>120</v>
      </c>
      <c r="U338" s="46">
        <f t="shared" si="57"/>
        <v>46309.717363465941</v>
      </c>
      <c r="V338" s="46">
        <f>IF(L338=1,H338+SETTINGS!$B$5/24,"")</f>
        <v>46309.82708333333</v>
      </c>
      <c r="W338" s="28">
        <f ca="1">IF(L338=1,(V338-SETTINGS!$B$4)*24,"")</f>
        <v>-1.6666666720993817E-2</v>
      </c>
      <c r="X338" s="28">
        <f ca="1">IF(AND(L338=1,K338="OK",M338=0,N338=0,O338=0,P338=0,SETTINGS!$B$4&lt;V338,Q338&lt;SETTINGS!$B$6),1,0)</f>
        <v>0</v>
      </c>
      <c r="Y338" s="28">
        <f ca="1">IF(AND(X338=1,SETTINGS!$B$4&gt;=H338,SETTINGS!$B$4&gt;=U338,ROUND(MOD(SETTINGS!$B$4,1)*1440,0)&gt;=ROUND(SETTINGS!$B$7*1440,0),ROUND(MOD(SETTINGS!$B$4,1)*1440,0)&lt;ROUND(SETTINGS!$B$8*1440,0)),1,0)</f>
        <v>0</v>
      </c>
      <c r="Z338" s="28" t="str">
        <f ca="1">IF(B338="","",IF(ROUND(MOD(SETTINGS!$B$4,1)*1440,0)&lt;ROUND(SETTINGS!$B$11*1440,0),"Ram",IF(ROUND(MOD(SETTINGS!$B$4,1)*1440,0)&gt;=ROUND(SETTINGS!$B$10*1440,0),"Shyam",IF(MOD(IFERROR(VALUE(RIGHT(F338,2)),0),2)=0,"Ram","Shyam"))))</f>
        <v>Shyam</v>
      </c>
      <c r="AA338" s="28">
        <f t="shared" ca="1" si="58"/>
        <v>0</v>
      </c>
      <c r="AB338" s="28">
        <f ca="1">IF(X338=1,COUNTIFS($F$2:F338,F338,$X$2:X338,1),0)</f>
        <v>0</v>
      </c>
      <c r="AC338" s="28" t="str">
        <f>IF(L338=1,IF(IFERROR(INDEX(PARTNERS!$C$2:$C$88,MATCH(B338,PARTNERS!$A$2:$A$88,0)),"")="YES","YES","NO"),"")</f>
        <v>YES</v>
      </c>
      <c r="AD338" s="28" t="str">
        <f>IF(L338=1,IFERROR(INDEX(PARTNERS!$B$2:$B$88,MATCH(B338,PARTNERS!$A$2:$A$88,0)),""),"")</f>
        <v>https://calendly.com/partner002/interview</v>
      </c>
      <c r="AE338" s="28">
        <f ca="1">IF(X338=1,IFERROR(INDEX(SETTINGS!$B$34:$D$36,MATCH(I338,SETTINGS!$A$34:$A$36,0),MIN(Q338,2)+1),SETTINGS!$B$36),0)</f>
        <v>0</v>
      </c>
      <c r="AF338" s="28">
        <f t="shared" si="59"/>
        <v>1</v>
      </c>
      <c r="AG338" s="28">
        <f ca="1">IF(AND(Y338=1,AB338=1),ROUND(AA338*AE338*IF(AF338&gt;1,SETTINGS!$B$16,1)*IF(W338&lt;=SETTINGS!$B$14,SETTINGS!$B$15,1)*IF(AU338=1,SETTINGS!$B$21,1),6),0)</f>
        <v>0</v>
      </c>
      <c r="AH338" s="28" t="str">
        <f ca="1">IF(AG338&gt;0,COUNTIFS($Z$2:$Z$601,Z338,$AG$2:$AG$601,"&gt;"&amp;AG338)+COUNTIFS($Z$2:Z338,Z338,$AG$2:AG338,AG338),"")</f>
        <v/>
      </c>
      <c r="AI338" s="28" t="str">
        <f t="shared" ca="1" si="60"/>
        <v/>
      </c>
      <c r="AJ338" s="28" t="str">
        <f t="shared" ca="1" si="61"/>
        <v/>
      </c>
      <c r="AK338" s="28">
        <f>IF(L338=1,IF(COUNTIFS($F$2:F338,F338,$L$2:L338,1)=1,1,0),0)</f>
        <v>0</v>
      </c>
      <c r="AL338" s="28" t="str">
        <f ca="1">IF(B338="","",IF(K338="DUPLICATE","Duplicate (removed)",IF(AO338=1,"Scheduled within 24h",IF(M338=1,"Scheduled late",IF(K338="BAD CONTACT","Bad contact details",IF(O338=1,"Stopped / wrong number",IF(N338=1,"Not interested",IF(P338=1,"Partner has no slots",IF(SETTINGS!$B$4&gt;=V338,IF(Q338=0,"Missed deadline: never tried","Missed deadline: tried, not booked"),IF(Q338&gt;=SETTINGS!$B$6,"No reply after max tries","Open"))))))))))</f>
        <v>Missed deadline: tried, not booked</v>
      </c>
      <c r="AM338" s="46" t="str">
        <f>IF(M338=1,IF(_xlfn.MINIFS(LOG!$G$2:$G$2001,LOG!$C$2:$C$2001,F338,LOG!$E$2:$E$2001,B338,LOG!$D$2:$D$2001,"*BOOKED")=0,_xlfn.MINIFS(LOG!$G$2:$G$2001,LOG!$C$2:$C$2001,F338,LOG!$E$2:$E$2001,"",LOG!$D$2:$D$2001,"*BOOKED"),IF(_xlfn.MINIFS(LOG!$G$2:$G$2001,LOG!$C$2:$C$2001,F338,LOG!$E$2:$E$2001,"",LOG!$D$2:$D$2001,"*BOOKED")=0,_xlfn.MINIFS(LOG!$G$2:$G$2001,LOG!$C$2:$C$2001,F338,LOG!$E$2:$E$2001,B338,LOG!$D$2:$D$2001,"*BOOKED"),MIN(_xlfn.MINIFS(LOG!$G$2:$G$2001,LOG!$C$2:$C$2001,F338,LOG!$E$2:$E$2001,B338,LOG!$D$2:$D$2001,"*BOOKED"),_xlfn.MINIFS(LOG!$G$2:$G$2001,LOG!$C$2:$C$2001,F338,LOG!$E$2:$E$2001,"",LOG!$D$2:$D$2001,"*BOOKED")))),"")</f>
        <v/>
      </c>
      <c r="AN338" s="28" t="str">
        <f t="shared" si="62"/>
        <v/>
      </c>
      <c r="AO338" s="28">
        <f>IF(AND(M338=1,AN338&lt;&gt;""),IF(AN338&lt;=SETTINGS!$B$5,1,0),0)</f>
        <v>0</v>
      </c>
      <c r="AP338" s="28">
        <f>IF(M338=1,IF(COUNTIFS(LOG!$C$2:$C$2001,F338,LOG!$E$2:$E$2001,B338,LOG!$D$2:$D$2001,"BOOKED")+COUNTIFS(LOG!$C$2:$C$2001,F338,LOG!$E$2:$E$2001,"",LOG!$D$2:$D$2001,"BOOKED")&gt;0,1,0),0)</f>
        <v>0</v>
      </c>
      <c r="AQ338" s="28" t="str">
        <f t="shared" si="63"/>
        <v>Kabir</v>
      </c>
      <c r="AR338" s="28" t="str">
        <f>IF(AND(AK338=1,K338="OK"),COUNTIFS($AK$2:AK338,1,$K$2:K338,"OK"),"")</f>
        <v/>
      </c>
      <c r="AS338" s="28" t="str">
        <f>IF(L338=1,IFERROR(INDEX(MESSAGES!$J$9:$J$1008,MATCH(F338,MESSAGES!$M$9:$M$1008,0))&amp;"",""),"")</f>
        <v/>
      </c>
      <c r="AT338" s="28" t="str">
        <f>IF(L338=1,IFERROR(INDEX(MESSAGES!$K$9:$K$1008,MATCH(F338,MESSAGES!$M$9:$M$1008,0))&amp;"",""),"")</f>
        <v/>
      </c>
      <c r="AU338" s="28">
        <f t="shared" ca="1" si="64"/>
        <v>0</v>
      </c>
      <c r="AV338" s="28" t="str">
        <f t="shared" si="65"/>
        <v>HOLD</v>
      </c>
    </row>
    <row r="339" spans="1:48" x14ac:dyDescent="0.35">
      <c r="A339" s="28">
        <v>338</v>
      </c>
      <c r="B339" s="28" t="str">
        <f>IF(INPUT!A339="","",TRIM(INPUT!A339))</f>
        <v>Partner 052</v>
      </c>
      <c r="C339" s="28" t="str">
        <f>IF(B339="","",INPUT!C339)</f>
        <v>interviewer0@partner052.example.com</v>
      </c>
      <c r="D339" s="28" t="str">
        <f>IF(B339="","",INPUT!D339)</f>
        <v>Karan L.</v>
      </c>
      <c r="E339" s="28" t="str">
        <f>IF(B339="","",INPUT!E339)</f>
        <v>karan.l320@example.com</v>
      </c>
      <c r="F339" s="43" t="str">
        <f>IF(B339="","",TRIM(INPUT!F339&amp;""))</f>
        <v>9000004167</v>
      </c>
      <c r="G339" s="28" t="str">
        <f>IF(B339="","",INPUT!H339)</f>
        <v>Round1</v>
      </c>
      <c r="H339" s="46">
        <f>IF(B339="","",INPUT!I339)</f>
        <v>46308.82708333333</v>
      </c>
      <c r="I339" s="28" t="str">
        <f>IF(B339="","",IF(INPUT!J339="","None",INPUT!J339))</f>
        <v>Clicked</v>
      </c>
      <c r="J339" s="28" t="str">
        <f t="shared" si="55"/>
        <v>karan.l320@example.com|partner 052|Round1|interviewer0@partner052.example.com</v>
      </c>
      <c r="K339" s="28" t="str">
        <f>IF(B339="","",IF(SUMPRODUCT(($J$2:$J$601=J339)*($H$2:$H$601&lt;H339))+SUMPRODUCT(($J$2:J339=J339)*($H$2:H339=H339))-1&gt;0,"DUPLICATE",IF(AND(ISNUMBER(SEARCH("@",E339)),ISNUMBER(SEARCH(".",E339)),LEN(F339)=10,ISNUMBER(VALUE(F339))),"OK","BAD CONTACT")))</f>
        <v>OK</v>
      </c>
      <c r="L339" s="28">
        <f t="shared" si="56"/>
        <v>1</v>
      </c>
      <c r="M339" s="28">
        <f>IF(L339=1,IF(COUNTIFS(LOG!$C$2:$C$2001,F339,LOG!$E$2:$E$2001,B339,LOG!$D$2:$D$2001,"*BOOKED")+COUNTIFS(LOG!$C$2:$C$2001,F339,LOG!$E$2:$E$2001,"",LOG!$D$2:$D$2001,"*BOOKED")&gt;0,1,0),0)</f>
        <v>1</v>
      </c>
      <c r="N339" s="28">
        <f>IF(L339=1,IF(COUNTIFS(LOG!$C$2:$C$2001,F339,LOG!$E$2:$E$2001,B339,LOG!$D$2:$D$2001,"NOT_INTERESTED")+COUNTIFS(LOG!$C$2:$C$2001,F339,LOG!$E$2:$E$2001,"",LOG!$D$2:$D$2001,"NOT_INTERESTED")&gt;0,1,0),0)</f>
        <v>0</v>
      </c>
      <c r="O339" s="28">
        <f>IF(L339=1,IF(COUNTIFS(LOG!$C$2:$C$2001,F339,LOG!$D$2:$D$2001,"STOP")+COUNTIFS(LOG!$C$2:$C$2001,F339,LOG!$D$2:$D$2001,"WRONG_NUMBER")&gt;0,1,IF(ISNUMBER(SEARCH("STOP",AT339)),1,0)),0)</f>
        <v>0</v>
      </c>
      <c r="P339" s="28">
        <f>IF(L339=1,IF(IFERROR(INDEX(PARTNERS!$D$2:$D$88,MATCH(B339,PARTNERS!$A$2:$A$88,0)),"")="NO SLOTS",1,IF(AND(IFERROR(INDEX(PARTNERS!$D$2:$D$88,MATCH(B339,PARTNERS!$A$2:$A$88,0)),"")&lt;&gt;"REOPENED",COUNTIFS(LOG!$E$2:$E$2001,B339,LOG!$D$2:$D$2001,"NO_SLOTS")&gt;0),1,0)),0)</f>
        <v>0</v>
      </c>
      <c r="Q339" s="28">
        <f>IF(L339=1,COUNTIFS(LOG!$C$2:$C$2001,F339,LOG!$H$2:$H$2001,1),0)</f>
        <v>0</v>
      </c>
      <c r="R339" s="46">
        <f>IF(Q339&gt;0,_xlfn.MAXIFS(LOG!$G$2:$G$2001,LOG!$C$2:$C$2001,F339,LOG!$H$2:$H$2001,1),0)</f>
        <v>0</v>
      </c>
      <c r="S339" s="28" t="str">
        <f>IF(Q339&gt;0,IFERROR(INDEX(LOG!$D$2:$D$2001,MATCH(F339&amp;"|"&amp;Q339,LOG!$I$2:$I$2001,0)),""),"")</f>
        <v/>
      </c>
      <c r="T339" s="28">
        <f>IF(S339="",0,IFERROR(VLOOKUP(S339,LISTS!$A$2:$E$10,4,FALSE),0))</f>
        <v>0</v>
      </c>
      <c r="U339" s="46">
        <f t="shared" si="57"/>
        <v>0</v>
      </c>
      <c r="V339" s="46">
        <f>IF(L339=1,H339+SETTINGS!$B$5/24,"")</f>
        <v>46309.82708333333</v>
      </c>
      <c r="W339" s="28">
        <f ca="1">IF(L339=1,(V339-SETTINGS!$B$4)*24,"")</f>
        <v>-1.6666666720993817E-2</v>
      </c>
      <c r="X339" s="28">
        <f ca="1">IF(AND(L339=1,K339="OK",M339=0,N339=0,O339=0,P339=0,SETTINGS!$B$4&lt;V339,Q339&lt;SETTINGS!$B$6),1,0)</f>
        <v>0</v>
      </c>
      <c r="Y339" s="28">
        <f ca="1">IF(AND(X339=1,SETTINGS!$B$4&gt;=H339,SETTINGS!$B$4&gt;=U339,ROUND(MOD(SETTINGS!$B$4,1)*1440,0)&gt;=ROUND(SETTINGS!$B$7*1440,0),ROUND(MOD(SETTINGS!$B$4,1)*1440,0)&lt;ROUND(SETTINGS!$B$8*1440,0)),1,0)</f>
        <v>0</v>
      </c>
      <c r="Z339" s="28" t="str">
        <f ca="1">IF(B339="","",IF(ROUND(MOD(SETTINGS!$B$4,1)*1440,0)&lt;ROUND(SETTINGS!$B$11*1440,0),"Ram",IF(ROUND(MOD(SETTINGS!$B$4,1)*1440,0)&gt;=ROUND(SETTINGS!$B$10*1440,0),"Shyam",IF(MOD(IFERROR(VALUE(RIGHT(F339,2)),0),2)=0,"Ram","Shyam"))))</f>
        <v>Shyam</v>
      </c>
      <c r="AA339" s="28">
        <f t="shared" ca="1" si="58"/>
        <v>0</v>
      </c>
      <c r="AB339" s="28">
        <f ca="1">IF(X339=1,COUNTIFS($F$2:F339,F339,$X$2:X339,1),0)</f>
        <v>0</v>
      </c>
      <c r="AC339" s="28" t="str">
        <f>IF(L339=1,IF(IFERROR(INDEX(PARTNERS!$C$2:$C$88,MATCH(B339,PARTNERS!$A$2:$A$88,0)),"")="YES","YES","NO"),"")</f>
        <v>YES</v>
      </c>
      <c r="AD339" s="28" t="str">
        <f>IF(L339=1,IFERROR(INDEX(PARTNERS!$B$2:$B$88,MATCH(B339,PARTNERS!$A$2:$A$88,0)),""),"")</f>
        <v>https://calendly.com/partner052/interview</v>
      </c>
      <c r="AE339" s="28">
        <f ca="1">IF(X339=1,IFERROR(INDEX(SETTINGS!$B$34:$D$36,MATCH(I339,SETTINGS!$A$34:$A$36,0),MIN(Q339,2)+1),SETTINGS!$B$36),0)</f>
        <v>0</v>
      </c>
      <c r="AF339" s="28">
        <f t="shared" si="59"/>
        <v>1</v>
      </c>
      <c r="AG339" s="28">
        <f ca="1">IF(AND(Y339=1,AB339=1),ROUND(AA339*AE339*IF(AF339&gt;1,SETTINGS!$B$16,1)*IF(W339&lt;=SETTINGS!$B$14,SETTINGS!$B$15,1)*IF(AU339=1,SETTINGS!$B$21,1),6),0)</f>
        <v>0</v>
      </c>
      <c r="AH339" s="28" t="str">
        <f ca="1">IF(AG339&gt;0,COUNTIFS($Z$2:$Z$601,Z339,$AG$2:$AG$601,"&gt;"&amp;AG339)+COUNTIFS($Z$2:Z339,Z339,$AG$2:AG339,AG339),"")</f>
        <v/>
      </c>
      <c r="AI339" s="28" t="str">
        <f t="shared" ca="1" si="60"/>
        <v/>
      </c>
      <c r="AJ339" s="28" t="str">
        <f t="shared" ca="1" si="61"/>
        <v/>
      </c>
      <c r="AK339" s="28">
        <f>IF(L339=1,IF(COUNTIFS($F$2:F339,F339,$L$2:L339,1)=1,1,0),0)</f>
        <v>1</v>
      </c>
      <c r="AL339" s="28" t="str">
        <f>IF(B339="","",IF(K339="DUPLICATE","Duplicate (removed)",IF(AO339=1,"Scheduled within 24h",IF(M339=1,"Scheduled late",IF(K339="BAD CONTACT","Bad contact details",IF(O339=1,"Stopped / wrong number",IF(N339=1,"Not interested",IF(P339=1,"Partner has no slots",IF(SETTINGS!$B$4&gt;=V339,IF(Q339=0,"Missed deadline: never tried","Missed deadline: tried, not booked"),IF(Q339&gt;=SETTINGS!$B$6,"No reply after max tries","Open"))))))))))</f>
        <v>Scheduled within 24h</v>
      </c>
      <c r="AM339" s="46">
        <f>IF(M339=1,IF(_xlfn.MINIFS(LOG!$G$2:$G$2001,LOG!$C$2:$C$2001,F339,LOG!$E$2:$E$2001,B339,LOG!$D$2:$D$2001,"*BOOKED")=0,_xlfn.MINIFS(LOG!$G$2:$G$2001,LOG!$C$2:$C$2001,F339,LOG!$E$2:$E$2001,"",LOG!$D$2:$D$2001,"*BOOKED"),IF(_xlfn.MINIFS(LOG!$G$2:$G$2001,LOG!$C$2:$C$2001,F339,LOG!$E$2:$E$2001,"",LOG!$D$2:$D$2001,"*BOOKED")=0,_xlfn.MINIFS(LOG!$G$2:$G$2001,LOG!$C$2:$C$2001,F339,LOG!$E$2:$E$2001,B339,LOG!$D$2:$D$2001,"*BOOKED"),MIN(_xlfn.MINIFS(LOG!$G$2:$G$2001,LOG!$C$2:$C$2001,F339,LOG!$E$2:$E$2001,B339,LOG!$D$2:$D$2001,"*BOOKED"),_xlfn.MINIFS(LOG!$G$2:$G$2001,LOG!$C$2:$C$2001,F339,LOG!$E$2:$E$2001,"",LOG!$D$2:$D$2001,"*BOOKED")))),"")</f>
        <v>46309.581326879546</v>
      </c>
      <c r="AN339" s="28">
        <f t="shared" si="62"/>
        <v>18.101845109194983</v>
      </c>
      <c r="AO339" s="28">
        <f>IF(AND(M339=1,AN339&lt;&gt;""),IF(AN339&lt;=SETTINGS!$B$5,1,0),0)</f>
        <v>1</v>
      </c>
      <c r="AP339" s="28">
        <f>IF(M339=1,IF(COUNTIFS(LOG!$C$2:$C$2001,F339,LOG!$E$2:$E$2001,B339,LOG!$D$2:$D$2001,"BOOKED")+COUNTIFS(LOG!$C$2:$C$2001,F339,LOG!$E$2:$E$2001,"",LOG!$D$2:$D$2001,"BOOKED")&gt;0,1,0),0)</f>
        <v>0</v>
      </c>
      <c r="AQ339" s="28" t="str">
        <f t="shared" si="63"/>
        <v>Karan</v>
      </c>
      <c r="AR339" s="28">
        <f>IF(AND(AK339=1,K339="OK"),COUNTIFS($AK$2:AK339,1,$K$2:K339,"OK"),"")</f>
        <v>294</v>
      </c>
      <c r="AS339" s="28" t="str">
        <f>IF(L339=1,IFERROR(INDEX(MESSAGES!$J$9:$J$1008,MATCH(F339,MESSAGES!$M$9:$M$1008,0))&amp;"",""),"")</f>
        <v/>
      </c>
      <c r="AT339" s="28" t="str">
        <f>IF(L339=1,IFERROR(INDEX(MESSAGES!$K$9:$K$1008,MATCH(F339,MESSAGES!$M$9:$M$1008,0))&amp;"",""),"")</f>
        <v/>
      </c>
      <c r="AU339" s="28">
        <f t="shared" ca="1" si="64"/>
        <v>0</v>
      </c>
      <c r="AV339" s="28" t="str">
        <f t="shared" si="65"/>
        <v>SEND</v>
      </c>
    </row>
    <row r="340" spans="1:48" x14ac:dyDescent="0.35">
      <c r="A340" s="28">
        <v>339</v>
      </c>
      <c r="B340" s="28" t="str">
        <f>IF(INPUT!A340="","",TRIM(INPUT!A340))</f>
        <v>Partner 009</v>
      </c>
      <c r="C340" s="28" t="str">
        <f>IF(B340="","",INPUT!C340)</f>
        <v>interviewer0@partner009.example.com</v>
      </c>
      <c r="D340" s="28" t="str">
        <f>IF(B340="","",INPUT!D340)</f>
        <v>Neil J.</v>
      </c>
      <c r="E340" s="28" t="str">
        <f>IF(B340="","",INPUT!E340)</f>
        <v>neil.j258@example.com</v>
      </c>
      <c r="F340" s="43" t="str">
        <f>IF(B340="","",TRIM(INPUT!F340&amp;""))</f>
        <v>9000003361</v>
      </c>
      <c r="G340" s="28" t="str">
        <f>IF(B340="","",INPUT!H340)</f>
        <v>Round1</v>
      </c>
      <c r="H340" s="46">
        <f>IF(B340="","",INPUT!I340)</f>
        <v>46308.82708333333</v>
      </c>
      <c r="I340" s="28" t="str">
        <f>IF(B340="","",IF(INPUT!J340="","None",INPUT!J340))</f>
        <v>None</v>
      </c>
      <c r="J340" s="28" t="str">
        <f t="shared" si="55"/>
        <v>neil.j258@example.com|partner 009|Round1|interviewer0@partner009.example.com</v>
      </c>
      <c r="K340" s="28" t="str">
        <f>IF(B340="","",IF(SUMPRODUCT(($J$2:$J$601=J340)*($H$2:$H$601&lt;H340))+SUMPRODUCT(($J$2:J340=J340)*($H$2:H340=H340))-1&gt;0,"DUPLICATE",IF(AND(ISNUMBER(SEARCH("@",E340)),ISNUMBER(SEARCH(".",E340)),LEN(F340)=10,ISNUMBER(VALUE(F340))),"OK","BAD CONTACT")))</f>
        <v>OK</v>
      </c>
      <c r="L340" s="28">
        <f t="shared" si="56"/>
        <v>1</v>
      </c>
      <c r="M340" s="28">
        <f>IF(L340=1,IF(COUNTIFS(LOG!$C$2:$C$2001,F340,LOG!$E$2:$E$2001,B340,LOG!$D$2:$D$2001,"*BOOKED")+COUNTIFS(LOG!$C$2:$C$2001,F340,LOG!$E$2:$E$2001,"",LOG!$D$2:$D$2001,"*BOOKED")&gt;0,1,0),0)</f>
        <v>1</v>
      </c>
      <c r="N340" s="28">
        <f>IF(L340=1,IF(COUNTIFS(LOG!$C$2:$C$2001,F340,LOG!$E$2:$E$2001,B340,LOG!$D$2:$D$2001,"NOT_INTERESTED")+COUNTIFS(LOG!$C$2:$C$2001,F340,LOG!$E$2:$E$2001,"",LOG!$D$2:$D$2001,"NOT_INTERESTED")&gt;0,1,0),0)</f>
        <v>0</v>
      </c>
      <c r="O340" s="28">
        <f>IF(L340=1,IF(COUNTIFS(LOG!$C$2:$C$2001,F340,LOG!$D$2:$D$2001,"STOP")+COUNTIFS(LOG!$C$2:$C$2001,F340,LOG!$D$2:$D$2001,"WRONG_NUMBER")&gt;0,1,IF(ISNUMBER(SEARCH("STOP",AT340)),1,0)),0)</f>
        <v>0</v>
      </c>
      <c r="P340" s="28">
        <f>IF(L340=1,IF(IFERROR(INDEX(PARTNERS!$D$2:$D$88,MATCH(B340,PARTNERS!$A$2:$A$88,0)),"")="NO SLOTS",1,IF(AND(IFERROR(INDEX(PARTNERS!$D$2:$D$88,MATCH(B340,PARTNERS!$A$2:$A$88,0)),"")&lt;&gt;"REOPENED",COUNTIFS(LOG!$E$2:$E$2001,B340,LOG!$D$2:$D$2001,"NO_SLOTS")&gt;0),1,0)),0)</f>
        <v>0</v>
      </c>
      <c r="Q340" s="28">
        <f>IF(L340=1,COUNTIFS(LOG!$C$2:$C$2001,F340,LOG!$H$2:$H$2001,1),0)</f>
        <v>1</v>
      </c>
      <c r="R340" s="46">
        <f>IF(Q340&gt;0,_xlfn.MAXIFS(LOG!$G$2:$G$2001,LOG!$C$2:$C$2001,F340,LOG!$H$2:$H$2001,1),0)</f>
        <v>46309.515194377796</v>
      </c>
      <c r="S340" s="28" t="str">
        <f>IF(Q340&gt;0,IFERROR(INDEX(LOG!$D$2:$D$2001,MATCH(F340&amp;"|"&amp;Q340,LOG!$I$2:$I$2001,0)),""),"")</f>
        <v>BOOKED</v>
      </c>
      <c r="T340" s="28">
        <f>IF(S340="",0,IFERROR(VLOOKUP(S340,LISTS!$A$2:$E$10,4,FALSE),0))</f>
        <v>0</v>
      </c>
      <c r="U340" s="46">
        <f t="shared" si="57"/>
        <v>46309.515194377796</v>
      </c>
      <c r="V340" s="46">
        <f>IF(L340=1,H340+SETTINGS!$B$5/24,"")</f>
        <v>46309.82708333333</v>
      </c>
      <c r="W340" s="28">
        <f ca="1">IF(L340=1,(V340-SETTINGS!$B$4)*24,"")</f>
        <v>-1.6666666720993817E-2</v>
      </c>
      <c r="X340" s="28">
        <f ca="1">IF(AND(L340=1,K340="OK",M340=0,N340=0,O340=0,P340=0,SETTINGS!$B$4&lt;V340,Q340&lt;SETTINGS!$B$6),1,0)</f>
        <v>0</v>
      </c>
      <c r="Y340" s="28">
        <f ca="1">IF(AND(X340=1,SETTINGS!$B$4&gt;=H340,SETTINGS!$B$4&gt;=U340,ROUND(MOD(SETTINGS!$B$4,1)*1440,0)&gt;=ROUND(SETTINGS!$B$7*1440,0),ROUND(MOD(SETTINGS!$B$4,1)*1440,0)&lt;ROUND(SETTINGS!$B$8*1440,0)),1,0)</f>
        <v>0</v>
      </c>
      <c r="Z340" s="28" t="str">
        <f ca="1">IF(B340="","",IF(ROUND(MOD(SETTINGS!$B$4,1)*1440,0)&lt;ROUND(SETTINGS!$B$11*1440,0),"Ram",IF(ROUND(MOD(SETTINGS!$B$4,1)*1440,0)&gt;=ROUND(SETTINGS!$B$10*1440,0),"Shyam",IF(MOD(IFERROR(VALUE(RIGHT(F340,2)),0),2)=0,"Ram","Shyam"))))</f>
        <v>Shyam</v>
      </c>
      <c r="AA340" s="28">
        <f t="shared" ca="1" si="58"/>
        <v>0</v>
      </c>
      <c r="AB340" s="28">
        <f ca="1">IF(X340=1,COUNTIFS($F$2:F340,F340,$X$2:X340,1),0)</f>
        <v>0</v>
      </c>
      <c r="AC340" s="28" t="str">
        <f>IF(L340=1,IF(IFERROR(INDEX(PARTNERS!$C$2:$C$88,MATCH(B340,PARTNERS!$A$2:$A$88,0)),"")="YES","YES","NO"),"")</f>
        <v>YES</v>
      </c>
      <c r="AD340" s="28" t="str">
        <f>IF(L340=1,IFERROR(INDEX(PARTNERS!$B$2:$B$88,MATCH(B340,PARTNERS!$A$2:$A$88,0)),""),"")</f>
        <v>https://calendly.com/partner009/interview</v>
      </c>
      <c r="AE340" s="28">
        <f ca="1">IF(X340=1,IFERROR(INDEX(SETTINGS!$B$34:$D$36,MATCH(I340,SETTINGS!$A$34:$A$36,0),MIN(Q340,2)+1),SETTINGS!$B$36),0)</f>
        <v>0</v>
      </c>
      <c r="AF340" s="28">
        <f t="shared" si="59"/>
        <v>1</v>
      </c>
      <c r="AG340" s="28">
        <f ca="1">IF(AND(Y340=1,AB340=1),ROUND(AA340*AE340*IF(AF340&gt;1,SETTINGS!$B$16,1)*IF(W340&lt;=SETTINGS!$B$14,SETTINGS!$B$15,1)*IF(AU340=1,SETTINGS!$B$21,1),6),0)</f>
        <v>0</v>
      </c>
      <c r="AH340" s="28" t="str">
        <f ca="1">IF(AG340&gt;0,COUNTIFS($Z$2:$Z$601,Z340,$AG$2:$AG$601,"&gt;"&amp;AG340)+COUNTIFS($Z$2:Z340,Z340,$AG$2:AG340,AG340),"")</f>
        <v/>
      </c>
      <c r="AI340" s="28" t="str">
        <f t="shared" ca="1" si="60"/>
        <v/>
      </c>
      <c r="AJ340" s="28" t="str">
        <f t="shared" ca="1" si="61"/>
        <v/>
      </c>
      <c r="AK340" s="28">
        <f>IF(L340=1,IF(COUNTIFS($F$2:F340,F340,$L$2:L340,1)=1,1,0),0)</f>
        <v>0</v>
      </c>
      <c r="AL340" s="28" t="str">
        <f>IF(B340="","",IF(K340="DUPLICATE","Duplicate (removed)",IF(AO340=1,"Scheduled within 24h",IF(M340=1,"Scheduled late",IF(K340="BAD CONTACT","Bad contact details",IF(O340=1,"Stopped / wrong number",IF(N340=1,"Not interested",IF(P340=1,"Partner has no slots",IF(SETTINGS!$B$4&gt;=V340,IF(Q340=0,"Missed deadline: never tried","Missed deadline: tried, not booked"),IF(Q340&gt;=SETTINGS!$B$6,"No reply after max tries","Open"))))))))))</f>
        <v>Scheduled within 24h</v>
      </c>
      <c r="AM340" s="46">
        <f>IF(M340=1,IF(_xlfn.MINIFS(LOG!$G$2:$G$2001,LOG!$C$2:$C$2001,F340,LOG!$E$2:$E$2001,B340,LOG!$D$2:$D$2001,"*BOOKED")=0,_xlfn.MINIFS(LOG!$G$2:$G$2001,LOG!$C$2:$C$2001,F340,LOG!$E$2:$E$2001,"",LOG!$D$2:$D$2001,"*BOOKED"),IF(_xlfn.MINIFS(LOG!$G$2:$G$2001,LOG!$C$2:$C$2001,F340,LOG!$E$2:$E$2001,"",LOG!$D$2:$D$2001,"*BOOKED")=0,_xlfn.MINIFS(LOG!$G$2:$G$2001,LOG!$C$2:$C$2001,F340,LOG!$E$2:$E$2001,B340,LOG!$D$2:$D$2001,"*BOOKED"),MIN(_xlfn.MINIFS(LOG!$G$2:$G$2001,LOG!$C$2:$C$2001,F340,LOG!$E$2:$E$2001,B340,LOG!$D$2:$D$2001,"*BOOKED"),_xlfn.MINIFS(LOG!$G$2:$G$2001,LOG!$C$2:$C$2001,F340,LOG!$E$2:$E$2001,"",LOG!$D$2:$D$2001,"*BOOKED")))),"")</f>
        <v>46309.515194377796</v>
      </c>
      <c r="AN340" s="28">
        <f t="shared" si="62"/>
        <v>16.514665067195892</v>
      </c>
      <c r="AO340" s="28">
        <f>IF(AND(M340=1,AN340&lt;&gt;""),IF(AN340&lt;=SETTINGS!$B$5,1,0),0)</f>
        <v>1</v>
      </c>
      <c r="AP340" s="28">
        <f>IF(M340=1,IF(COUNTIFS(LOG!$C$2:$C$2001,F340,LOG!$E$2:$E$2001,B340,LOG!$D$2:$D$2001,"BOOKED")+COUNTIFS(LOG!$C$2:$C$2001,F340,LOG!$E$2:$E$2001,"",LOG!$D$2:$D$2001,"BOOKED")&gt;0,1,0),0)</f>
        <v>1</v>
      </c>
      <c r="AQ340" s="28" t="str">
        <f t="shared" si="63"/>
        <v>Neil</v>
      </c>
      <c r="AR340" s="28" t="str">
        <f>IF(AND(AK340=1,K340="OK"),COUNTIFS($AK$2:AK340,1,$K$2:K340,"OK"),"")</f>
        <v/>
      </c>
      <c r="AS340" s="28" t="str">
        <f>IF(L340=1,IFERROR(INDEX(MESSAGES!$J$9:$J$1008,MATCH(F340,MESSAGES!$M$9:$M$1008,0))&amp;"",""),"")</f>
        <v/>
      </c>
      <c r="AT340" s="28" t="str">
        <f>IF(L340=1,IFERROR(INDEX(MESSAGES!$K$9:$K$1008,MATCH(F340,MESSAGES!$M$9:$M$1008,0))&amp;"",""),"")</f>
        <v/>
      </c>
      <c r="AU340" s="28">
        <f t="shared" ca="1" si="64"/>
        <v>0</v>
      </c>
      <c r="AV340" s="28" t="str">
        <f t="shared" si="65"/>
        <v>SEND</v>
      </c>
    </row>
    <row r="341" spans="1:48" x14ac:dyDescent="0.35">
      <c r="A341" s="28">
        <v>340</v>
      </c>
      <c r="B341" s="28" t="str">
        <f>IF(INPUT!A341="","",TRIM(INPUT!A341))</f>
        <v>Partner 002</v>
      </c>
      <c r="C341" s="28" t="str">
        <f>IF(B341="","",INPUT!C341)</f>
        <v>interviewer1@partner002.example.com</v>
      </c>
      <c r="D341" s="28" t="str">
        <f>IF(B341="","",INPUT!D341)</f>
        <v>Kiara A.</v>
      </c>
      <c r="E341" s="28" t="str">
        <f>IF(B341="","",INPUT!E341)</f>
        <v>kiara.a011@example.com</v>
      </c>
      <c r="F341" s="43" t="str">
        <f>IF(B341="","",TRIM(INPUT!F341&amp;""))</f>
        <v>9000000150</v>
      </c>
      <c r="G341" s="28" t="str">
        <f>IF(B341="","",INPUT!H341)</f>
        <v>Round1</v>
      </c>
      <c r="H341" s="46">
        <f>IF(B341="","",INPUT!I341)</f>
        <v>46308.82708333333</v>
      </c>
      <c r="I341" s="28" t="str">
        <f>IF(B341="","",IF(INPUT!J341="","None",INPUT!J341))</f>
        <v>None</v>
      </c>
      <c r="J341" s="28" t="str">
        <f t="shared" si="55"/>
        <v>kiara.a011@example.com|partner 002|Round1|interviewer1@partner002.example.com</v>
      </c>
      <c r="K341" s="28" t="str">
        <f>IF(B341="","",IF(SUMPRODUCT(($J$2:$J$601=J341)*($H$2:$H$601&lt;H341))+SUMPRODUCT(($J$2:J341=J341)*($H$2:H341=H341))-1&gt;0,"DUPLICATE",IF(AND(ISNUMBER(SEARCH("@",E341)),ISNUMBER(SEARCH(".",E341)),LEN(F341)=10,ISNUMBER(VALUE(F341))),"OK","BAD CONTACT")))</f>
        <v>OK</v>
      </c>
      <c r="L341" s="28">
        <f t="shared" si="56"/>
        <v>1</v>
      </c>
      <c r="M341" s="28">
        <f>IF(L341=1,IF(COUNTIFS(LOG!$C$2:$C$2001,F341,LOG!$E$2:$E$2001,B341,LOG!$D$2:$D$2001,"*BOOKED")+COUNTIFS(LOG!$C$2:$C$2001,F341,LOG!$E$2:$E$2001,"",LOG!$D$2:$D$2001,"*BOOKED")&gt;0,1,0),0)</f>
        <v>0</v>
      </c>
      <c r="N341" s="28">
        <f>IF(L341=1,IF(COUNTIFS(LOG!$C$2:$C$2001,F341,LOG!$E$2:$E$2001,B341,LOG!$D$2:$D$2001,"NOT_INTERESTED")+COUNTIFS(LOG!$C$2:$C$2001,F341,LOG!$E$2:$E$2001,"",LOG!$D$2:$D$2001,"NOT_INTERESTED")&gt;0,1,0),0)</f>
        <v>0</v>
      </c>
      <c r="O341" s="28">
        <f>IF(L341=1,IF(COUNTIFS(LOG!$C$2:$C$2001,F341,LOG!$D$2:$D$2001,"STOP")+COUNTIFS(LOG!$C$2:$C$2001,F341,LOG!$D$2:$D$2001,"WRONG_NUMBER")&gt;0,1,IF(ISNUMBER(SEARCH("STOP",AT341)),1,0)),0)</f>
        <v>0</v>
      </c>
      <c r="P341" s="28">
        <f>IF(L341=1,IF(IFERROR(INDEX(PARTNERS!$D$2:$D$88,MATCH(B341,PARTNERS!$A$2:$A$88,0)),"")="NO SLOTS",1,IF(AND(IFERROR(INDEX(PARTNERS!$D$2:$D$88,MATCH(B341,PARTNERS!$A$2:$A$88,0)),"")&lt;&gt;"REOPENED",COUNTIFS(LOG!$E$2:$E$2001,B341,LOG!$D$2:$D$2001,"NO_SLOTS")&gt;0),1,0)),0)</f>
        <v>0</v>
      </c>
      <c r="Q341" s="28">
        <f>IF(L341=1,COUNTIFS(LOG!$C$2:$C$2001,F341,LOG!$H$2:$H$2001,1),0)</f>
        <v>1</v>
      </c>
      <c r="R341" s="46">
        <f>IF(Q341&gt;0,_xlfn.MAXIFS(LOG!$G$2:$G$2001,LOG!$C$2:$C$2001,F341,LOG!$H$2:$H$2001,1),0)</f>
        <v>46309.829854660056</v>
      </c>
      <c r="S341" s="28" t="str">
        <f>IF(Q341&gt;0,IFERROR(INDEX(LOG!$D$2:$D$2001,MATCH(F341&amp;"|"&amp;Q341,LOG!$I$2:$I$2001,0)),""),"")</f>
        <v>NO_ANSWER</v>
      </c>
      <c r="T341" s="28">
        <f>IF(S341="",0,IFERROR(VLOOKUP(S341,LISTS!$A$2:$E$10,4,FALSE),0))</f>
        <v>120</v>
      </c>
      <c r="U341" s="46">
        <f t="shared" si="57"/>
        <v>46309.913187993392</v>
      </c>
      <c r="V341" s="46">
        <f>IF(L341=1,H341+SETTINGS!$B$5/24,"")</f>
        <v>46309.82708333333</v>
      </c>
      <c r="W341" s="28">
        <f ca="1">IF(L341=1,(V341-SETTINGS!$B$4)*24,"")</f>
        <v>-1.6666666720993817E-2</v>
      </c>
      <c r="X341" s="28">
        <f ca="1">IF(AND(L341=1,K341="OK",M341=0,N341=0,O341=0,P341=0,SETTINGS!$B$4&lt;V341,Q341&lt;SETTINGS!$B$6),1,0)</f>
        <v>0</v>
      </c>
      <c r="Y341" s="28">
        <f ca="1">IF(AND(X341=1,SETTINGS!$B$4&gt;=H341,SETTINGS!$B$4&gt;=U341,ROUND(MOD(SETTINGS!$B$4,1)*1440,0)&gt;=ROUND(SETTINGS!$B$7*1440,0),ROUND(MOD(SETTINGS!$B$4,1)*1440,0)&lt;ROUND(SETTINGS!$B$8*1440,0)),1,0)</f>
        <v>0</v>
      </c>
      <c r="Z341" s="28" t="str">
        <f ca="1">IF(B341="","",IF(ROUND(MOD(SETTINGS!$B$4,1)*1440,0)&lt;ROUND(SETTINGS!$B$11*1440,0),"Ram",IF(ROUND(MOD(SETTINGS!$B$4,1)*1440,0)&gt;=ROUND(SETTINGS!$B$10*1440,0),"Shyam",IF(MOD(IFERROR(VALUE(RIGHT(F341,2)),0),2)=0,"Ram","Shyam"))))</f>
        <v>Shyam</v>
      </c>
      <c r="AA341" s="28">
        <f t="shared" ca="1" si="58"/>
        <v>0</v>
      </c>
      <c r="AB341" s="28">
        <f ca="1">IF(X341=1,COUNTIFS($F$2:F341,F341,$X$2:X341,1),0)</f>
        <v>0</v>
      </c>
      <c r="AC341" s="28" t="str">
        <f>IF(L341=1,IF(IFERROR(INDEX(PARTNERS!$C$2:$C$88,MATCH(B341,PARTNERS!$A$2:$A$88,0)),"")="YES","YES","NO"),"")</f>
        <v>YES</v>
      </c>
      <c r="AD341" s="28" t="str">
        <f>IF(L341=1,IFERROR(INDEX(PARTNERS!$B$2:$B$88,MATCH(B341,PARTNERS!$A$2:$A$88,0)),""),"")</f>
        <v>https://calendly.com/partner002/interview</v>
      </c>
      <c r="AE341" s="28">
        <f ca="1">IF(X341=1,IFERROR(INDEX(SETTINGS!$B$34:$D$36,MATCH(I341,SETTINGS!$A$34:$A$36,0),MIN(Q341,2)+1),SETTINGS!$B$36),0)</f>
        <v>0</v>
      </c>
      <c r="AF341" s="28">
        <f t="shared" si="59"/>
        <v>1</v>
      </c>
      <c r="AG341" s="28">
        <f ca="1">IF(AND(Y341=1,AB341=1),ROUND(AA341*AE341*IF(AF341&gt;1,SETTINGS!$B$16,1)*IF(W341&lt;=SETTINGS!$B$14,SETTINGS!$B$15,1)*IF(AU341=1,SETTINGS!$B$21,1),6),0)</f>
        <v>0</v>
      </c>
      <c r="AH341" s="28" t="str">
        <f ca="1">IF(AG341&gt;0,COUNTIFS($Z$2:$Z$601,Z341,$AG$2:$AG$601,"&gt;"&amp;AG341)+COUNTIFS($Z$2:Z341,Z341,$AG$2:AG341,AG341),"")</f>
        <v/>
      </c>
      <c r="AI341" s="28" t="str">
        <f t="shared" ca="1" si="60"/>
        <v/>
      </c>
      <c r="AJ341" s="28" t="str">
        <f t="shared" ca="1" si="61"/>
        <v/>
      </c>
      <c r="AK341" s="28">
        <f>IF(L341=1,IF(COUNTIFS($F$2:F341,F341,$L$2:L341,1)=1,1,0),0)</f>
        <v>0</v>
      </c>
      <c r="AL341" s="28" t="str">
        <f ca="1">IF(B341="","",IF(K341="DUPLICATE","Duplicate (removed)",IF(AO341=1,"Scheduled within 24h",IF(M341=1,"Scheduled late",IF(K341="BAD CONTACT","Bad contact details",IF(O341=1,"Stopped / wrong number",IF(N341=1,"Not interested",IF(P341=1,"Partner has no slots",IF(SETTINGS!$B$4&gt;=V341,IF(Q341=0,"Missed deadline: never tried","Missed deadline: tried, not booked"),IF(Q341&gt;=SETTINGS!$B$6,"No reply after max tries","Open"))))))))))</f>
        <v>Missed deadline: tried, not booked</v>
      </c>
      <c r="AM341" s="46" t="str">
        <f>IF(M341=1,IF(_xlfn.MINIFS(LOG!$G$2:$G$2001,LOG!$C$2:$C$2001,F341,LOG!$E$2:$E$2001,B341,LOG!$D$2:$D$2001,"*BOOKED")=0,_xlfn.MINIFS(LOG!$G$2:$G$2001,LOG!$C$2:$C$2001,F341,LOG!$E$2:$E$2001,"",LOG!$D$2:$D$2001,"*BOOKED"),IF(_xlfn.MINIFS(LOG!$G$2:$G$2001,LOG!$C$2:$C$2001,F341,LOG!$E$2:$E$2001,"",LOG!$D$2:$D$2001,"*BOOKED")=0,_xlfn.MINIFS(LOG!$G$2:$G$2001,LOG!$C$2:$C$2001,F341,LOG!$E$2:$E$2001,B341,LOG!$D$2:$D$2001,"*BOOKED"),MIN(_xlfn.MINIFS(LOG!$G$2:$G$2001,LOG!$C$2:$C$2001,F341,LOG!$E$2:$E$2001,B341,LOG!$D$2:$D$2001,"*BOOKED"),_xlfn.MINIFS(LOG!$G$2:$G$2001,LOG!$C$2:$C$2001,F341,LOG!$E$2:$E$2001,"",LOG!$D$2:$D$2001,"*BOOKED")))),"")</f>
        <v/>
      </c>
      <c r="AN341" s="28" t="str">
        <f t="shared" si="62"/>
        <v/>
      </c>
      <c r="AO341" s="28">
        <f>IF(AND(M341=1,AN341&lt;&gt;""),IF(AN341&lt;=SETTINGS!$B$5,1,0),0)</f>
        <v>0</v>
      </c>
      <c r="AP341" s="28">
        <f>IF(M341=1,IF(COUNTIFS(LOG!$C$2:$C$2001,F341,LOG!$E$2:$E$2001,B341,LOG!$D$2:$D$2001,"BOOKED")+COUNTIFS(LOG!$C$2:$C$2001,F341,LOG!$E$2:$E$2001,"",LOG!$D$2:$D$2001,"BOOKED")&gt;0,1,0),0)</f>
        <v>0</v>
      </c>
      <c r="AQ341" s="28" t="str">
        <f t="shared" si="63"/>
        <v>Kiara</v>
      </c>
      <c r="AR341" s="28" t="str">
        <f>IF(AND(AK341=1,K341="OK"),COUNTIFS($AK$2:AK341,1,$K$2:K341,"OK"),"")</f>
        <v/>
      </c>
      <c r="AS341" s="28" t="str">
        <f>IF(L341=1,IFERROR(INDEX(MESSAGES!$J$9:$J$1008,MATCH(F341,MESSAGES!$M$9:$M$1008,0))&amp;"",""),"")</f>
        <v/>
      </c>
      <c r="AT341" s="28" t="str">
        <f>IF(L341=1,IFERROR(INDEX(MESSAGES!$K$9:$K$1008,MATCH(F341,MESSAGES!$M$9:$M$1008,0))&amp;"",""),"")</f>
        <v/>
      </c>
      <c r="AU341" s="28">
        <f t="shared" ca="1" si="64"/>
        <v>0</v>
      </c>
      <c r="AV341" s="28" t="str">
        <f t="shared" si="65"/>
        <v>HOLD</v>
      </c>
    </row>
    <row r="342" spans="1:48" x14ac:dyDescent="0.35">
      <c r="A342" s="28">
        <v>341</v>
      </c>
      <c r="B342" s="28" t="str">
        <f>IF(INPUT!A342="","",TRIM(INPUT!A342))</f>
        <v>Partner 035</v>
      </c>
      <c r="C342" s="28" t="str">
        <f>IF(B342="","",INPUT!C342)</f>
        <v>interviewer0@partner035.example.com</v>
      </c>
      <c r="D342" s="28" t="str">
        <f>IF(B342="","",INPUT!D342)</f>
        <v>Diya B.</v>
      </c>
      <c r="E342" s="28" t="str">
        <f>IF(B342="","",INPUT!E342)</f>
        <v>diya.b031@example.com</v>
      </c>
      <c r="F342" s="43" t="str">
        <f>IF(B342="","",TRIM(INPUT!F342&amp;""))</f>
        <v>9000000410</v>
      </c>
      <c r="G342" s="28" t="str">
        <f>IF(B342="","",INPUT!H342)</f>
        <v>Round1</v>
      </c>
      <c r="H342" s="46">
        <f>IF(B342="","",INPUT!I342)</f>
        <v>46308.827777777777</v>
      </c>
      <c r="I342" s="28" t="str">
        <f>IF(B342="","",IF(INPUT!J342="","None",INPUT!J342))</f>
        <v>Clicked</v>
      </c>
      <c r="J342" s="28" t="str">
        <f t="shared" si="55"/>
        <v>diya.b031@example.com|partner 035|Round1|interviewer0@partner035.example.com</v>
      </c>
      <c r="K342" s="28" t="str">
        <f>IF(B342="","",IF(SUMPRODUCT(($J$2:$J$601=J342)*($H$2:$H$601&lt;H342))+SUMPRODUCT(($J$2:J342=J342)*($H$2:H342=H342))-1&gt;0,"DUPLICATE",IF(AND(ISNUMBER(SEARCH("@",E342)),ISNUMBER(SEARCH(".",E342)),LEN(F342)=10,ISNUMBER(VALUE(F342))),"OK","BAD CONTACT")))</f>
        <v>DUPLICATE</v>
      </c>
      <c r="L342" s="28">
        <f t="shared" si="56"/>
        <v>0</v>
      </c>
      <c r="M342" s="28">
        <f>IF(L342=1,IF(COUNTIFS(LOG!$C$2:$C$2001,F342,LOG!$E$2:$E$2001,B342,LOG!$D$2:$D$2001,"*BOOKED")+COUNTIFS(LOG!$C$2:$C$2001,F342,LOG!$E$2:$E$2001,"",LOG!$D$2:$D$2001,"*BOOKED")&gt;0,1,0),0)</f>
        <v>0</v>
      </c>
      <c r="N342" s="28">
        <f>IF(L342=1,IF(COUNTIFS(LOG!$C$2:$C$2001,F342,LOG!$E$2:$E$2001,B342,LOG!$D$2:$D$2001,"NOT_INTERESTED")+COUNTIFS(LOG!$C$2:$C$2001,F342,LOG!$E$2:$E$2001,"",LOG!$D$2:$D$2001,"NOT_INTERESTED")&gt;0,1,0),0)</f>
        <v>0</v>
      </c>
      <c r="O342" s="28">
        <f>IF(L342=1,IF(COUNTIFS(LOG!$C$2:$C$2001,F342,LOG!$D$2:$D$2001,"STOP")+COUNTIFS(LOG!$C$2:$C$2001,F342,LOG!$D$2:$D$2001,"WRONG_NUMBER")&gt;0,1,IF(ISNUMBER(SEARCH("STOP",AT342)),1,0)),0)</f>
        <v>0</v>
      </c>
      <c r="P342" s="28">
        <f>IF(L342=1,IF(IFERROR(INDEX(PARTNERS!$D$2:$D$88,MATCH(B342,PARTNERS!$A$2:$A$88,0)),"")="NO SLOTS",1,IF(AND(IFERROR(INDEX(PARTNERS!$D$2:$D$88,MATCH(B342,PARTNERS!$A$2:$A$88,0)),"")&lt;&gt;"REOPENED",COUNTIFS(LOG!$E$2:$E$2001,B342,LOG!$D$2:$D$2001,"NO_SLOTS")&gt;0),1,0)),0)</f>
        <v>0</v>
      </c>
      <c r="Q342" s="28">
        <f>IF(L342=1,COUNTIFS(LOG!$C$2:$C$2001,F342,LOG!$H$2:$H$2001,1),0)</f>
        <v>0</v>
      </c>
      <c r="R342" s="46">
        <f>IF(Q342&gt;0,_xlfn.MAXIFS(LOG!$G$2:$G$2001,LOG!$C$2:$C$2001,F342,LOG!$H$2:$H$2001,1),0)</f>
        <v>0</v>
      </c>
      <c r="S342" s="28" t="str">
        <f>IF(Q342&gt;0,IFERROR(INDEX(LOG!$D$2:$D$2001,MATCH(F342&amp;"|"&amp;Q342,LOG!$I$2:$I$2001,0)),""),"")</f>
        <v/>
      </c>
      <c r="T342" s="28">
        <f>IF(S342="",0,IFERROR(VLOOKUP(S342,LISTS!$A$2:$E$10,4,FALSE),0))</f>
        <v>0</v>
      </c>
      <c r="U342" s="46">
        <f t="shared" si="57"/>
        <v>0</v>
      </c>
      <c r="V342" s="46" t="str">
        <f>IF(L342=1,H342+SETTINGS!$B$5/24,"")</f>
        <v/>
      </c>
      <c r="W342" s="28" t="str">
        <f>IF(L342=1,(V342-SETTINGS!$B$4)*24,"")</f>
        <v/>
      </c>
      <c r="X342" s="28">
        <f ca="1">IF(AND(L342=1,K342="OK",M342=0,N342=0,O342=0,P342=0,SETTINGS!$B$4&lt;V342,Q342&lt;SETTINGS!$B$6),1,0)</f>
        <v>0</v>
      </c>
      <c r="Y342" s="28">
        <f ca="1">IF(AND(X342=1,SETTINGS!$B$4&gt;=H342,SETTINGS!$B$4&gt;=U342,ROUND(MOD(SETTINGS!$B$4,1)*1440,0)&gt;=ROUND(SETTINGS!$B$7*1440,0),ROUND(MOD(SETTINGS!$B$4,1)*1440,0)&lt;ROUND(SETTINGS!$B$8*1440,0)),1,0)</f>
        <v>0</v>
      </c>
      <c r="Z342" s="28" t="str">
        <f ca="1">IF(B342="","",IF(ROUND(MOD(SETTINGS!$B$4,1)*1440,0)&lt;ROUND(SETTINGS!$B$11*1440,0),"Ram",IF(ROUND(MOD(SETTINGS!$B$4,1)*1440,0)&gt;=ROUND(SETTINGS!$B$10*1440,0),"Shyam",IF(MOD(IFERROR(VALUE(RIGHT(F342,2)),0),2)=0,"Ram","Shyam"))))</f>
        <v>Shyam</v>
      </c>
      <c r="AA342" s="28">
        <f t="shared" ca="1" si="58"/>
        <v>0</v>
      </c>
      <c r="AB342" s="28">
        <f ca="1">IF(X342=1,COUNTIFS($F$2:F342,F342,$X$2:X342,1),0)</f>
        <v>0</v>
      </c>
      <c r="AC342" s="28" t="str">
        <f>IF(L342=1,IF(IFERROR(INDEX(PARTNERS!$C$2:$C$88,MATCH(B342,PARTNERS!$A$2:$A$88,0)),"")="YES","YES","NO"),"")</f>
        <v/>
      </c>
      <c r="AD342" s="28" t="str">
        <f>IF(L342=1,IFERROR(INDEX(PARTNERS!$B$2:$B$88,MATCH(B342,PARTNERS!$A$2:$A$88,0)),""),"")</f>
        <v/>
      </c>
      <c r="AE342" s="28">
        <f ca="1">IF(X342=1,IFERROR(INDEX(SETTINGS!$B$34:$D$36,MATCH(I342,SETTINGS!$A$34:$A$36,0),MIN(Q342,2)+1),SETTINGS!$B$36),0)</f>
        <v>0</v>
      </c>
      <c r="AF342" s="28">
        <f t="shared" si="59"/>
        <v>0</v>
      </c>
      <c r="AG342" s="28">
        <f ca="1">IF(AND(Y342=1,AB342=1),ROUND(AA342*AE342*IF(AF342&gt;1,SETTINGS!$B$16,1)*IF(W342&lt;=SETTINGS!$B$14,SETTINGS!$B$15,1)*IF(AU342=1,SETTINGS!$B$21,1),6),0)</f>
        <v>0</v>
      </c>
      <c r="AH342" s="28" t="str">
        <f ca="1">IF(AG342&gt;0,COUNTIFS($Z$2:$Z$601,Z342,$AG$2:$AG$601,"&gt;"&amp;AG342)+COUNTIFS($Z$2:Z342,Z342,$AG$2:AG342,AG342),"")</f>
        <v/>
      </c>
      <c r="AI342" s="28" t="str">
        <f t="shared" ca="1" si="60"/>
        <v/>
      </c>
      <c r="AJ342" s="28" t="str">
        <f t="shared" ca="1" si="61"/>
        <v/>
      </c>
      <c r="AK342" s="28">
        <f>IF(L342=1,IF(COUNTIFS($F$2:F342,F342,$L$2:L342,1)=1,1,0),0)</f>
        <v>0</v>
      </c>
      <c r="AL342" s="28" t="str">
        <f>IF(B342="","",IF(K342="DUPLICATE","Duplicate (removed)",IF(AO342=1,"Scheduled within 24h",IF(M342=1,"Scheduled late",IF(K342="BAD CONTACT","Bad contact details",IF(O342=1,"Stopped / wrong number",IF(N342=1,"Not interested",IF(P342=1,"Partner has no slots",IF(SETTINGS!$B$4&gt;=V342,IF(Q342=0,"Missed deadline: never tried","Missed deadline: tried, not booked"),IF(Q342&gt;=SETTINGS!$B$6,"No reply after max tries","Open"))))))))))</f>
        <v>Duplicate (removed)</v>
      </c>
      <c r="AM342" s="46" t="str">
        <f>IF(M342=1,IF(_xlfn.MINIFS(LOG!$G$2:$G$2001,LOG!$C$2:$C$2001,F342,LOG!$E$2:$E$2001,B342,LOG!$D$2:$D$2001,"*BOOKED")=0,_xlfn.MINIFS(LOG!$G$2:$G$2001,LOG!$C$2:$C$2001,F342,LOG!$E$2:$E$2001,"",LOG!$D$2:$D$2001,"*BOOKED"),IF(_xlfn.MINIFS(LOG!$G$2:$G$2001,LOG!$C$2:$C$2001,F342,LOG!$E$2:$E$2001,"",LOG!$D$2:$D$2001,"*BOOKED")=0,_xlfn.MINIFS(LOG!$G$2:$G$2001,LOG!$C$2:$C$2001,F342,LOG!$E$2:$E$2001,B342,LOG!$D$2:$D$2001,"*BOOKED"),MIN(_xlfn.MINIFS(LOG!$G$2:$G$2001,LOG!$C$2:$C$2001,F342,LOG!$E$2:$E$2001,B342,LOG!$D$2:$D$2001,"*BOOKED"),_xlfn.MINIFS(LOG!$G$2:$G$2001,LOG!$C$2:$C$2001,F342,LOG!$E$2:$E$2001,"",LOG!$D$2:$D$2001,"*BOOKED")))),"")</f>
        <v/>
      </c>
      <c r="AN342" s="28" t="str">
        <f t="shared" si="62"/>
        <v/>
      </c>
      <c r="AO342" s="28">
        <f>IF(AND(M342=1,AN342&lt;&gt;""),IF(AN342&lt;=SETTINGS!$B$5,1,0),0)</f>
        <v>0</v>
      </c>
      <c r="AP342" s="28">
        <f>IF(M342=1,IF(COUNTIFS(LOG!$C$2:$C$2001,F342,LOG!$E$2:$E$2001,B342,LOG!$D$2:$D$2001,"BOOKED")+COUNTIFS(LOG!$C$2:$C$2001,F342,LOG!$E$2:$E$2001,"",LOG!$D$2:$D$2001,"BOOKED")&gt;0,1,0),0)</f>
        <v>0</v>
      </c>
      <c r="AQ342" s="28" t="str">
        <f t="shared" si="63"/>
        <v>Diya</v>
      </c>
      <c r="AR342" s="28" t="str">
        <f>IF(AND(AK342=1,K342="OK"),COUNTIFS($AK$2:AK342,1,$K$2:K342,"OK"),"")</f>
        <v/>
      </c>
      <c r="AS342" s="28" t="str">
        <f>IF(L342=1,IFERROR(INDEX(MESSAGES!$J$9:$J$1008,MATCH(F342,MESSAGES!$M$9:$M$1008,0))&amp;"",""),"")</f>
        <v/>
      </c>
      <c r="AT342" s="28" t="str">
        <f>IF(L342=1,IFERROR(INDEX(MESSAGES!$K$9:$K$1008,MATCH(F342,MESSAGES!$M$9:$M$1008,0))&amp;"",""),"")</f>
        <v/>
      </c>
      <c r="AU342" s="28">
        <f t="shared" ca="1" si="64"/>
        <v>0</v>
      </c>
      <c r="AV342" s="28" t="str">
        <f t="shared" si="65"/>
        <v/>
      </c>
    </row>
    <row r="343" spans="1:48" x14ac:dyDescent="0.35">
      <c r="A343" s="28">
        <v>342</v>
      </c>
      <c r="B343" s="28" t="str">
        <f>IF(INPUT!A343="","",TRIM(INPUT!A343))</f>
        <v>Partner 000</v>
      </c>
      <c r="C343" s="28" t="str">
        <f>IF(B343="","",INPUT!C343)</f>
        <v>interviewer1@partner000.example.com</v>
      </c>
      <c r="D343" s="28" t="str">
        <f>IF(B343="","",INPUT!D343)</f>
        <v>Yash N.</v>
      </c>
      <c r="E343" s="28" t="str">
        <f>IF(B343="","",INPUT!E343)</f>
        <v>yash.n376@example.com</v>
      </c>
      <c r="F343" s="43" t="str">
        <f>IF(B343="","",TRIM(INPUT!F343&amp;""))</f>
        <v>9000004895</v>
      </c>
      <c r="G343" s="28" t="str">
        <f>IF(B343="","",INPUT!H343)</f>
        <v>Round1</v>
      </c>
      <c r="H343" s="46">
        <f>IF(B343="","",INPUT!I343)</f>
        <v>46308.82708333333</v>
      </c>
      <c r="I343" s="28" t="str">
        <f>IF(B343="","",IF(INPUT!J343="","None",INPUT!J343))</f>
        <v>None</v>
      </c>
      <c r="J343" s="28" t="str">
        <f t="shared" si="55"/>
        <v>yash.n376@example.com|partner 000|Round1|interviewer1@partner000.example.com</v>
      </c>
      <c r="K343" s="28" t="str">
        <f>IF(B343="","",IF(SUMPRODUCT(($J$2:$J$601=J343)*($H$2:$H$601&lt;H343))+SUMPRODUCT(($J$2:J343=J343)*($H$2:H343=H343))-1&gt;0,"DUPLICATE",IF(AND(ISNUMBER(SEARCH("@",E343)),ISNUMBER(SEARCH(".",E343)),LEN(F343)=10,ISNUMBER(VALUE(F343))),"OK","BAD CONTACT")))</f>
        <v>OK</v>
      </c>
      <c r="L343" s="28">
        <f t="shared" si="56"/>
        <v>1</v>
      </c>
      <c r="M343" s="28">
        <f>IF(L343=1,IF(COUNTIFS(LOG!$C$2:$C$2001,F343,LOG!$E$2:$E$2001,B343,LOG!$D$2:$D$2001,"*BOOKED")+COUNTIFS(LOG!$C$2:$C$2001,F343,LOG!$E$2:$E$2001,"",LOG!$D$2:$D$2001,"*BOOKED")&gt;0,1,0),0)</f>
        <v>1</v>
      </c>
      <c r="N343" s="28">
        <f>IF(L343=1,IF(COUNTIFS(LOG!$C$2:$C$2001,F343,LOG!$E$2:$E$2001,B343,LOG!$D$2:$D$2001,"NOT_INTERESTED")+COUNTIFS(LOG!$C$2:$C$2001,F343,LOG!$E$2:$E$2001,"",LOG!$D$2:$D$2001,"NOT_INTERESTED")&gt;0,1,0),0)</f>
        <v>0</v>
      </c>
      <c r="O343" s="28">
        <f>IF(L343=1,IF(COUNTIFS(LOG!$C$2:$C$2001,F343,LOG!$D$2:$D$2001,"STOP")+COUNTIFS(LOG!$C$2:$C$2001,F343,LOG!$D$2:$D$2001,"WRONG_NUMBER")&gt;0,1,IF(ISNUMBER(SEARCH("STOP",AT343)),1,0)),0)</f>
        <v>0</v>
      </c>
      <c r="P343" s="28">
        <f>IF(L343=1,IF(IFERROR(INDEX(PARTNERS!$D$2:$D$88,MATCH(B343,PARTNERS!$A$2:$A$88,0)),"")="NO SLOTS",1,IF(AND(IFERROR(INDEX(PARTNERS!$D$2:$D$88,MATCH(B343,PARTNERS!$A$2:$A$88,0)),"")&lt;&gt;"REOPENED",COUNTIFS(LOG!$E$2:$E$2001,B343,LOG!$D$2:$D$2001,"NO_SLOTS")&gt;0),1,0)),0)</f>
        <v>0</v>
      </c>
      <c r="Q343" s="28">
        <f>IF(L343=1,COUNTIFS(LOG!$C$2:$C$2001,F343,LOG!$H$2:$H$2001,1),0)</f>
        <v>0</v>
      </c>
      <c r="R343" s="46">
        <f>IF(Q343&gt;0,_xlfn.MAXIFS(LOG!$G$2:$G$2001,LOG!$C$2:$C$2001,F343,LOG!$H$2:$H$2001,1),0)</f>
        <v>0</v>
      </c>
      <c r="S343" s="28" t="str">
        <f>IF(Q343&gt;0,IFERROR(INDEX(LOG!$D$2:$D$2001,MATCH(F343&amp;"|"&amp;Q343,LOG!$I$2:$I$2001,0)),""),"")</f>
        <v/>
      </c>
      <c r="T343" s="28">
        <f>IF(S343="",0,IFERROR(VLOOKUP(S343,LISTS!$A$2:$E$10,4,FALSE),0))</f>
        <v>0</v>
      </c>
      <c r="U343" s="46">
        <f t="shared" si="57"/>
        <v>0</v>
      </c>
      <c r="V343" s="46">
        <f>IF(L343=1,H343+SETTINGS!$B$5/24,"")</f>
        <v>46309.82708333333</v>
      </c>
      <c r="W343" s="28">
        <f ca="1">IF(L343=1,(V343-SETTINGS!$B$4)*24,"")</f>
        <v>-1.6666666720993817E-2</v>
      </c>
      <c r="X343" s="28">
        <f ca="1">IF(AND(L343=1,K343="OK",M343=0,N343=0,O343=0,P343=0,SETTINGS!$B$4&lt;V343,Q343&lt;SETTINGS!$B$6),1,0)</f>
        <v>0</v>
      </c>
      <c r="Y343" s="28">
        <f ca="1">IF(AND(X343=1,SETTINGS!$B$4&gt;=H343,SETTINGS!$B$4&gt;=U343,ROUND(MOD(SETTINGS!$B$4,1)*1440,0)&gt;=ROUND(SETTINGS!$B$7*1440,0),ROUND(MOD(SETTINGS!$B$4,1)*1440,0)&lt;ROUND(SETTINGS!$B$8*1440,0)),1,0)</f>
        <v>0</v>
      </c>
      <c r="Z343" s="28" t="str">
        <f ca="1">IF(B343="","",IF(ROUND(MOD(SETTINGS!$B$4,1)*1440,0)&lt;ROUND(SETTINGS!$B$11*1440,0),"Ram",IF(ROUND(MOD(SETTINGS!$B$4,1)*1440,0)&gt;=ROUND(SETTINGS!$B$10*1440,0),"Shyam",IF(MOD(IFERROR(VALUE(RIGHT(F343,2)),0),2)=0,"Ram","Shyam"))))</f>
        <v>Shyam</v>
      </c>
      <c r="AA343" s="28">
        <f t="shared" ca="1" si="58"/>
        <v>0</v>
      </c>
      <c r="AB343" s="28">
        <f ca="1">IF(X343=1,COUNTIFS($F$2:F343,F343,$X$2:X343,1),0)</f>
        <v>0</v>
      </c>
      <c r="AC343" s="28" t="str">
        <f>IF(L343=1,IF(IFERROR(INDEX(PARTNERS!$C$2:$C$88,MATCH(B343,PARTNERS!$A$2:$A$88,0)),"")="YES","YES","NO"),"")</f>
        <v>NO</v>
      </c>
      <c r="AD343" s="28" t="str">
        <f>IF(L343=1,IFERROR(INDEX(PARTNERS!$B$2:$B$88,MATCH(B343,PARTNERS!$A$2:$A$88,0)),""),"")</f>
        <v>https://calendly.com/partner000/interview</v>
      </c>
      <c r="AE343" s="28">
        <f ca="1">IF(X343=1,IFERROR(INDEX(SETTINGS!$B$34:$D$36,MATCH(I343,SETTINGS!$A$34:$A$36,0),MIN(Q343,2)+1),SETTINGS!$B$36),0)</f>
        <v>0</v>
      </c>
      <c r="AF343" s="28">
        <f t="shared" si="59"/>
        <v>1</v>
      </c>
      <c r="AG343" s="28">
        <f ca="1">IF(AND(Y343=1,AB343=1),ROUND(AA343*AE343*IF(AF343&gt;1,SETTINGS!$B$16,1)*IF(W343&lt;=SETTINGS!$B$14,SETTINGS!$B$15,1)*IF(AU343=1,SETTINGS!$B$21,1),6),0)</f>
        <v>0</v>
      </c>
      <c r="AH343" s="28" t="str">
        <f ca="1">IF(AG343&gt;0,COUNTIFS($Z$2:$Z$601,Z343,$AG$2:$AG$601,"&gt;"&amp;AG343)+COUNTIFS($Z$2:Z343,Z343,$AG$2:AG343,AG343),"")</f>
        <v/>
      </c>
      <c r="AI343" s="28" t="str">
        <f t="shared" ca="1" si="60"/>
        <v/>
      </c>
      <c r="AJ343" s="28" t="str">
        <f t="shared" ca="1" si="61"/>
        <v/>
      </c>
      <c r="AK343" s="28">
        <f>IF(L343=1,IF(COUNTIFS($F$2:F343,F343,$L$2:L343,1)=1,1,0),0)</f>
        <v>0</v>
      </c>
      <c r="AL343" s="28" t="str">
        <f>IF(B343="","",IF(K343="DUPLICATE","Duplicate (removed)",IF(AO343=1,"Scheduled within 24h",IF(M343=1,"Scheduled late",IF(K343="BAD CONTACT","Bad contact details",IF(O343=1,"Stopped / wrong number",IF(N343=1,"Not interested",IF(P343=1,"Partner has no slots",IF(SETTINGS!$B$4&gt;=V343,IF(Q343=0,"Missed deadline: never tried","Missed deadline: tried, not booked"),IF(Q343&gt;=SETTINGS!$B$6,"No reply after max tries","Open"))))))))))</f>
        <v>Scheduled within 24h</v>
      </c>
      <c r="AM343" s="46">
        <f>IF(M343=1,IF(_xlfn.MINIFS(LOG!$G$2:$G$2001,LOG!$C$2:$C$2001,F343,LOG!$E$2:$E$2001,B343,LOG!$D$2:$D$2001,"*BOOKED")=0,_xlfn.MINIFS(LOG!$G$2:$G$2001,LOG!$C$2:$C$2001,F343,LOG!$E$2:$E$2001,"",LOG!$D$2:$D$2001,"*BOOKED"),IF(_xlfn.MINIFS(LOG!$G$2:$G$2001,LOG!$C$2:$C$2001,F343,LOG!$E$2:$E$2001,"",LOG!$D$2:$D$2001,"*BOOKED")=0,_xlfn.MINIFS(LOG!$G$2:$G$2001,LOG!$C$2:$C$2001,F343,LOG!$E$2:$E$2001,B343,LOG!$D$2:$D$2001,"*BOOKED"),MIN(_xlfn.MINIFS(LOG!$G$2:$G$2001,LOG!$C$2:$C$2001,F343,LOG!$E$2:$E$2001,B343,LOG!$D$2:$D$2001,"*BOOKED"),_xlfn.MINIFS(LOG!$G$2:$G$2001,LOG!$C$2:$C$2001,F343,LOG!$E$2:$E$2001,"",LOG!$D$2:$D$2001,"*BOOKED")))),"")</f>
        <v>46309.403956548798</v>
      </c>
      <c r="AN343" s="28">
        <f t="shared" si="62"/>
        <v>13.844957171240821</v>
      </c>
      <c r="AO343" s="28">
        <f>IF(AND(M343=1,AN343&lt;&gt;""),IF(AN343&lt;=SETTINGS!$B$5,1,0),0)</f>
        <v>1</v>
      </c>
      <c r="AP343" s="28">
        <f>IF(M343=1,IF(COUNTIFS(LOG!$C$2:$C$2001,F343,LOG!$E$2:$E$2001,B343,LOG!$D$2:$D$2001,"BOOKED")+COUNTIFS(LOG!$C$2:$C$2001,F343,LOG!$E$2:$E$2001,"",LOG!$D$2:$D$2001,"BOOKED")&gt;0,1,0),0)</f>
        <v>0</v>
      </c>
      <c r="AQ343" s="28" t="str">
        <f t="shared" si="63"/>
        <v>Yash</v>
      </c>
      <c r="AR343" s="28" t="str">
        <f>IF(AND(AK343=1,K343="OK"),COUNTIFS($AK$2:AK343,1,$K$2:K343,"OK"),"")</f>
        <v/>
      </c>
      <c r="AS343" s="28" t="str">
        <f>IF(L343=1,IFERROR(INDEX(MESSAGES!$J$9:$J$1008,MATCH(F343,MESSAGES!$M$9:$M$1008,0))&amp;"",""),"")</f>
        <v/>
      </c>
      <c r="AT343" s="28" t="str">
        <f>IF(L343=1,IFERROR(INDEX(MESSAGES!$K$9:$K$1008,MATCH(F343,MESSAGES!$M$9:$M$1008,0))&amp;"",""),"")</f>
        <v/>
      </c>
      <c r="AU343" s="28">
        <f t="shared" ca="1" si="64"/>
        <v>0</v>
      </c>
      <c r="AV343" s="28" t="str">
        <f t="shared" si="65"/>
        <v>HOLD</v>
      </c>
    </row>
    <row r="344" spans="1:48" x14ac:dyDescent="0.35">
      <c r="A344" s="28">
        <v>343</v>
      </c>
      <c r="B344" s="28" t="str">
        <f>IF(INPUT!A344="","",TRIM(INPUT!A344))</f>
        <v>Partner 033</v>
      </c>
      <c r="C344" s="28" t="str">
        <f>IF(B344="","",INPUT!C344)</f>
        <v>interviewer2@partner033.example.com</v>
      </c>
      <c r="D344" s="28" t="str">
        <f>IF(B344="","",INPUT!D344)</f>
        <v>Sneha M.</v>
      </c>
      <c r="E344" s="28" t="str">
        <f>IF(B344="","",INPUT!E344)</f>
        <v>sneha.m353@example.com</v>
      </c>
      <c r="F344" s="43" t="str">
        <f>IF(B344="","",TRIM(INPUT!F344&amp;""))</f>
        <v>9000004596</v>
      </c>
      <c r="G344" s="28" t="str">
        <f>IF(B344="","",INPUT!H344)</f>
        <v>Round1</v>
      </c>
      <c r="H344" s="46">
        <f>IF(B344="","",INPUT!I344)</f>
        <v>46308.82708333333</v>
      </c>
      <c r="I344" s="28" t="str">
        <f>IF(B344="","",IF(INPUT!J344="","None",INPUT!J344))</f>
        <v>None</v>
      </c>
      <c r="J344" s="28" t="str">
        <f t="shared" si="55"/>
        <v>sneha.m353@example.com|partner 033|Round1|interviewer2@partner033.example.com</v>
      </c>
      <c r="K344" s="28" t="str">
        <f>IF(B344="","",IF(SUMPRODUCT(($J$2:$J$601=J344)*($H$2:$H$601&lt;H344))+SUMPRODUCT(($J$2:J344=J344)*($H$2:H344=H344))-1&gt;0,"DUPLICATE",IF(AND(ISNUMBER(SEARCH("@",E344)),ISNUMBER(SEARCH(".",E344)),LEN(F344)=10,ISNUMBER(VALUE(F344))),"OK","BAD CONTACT")))</f>
        <v>OK</v>
      </c>
      <c r="L344" s="28">
        <f t="shared" si="56"/>
        <v>1</v>
      </c>
      <c r="M344" s="28">
        <f>IF(L344=1,IF(COUNTIFS(LOG!$C$2:$C$2001,F344,LOG!$E$2:$E$2001,B344,LOG!$D$2:$D$2001,"*BOOKED")+COUNTIFS(LOG!$C$2:$C$2001,F344,LOG!$E$2:$E$2001,"",LOG!$D$2:$D$2001,"*BOOKED")&gt;0,1,0),0)</f>
        <v>1</v>
      </c>
      <c r="N344" s="28">
        <f>IF(L344=1,IF(COUNTIFS(LOG!$C$2:$C$2001,F344,LOG!$E$2:$E$2001,B344,LOG!$D$2:$D$2001,"NOT_INTERESTED")+COUNTIFS(LOG!$C$2:$C$2001,F344,LOG!$E$2:$E$2001,"",LOG!$D$2:$D$2001,"NOT_INTERESTED")&gt;0,1,0),0)</f>
        <v>0</v>
      </c>
      <c r="O344" s="28">
        <f>IF(L344=1,IF(COUNTIFS(LOG!$C$2:$C$2001,F344,LOG!$D$2:$D$2001,"STOP")+COUNTIFS(LOG!$C$2:$C$2001,F344,LOG!$D$2:$D$2001,"WRONG_NUMBER")&gt;0,1,IF(ISNUMBER(SEARCH("STOP",AT344)),1,0)),0)</f>
        <v>0</v>
      </c>
      <c r="P344" s="28">
        <f>IF(L344=1,IF(IFERROR(INDEX(PARTNERS!$D$2:$D$88,MATCH(B344,PARTNERS!$A$2:$A$88,0)),"")="NO SLOTS",1,IF(AND(IFERROR(INDEX(PARTNERS!$D$2:$D$88,MATCH(B344,PARTNERS!$A$2:$A$88,0)),"")&lt;&gt;"REOPENED",COUNTIFS(LOG!$E$2:$E$2001,B344,LOG!$D$2:$D$2001,"NO_SLOTS")&gt;0),1,0)),0)</f>
        <v>0</v>
      </c>
      <c r="Q344" s="28">
        <f>IF(L344=1,COUNTIFS(LOG!$C$2:$C$2001,F344,LOG!$H$2:$H$2001,1),0)</f>
        <v>0</v>
      </c>
      <c r="R344" s="46">
        <f>IF(Q344&gt;0,_xlfn.MAXIFS(LOG!$G$2:$G$2001,LOG!$C$2:$C$2001,F344,LOG!$H$2:$H$2001,1),0)</f>
        <v>0</v>
      </c>
      <c r="S344" s="28" t="str">
        <f>IF(Q344&gt;0,IFERROR(INDEX(LOG!$D$2:$D$2001,MATCH(F344&amp;"|"&amp;Q344,LOG!$I$2:$I$2001,0)),""),"")</f>
        <v/>
      </c>
      <c r="T344" s="28">
        <f>IF(S344="",0,IFERROR(VLOOKUP(S344,LISTS!$A$2:$E$10,4,FALSE),0))</f>
        <v>0</v>
      </c>
      <c r="U344" s="46">
        <f t="shared" si="57"/>
        <v>0</v>
      </c>
      <c r="V344" s="46">
        <f>IF(L344=1,H344+SETTINGS!$B$5/24,"")</f>
        <v>46309.82708333333</v>
      </c>
      <c r="W344" s="28">
        <f ca="1">IF(L344=1,(V344-SETTINGS!$B$4)*24,"")</f>
        <v>-1.6666666720993817E-2</v>
      </c>
      <c r="X344" s="28">
        <f ca="1">IF(AND(L344=1,K344="OK",M344=0,N344=0,O344=0,P344=0,SETTINGS!$B$4&lt;V344,Q344&lt;SETTINGS!$B$6),1,0)</f>
        <v>0</v>
      </c>
      <c r="Y344" s="28">
        <f ca="1">IF(AND(X344=1,SETTINGS!$B$4&gt;=H344,SETTINGS!$B$4&gt;=U344,ROUND(MOD(SETTINGS!$B$4,1)*1440,0)&gt;=ROUND(SETTINGS!$B$7*1440,0),ROUND(MOD(SETTINGS!$B$4,1)*1440,0)&lt;ROUND(SETTINGS!$B$8*1440,0)),1,0)</f>
        <v>0</v>
      </c>
      <c r="Z344" s="28" t="str">
        <f ca="1">IF(B344="","",IF(ROUND(MOD(SETTINGS!$B$4,1)*1440,0)&lt;ROUND(SETTINGS!$B$11*1440,0),"Ram",IF(ROUND(MOD(SETTINGS!$B$4,1)*1440,0)&gt;=ROUND(SETTINGS!$B$10*1440,0),"Shyam",IF(MOD(IFERROR(VALUE(RIGHT(F344,2)),0),2)=0,"Ram","Shyam"))))</f>
        <v>Shyam</v>
      </c>
      <c r="AA344" s="28">
        <f t="shared" ca="1" si="58"/>
        <v>0</v>
      </c>
      <c r="AB344" s="28">
        <f ca="1">IF(X344=1,COUNTIFS($F$2:F344,F344,$X$2:X344,1),0)</f>
        <v>0</v>
      </c>
      <c r="AC344" s="28" t="str">
        <f>IF(L344=1,IF(IFERROR(INDEX(PARTNERS!$C$2:$C$88,MATCH(B344,PARTNERS!$A$2:$A$88,0)),"")="YES","YES","NO"),"")</f>
        <v>YES</v>
      </c>
      <c r="AD344" s="28" t="str">
        <f>IF(L344=1,IFERROR(INDEX(PARTNERS!$B$2:$B$88,MATCH(B344,PARTNERS!$A$2:$A$88,0)),""),"")</f>
        <v>https://calendly.com/partner033/interview</v>
      </c>
      <c r="AE344" s="28">
        <f ca="1">IF(X344=1,IFERROR(INDEX(SETTINGS!$B$34:$D$36,MATCH(I344,SETTINGS!$A$34:$A$36,0),MIN(Q344,2)+1),SETTINGS!$B$36),0)</f>
        <v>0</v>
      </c>
      <c r="AF344" s="28">
        <f t="shared" si="59"/>
        <v>1</v>
      </c>
      <c r="AG344" s="28">
        <f ca="1">IF(AND(Y344=1,AB344=1),ROUND(AA344*AE344*IF(AF344&gt;1,SETTINGS!$B$16,1)*IF(W344&lt;=SETTINGS!$B$14,SETTINGS!$B$15,1)*IF(AU344=1,SETTINGS!$B$21,1),6),0)</f>
        <v>0</v>
      </c>
      <c r="AH344" s="28" t="str">
        <f ca="1">IF(AG344&gt;0,COUNTIFS($Z$2:$Z$601,Z344,$AG$2:$AG$601,"&gt;"&amp;AG344)+COUNTIFS($Z$2:Z344,Z344,$AG$2:AG344,AG344),"")</f>
        <v/>
      </c>
      <c r="AI344" s="28" t="str">
        <f t="shared" ca="1" si="60"/>
        <v/>
      </c>
      <c r="AJ344" s="28" t="str">
        <f t="shared" ca="1" si="61"/>
        <v/>
      </c>
      <c r="AK344" s="28">
        <f>IF(L344=1,IF(COUNTIFS($F$2:F344,F344,$L$2:L344,1)=1,1,0),0)</f>
        <v>1</v>
      </c>
      <c r="AL344" s="28" t="str">
        <f>IF(B344="","",IF(K344="DUPLICATE","Duplicate (removed)",IF(AO344=1,"Scheduled within 24h",IF(M344=1,"Scheduled late",IF(K344="BAD CONTACT","Bad contact details",IF(O344=1,"Stopped / wrong number",IF(N344=1,"Not interested",IF(P344=1,"Partner has no slots",IF(SETTINGS!$B$4&gt;=V344,IF(Q344=0,"Missed deadline: never tried","Missed deadline: tried, not booked"),IF(Q344&gt;=SETTINGS!$B$6,"No reply after max tries","Open"))))))))))</f>
        <v>Scheduled within 24h</v>
      </c>
      <c r="AM344" s="46">
        <f>IF(M344=1,IF(_xlfn.MINIFS(LOG!$G$2:$G$2001,LOG!$C$2:$C$2001,F344,LOG!$E$2:$E$2001,B344,LOG!$D$2:$D$2001,"*BOOKED")=0,_xlfn.MINIFS(LOG!$G$2:$G$2001,LOG!$C$2:$C$2001,F344,LOG!$E$2:$E$2001,"",LOG!$D$2:$D$2001,"*BOOKED"),IF(_xlfn.MINIFS(LOG!$G$2:$G$2001,LOG!$C$2:$C$2001,F344,LOG!$E$2:$E$2001,"",LOG!$D$2:$D$2001,"*BOOKED")=0,_xlfn.MINIFS(LOG!$G$2:$G$2001,LOG!$C$2:$C$2001,F344,LOG!$E$2:$E$2001,B344,LOG!$D$2:$D$2001,"*BOOKED"),MIN(_xlfn.MINIFS(LOG!$G$2:$G$2001,LOG!$C$2:$C$2001,F344,LOG!$E$2:$E$2001,B344,LOG!$D$2:$D$2001,"*BOOKED"),_xlfn.MINIFS(LOG!$G$2:$G$2001,LOG!$C$2:$C$2001,F344,LOG!$E$2:$E$2001,"",LOG!$D$2:$D$2001,"*BOOKED")))),"")</f>
        <v>46308.93361329272</v>
      </c>
      <c r="AN344" s="28">
        <f t="shared" si="62"/>
        <v>2.5567190253641456</v>
      </c>
      <c r="AO344" s="28">
        <f>IF(AND(M344=1,AN344&lt;&gt;""),IF(AN344&lt;=SETTINGS!$B$5,1,0),0)</f>
        <v>1</v>
      </c>
      <c r="AP344" s="28">
        <f>IF(M344=1,IF(COUNTIFS(LOG!$C$2:$C$2001,F344,LOG!$E$2:$E$2001,B344,LOG!$D$2:$D$2001,"BOOKED")+COUNTIFS(LOG!$C$2:$C$2001,F344,LOG!$E$2:$E$2001,"",LOG!$D$2:$D$2001,"BOOKED")&gt;0,1,0),0)</f>
        <v>0</v>
      </c>
      <c r="AQ344" s="28" t="str">
        <f t="shared" si="63"/>
        <v>Sneha</v>
      </c>
      <c r="AR344" s="28">
        <f>IF(AND(AK344=1,K344="OK"),COUNTIFS($AK$2:AK344,1,$K$2:K344,"OK"),"")</f>
        <v>295</v>
      </c>
      <c r="AS344" s="28" t="str">
        <f>IF(L344=1,IFERROR(INDEX(MESSAGES!$J$9:$J$1008,MATCH(F344,MESSAGES!$M$9:$M$1008,0))&amp;"",""),"")</f>
        <v/>
      </c>
      <c r="AT344" s="28" t="str">
        <f>IF(L344=1,IFERROR(INDEX(MESSAGES!$K$9:$K$1008,MATCH(F344,MESSAGES!$M$9:$M$1008,0))&amp;"",""),"")</f>
        <v/>
      </c>
      <c r="AU344" s="28">
        <f t="shared" ca="1" si="64"/>
        <v>0</v>
      </c>
      <c r="AV344" s="28" t="str">
        <f t="shared" si="65"/>
        <v>HOLD</v>
      </c>
    </row>
    <row r="345" spans="1:48" x14ac:dyDescent="0.35">
      <c r="A345" s="28">
        <v>344</v>
      </c>
      <c r="B345" s="28" t="str">
        <f>IF(INPUT!A345="","",TRIM(INPUT!A345))</f>
        <v>Partner 067</v>
      </c>
      <c r="C345" s="28" t="str">
        <f>IF(B345="","",INPUT!C345)</f>
        <v>interviewer1@partner067.example.com</v>
      </c>
      <c r="D345" s="28" t="str">
        <f>IF(B345="","",INPUT!D345)</f>
        <v>Dev J.</v>
      </c>
      <c r="E345" s="28" t="str">
        <f>IF(B345="","",INPUT!E345)</f>
        <v>dev.j252@example.com</v>
      </c>
      <c r="F345" s="43" t="str">
        <f>IF(B345="","",TRIM(INPUT!F345&amp;""))</f>
        <v>9000003283</v>
      </c>
      <c r="G345" s="28" t="str">
        <f>IF(B345="","",INPUT!H345)</f>
        <v>Round1</v>
      </c>
      <c r="H345" s="46">
        <f>IF(B345="","",INPUT!I345)</f>
        <v>46308.82708333333</v>
      </c>
      <c r="I345" s="28" t="str">
        <f>IF(B345="","",IF(INPUT!J345="","None",INPUT!J345))</f>
        <v>None</v>
      </c>
      <c r="J345" s="28" t="str">
        <f t="shared" si="55"/>
        <v>dev.j252@example.com|partner 067|Round1|interviewer1@partner067.example.com</v>
      </c>
      <c r="K345" s="28" t="str">
        <f>IF(B345="","",IF(SUMPRODUCT(($J$2:$J$601=J345)*($H$2:$H$601&lt;H345))+SUMPRODUCT(($J$2:J345=J345)*($H$2:H345=H345))-1&gt;0,"DUPLICATE",IF(AND(ISNUMBER(SEARCH("@",E345)),ISNUMBER(SEARCH(".",E345)),LEN(F345)=10,ISNUMBER(VALUE(F345))),"OK","BAD CONTACT")))</f>
        <v>OK</v>
      </c>
      <c r="L345" s="28">
        <f t="shared" si="56"/>
        <v>1</v>
      </c>
      <c r="M345" s="28">
        <f>IF(L345=1,IF(COUNTIFS(LOG!$C$2:$C$2001,F345,LOG!$E$2:$E$2001,B345,LOG!$D$2:$D$2001,"*BOOKED")+COUNTIFS(LOG!$C$2:$C$2001,F345,LOG!$E$2:$E$2001,"",LOG!$D$2:$D$2001,"*BOOKED")&gt;0,1,0),0)</f>
        <v>1</v>
      </c>
      <c r="N345" s="28">
        <f>IF(L345=1,IF(COUNTIFS(LOG!$C$2:$C$2001,F345,LOG!$E$2:$E$2001,B345,LOG!$D$2:$D$2001,"NOT_INTERESTED")+COUNTIFS(LOG!$C$2:$C$2001,F345,LOG!$E$2:$E$2001,"",LOG!$D$2:$D$2001,"NOT_INTERESTED")&gt;0,1,0),0)</f>
        <v>0</v>
      </c>
      <c r="O345" s="28">
        <f>IF(L345=1,IF(COUNTIFS(LOG!$C$2:$C$2001,F345,LOG!$D$2:$D$2001,"STOP")+COUNTIFS(LOG!$C$2:$C$2001,F345,LOG!$D$2:$D$2001,"WRONG_NUMBER")&gt;0,1,IF(ISNUMBER(SEARCH("STOP",AT345)),1,0)),0)</f>
        <v>0</v>
      </c>
      <c r="P345" s="28">
        <f>IF(L345=1,IF(IFERROR(INDEX(PARTNERS!$D$2:$D$88,MATCH(B345,PARTNERS!$A$2:$A$88,0)),"")="NO SLOTS",1,IF(AND(IFERROR(INDEX(PARTNERS!$D$2:$D$88,MATCH(B345,PARTNERS!$A$2:$A$88,0)),"")&lt;&gt;"REOPENED",COUNTIFS(LOG!$E$2:$E$2001,B345,LOG!$D$2:$D$2001,"NO_SLOTS")&gt;0),1,0)),0)</f>
        <v>0</v>
      </c>
      <c r="Q345" s="28">
        <f>IF(L345=1,COUNTIFS(LOG!$C$2:$C$2001,F345,LOG!$H$2:$H$2001,1),0)</f>
        <v>0</v>
      </c>
      <c r="R345" s="46">
        <f>IF(Q345&gt;0,_xlfn.MAXIFS(LOG!$G$2:$G$2001,LOG!$C$2:$C$2001,F345,LOG!$H$2:$H$2001,1),0)</f>
        <v>0</v>
      </c>
      <c r="S345" s="28" t="str">
        <f>IF(Q345&gt;0,IFERROR(INDEX(LOG!$D$2:$D$2001,MATCH(F345&amp;"|"&amp;Q345,LOG!$I$2:$I$2001,0)),""),"")</f>
        <v/>
      </c>
      <c r="T345" s="28">
        <f>IF(S345="",0,IFERROR(VLOOKUP(S345,LISTS!$A$2:$E$10,4,FALSE),0))</f>
        <v>0</v>
      </c>
      <c r="U345" s="46">
        <f t="shared" si="57"/>
        <v>0</v>
      </c>
      <c r="V345" s="46">
        <f>IF(L345=1,H345+SETTINGS!$B$5/24,"")</f>
        <v>46309.82708333333</v>
      </c>
      <c r="W345" s="28">
        <f ca="1">IF(L345=1,(V345-SETTINGS!$B$4)*24,"")</f>
        <v>-1.6666666720993817E-2</v>
      </c>
      <c r="X345" s="28">
        <f ca="1">IF(AND(L345=1,K345="OK",M345=0,N345=0,O345=0,P345=0,SETTINGS!$B$4&lt;V345,Q345&lt;SETTINGS!$B$6),1,0)</f>
        <v>0</v>
      </c>
      <c r="Y345" s="28">
        <f ca="1">IF(AND(X345=1,SETTINGS!$B$4&gt;=H345,SETTINGS!$B$4&gt;=U345,ROUND(MOD(SETTINGS!$B$4,1)*1440,0)&gt;=ROUND(SETTINGS!$B$7*1440,0),ROUND(MOD(SETTINGS!$B$4,1)*1440,0)&lt;ROUND(SETTINGS!$B$8*1440,0)),1,0)</f>
        <v>0</v>
      </c>
      <c r="Z345" s="28" t="str">
        <f ca="1">IF(B345="","",IF(ROUND(MOD(SETTINGS!$B$4,1)*1440,0)&lt;ROUND(SETTINGS!$B$11*1440,0),"Ram",IF(ROUND(MOD(SETTINGS!$B$4,1)*1440,0)&gt;=ROUND(SETTINGS!$B$10*1440,0),"Shyam",IF(MOD(IFERROR(VALUE(RIGHT(F345,2)),0),2)=0,"Ram","Shyam"))))</f>
        <v>Shyam</v>
      </c>
      <c r="AA345" s="28">
        <f t="shared" ca="1" si="58"/>
        <v>0</v>
      </c>
      <c r="AB345" s="28">
        <f ca="1">IF(X345=1,COUNTIFS($F$2:F345,F345,$X$2:X345,1),0)</f>
        <v>0</v>
      </c>
      <c r="AC345" s="28" t="str">
        <f>IF(L345=1,IF(IFERROR(INDEX(PARTNERS!$C$2:$C$88,MATCH(B345,PARTNERS!$A$2:$A$88,0)),"")="YES","YES","NO"),"")</f>
        <v>YES</v>
      </c>
      <c r="AD345" s="28" t="str">
        <f>IF(L345=1,IFERROR(INDEX(PARTNERS!$B$2:$B$88,MATCH(B345,PARTNERS!$A$2:$A$88,0)),""),"")</f>
        <v>https://calendly.com/partner067/interview</v>
      </c>
      <c r="AE345" s="28">
        <f ca="1">IF(X345=1,IFERROR(INDEX(SETTINGS!$B$34:$D$36,MATCH(I345,SETTINGS!$A$34:$A$36,0),MIN(Q345,2)+1),SETTINGS!$B$36),0)</f>
        <v>0</v>
      </c>
      <c r="AF345" s="28">
        <f t="shared" si="59"/>
        <v>1</v>
      </c>
      <c r="AG345" s="28">
        <f ca="1">IF(AND(Y345=1,AB345=1),ROUND(AA345*AE345*IF(AF345&gt;1,SETTINGS!$B$16,1)*IF(W345&lt;=SETTINGS!$B$14,SETTINGS!$B$15,1)*IF(AU345=1,SETTINGS!$B$21,1),6),0)</f>
        <v>0</v>
      </c>
      <c r="AH345" s="28" t="str">
        <f ca="1">IF(AG345&gt;0,COUNTIFS($Z$2:$Z$601,Z345,$AG$2:$AG$601,"&gt;"&amp;AG345)+COUNTIFS($Z$2:Z345,Z345,$AG$2:AG345,AG345),"")</f>
        <v/>
      </c>
      <c r="AI345" s="28" t="str">
        <f t="shared" ca="1" si="60"/>
        <v/>
      </c>
      <c r="AJ345" s="28" t="str">
        <f t="shared" ca="1" si="61"/>
        <v/>
      </c>
      <c r="AK345" s="28">
        <f>IF(L345=1,IF(COUNTIFS($F$2:F345,F345,$L$2:L345,1)=1,1,0),0)</f>
        <v>1</v>
      </c>
      <c r="AL345" s="28" t="str">
        <f>IF(B345="","",IF(K345="DUPLICATE","Duplicate (removed)",IF(AO345=1,"Scheduled within 24h",IF(M345=1,"Scheduled late",IF(K345="BAD CONTACT","Bad contact details",IF(O345=1,"Stopped / wrong number",IF(N345=1,"Not interested",IF(P345=1,"Partner has no slots",IF(SETTINGS!$B$4&gt;=V345,IF(Q345=0,"Missed deadline: never tried","Missed deadline: tried, not booked"),IF(Q345&gt;=SETTINGS!$B$6,"No reply after max tries","Open"))))))))))</f>
        <v>Scheduled within 24h</v>
      </c>
      <c r="AM345" s="46">
        <f>IF(M345=1,IF(_xlfn.MINIFS(LOG!$G$2:$G$2001,LOG!$C$2:$C$2001,F345,LOG!$E$2:$E$2001,B345,LOG!$D$2:$D$2001,"*BOOKED")=0,_xlfn.MINIFS(LOG!$G$2:$G$2001,LOG!$C$2:$C$2001,F345,LOG!$E$2:$E$2001,"",LOG!$D$2:$D$2001,"*BOOKED"),IF(_xlfn.MINIFS(LOG!$G$2:$G$2001,LOG!$C$2:$C$2001,F345,LOG!$E$2:$E$2001,"",LOG!$D$2:$D$2001,"*BOOKED")=0,_xlfn.MINIFS(LOG!$G$2:$G$2001,LOG!$C$2:$C$2001,F345,LOG!$E$2:$E$2001,B345,LOG!$D$2:$D$2001,"*BOOKED"),MIN(_xlfn.MINIFS(LOG!$G$2:$G$2001,LOG!$C$2:$C$2001,F345,LOG!$E$2:$E$2001,B345,LOG!$D$2:$D$2001,"*BOOKED"),_xlfn.MINIFS(LOG!$G$2:$G$2001,LOG!$C$2:$C$2001,F345,LOG!$E$2:$E$2001,"",LOG!$D$2:$D$2001,"*BOOKED")))),"")</f>
        <v>46308.897398777866</v>
      </c>
      <c r="AN345" s="28">
        <f t="shared" si="62"/>
        <v>1.6875706688733771</v>
      </c>
      <c r="AO345" s="28">
        <f>IF(AND(M345=1,AN345&lt;&gt;""),IF(AN345&lt;=SETTINGS!$B$5,1,0),0)</f>
        <v>1</v>
      </c>
      <c r="AP345" s="28">
        <f>IF(M345=1,IF(COUNTIFS(LOG!$C$2:$C$2001,F345,LOG!$E$2:$E$2001,B345,LOG!$D$2:$D$2001,"BOOKED")+COUNTIFS(LOG!$C$2:$C$2001,F345,LOG!$E$2:$E$2001,"",LOG!$D$2:$D$2001,"BOOKED")&gt;0,1,0),0)</f>
        <v>0</v>
      </c>
      <c r="AQ345" s="28" t="str">
        <f t="shared" si="63"/>
        <v>Dev</v>
      </c>
      <c r="AR345" s="28">
        <f>IF(AND(AK345=1,K345="OK"),COUNTIFS($AK$2:AK345,1,$K$2:K345,"OK"),"")</f>
        <v>296</v>
      </c>
      <c r="AS345" s="28" t="str">
        <f>IF(L345=1,IFERROR(INDEX(MESSAGES!$J$9:$J$1008,MATCH(F345,MESSAGES!$M$9:$M$1008,0))&amp;"",""),"")</f>
        <v/>
      </c>
      <c r="AT345" s="28" t="str">
        <f>IF(L345=1,IFERROR(INDEX(MESSAGES!$K$9:$K$1008,MATCH(F345,MESSAGES!$M$9:$M$1008,0))&amp;"",""),"")</f>
        <v/>
      </c>
      <c r="AU345" s="28">
        <f t="shared" ca="1" si="64"/>
        <v>0</v>
      </c>
      <c r="AV345" s="28" t="str">
        <f t="shared" si="65"/>
        <v>SEND</v>
      </c>
    </row>
    <row r="346" spans="1:48" x14ac:dyDescent="0.35">
      <c r="A346" s="28">
        <v>345</v>
      </c>
      <c r="B346" s="28" t="str">
        <f>IF(INPUT!A346="","",TRIM(INPUT!A346))</f>
        <v>Partner 016</v>
      </c>
      <c r="C346" s="28" t="str">
        <f>IF(B346="","",INPUT!C346)</f>
        <v>interviewer1@partner016.example.com</v>
      </c>
      <c r="D346" s="28" t="str">
        <f>IF(B346="","",INPUT!D346)</f>
        <v>Pooja C.</v>
      </c>
      <c r="E346" s="28" t="str">
        <f>IF(B346="","",INPUT!E346)</f>
        <v>pooja.c081@example.com</v>
      </c>
      <c r="F346" s="43" t="str">
        <f>IF(B346="","",TRIM(INPUT!F346&amp;""))</f>
        <v>9000001060</v>
      </c>
      <c r="G346" s="28" t="str">
        <f>IF(B346="","",INPUT!H346)</f>
        <v>Round1</v>
      </c>
      <c r="H346" s="46">
        <f>IF(B346="","",INPUT!I346)</f>
        <v>46308.82708333333</v>
      </c>
      <c r="I346" s="28" t="str">
        <f>IF(B346="","",IF(INPUT!J346="","None",INPUT!J346))</f>
        <v>Opened</v>
      </c>
      <c r="J346" s="28" t="str">
        <f t="shared" si="55"/>
        <v>pooja.c081@example.com|partner 016|Round1|interviewer1@partner016.example.com</v>
      </c>
      <c r="K346" s="28" t="str">
        <f>IF(B346="","",IF(SUMPRODUCT(($J$2:$J$601=J346)*($H$2:$H$601&lt;H346))+SUMPRODUCT(($J$2:J346=J346)*($H$2:H346=H346))-1&gt;0,"DUPLICATE",IF(AND(ISNUMBER(SEARCH("@",E346)),ISNUMBER(SEARCH(".",E346)),LEN(F346)=10,ISNUMBER(VALUE(F346))),"OK","BAD CONTACT")))</f>
        <v>OK</v>
      </c>
      <c r="L346" s="28">
        <f t="shared" si="56"/>
        <v>1</v>
      </c>
      <c r="M346" s="28">
        <f>IF(L346=1,IF(COUNTIFS(LOG!$C$2:$C$2001,F346,LOG!$E$2:$E$2001,B346,LOG!$D$2:$D$2001,"*BOOKED")+COUNTIFS(LOG!$C$2:$C$2001,F346,LOG!$E$2:$E$2001,"",LOG!$D$2:$D$2001,"*BOOKED")&gt;0,1,0),0)</f>
        <v>0</v>
      </c>
      <c r="N346" s="28">
        <f>IF(L346=1,IF(COUNTIFS(LOG!$C$2:$C$2001,F346,LOG!$E$2:$E$2001,B346,LOG!$D$2:$D$2001,"NOT_INTERESTED")+COUNTIFS(LOG!$C$2:$C$2001,F346,LOG!$E$2:$E$2001,"",LOG!$D$2:$D$2001,"NOT_INTERESTED")&gt;0,1,0),0)</f>
        <v>0</v>
      </c>
      <c r="O346" s="28">
        <f>IF(L346=1,IF(COUNTIFS(LOG!$C$2:$C$2001,F346,LOG!$D$2:$D$2001,"STOP")+COUNTIFS(LOG!$C$2:$C$2001,F346,LOG!$D$2:$D$2001,"WRONG_NUMBER")&gt;0,1,IF(ISNUMBER(SEARCH("STOP",AT346)),1,0)),0)</f>
        <v>0</v>
      </c>
      <c r="P346" s="28">
        <f>IF(L346=1,IF(IFERROR(INDEX(PARTNERS!$D$2:$D$88,MATCH(B346,PARTNERS!$A$2:$A$88,0)),"")="NO SLOTS",1,IF(AND(IFERROR(INDEX(PARTNERS!$D$2:$D$88,MATCH(B346,PARTNERS!$A$2:$A$88,0)),"")&lt;&gt;"REOPENED",COUNTIFS(LOG!$E$2:$E$2001,B346,LOG!$D$2:$D$2001,"NO_SLOTS")&gt;0),1,0)),0)</f>
        <v>0</v>
      </c>
      <c r="Q346" s="28">
        <f>IF(L346=1,COUNTIFS(LOG!$C$2:$C$2001,F346,LOG!$H$2:$H$2001,1),0)</f>
        <v>0</v>
      </c>
      <c r="R346" s="46">
        <f>IF(Q346&gt;0,_xlfn.MAXIFS(LOG!$G$2:$G$2001,LOG!$C$2:$C$2001,F346,LOG!$H$2:$H$2001,1),0)</f>
        <v>0</v>
      </c>
      <c r="S346" s="28" t="str">
        <f>IF(Q346&gt;0,IFERROR(INDEX(LOG!$D$2:$D$2001,MATCH(F346&amp;"|"&amp;Q346,LOG!$I$2:$I$2001,0)),""),"")</f>
        <v/>
      </c>
      <c r="T346" s="28">
        <f>IF(S346="",0,IFERROR(VLOOKUP(S346,LISTS!$A$2:$E$10,4,FALSE),0))</f>
        <v>0</v>
      </c>
      <c r="U346" s="46">
        <f t="shared" si="57"/>
        <v>0</v>
      </c>
      <c r="V346" s="46">
        <f>IF(L346=1,H346+SETTINGS!$B$5/24,"")</f>
        <v>46309.82708333333</v>
      </c>
      <c r="W346" s="28">
        <f ca="1">IF(L346=1,(V346-SETTINGS!$B$4)*24,"")</f>
        <v>-1.6666666720993817E-2</v>
      </c>
      <c r="X346" s="28">
        <f ca="1">IF(AND(L346=1,K346="OK",M346=0,N346=0,O346=0,P346=0,SETTINGS!$B$4&lt;V346,Q346&lt;SETTINGS!$B$6),1,0)</f>
        <v>0</v>
      </c>
      <c r="Y346" s="28">
        <f ca="1">IF(AND(X346=1,SETTINGS!$B$4&gt;=H346,SETTINGS!$B$4&gt;=U346,ROUND(MOD(SETTINGS!$B$4,1)*1440,0)&gt;=ROUND(SETTINGS!$B$7*1440,0),ROUND(MOD(SETTINGS!$B$4,1)*1440,0)&lt;ROUND(SETTINGS!$B$8*1440,0)),1,0)</f>
        <v>0</v>
      </c>
      <c r="Z346" s="28" t="str">
        <f ca="1">IF(B346="","",IF(ROUND(MOD(SETTINGS!$B$4,1)*1440,0)&lt;ROUND(SETTINGS!$B$11*1440,0),"Ram",IF(ROUND(MOD(SETTINGS!$B$4,1)*1440,0)&gt;=ROUND(SETTINGS!$B$10*1440,0),"Shyam",IF(MOD(IFERROR(VALUE(RIGHT(F346,2)),0),2)=0,"Ram","Shyam"))))</f>
        <v>Shyam</v>
      </c>
      <c r="AA346" s="28">
        <f t="shared" ca="1" si="58"/>
        <v>0</v>
      </c>
      <c r="AB346" s="28">
        <f ca="1">IF(X346=1,COUNTIFS($F$2:F346,F346,$X$2:X346,1),0)</f>
        <v>0</v>
      </c>
      <c r="AC346" s="28" t="str">
        <f>IF(L346=1,IF(IFERROR(INDEX(PARTNERS!$C$2:$C$88,MATCH(B346,PARTNERS!$A$2:$A$88,0)),"")="YES","YES","NO"),"")</f>
        <v>NO</v>
      </c>
      <c r="AD346" s="28" t="str">
        <f>IF(L346=1,IFERROR(INDEX(PARTNERS!$B$2:$B$88,MATCH(B346,PARTNERS!$A$2:$A$88,0)),""),"")</f>
        <v>https://calendly.com/partner016/interview</v>
      </c>
      <c r="AE346" s="28">
        <f ca="1">IF(X346=1,IFERROR(INDEX(SETTINGS!$B$34:$D$36,MATCH(I346,SETTINGS!$A$34:$A$36,0),MIN(Q346,2)+1),SETTINGS!$B$36),0)</f>
        <v>0</v>
      </c>
      <c r="AF346" s="28">
        <f t="shared" si="59"/>
        <v>1</v>
      </c>
      <c r="AG346" s="28">
        <f ca="1">IF(AND(Y346=1,AB346=1),ROUND(AA346*AE346*IF(AF346&gt;1,SETTINGS!$B$16,1)*IF(W346&lt;=SETTINGS!$B$14,SETTINGS!$B$15,1)*IF(AU346=1,SETTINGS!$B$21,1),6),0)</f>
        <v>0</v>
      </c>
      <c r="AH346" s="28" t="str">
        <f ca="1">IF(AG346&gt;0,COUNTIFS($Z$2:$Z$601,Z346,$AG$2:$AG$601,"&gt;"&amp;AG346)+COUNTIFS($Z$2:Z346,Z346,$AG$2:AG346,AG346),"")</f>
        <v/>
      </c>
      <c r="AI346" s="28" t="str">
        <f t="shared" ca="1" si="60"/>
        <v/>
      </c>
      <c r="AJ346" s="28" t="str">
        <f t="shared" ca="1" si="61"/>
        <v/>
      </c>
      <c r="AK346" s="28">
        <f>IF(L346=1,IF(COUNTIFS($F$2:F346,F346,$L$2:L346,1)=1,1,0),0)</f>
        <v>1</v>
      </c>
      <c r="AL346" s="28" t="str">
        <f ca="1">IF(B346="","",IF(K346="DUPLICATE","Duplicate (removed)",IF(AO346=1,"Scheduled within 24h",IF(M346=1,"Scheduled late",IF(K346="BAD CONTACT","Bad contact details",IF(O346=1,"Stopped / wrong number",IF(N346=1,"Not interested",IF(P346=1,"Partner has no slots",IF(SETTINGS!$B$4&gt;=V346,IF(Q346=0,"Missed deadline: never tried","Missed deadline: tried, not booked"),IF(Q346&gt;=SETTINGS!$B$6,"No reply after max tries","Open"))))))))))</f>
        <v>Missed deadline: never tried</v>
      </c>
      <c r="AM346" s="46" t="str">
        <f>IF(M346=1,IF(_xlfn.MINIFS(LOG!$G$2:$G$2001,LOG!$C$2:$C$2001,F346,LOG!$E$2:$E$2001,B346,LOG!$D$2:$D$2001,"*BOOKED")=0,_xlfn.MINIFS(LOG!$G$2:$G$2001,LOG!$C$2:$C$2001,F346,LOG!$E$2:$E$2001,"",LOG!$D$2:$D$2001,"*BOOKED"),IF(_xlfn.MINIFS(LOG!$G$2:$G$2001,LOG!$C$2:$C$2001,F346,LOG!$E$2:$E$2001,"",LOG!$D$2:$D$2001,"*BOOKED")=0,_xlfn.MINIFS(LOG!$G$2:$G$2001,LOG!$C$2:$C$2001,F346,LOG!$E$2:$E$2001,B346,LOG!$D$2:$D$2001,"*BOOKED"),MIN(_xlfn.MINIFS(LOG!$G$2:$G$2001,LOG!$C$2:$C$2001,F346,LOG!$E$2:$E$2001,B346,LOG!$D$2:$D$2001,"*BOOKED"),_xlfn.MINIFS(LOG!$G$2:$G$2001,LOG!$C$2:$C$2001,F346,LOG!$E$2:$E$2001,"",LOG!$D$2:$D$2001,"*BOOKED")))),"")</f>
        <v/>
      </c>
      <c r="AN346" s="28" t="str">
        <f t="shared" si="62"/>
        <v/>
      </c>
      <c r="AO346" s="28">
        <f>IF(AND(M346=1,AN346&lt;&gt;""),IF(AN346&lt;=SETTINGS!$B$5,1,0),0)</f>
        <v>0</v>
      </c>
      <c r="AP346" s="28">
        <f>IF(M346=1,IF(COUNTIFS(LOG!$C$2:$C$2001,F346,LOG!$E$2:$E$2001,B346,LOG!$D$2:$D$2001,"BOOKED")+COUNTIFS(LOG!$C$2:$C$2001,F346,LOG!$E$2:$E$2001,"",LOG!$D$2:$D$2001,"BOOKED")&gt;0,1,0),0)</f>
        <v>0</v>
      </c>
      <c r="AQ346" s="28" t="str">
        <f t="shared" si="63"/>
        <v>Pooja</v>
      </c>
      <c r="AR346" s="28">
        <f>IF(AND(AK346=1,K346="OK"),COUNTIFS($AK$2:AK346,1,$K$2:K346,"OK"),"")</f>
        <v>297</v>
      </c>
      <c r="AS346" s="28" t="str">
        <f>IF(L346=1,IFERROR(INDEX(MESSAGES!$J$9:$J$1008,MATCH(F346,MESSAGES!$M$9:$M$1008,0))&amp;"",""),"")</f>
        <v/>
      </c>
      <c r="AT346" s="28" t="str">
        <f>IF(L346=1,IFERROR(INDEX(MESSAGES!$K$9:$K$1008,MATCH(F346,MESSAGES!$M$9:$M$1008,0))&amp;"",""),"")</f>
        <v/>
      </c>
      <c r="AU346" s="28">
        <f t="shared" ca="1" si="64"/>
        <v>0</v>
      </c>
      <c r="AV346" s="28" t="str">
        <f t="shared" si="65"/>
        <v>SEND</v>
      </c>
    </row>
    <row r="347" spans="1:48" x14ac:dyDescent="0.35">
      <c r="A347" s="28">
        <v>346</v>
      </c>
      <c r="B347" s="28" t="str">
        <f>IF(INPUT!A347="","",TRIM(INPUT!A347))</f>
        <v>Partner 003</v>
      </c>
      <c r="C347" s="28" t="str">
        <f>IF(B347="","",INPUT!C347)</f>
        <v>interviewer0@partner003.example.com</v>
      </c>
      <c r="D347" s="28" t="str">
        <f>IF(B347="","",INPUT!D347)</f>
        <v>Pooja P.</v>
      </c>
      <c r="E347" s="28" t="str">
        <f>IF(B347="","",INPUT!E347)</f>
        <v>pooja.p411@example.com</v>
      </c>
      <c r="F347" s="43" t="str">
        <f>IF(B347="","",TRIM(INPUT!F347&amp;""))</f>
        <v>9000005350</v>
      </c>
      <c r="G347" s="28" t="str">
        <f>IF(B347="","",INPUT!H347)</f>
        <v>Round1</v>
      </c>
      <c r="H347" s="46">
        <f>IF(B347="","",INPUT!I347)</f>
        <v>46308.82708333333</v>
      </c>
      <c r="I347" s="28" t="str">
        <f>IF(B347="","",IF(INPUT!J347="","None",INPUT!J347))</f>
        <v>Opened</v>
      </c>
      <c r="J347" s="28" t="str">
        <f t="shared" si="55"/>
        <v>pooja.p411@example.com|partner 003|Round1|interviewer0@partner003.example.com</v>
      </c>
      <c r="K347" s="28" t="str">
        <f>IF(B347="","",IF(SUMPRODUCT(($J$2:$J$601=J347)*($H$2:$H$601&lt;H347))+SUMPRODUCT(($J$2:J347=J347)*($H$2:H347=H347))-1&gt;0,"DUPLICATE",IF(AND(ISNUMBER(SEARCH("@",E347)),ISNUMBER(SEARCH(".",E347)),LEN(F347)=10,ISNUMBER(VALUE(F347))),"OK","BAD CONTACT")))</f>
        <v>OK</v>
      </c>
      <c r="L347" s="28">
        <f t="shared" si="56"/>
        <v>1</v>
      </c>
      <c r="M347" s="28">
        <f>IF(L347=1,IF(COUNTIFS(LOG!$C$2:$C$2001,F347,LOG!$E$2:$E$2001,B347,LOG!$D$2:$D$2001,"*BOOKED")+COUNTIFS(LOG!$C$2:$C$2001,F347,LOG!$E$2:$E$2001,"",LOG!$D$2:$D$2001,"*BOOKED")&gt;0,1,0),0)</f>
        <v>0</v>
      </c>
      <c r="N347" s="28">
        <f>IF(L347=1,IF(COUNTIFS(LOG!$C$2:$C$2001,F347,LOG!$E$2:$E$2001,B347,LOG!$D$2:$D$2001,"NOT_INTERESTED")+COUNTIFS(LOG!$C$2:$C$2001,F347,LOG!$E$2:$E$2001,"",LOG!$D$2:$D$2001,"NOT_INTERESTED")&gt;0,1,0),0)</f>
        <v>0</v>
      </c>
      <c r="O347" s="28">
        <f>IF(L347=1,IF(COUNTIFS(LOG!$C$2:$C$2001,F347,LOG!$D$2:$D$2001,"STOP")+COUNTIFS(LOG!$C$2:$C$2001,F347,LOG!$D$2:$D$2001,"WRONG_NUMBER")&gt;0,1,IF(ISNUMBER(SEARCH("STOP",AT347)),1,0)),0)</f>
        <v>0</v>
      </c>
      <c r="P347" s="28">
        <f>IF(L347=1,IF(IFERROR(INDEX(PARTNERS!$D$2:$D$88,MATCH(B347,PARTNERS!$A$2:$A$88,0)),"")="NO SLOTS",1,IF(AND(IFERROR(INDEX(PARTNERS!$D$2:$D$88,MATCH(B347,PARTNERS!$A$2:$A$88,0)),"")&lt;&gt;"REOPENED",COUNTIFS(LOG!$E$2:$E$2001,B347,LOG!$D$2:$D$2001,"NO_SLOTS")&gt;0),1,0)),0)</f>
        <v>0</v>
      </c>
      <c r="Q347" s="28">
        <f>IF(L347=1,COUNTIFS(LOG!$C$2:$C$2001,F347,LOG!$H$2:$H$2001,1),0)</f>
        <v>0</v>
      </c>
      <c r="R347" s="46">
        <f>IF(Q347&gt;0,_xlfn.MAXIFS(LOG!$G$2:$G$2001,LOG!$C$2:$C$2001,F347,LOG!$H$2:$H$2001,1),0)</f>
        <v>0</v>
      </c>
      <c r="S347" s="28" t="str">
        <f>IF(Q347&gt;0,IFERROR(INDEX(LOG!$D$2:$D$2001,MATCH(F347&amp;"|"&amp;Q347,LOG!$I$2:$I$2001,0)),""),"")</f>
        <v/>
      </c>
      <c r="T347" s="28">
        <f>IF(S347="",0,IFERROR(VLOOKUP(S347,LISTS!$A$2:$E$10,4,FALSE),0))</f>
        <v>0</v>
      </c>
      <c r="U347" s="46">
        <f t="shared" si="57"/>
        <v>0</v>
      </c>
      <c r="V347" s="46">
        <f>IF(L347=1,H347+SETTINGS!$B$5/24,"")</f>
        <v>46309.82708333333</v>
      </c>
      <c r="W347" s="28">
        <f ca="1">IF(L347=1,(V347-SETTINGS!$B$4)*24,"")</f>
        <v>-1.6666666720993817E-2</v>
      </c>
      <c r="X347" s="28">
        <f ca="1">IF(AND(L347=1,K347="OK",M347=0,N347=0,O347=0,P347=0,SETTINGS!$B$4&lt;V347,Q347&lt;SETTINGS!$B$6),1,0)</f>
        <v>0</v>
      </c>
      <c r="Y347" s="28">
        <f ca="1">IF(AND(X347=1,SETTINGS!$B$4&gt;=H347,SETTINGS!$B$4&gt;=U347,ROUND(MOD(SETTINGS!$B$4,1)*1440,0)&gt;=ROUND(SETTINGS!$B$7*1440,0),ROUND(MOD(SETTINGS!$B$4,1)*1440,0)&lt;ROUND(SETTINGS!$B$8*1440,0)),1,0)</f>
        <v>0</v>
      </c>
      <c r="Z347" s="28" t="str">
        <f ca="1">IF(B347="","",IF(ROUND(MOD(SETTINGS!$B$4,1)*1440,0)&lt;ROUND(SETTINGS!$B$11*1440,0),"Ram",IF(ROUND(MOD(SETTINGS!$B$4,1)*1440,0)&gt;=ROUND(SETTINGS!$B$10*1440,0),"Shyam",IF(MOD(IFERROR(VALUE(RIGHT(F347,2)),0),2)=0,"Ram","Shyam"))))</f>
        <v>Shyam</v>
      </c>
      <c r="AA347" s="28">
        <f t="shared" ca="1" si="58"/>
        <v>0</v>
      </c>
      <c r="AB347" s="28">
        <f ca="1">IF(X347=1,COUNTIFS($F$2:F347,F347,$X$2:X347,1),0)</f>
        <v>0</v>
      </c>
      <c r="AC347" s="28" t="str">
        <f>IF(L347=1,IF(IFERROR(INDEX(PARTNERS!$C$2:$C$88,MATCH(B347,PARTNERS!$A$2:$A$88,0)),"")="YES","YES","NO"),"")</f>
        <v>NO</v>
      </c>
      <c r="AD347" s="28" t="str">
        <f>IF(L347=1,IFERROR(INDEX(PARTNERS!$B$2:$B$88,MATCH(B347,PARTNERS!$A$2:$A$88,0)),""),"")</f>
        <v>https://calendly.com/partner003/interview</v>
      </c>
      <c r="AE347" s="28">
        <f ca="1">IF(X347=1,IFERROR(INDEX(SETTINGS!$B$34:$D$36,MATCH(I347,SETTINGS!$A$34:$A$36,0),MIN(Q347,2)+1),SETTINGS!$B$36),0)</f>
        <v>0</v>
      </c>
      <c r="AF347" s="28">
        <f t="shared" si="59"/>
        <v>1</v>
      </c>
      <c r="AG347" s="28">
        <f ca="1">IF(AND(Y347=1,AB347=1),ROUND(AA347*AE347*IF(AF347&gt;1,SETTINGS!$B$16,1)*IF(W347&lt;=SETTINGS!$B$14,SETTINGS!$B$15,1)*IF(AU347=1,SETTINGS!$B$21,1),6),0)</f>
        <v>0</v>
      </c>
      <c r="AH347" s="28" t="str">
        <f ca="1">IF(AG347&gt;0,COUNTIFS($Z$2:$Z$601,Z347,$AG$2:$AG$601,"&gt;"&amp;AG347)+COUNTIFS($Z$2:Z347,Z347,$AG$2:AG347,AG347),"")</f>
        <v/>
      </c>
      <c r="AI347" s="28" t="str">
        <f t="shared" ca="1" si="60"/>
        <v/>
      </c>
      <c r="AJ347" s="28" t="str">
        <f t="shared" ca="1" si="61"/>
        <v/>
      </c>
      <c r="AK347" s="28">
        <f>IF(L347=1,IF(COUNTIFS($F$2:F347,F347,$L$2:L347,1)=1,1,0),0)</f>
        <v>0</v>
      </c>
      <c r="AL347" s="28" t="str">
        <f ca="1">IF(B347="","",IF(K347="DUPLICATE","Duplicate (removed)",IF(AO347=1,"Scheduled within 24h",IF(M347=1,"Scheduled late",IF(K347="BAD CONTACT","Bad contact details",IF(O347=1,"Stopped / wrong number",IF(N347=1,"Not interested",IF(P347=1,"Partner has no slots",IF(SETTINGS!$B$4&gt;=V347,IF(Q347=0,"Missed deadline: never tried","Missed deadline: tried, not booked"),IF(Q347&gt;=SETTINGS!$B$6,"No reply after max tries","Open"))))))))))</f>
        <v>Missed deadline: never tried</v>
      </c>
      <c r="AM347" s="46" t="str">
        <f>IF(M347=1,IF(_xlfn.MINIFS(LOG!$G$2:$G$2001,LOG!$C$2:$C$2001,F347,LOG!$E$2:$E$2001,B347,LOG!$D$2:$D$2001,"*BOOKED")=0,_xlfn.MINIFS(LOG!$G$2:$G$2001,LOG!$C$2:$C$2001,F347,LOG!$E$2:$E$2001,"",LOG!$D$2:$D$2001,"*BOOKED"),IF(_xlfn.MINIFS(LOG!$G$2:$G$2001,LOG!$C$2:$C$2001,F347,LOG!$E$2:$E$2001,"",LOG!$D$2:$D$2001,"*BOOKED")=0,_xlfn.MINIFS(LOG!$G$2:$G$2001,LOG!$C$2:$C$2001,F347,LOG!$E$2:$E$2001,B347,LOG!$D$2:$D$2001,"*BOOKED"),MIN(_xlfn.MINIFS(LOG!$G$2:$G$2001,LOG!$C$2:$C$2001,F347,LOG!$E$2:$E$2001,B347,LOG!$D$2:$D$2001,"*BOOKED"),_xlfn.MINIFS(LOG!$G$2:$G$2001,LOG!$C$2:$C$2001,F347,LOG!$E$2:$E$2001,"",LOG!$D$2:$D$2001,"*BOOKED")))),"")</f>
        <v/>
      </c>
      <c r="AN347" s="28" t="str">
        <f t="shared" si="62"/>
        <v/>
      </c>
      <c r="AO347" s="28">
        <f>IF(AND(M347=1,AN347&lt;&gt;""),IF(AN347&lt;=SETTINGS!$B$5,1,0),0)</f>
        <v>0</v>
      </c>
      <c r="AP347" s="28">
        <f>IF(M347=1,IF(COUNTIFS(LOG!$C$2:$C$2001,F347,LOG!$E$2:$E$2001,B347,LOG!$D$2:$D$2001,"BOOKED")+COUNTIFS(LOG!$C$2:$C$2001,F347,LOG!$E$2:$E$2001,"",LOG!$D$2:$D$2001,"BOOKED")&gt;0,1,0),0)</f>
        <v>0</v>
      </c>
      <c r="AQ347" s="28" t="str">
        <f t="shared" si="63"/>
        <v>Pooja</v>
      </c>
      <c r="AR347" s="28" t="str">
        <f>IF(AND(AK347=1,K347="OK"),COUNTIFS($AK$2:AK347,1,$K$2:K347,"OK"),"")</f>
        <v/>
      </c>
      <c r="AS347" s="28" t="str">
        <f>IF(L347=1,IFERROR(INDEX(MESSAGES!$J$9:$J$1008,MATCH(F347,MESSAGES!$M$9:$M$1008,0))&amp;"",""),"")</f>
        <v/>
      </c>
      <c r="AT347" s="28" t="str">
        <f>IF(L347=1,IFERROR(INDEX(MESSAGES!$K$9:$K$1008,MATCH(F347,MESSAGES!$M$9:$M$1008,0))&amp;"",""),"")</f>
        <v/>
      </c>
      <c r="AU347" s="28">
        <f t="shared" ca="1" si="64"/>
        <v>0</v>
      </c>
      <c r="AV347" s="28" t="str">
        <f t="shared" si="65"/>
        <v>HOLD</v>
      </c>
    </row>
    <row r="348" spans="1:48" x14ac:dyDescent="0.35">
      <c r="A348" s="28">
        <v>347</v>
      </c>
      <c r="B348" s="28" t="str">
        <f>IF(INPUT!A348="","",TRIM(INPUT!A348))</f>
        <v>Partner 098</v>
      </c>
      <c r="C348" s="28" t="str">
        <f>IF(B348="","",INPUT!C348)</f>
        <v>interviewer2@partner098.example.com</v>
      </c>
      <c r="D348" s="28" t="str">
        <f>IF(B348="","",INPUT!D348)</f>
        <v>Manav L.</v>
      </c>
      <c r="E348" s="28" t="str">
        <f>IF(B348="","",INPUT!E348)</f>
        <v>manav.l324@example.com</v>
      </c>
      <c r="F348" s="43" t="str">
        <f>IF(B348="","",TRIM(INPUT!F348&amp;""))</f>
        <v>9000004219</v>
      </c>
      <c r="G348" s="28" t="str">
        <f>IF(B348="","",INPUT!H348)</f>
        <v>Round1</v>
      </c>
      <c r="H348" s="46">
        <f>IF(B348="","",INPUT!I348)</f>
        <v>46308.82708333333</v>
      </c>
      <c r="I348" s="28" t="str">
        <f>IF(B348="","",IF(INPUT!J348="","None",INPUT!J348))</f>
        <v>None</v>
      </c>
      <c r="J348" s="28" t="str">
        <f t="shared" si="55"/>
        <v>manav.l324@example.com|partner 098|Round1|interviewer2@partner098.example.com</v>
      </c>
      <c r="K348" s="28" t="str">
        <f>IF(B348="","",IF(SUMPRODUCT(($J$2:$J$601=J348)*($H$2:$H$601&lt;H348))+SUMPRODUCT(($J$2:J348=J348)*($H$2:H348=H348))-1&gt;0,"DUPLICATE",IF(AND(ISNUMBER(SEARCH("@",E348)),ISNUMBER(SEARCH(".",E348)),LEN(F348)=10,ISNUMBER(VALUE(F348))),"OK","BAD CONTACT")))</f>
        <v>OK</v>
      </c>
      <c r="L348" s="28">
        <f t="shared" si="56"/>
        <v>1</v>
      </c>
      <c r="M348" s="28">
        <f>IF(L348=1,IF(COUNTIFS(LOG!$C$2:$C$2001,F348,LOG!$E$2:$E$2001,B348,LOG!$D$2:$D$2001,"*BOOKED")+COUNTIFS(LOG!$C$2:$C$2001,F348,LOG!$E$2:$E$2001,"",LOG!$D$2:$D$2001,"*BOOKED")&gt;0,1,0),0)</f>
        <v>0</v>
      </c>
      <c r="N348" s="28">
        <f>IF(L348=1,IF(COUNTIFS(LOG!$C$2:$C$2001,F348,LOG!$E$2:$E$2001,B348,LOG!$D$2:$D$2001,"NOT_INTERESTED")+COUNTIFS(LOG!$C$2:$C$2001,F348,LOG!$E$2:$E$2001,"",LOG!$D$2:$D$2001,"NOT_INTERESTED")&gt;0,1,0),0)</f>
        <v>0</v>
      </c>
      <c r="O348" s="28">
        <f>IF(L348=1,IF(COUNTIFS(LOG!$C$2:$C$2001,F348,LOG!$D$2:$D$2001,"STOP")+COUNTIFS(LOG!$C$2:$C$2001,F348,LOG!$D$2:$D$2001,"WRONG_NUMBER")&gt;0,1,IF(ISNUMBER(SEARCH("STOP",AT348)),1,0)),0)</f>
        <v>0</v>
      </c>
      <c r="P348" s="28">
        <f>IF(L348=1,IF(IFERROR(INDEX(PARTNERS!$D$2:$D$88,MATCH(B348,PARTNERS!$A$2:$A$88,0)),"")="NO SLOTS",1,IF(AND(IFERROR(INDEX(PARTNERS!$D$2:$D$88,MATCH(B348,PARTNERS!$A$2:$A$88,0)),"")&lt;&gt;"REOPENED",COUNTIFS(LOG!$E$2:$E$2001,B348,LOG!$D$2:$D$2001,"NO_SLOTS")&gt;0),1,0)),0)</f>
        <v>0</v>
      </c>
      <c r="Q348" s="28">
        <f>IF(L348=1,COUNTIFS(LOG!$C$2:$C$2001,F348,LOG!$H$2:$H$2001,1),0)</f>
        <v>0</v>
      </c>
      <c r="R348" s="46">
        <f>IF(Q348&gt;0,_xlfn.MAXIFS(LOG!$G$2:$G$2001,LOG!$C$2:$C$2001,F348,LOG!$H$2:$H$2001,1),0)</f>
        <v>0</v>
      </c>
      <c r="S348" s="28" t="str">
        <f>IF(Q348&gt;0,IFERROR(INDEX(LOG!$D$2:$D$2001,MATCH(F348&amp;"|"&amp;Q348,LOG!$I$2:$I$2001,0)),""),"")</f>
        <v/>
      </c>
      <c r="T348" s="28">
        <f>IF(S348="",0,IFERROR(VLOOKUP(S348,LISTS!$A$2:$E$10,4,FALSE),0))</f>
        <v>0</v>
      </c>
      <c r="U348" s="46">
        <f t="shared" si="57"/>
        <v>0</v>
      </c>
      <c r="V348" s="46">
        <f>IF(L348=1,H348+SETTINGS!$B$5/24,"")</f>
        <v>46309.82708333333</v>
      </c>
      <c r="W348" s="28">
        <f ca="1">IF(L348=1,(V348-SETTINGS!$B$4)*24,"")</f>
        <v>-1.6666666720993817E-2</v>
      </c>
      <c r="X348" s="28">
        <f ca="1">IF(AND(L348=1,K348="OK",M348=0,N348=0,O348=0,P348=0,SETTINGS!$B$4&lt;V348,Q348&lt;SETTINGS!$B$6),1,0)</f>
        <v>0</v>
      </c>
      <c r="Y348" s="28">
        <f ca="1">IF(AND(X348=1,SETTINGS!$B$4&gt;=H348,SETTINGS!$B$4&gt;=U348,ROUND(MOD(SETTINGS!$B$4,1)*1440,0)&gt;=ROUND(SETTINGS!$B$7*1440,0),ROUND(MOD(SETTINGS!$B$4,1)*1440,0)&lt;ROUND(SETTINGS!$B$8*1440,0)),1,0)</f>
        <v>0</v>
      </c>
      <c r="Z348" s="28" t="str">
        <f ca="1">IF(B348="","",IF(ROUND(MOD(SETTINGS!$B$4,1)*1440,0)&lt;ROUND(SETTINGS!$B$11*1440,0),"Ram",IF(ROUND(MOD(SETTINGS!$B$4,1)*1440,0)&gt;=ROUND(SETTINGS!$B$10*1440,0),"Shyam",IF(MOD(IFERROR(VALUE(RIGHT(F348,2)),0),2)=0,"Ram","Shyam"))))</f>
        <v>Shyam</v>
      </c>
      <c r="AA348" s="28">
        <f t="shared" ca="1" si="58"/>
        <v>0</v>
      </c>
      <c r="AB348" s="28">
        <f ca="1">IF(X348=1,COUNTIFS($F$2:F348,F348,$X$2:X348,1),0)</f>
        <v>0</v>
      </c>
      <c r="AC348" s="28" t="str">
        <f>IF(L348=1,IF(IFERROR(INDEX(PARTNERS!$C$2:$C$88,MATCH(B348,PARTNERS!$A$2:$A$88,0)),"")="YES","YES","NO"),"")</f>
        <v>YES</v>
      </c>
      <c r="AD348" s="28" t="str">
        <f>IF(L348=1,IFERROR(INDEX(PARTNERS!$B$2:$B$88,MATCH(B348,PARTNERS!$A$2:$A$88,0)),""),"")</f>
        <v>https://calendly.com/partner098/interview</v>
      </c>
      <c r="AE348" s="28">
        <f ca="1">IF(X348=1,IFERROR(INDEX(SETTINGS!$B$34:$D$36,MATCH(I348,SETTINGS!$A$34:$A$36,0),MIN(Q348,2)+1),SETTINGS!$B$36),0)</f>
        <v>0</v>
      </c>
      <c r="AF348" s="28">
        <f t="shared" si="59"/>
        <v>1</v>
      </c>
      <c r="AG348" s="28">
        <f ca="1">IF(AND(Y348=1,AB348=1),ROUND(AA348*AE348*IF(AF348&gt;1,SETTINGS!$B$16,1)*IF(W348&lt;=SETTINGS!$B$14,SETTINGS!$B$15,1)*IF(AU348=1,SETTINGS!$B$21,1),6),0)</f>
        <v>0</v>
      </c>
      <c r="AH348" s="28" t="str">
        <f ca="1">IF(AG348&gt;0,COUNTIFS($Z$2:$Z$601,Z348,$AG$2:$AG$601,"&gt;"&amp;AG348)+COUNTIFS($Z$2:Z348,Z348,$AG$2:AG348,AG348),"")</f>
        <v/>
      </c>
      <c r="AI348" s="28" t="str">
        <f t="shared" ca="1" si="60"/>
        <v/>
      </c>
      <c r="AJ348" s="28" t="str">
        <f t="shared" ca="1" si="61"/>
        <v/>
      </c>
      <c r="AK348" s="28">
        <f>IF(L348=1,IF(COUNTIFS($F$2:F348,F348,$L$2:L348,1)=1,1,0),0)</f>
        <v>1</v>
      </c>
      <c r="AL348" s="28" t="str">
        <f ca="1">IF(B348="","",IF(K348="DUPLICATE","Duplicate (removed)",IF(AO348=1,"Scheduled within 24h",IF(M348=1,"Scheduled late",IF(K348="BAD CONTACT","Bad contact details",IF(O348=1,"Stopped / wrong number",IF(N348=1,"Not interested",IF(P348=1,"Partner has no slots",IF(SETTINGS!$B$4&gt;=V348,IF(Q348=0,"Missed deadline: never tried","Missed deadline: tried, not booked"),IF(Q348&gt;=SETTINGS!$B$6,"No reply after max tries","Open"))))))))))</f>
        <v>Missed deadline: never tried</v>
      </c>
      <c r="AM348" s="46" t="str">
        <f>IF(M348=1,IF(_xlfn.MINIFS(LOG!$G$2:$G$2001,LOG!$C$2:$C$2001,F348,LOG!$E$2:$E$2001,B348,LOG!$D$2:$D$2001,"*BOOKED")=0,_xlfn.MINIFS(LOG!$G$2:$G$2001,LOG!$C$2:$C$2001,F348,LOG!$E$2:$E$2001,"",LOG!$D$2:$D$2001,"*BOOKED"),IF(_xlfn.MINIFS(LOG!$G$2:$G$2001,LOG!$C$2:$C$2001,F348,LOG!$E$2:$E$2001,"",LOG!$D$2:$D$2001,"*BOOKED")=0,_xlfn.MINIFS(LOG!$G$2:$G$2001,LOG!$C$2:$C$2001,F348,LOG!$E$2:$E$2001,B348,LOG!$D$2:$D$2001,"*BOOKED"),MIN(_xlfn.MINIFS(LOG!$G$2:$G$2001,LOG!$C$2:$C$2001,F348,LOG!$E$2:$E$2001,B348,LOG!$D$2:$D$2001,"*BOOKED"),_xlfn.MINIFS(LOG!$G$2:$G$2001,LOG!$C$2:$C$2001,F348,LOG!$E$2:$E$2001,"",LOG!$D$2:$D$2001,"*BOOKED")))),"")</f>
        <v/>
      </c>
      <c r="AN348" s="28" t="str">
        <f t="shared" si="62"/>
        <v/>
      </c>
      <c r="AO348" s="28">
        <f>IF(AND(M348=1,AN348&lt;&gt;""),IF(AN348&lt;=SETTINGS!$B$5,1,0),0)</f>
        <v>0</v>
      </c>
      <c r="AP348" s="28">
        <f>IF(M348=1,IF(COUNTIFS(LOG!$C$2:$C$2001,F348,LOG!$E$2:$E$2001,B348,LOG!$D$2:$D$2001,"BOOKED")+COUNTIFS(LOG!$C$2:$C$2001,F348,LOG!$E$2:$E$2001,"",LOG!$D$2:$D$2001,"BOOKED")&gt;0,1,0),0)</f>
        <v>0</v>
      </c>
      <c r="AQ348" s="28" t="str">
        <f t="shared" si="63"/>
        <v>Manav</v>
      </c>
      <c r="AR348" s="28">
        <f>IF(AND(AK348=1,K348="OK"),COUNTIFS($AK$2:AK348,1,$K$2:K348,"OK"),"")</f>
        <v>298</v>
      </c>
      <c r="AS348" s="28" t="str">
        <f>IF(L348=1,IFERROR(INDEX(MESSAGES!$J$9:$J$1008,MATCH(F348,MESSAGES!$M$9:$M$1008,0))&amp;"",""),"")</f>
        <v/>
      </c>
      <c r="AT348" s="28" t="str">
        <f>IF(L348=1,IFERROR(INDEX(MESSAGES!$K$9:$K$1008,MATCH(F348,MESSAGES!$M$9:$M$1008,0))&amp;"",""),"")</f>
        <v/>
      </c>
      <c r="AU348" s="28">
        <f t="shared" ca="1" si="64"/>
        <v>0</v>
      </c>
      <c r="AV348" s="28" t="str">
        <f t="shared" si="65"/>
        <v>HOLD</v>
      </c>
    </row>
    <row r="349" spans="1:48" x14ac:dyDescent="0.35">
      <c r="A349" s="28">
        <v>348</v>
      </c>
      <c r="B349" s="28" t="str">
        <f>IF(INPUT!A349="","",TRIM(INPUT!A349))</f>
        <v>Partner 002</v>
      </c>
      <c r="C349" s="28" t="str">
        <f>IF(B349="","",INPUT!C349)</f>
        <v>interviewer0@partner002.example.com</v>
      </c>
      <c r="D349" s="28" t="str">
        <f>IF(B349="","",INPUT!D349)</f>
        <v>Aditya E.</v>
      </c>
      <c r="E349" s="28" t="str">
        <f>IF(B349="","",INPUT!E349)</f>
        <v>aditya.e142@example.com</v>
      </c>
      <c r="F349" s="43" t="str">
        <f>IF(B349="","",TRIM(INPUT!F349&amp;""))</f>
        <v>9000001853</v>
      </c>
      <c r="G349" s="28" t="str">
        <f>IF(B349="","",INPUT!H349)</f>
        <v>Round1</v>
      </c>
      <c r="H349" s="46">
        <f>IF(B349="","",INPUT!I349)</f>
        <v>46308.82708333333</v>
      </c>
      <c r="I349" s="28" t="str">
        <f>IF(B349="","",IF(INPUT!J349="","None",INPUT!J349))</f>
        <v>None</v>
      </c>
      <c r="J349" s="28" t="str">
        <f t="shared" si="55"/>
        <v>aditya.e142@example.com|partner 002|Round1|interviewer0@partner002.example.com</v>
      </c>
      <c r="K349" s="28" t="str">
        <f>IF(B349="","",IF(SUMPRODUCT(($J$2:$J$601=J349)*($H$2:$H$601&lt;H349))+SUMPRODUCT(($J$2:J349=J349)*($H$2:H349=H349))-1&gt;0,"DUPLICATE",IF(AND(ISNUMBER(SEARCH("@",E349)),ISNUMBER(SEARCH(".",E349)),LEN(F349)=10,ISNUMBER(VALUE(F349))),"OK","BAD CONTACT")))</f>
        <v>OK</v>
      </c>
      <c r="L349" s="28">
        <f t="shared" si="56"/>
        <v>1</v>
      </c>
      <c r="M349" s="28">
        <f>IF(L349=1,IF(COUNTIFS(LOG!$C$2:$C$2001,F349,LOG!$E$2:$E$2001,B349,LOG!$D$2:$D$2001,"*BOOKED")+COUNTIFS(LOG!$C$2:$C$2001,F349,LOG!$E$2:$E$2001,"",LOG!$D$2:$D$2001,"*BOOKED")&gt;0,1,0),0)</f>
        <v>0</v>
      </c>
      <c r="N349" s="28">
        <f>IF(L349=1,IF(COUNTIFS(LOG!$C$2:$C$2001,F349,LOG!$E$2:$E$2001,B349,LOG!$D$2:$D$2001,"NOT_INTERESTED")+COUNTIFS(LOG!$C$2:$C$2001,F349,LOG!$E$2:$E$2001,"",LOG!$D$2:$D$2001,"NOT_INTERESTED")&gt;0,1,0),0)</f>
        <v>0</v>
      </c>
      <c r="O349" s="28">
        <f>IF(L349=1,IF(COUNTIFS(LOG!$C$2:$C$2001,F349,LOG!$D$2:$D$2001,"STOP")+COUNTIFS(LOG!$C$2:$C$2001,F349,LOG!$D$2:$D$2001,"WRONG_NUMBER")&gt;0,1,IF(ISNUMBER(SEARCH("STOP",AT349)),1,0)),0)</f>
        <v>0</v>
      </c>
      <c r="P349" s="28">
        <f>IF(L349=1,IF(IFERROR(INDEX(PARTNERS!$D$2:$D$88,MATCH(B349,PARTNERS!$A$2:$A$88,0)),"")="NO SLOTS",1,IF(AND(IFERROR(INDEX(PARTNERS!$D$2:$D$88,MATCH(B349,PARTNERS!$A$2:$A$88,0)),"")&lt;&gt;"REOPENED",COUNTIFS(LOG!$E$2:$E$2001,B349,LOG!$D$2:$D$2001,"NO_SLOTS")&gt;0),1,0)),0)</f>
        <v>0</v>
      </c>
      <c r="Q349" s="28">
        <f>IF(L349=1,COUNTIFS(LOG!$C$2:$C$2001,F349,LOG!$H$2:$H$2001,1),0)</f>
        <v>0</v>
      </c>
      <c r="R349" s="46">
        <f>IF(Q349&gt;0,_xlfn.MAXIFS(LOG!$G$2:$G$2001,LOG!$C$2:$C$2001,F349,LOG!$H$2:$H$2001,1),0)</f>
        <v>0</v>
      </c>
      <c r="S349" s="28" t="str">
        <f>IF(Q349&gt;0,IFERROR(INDEX(LOG!$D$2:$D$2001,MATCH(F349&amp;"|"&amp;Q349,LOG!$I$2:$I$2001,0)),""),"")</f>
        <v/>
      </c>
      <c r="T349" s="28">
        <f>IF(S349="",0,IFERROR(VLOOKUP(S349,LISTS!$A$2:$E$10,4,FALSE),0))</f>
        <v>0</v>
      </c>
      <c r="U349" s="46">
        <f t="shared" si="57"/>
        <v>0</v>
      </c>
      <c r="V349" s="46">
        <f>IF(L349=1,H349+SETTINGS!$B$5/24,"")</f>
        <v>46309.82708333333</v>
      </c>
      <c r="W349" s="28">
        <f ca="1">IF(L349=1,(V349-SETTINGS!$B$4)*24,"")</f>
        <v>-1.6666666720993817E-2</v>
      </c>
      <c r="X349" s="28">
        <f ca="1">IF(AND(L349=1,K349="OK",M349=0,N349=0,O349=0,P349=0,SETTINGS!$B$4&lt;V349,Q349&lt;SETTINGS!$B$6),1,0)</f>
        <v>0</v>
      </c>
      <c r="Y349" s="28">
        <f ca="1">IF(AND(X349=1,SETTINGS!$B$4&gt;=H349,SETTINGS!$B$4&gt;=U349,ROUND(MOD(SETTINGS!$B$4,1)*1440,0)&gt;=ROUND(SETTINGS!$B$7*1440,0),ROUND(MOD(SETTINGS!$B$4,1)*1440,0)&lt;ROUND(SETTINGS!$B$8*1440,0)),1,0)</f>
        <v>0</v>
      </c>
      <c r="Z349" s="28" t="str">
        <f ca="1">IF(B349="","",IF(ROUND(MOD(SETTINGS!$B$4,1)*1440,0)&lt;ROUND(SETTINGS!$B$11*1440,0),"Ram",IF(ROUND(MOD(SETTINGS!$B$4,1)*1440,0)&gt;=ROUND(SETTINGS!$B$10*1440,0),"Shyam",IF(MOD(IFERROR(VALUE(RIGHT(F349,2)),0),2)=0,"Ram","Shyam"))))</f>
        <v>Shyam</v>
      </c>
      <c r="AA349" s="28">
        <f t="shared" ca="1" si="58"/>
        <v>0</v>
      </c>
      <c r="AB349" s="28">
        <f ca="1">IF(X349=1,COUNTIFS($F$2:F349,F349,$X$2:X349,1),0)</f>
        <v>0</v>
      </c>
      <c r="AC349" s="28" t="str">
        <f>IF(L349=1,IF(IFERROR(INDEX(PARTNERS!$C$2:$C$88,MATCH(B349,PARTNERS!$A$2:$A$88,0)),"")="YES","YES","NO"),"")</f>
        <v>YES</v>
      </c>
      <c r="AD349" s="28" t="str">
        <f>IF(L349=1,IFERROR(INDEX(PARTNERS!$B$2:$B$88,MATCH(B349,PARTNERS!$A$2:$A$88,0)),""),"")</f>
        <v>https://calendly.com/partner002/interview</v>
      </c>
      <c r="AE349" s="28">
        <f ca="1">IF(X349=1,IFERROR(INDEX(SETTINGS!$B$34:$D$36,MATCH(I349,SETTINGS!$A$34:$A$36,0),MIN(Q349,2)+1),SETTINGS!$B$36),0)</f>
        <v>0</v>
      </c>
      <c r="AF349" s="28">
        <f t="shared" si="59"/>
        <v>1</v>
      </c>
      <c r="AG349" s="28">
        <f ca="1">IF(AND(Y349=1,AB349=1),ROUND(AA349*AE349*IF(AF349&gt;1,SETTINGS!$B$16,1)*IF(W349&lt;=SETTINGS!$B$14,SETTINGS!$B$15,1)*IF(AU349=1,SETTINGS!$B$21,1),6),0)</f>
        <v>0</v>
      </c>
      <c r="AH349" s="28" t="str">
        <f ca="1">IF(AG349&gt;0,COUNTIFS($Z$2:$Z$601,Z349,$AG$2:$AG$601,"&gt;"&amp;AG349)+COUNTIFS($Z$2:Z349,Z349,$AG$2:AG349,AG349),"")</f>
        <v/>
      </c>
      <c r="AI349" s="28" t="str">
        <f t="shared" ca="1" si="60"/>
        <v/>
      </c>
      <c r="AJ349" s="28" t="str">
        <f t="shared" ca="1" si="61"/>
        <v/>
      </c>
      <c r="AK349" s="28">
        <f>IF(L349=1,IF(COUNTIFS($F$2:F349,F349,$L$2:L349,1)=1,1,0),0)</f>
        <v>1</v>
      </c>
      <c r="AL349" s="28" t="str">
        <f ca="1">IF(B349="","",IF(K349="DUPLICATE","Duplicate (removed)",IF(AO349=1,"Scheduled within 24h",IF(M349=1,"Scheduled late",IF(K349="BAD CONTACT","Bad contact details",IF(O349=1,"Stopped / wrong number",IF(N349=1,"Not interested",IF(P349=1,"Partner has no slots",IF(SETTINGS!$B$4&gt;=V349,IF(Q349=0,"Missed deadline: never tried","Missed deadline: tried, not booked"),IF(Q349&gt;=SETTINGS!$B$6,"No reply after max tries","Open"))))))))))</f>
        <v>Missed deadline: never tried</v>
      </c>
      <c r="AM349" s="46" t="str">
        <f>IF(M349=1,IF(_xlfn.MINIFS(LOG!$G$2:$G$2001,LOG!$C$2:$C$2001,F349,LOG!$E$2:$E$2001,B349,LOG!$D$2:$D$2001,"*BOOKED")=0,_xlfn.MINIFS(LOG!$G$2:$G$2001,LOG!$C$2:$C$2001,F349,LOG!$E$2:$E$2001,"",LOG!$D$2:$D$2001,"*BOOKED"),IF(_xlfn.MINIFS(LOG!$G$2:$G$2001,LOG!$C$2:$C$2001,F349,LOG!$E$2:$E$2001,"",LOG!$D$2:$D$2001,"*BOOKED")=0,_xlfn.MINIFS(LOG!$G$2:$G$2001,LOG!$C$2:$C$2001,F349,LOG!$E$2:$E$2001,B349,LOG!$D$2:$D$2001,"*BOOKED"),MIN(_xlfn.MINIFS(LOG!$G$2:$G$2001,LOG!$C$2:$C$2001,F349,LOG!$E$2:$E$2001,B349,LOG!$D$2:$D$2001,"*BOOKED"),_xlfn.MINIFS(LOG!$G$2:$G$2001,LOG!$C$2:$C$2001,F349,LOG!$E$2:$E$2001,"",LOG!$D$2:$D$2001,"*BOOKED")))),"")</f>
        <v/>
      </c>
      <c r="AN349" s="28" t="str">
        <f t="shared" si="62"/>
        <v/>
      </c>
      <c r="AO349" s="28">
        <f>IF(AND(M349=1,AN349&lt;&gt;""),IF(AN349&lt;=SETTINGS!$B$5,1,0),0)</f>
        <v>0</v>
      </c>
      <c r="AP349" s="28">
        <f>IF(M349=1,IF(COUNTIFS(LOG!$C$2:$C$2001,F349,LOG!$E$2:$E$2001,B349,LOG!$D$2:$D$2001,"BOOKED")+COUNTIFS(LOG!$C$2:$C$2001,F349,LOG!$E$2:$E$2001,"",LOG!$D$2:$D$2001,"BOOKED")&gt;0,1,0),0)</f>
        <v>0</v>
      </c>
      <c r="AQ349" s="28" t="str">
        <f t="shared" si="63"/>
        <v>Aditya</v>
      </c>
      <c r="AR349" s="28">
        <f>IF(AND(AK349=1,K349="OK"),COUNTIFS($AK$2:AK349,1,$K$2:K349,"OK"),"")</f>
        <v>299</v>
      </c>
      <c r="AS349" s="28" t="str">
        <f>IF(L349=1,IFERROR(INDEX(MESSAGES!$J$9:$J$1008,MATCH(F349,MESSAGES!$M$9:$M$1008,0))&amp;"",""),"")</f>
        <v/>
      </c>
      <c r="AT349" s="28" t="str">
        <f>IF(L349=1,IFERROR(INDEX(MESSAGES!$K$9:$K$1008,MATCH(F349,MESSAGES!$M$9:$M$1008,0))&amp;"",""),"")</f>
        <v/>
      </c>
      <c r="AU349" s="28">
        <f t="shared" ca="1" si="64"/>
        <v>0</v>
      </c>
      <c r="AV349" s="28" t="str">
        <f t="shared" si="65"/>
        <v>HOLD</v>
      </c>
    </row>
    <row r="350" spans="1:48" x14ac:dyDescent="0.35">
      <c r="A350" s="28">
        <v>349</v>
      </c>
      <c r="B350" s="28" t="str">
        <f>IF(INPUT!A350="","",TRIM(INPUT!A350))</f>
        <v>Partner 001</v>
      </c>
      <c r="C350" s="28" t="str">
        <f>IF(B350="","",INPUT!C350)</f>
        <v>interviewer0@partner001.example.com</v>
      </c>
      <c r="D350" s="28" t="str">
        <f>IF(B350="","",INPUT!D350)</f>
        <v>Karan K.</v>
      </c>
      <c r="E350" s="28" t="str">
        <f>IF(B350="","",INPUT!E350)</f>
        <v>karan.k290@example.com</v>
      </c>
      <c r="F350" s="43" t="str">
        <f>IF(B350="","",TRIM(INPUT!F350&amp;""))</f>
        <v>900000377</v>
      </c>
      <c r="G350" s="28" t="str">
        <f>IF(B350="","",INPUT!H350)</f>
        <v>Round1</v>
      </c>
      <c r="H350" s="46">
        <f>IF(B350="","",INPUT!I350)</f>
        <v>46308.82708333333</v>
      </c>
      <c r="I350" s="28" t="str">
        <f>IF(B350="","",IF(INPUT!J350="","None",INPUT!J350))</f>
        <v>None</v>
      </c>
      <c r="J350" s="28" t="str">
        <f t="shared" si="55"/>
        <v>karan.k290@example.com|partner 001|Round1|interviewer0@partner001.example.com</v>
      </c>
      <c r="K350" s="28" t="str">
        <f>IF(B350="","",IF(SUMPRODUCT(($J$2:$J$601=J350)*($H$2:$H$601&lt;H350))+SUMPRODUCT(($J$2:J350=J350)*($H$2:H350=H350))-1&gt;0,"DUPLICATE",IF(AND(ISNUMBER(SEARCH("@",E350)),ISNUMBER(SEARCH(".",E350)),LEN(F350)=10,ISNUMBER(VALUE(F350))),"OK","BAD CONTACT")))</f>
        <v>BAD CONTACT</v>
      </c>
      <c r="L350" s="28">
        <f t="shared" si="56"/>
        <v>1</v>
      </c>
      <c r="M350" s="28">
        <f>IF(L350=1,IF(COUNTIFS(LOG!$C$2:$C$2001,F350,LOG!$E$2:$E$2001,B350,LOG!$D$2:$D$2001,"*BOOKED")+COUNTIFS(LOG!$C$2:$C$2001,F350,LOG!$E$2:$E$2001,"",LOG!$D$2:$D$2001,"*BOOKED")&gt;0,1,0),0)</f>
        <v>0</v>
      </c>
      <c r="N350" s="28">
        <f>IF(L350=1,IF(COUNTIFS(LOG!$C$2:$C$2001,F350,LOG!$E$2:$E$2001,B350,LOG!$D$2:$D$2001,"NOT_INTERESTED")+COUNTIFS(LOG!$C$2:$C$2001,F350,LOG!$E$2:$E$2001,"",LOG!$D$2:$D$2001,"NOT_INTERESTED")&gt;0,1,0),0)</f>
        <v>0</v>
      </c>
      <c r="O350" s="28">
        <f>IF(L350=1,IF(COUNTIFS(LOG!$C$2:$C$2001,F350,LOG!$D$2:$D$2001,"STOP")+COUNTIFS(LOG!$C$2:$C$2001,F350,LOG!$D$2:$D$2001,"WRONG_NUMBER")&gt;0,1,IF(ISNUMBER(SEARCH("STOP",AT350)),1,0)),0)</f>
        <v>0</v>
      </c>
      <c r="P350" s="28">
        <f>IF(L350=1,IF(IFERROR(INDEX(PARTNERS!$D$2:$D$88,MATCH(B350,PARTNERS!$A$2:$A$88,0)),"")="NO SLOTS",1,IF(AND(IFERROR(INDEX(PARTNERS!$D$2:$D$88,MATCH(B350,PARTNERS!$A$2:$A$88,0)),"")&lt;&gt;"REOPENED",COUNTIFS(LOG!$E$2:$E$2001,B350,LOG!$D$2:$D$2001,"NO_SLOTS")&gt;0),1,0)),0)</f>
        <v>0</v>
      </c>
      <c r="Q350" s="28">
        <f>IF(L350=1,COUNTIFS(LOG!$C$2:$C$2001,F350,LOG!$H$2:$H$2001,1),0)</f>
        <v>0</v>
      </c>
      <c r="R350" s="46">
        <f>IF(Q350&gt;0,_xlfn.MAXIFS(LOG!$G$2:$G$2001,LOG!$C$2:$C$2001,F350,LOG!$H$2:$H$2001,1),0)</f>
        <v>0</v>
      </c>
      <c r="S350" s="28" t="str">
        <f>IF(Q350&gt;0,IFERROR(INDEX(LOG!$D$2:$D$2001,MATCH(F350&amp;"|"&amp;Q350,LOG!$I$2:$I$2001,0)),""),"")</f>
        <v/>
      </c>
      <c r="T350" s="28">
        <f>IF(S350="",0,IFERROR(VLOOKUP(S350,LISTS!$A$2:$E$10,4,FALSE),0))</f>
        <v>0</v>
      </c>
      <c r="U350" s="46">
        <f t="shared" si="57"/>
        <v>0</v>
      </c>
      <c r="V350" s="46">
        <f>IF(L350=1,H350+SETTINGS!$B$5/24,"")</f>
        <v>46309.82708333333</v>
      </c>
      <c r="W350" s="28">
        <f ca="1">IF(L350=1,(V350-SETTINGS!$B$4)*24,"")</f>
        <v>-1.6666666720993817E-2</v>
      </c>
      <c r="X350" s="28">
        <f ca="1">IF(AND(L350=1,K350="OK",M350=0,N350=0,O350=0,P350=0,SETTINGS!$B$4&lt;V350,Q350&lt;SETTINGS!$B$6),1,0)</f>
        <v>0</v>
      </c>
      <c r="Y350" s="28">
        <f ca="1">IF(AND(X350=1,SETTINGS!$B$4&gt;=H350,SETTINGS!$B$4&gt;=U350,ROUND(MOD(SETTINGS!$B$4,1)*1440,0)&gt;=ROUND(SETTINGS!$B$7*1440,0),ROUND(MOD(SETTINGS!$B$4,1)*1440,0)&lt;ROUND(SETTINGS!$B$8*1440,0)),1,0)</f>
        <v>0</v>
      </c>
      <c r="Z350" s="28" t="str">
        <f ca="1">IF(B350="","",IF(ROUND(MOD(SETTINGS!$B$4,1)*1440,0)&lt;ROUND(SETTINGS!$B$11*1440,0),"Ram",IF(ROUND(MOD(SETTINGS!$B$4,1)*1440,0)&gt;=ROUND(SETTINGS!$B$10*1440,0),"Shyam",IF(MOD(IFERROR(VALUE(RIGHT(F350,2)),0),2)=0,"Ram","Shyam"))))</f>
        <v>Shyam</v>
      </c>
      <c r="AA350" s="28">
        <f t="shared" ca="1" si="58"/>
        <v>0</v>
      </c>
      <c r="AB350" s="28">
        <f ca="1">IF(X350=1,COUNTIFS($F$2:F350,F350,$X$2:X350,1),0)</f>
        <v>0</v>
      </c>
      <c r="AC350" s="28" t="str">
        <f>IF(L350=1,IF(IFERROR(INDEX(PARTNERS!$C$2:$C$88,MATCH(B350,PARTNERS!$A$2:$A$88,0)),"")="YES","YES","NO"),"")</f>
        <v>NO</v>
      </c>
      <c r="AD350" s="28" t="str">
        <f>IF(L350=1,IFERROR(INDEX(PARTNERS!$B$2:$B$88,MATCH(B350,PARTNERS!$A$2:$A$88,0)),""),"")</f>
        <v>https://calendly.com/partner001/interview</v>
      </c>
      <c r="AE350" s="28">
        <f ca="1">IF(X350=1,IFERROR(INDEX(SETTINGS!$B$34:$D$36,MATCH(I350,SETTINGS!$A$34:$A$36,0),MIN(Q350,2)+1),SETTINGS!$B$36),0)</f>
        <v>0</v>
      </c>
      <c r="AF350" s="28">
        <f t="shared" si="59"/>
        <v>1</v>
      </c>
      <c r="AG350" s="28">
        <f ca="1">IF(AND(Y350=1,AB350=1),ROUND(AA350*AE350*IF(AF350&gt;1,SETTINGS!$B$16,1)*IF(W350&lt;=SETTINGS!$B$14,SETTINGS!$B$15,1)*IF(AU350=1,SETTINGS!$B$21,1),6),0)</f>
        <v>0</v>
      </c>
      <c r="AH350" s="28" t="str">
        <f ca="1">IF(AG350&gt;0,COUNTIFS($Z$2:$Z$601,Z350,$AG$2:$AG$601,"&gt;"&amp;AG350)+COUNTIFS($Z$2:Z350,Z350,$AG$2:AG350,AG350),"")</f>
        <v/>
      </c>
      <c r="AI350" s="28" t="str">
        <f t="shared" ca="1" si="60"/>
        <v/>
      </c>
      <c r="AJ350" s="28" t="str">
        <f t="shared" ca="1" si="61"/>
        <v/>
      </c>
      <c r="AK350" s="28">
        <f>IF(L350=1,IF(COUNTIFS($F$2:F350,F350,$L$2:L350,1)=1,1,0),0)</f>
        <v>1</v>
      </c>
      <c r="AL350" s="28" t="str">
        <f>IF(B350="","",IF(K350="DUPLICATE","Duplicate (removed)",IF(AO350=1,"Scheduled within 24h",IF(M350=1,"Scheduled late",IF(K350="BAD CONTACT","Bad contact details",IF(O350=1,"Stopped / wrong number",IF(N350=1,"Not interested",IF(P350=1,"Partner has no slots",IF(SETTINGS!$B$4&gt;=V350,IF(Q350=0,"Missed deadline: never tried","Missed deadline: tried, not booked"),IF(Q350&gt;=SETTINGS!$B$6,"No reply after max tries","Open"))))))))))</f>
        <v>Bad contact details</v>
      </c>
      <c r="AM350" s="46" t="str">
        <f>IF(M350=1,IF(_xlfn.MINIFS(LOG!$G$2:$G$2001,LOG!$C$2:$C$2001,F350,LOG!$E$2:$E$2001,B350,LOG!$D$2:$D$2001,"*BOOKED")=0,_xlfn.MINIFS(LOG!$G$2:$G$2001,LOG!$C$2:$C$2001,F350,LOG!$E$2:$E$2001,"",LOG!$D$2:$D$2001,"*BOOKED"),IF(_xlfn.MINIFS(LOG!$G$2:$G$2001,LOG!$C$2:$C$2001,F350,LOG!$E$2:$E$2001,"",LOG!$D$2:$D$2001,"*BOOKED")=0,_xlfn.MINIFS(LOG!$G$2:$G$2001,LOG!$C$2:$C$2001,F350,LOG!$E$2:$E$2001,B350,LOG!$D$2:$D$2001,"*BOOKED"),MIN(_xlfn.MINIFS(LOG!$G$2:$G$2001,LOG!$C$2:$C$2001,F350,LOG!$E$2:$E$2001,B350,LOG!$D$2:$D$2001,"*BOOKED"),_xlfn.MINIFS(LOG!$G$2:$G$2001,LOG!$C$2:$C$2001,F350,LOG!$E$2:$E$2001,"",LOG!$D$2:$D$2001,"*BOOKED")))),"")</f>
        <v/>
      </c>
      <c r="AN350" s="28" t="str">
        <f t="shared" si="62"/>
        <v/>
      </c>
      <c r="AO350" s="28">
        <f>IF(AND(M350=1,AN350&lt;&gt;""),IF(AN350&lt;=SETTINGS!$B$5,1,0),0)</f>
        <v>0</v>
      </c>
      <c r="AP350" s="28">
        <f>IF(M350=1,IF(COUNTIFS(LOG!$C$2:$C$2001,F350,LOG!$E$2:$E$2001,B350,LOG!$D$2:$D$2001,"BOOKED")+COUNTIFS(LOG!$C$2:$C$2001,F350,LOG!$E$2:$E$2001,"",LOG!$D$2:$D$2001,"BOOKED")&gt;0,1,0),0)</f>
        <v>0</v>
      </c>
      <c r="AQ350" s="28" t="str">
        <f t="shared" si="63"/>
        <v>Karan</v>
      </c>
      <c r="AR350" s="28" t="str">
        <f>IF(AND(AK350=1,K350="OK"),COUNTIFS($AK$2:AK350,1,$K$2:K350,"OK"),"")</f>
        <v/>
      </c>
      <c r="AS350" s="28" t="str">
        <f>IF(L350=1,IFERROR(INDEX(MESSAGES!$J$9:$J$1008,MATCH(F350,MESSAGES!$M$9:$M$1008,0))&amp;"",""),"")</f>
        <v/>
      </c>
      <c r="AT350" s="28" t="str">
        <f>IF(L350=1,IFERROR(INDEX(MESSAGES!$K$9:$K$1008,MATCH(F350,MESSAGES!$M$9:$M$1008,0))&amp;"",""),"")</f>
        <v/>
      </c>
      <c r="AU350" s="28">
        <f t="shared" ca="1" si="64"/>
        <v>0</v>
      </c>
      <c r="AV350" s="28" t="str">
        <f t="shared" si="65"/>
        <v>HOLD</v>
      </c>
    </row>
    <row r="351" spans="1:48" x14ac:dyDescent="0.35">
      <c r="A351" s="28">
        <v>350</v>
      </c>
      <c r="B351" s="28" t="str">
        <f>IF(INPUT!A351="","",TRIM(INPUT!A351))</f>
        <v>Partner 000</v>
      </c>
      <c r="C351" s="28" t="str">
        <f>IF(B351="","",INPUT!C351)</f>
        <v>interviewer1@partner000.example.com</v>
      </c>
      <c r="D351" s="28" t="str">
        <f>IF(B351="","",INPUT!D351)</f>
        <v>Rohan D.</v>
      </c>
      <c r="E351" s="28" t="str">
        <f>IF(B351="","",INPUT!E351)</f>
        <v>rohan.d100@example.com</v>
      </c>
      <c r="F351" s="43" t="str">
        <f>IF(B351="","",TRIM(INPUT!F351&amp;""))</f>
        <v>9000001307</v>
      </c>
      <c r="G351" s="28" t="str">
        <f>IF(B351="","",INPUT!H351)</f>
        <v>Round1</v>
      </c>
      <c r="H351" s="46">
        <f>IF(B351="","",INPUT!I351)</f>
        <v>46308.82708333333</v>
      </c>
      <c r="I351" s="28" t="str">
        <f>IF(B351="","",IF(INPUT!J351="","None",INPUT!J351))</f>
        <v>None</v>
      </c>
      <c r="J351" s="28" t="str">
        <f t="shared" si="55"/>
        <v>rohan.d100@example.com|partner 000|Round1|interviewer1@partner000.example.com</v>
      </c>
      <c r="K351" s="28" t="str">
        <f>IF(B351="","",IF(SUMPRODUCT(($J$2:$J$601=J351)*($H$2:$H$601&lt;H351))+SUMPRODUCT(($J$2:J351=J351)*($H$2:H351=H351))-1&gt;0,"DUPLICATE",IF(AND(ISNUMBER(SEARCH("@",E351)),ISNUMBER(SEARCH(".",E351)),LEN(F351)=10,ISNUMBER(VALUE(F351))),"OK","BAD CONTACT")))</f>
        <v>OK</v>
      </c>
      <c r="L351" s="28">
        <f t="shared" si="56"/>
        <v>1</v>
      </c>
      <c r="M351" s="28">
        <f>IF(L351=1,IF(COUNTIFS(LOG!$C$2:$C$2001,F351,LOG!$E$2:$E$2001,B351,LOG!$D$2:$D$2001,"*BOOKED")+COUNTIFS(LOG!$C$2:$C$2001,F351,LOG!$E$2:$E$2001,"",LOG!$D$2:$D$2001,"*BOOKED")&gt;0,1,0),0)</f>
        <v>0</v>
      </c>
      <c r="N351" s="28">
        <f>IF(L351=1,IF(COUNTIFS(LOG!$C$2:$C$2001,F351,LOG!$E$2:$E$2001,B351,LOG!$D$2:$D$2001,"NOT_INTERESTED")+COUNTIFS(LOG!$C$2:$C$2001,F351,LOG!$E$2:$E$2001,"",LOG!$D$2:$D$2001,"NOT_INTERESTED")&gt;0,1,0),0)</f>
        <v>0</v>
      </c>
      <c r="O351" s="28">
        <f>IF(L351=1,IF(COUNTIFS(LOG!$C$2:$C$2001,F351,LOG!$D$2:$D$2001,"STOP")+COUNTIFS(LOG!$C$2:$C$2001,F351,LOG!$D$2:$D$2001,"WRONG_NUMBER")&gt;0,1,IF(ISNUMBER(SEARCH("STOP",AT351)),1,0)),0)</f>
        <v>0</v>
      </c>
      <c r="P351" s="28">
        <f>IF(L351=1,IF(IFERROR(INDEX(PARTNERS!$D$2:$D$88,MATCH(B351,PARTNERS!$A$2:$A$88,0)),"")="NO SLOTS",1,IF(AND(IFERROR(INDEX(PARTNERS!$D$2:$D$88,MATCH(B351,PARTNERS!$A$2:$A$88,0)),"")&lt;&gt;"REOPENED",COUNTIFS(LOG!$E$2:$E$2001,B351,LOG!$D$2:$D$2001,"NO_SLOTS")&gt;0),1,0)),0)</f>
        <v>0</v>
      </c>
      <c r="Q351" s="28">
        <f>IF(L351=1,COUNTIFS(LOG!$C$2:$C$2001,F351,LOG!$H$2:$H$2001,1),0)</f>
        <v>0</v>
      </c>
      <c r="R351" s="46">
        <f>IF(Q351&gt;0,_xlfn.MAXIFS(LOG!$G$2:$G$2001,LOG!$C$2:$C$2001,F351,LOG!$H$2:$H$2001,1),0)</f>
        <v>0</v>
      </c>
      <c r="S351" s="28" t="str">
        <f>IF(Q351&gt;0,IFERROR(INDEX(LOG!$D$2:$D$2001,MATCH(F351&amp;"|"&amp;Q351,LOG!$I$2:$I$2001,0)),""),"")</f>
        <v/>
      </c>
      <c r="T351" s="28">
        <f>IF(S351="",0,IFERROR(VLOOKUP(S351,LISTS!$A$2:$E$10,4,FALSE),0))</f>
        <v>0</v>
      </c>
      <c r="U351" s="46">
        <f t="shared" si="57"/>
        <v>0</v>
      </c>
      <c r="V351" s="46">
        <f>IF(L351=1,H351+SETTINGS!$B$5/24,"")</f>
        <v>46309.82708333333</v>
      </c>
      <c r="W351" s="28">
        <f ca="1">IF(L351=1,(V351-SETTINGS!$B$4)*24,"")</f>
        <v>-1.6666666720993817E-2</v>
      </c>
      <c r="X351" s="28">
        <f ca="1">IF(AND(L351=1,K351="OK",M351=0,N351=0,O351=0,P351=0,SETTINGS!$B$4&lt;V351,Q351&lt;SETTINGS!$B$6),1,0)</f>
        <v>0</v>
      </c>
      <c r="Y351" s="28">
        <f ca="1">IF(AND(X351=1,SETTINGS!$B$4&gt;=H351,SETTINGS!$B$4&gt;=U351,ROUND(MOD(SETTINGS!$B$4,1)*1440,0)&gt;=ROUND(SETTINGS!$B$7*1440,0),ROUND(MOD(SETTINGS!$B$4,1)*1440,0)&lt;ROUND(SETTINGS!$B$8*1440,0)),1,0)</f>
        <v>0</v>
      </c>
      <c r="Z351" s="28" t="str">
        <f ca="1">IF(B351="","",IF(ROUND(MOD(SETTINGS!$B$4,1)*1440,0)&lt;ROUND(SETTINGS!$B$11*1440,0),"Ram",IF(ROUND(MOD(SETTINGS!$B$4,1)*1440,0)&gt;=ROUND(SETTINGS!$B$10*1440,0),"Shyam",IF(MOD(IFERROR(VALUE(RIGHT(F351,2)),0),2)=0,"Ram","Shyam"))))</f>
        <v>Shyam</v>
      </c>
      <c r="AA351" s="28">
        <f t="shared" ca="1" si="58"/>
        <v>0</v>
      </c>
      <c r="AB351" s="28">
        <f ca="1">IF(X351=1,COUNTIFS($F$2:F351,F351,$X$2:X351,1),0)</f>
        <v>0</v>
      </c>
      <c r="AC351" s="28" t="str">
        <f>IF(L351=1,IF(IFERROR(INDEX(PARTNERS!$C$2:$C$88,MATCH(B351,PARTNERS!$A$2:$A$88,0)),"")="YES","YES","NO"),"")</f>
        <v>NO</v>
      </c>
      <c r="AD351" s="28" t="str">
        <f>IF(L351=1,IFERROR(INDEX(PARTNERS!$B$2:$B$88,MATCH(B351,PARTNERS!$A$2:$A$88,0)),""),"")</f>
        <v>https://calendly.com/partner000/interview</v>
      </c>
      <c r="AE351" s="28">
        <f ca="1">IF(X351=1,IFERROR(INDEX(SETTINGS!$B$34:$D$36,MATCH(I351,SETTINGS!$A$34:$A$36,0),MIN(Q351,2)+1),SETTINGS!$B$36),0)</f>
        <v>0</v>
      </c>
      <c r="AF351" s="28">
        <f t="shared" si="59"/>
        <v>1</v>
      </c>
      <c r="AG351" s="28">
        <f ca="1">IF(AND(Y351=1,AB351=1),ROUND(AA351*AE351*IF(AF351&gt;1,SETTINGS!$B$16,1)*IF(W351&lt;=SETTINGS!$B$14,SETTINGS!$B$15,1)*IF(AU351=1,SETTINGS!$B$21,1),6),0)</f>
        <v>0</v>
      </c>
      <c r="AH351" s="28" t="str">
        <f ca="1">IF(AG351&gt;0,COUNTIFS($Z$2:$Z$601,Z351,$AG$2:$AG$601,"&gt;"&amp;AG351)+COUNTIFS($Z$2:Z351,Z351,$AG$2:AG351,AG351),"")</f>
        <v/>
      </c>
      <c r="AI351" s="28" t="str">
        <f t="shared" ca="1" si="60"/>
        <v/>
      </c>
      <c r="AJ351" s="28" t="str">
        <f t="shared" ca="1" si="61"/>
        <v/>
      </c>
      <c r="AK351" s="28">
        <f>IF(L351=1,IF(COUNTIFS($F$2:F351,F351,$L$2:L351,1)=1,1,0),0)</f>
        <v>1</v>
      </c>
      <c r="AL351" s="28" t="str">
        <f ca="1">IF(B351="","",IF(K351="DUPLICATE","Duplicate (removed)",IF(AO351=1,"Scheduled within 24h",IF(M351=1,"Scheduled late",IF(K351="BAD CONTACT","Bad contact details",IF(O351=1,"Stopped / wrong number",IF(N351=1,"Not interested",IF(P351=1,"Partner has no slots",IF(SETTINGS!$B$4&gt;=V351,IF(Q351=0,"Missed deadline: never tried","Missed deadline: tried, not booked"),IF(Q351&gt;=SETTINGS!$B$6,"No reply after max tries","Open"))))))))))</f>
        <v>Missed deadline: never tried</v>
      </c>
      <c r="AM351" s="46" t="str">
        <f>IF(M351=1,IF(_xlfn.MINIFS(LOG!$G$2:$G$2001,LOG!$C$2:$C$2001,F351,LOG!$E$2:$E$2001,B351,LOG!$D$2:$D$2001,"*BOOKED")=0,_xlfn.MINIFS(LOG!$G$2:$G$2001,LOG!$C$2:$C$2001,F351,LOG!$E$2:$E$2001,"",LOG!$D$2:$D$2001,"*BOOKED"),IF(_xlfn.MINIFS(LOG!$G$2:$G$2001,LOG!$C$2:$C$2001,F351,LOG!$E$2:$E$2001,"",LOG!$D$2:$D$2001,"*BOOKED")=0,_xlfn.MINIFS(LOG!$G$2:$G$2001,LOG!$C$2:$C$2001,F351,LOG!$E$2:$E$2001,B351,LOG!$D$2:$D$2001,"*BOOKED"),MIN(_xlfn.MINIFS(LOG!$G$2:$G$2001,LOG!$C$2:$C$2001,F351,LOG!$E$2:$E$2001,B351,LOG!$D$2:$D$2001,"*BOOKED"),_xlfn.MINIFS(LOG!$G$2:$G$2001,LOG!$C$2:$C$2001,F351,LOG!$E$2:$E$2001,"",LOG!$D$2:$D$2001,"*BOOKED")))),"")</f>
        <v/>
      </c>
      <c r="AN351" s="28" t="str">
        <f t="shared" si="62"/>
        <v/>
      </c>
      <c r="AO351" s="28">
        <f>IF(AND(M351=1,AN351&lt;&gt;""),IF(AN351&lt;=SETTINGS!$B$5,1,0),0)</f>
        <v>0</v>
      </c>
      <c r="AP351" s="28">
        <f>IF(M351=1,IF(COUNTIFS(LOG!$C$2:$C$2001,F351,LOG!$E$2:$E$2001,B351,LOG!$D$2:$D$2001,"BOOKED")+COUNTIFS(LOG!$C$2:$C$2001,F351,LOG!$E$2:$E$2001,"",LOG!$D$2:$D$2001,"BOOKED")&gt;0,1,0),0)</f>
        <v>0</v>
      </c>
      <c r="AQ351" s="28" t="str">
        <f t="shared" si="63"/>
        <v>Rohan</v>
      </c>
      <c r="AR351" s="28">
        <f>IF(AND(AK351=1,K351="OK"),COUNTIFS($AK$2:AK351,1,$K$2:K351,"OK"),"")</f>
        <v>300</v>
      </c>
      <c r="AS351" s="28" t="str">
        <f>IF(L351=1,IFERROR(INDEX(MESSAGES!$J$9:$J$1008,MATCH(F351,MESSAGES!$M$9:$M$1008,0))&amp;"",""),"")</f>
        <v/>
      </c>
      <c r="AT351" s="28" t="str">
        <f>IF(L351=1,IFERROR(INDEX(MESSAGES!$K$9:$K$1008,MATCH(F351,MESSAGES!$M$9:$M$1008,0))&amp;"",""),"")</f>
        <v/>
      </c>
      <c r="AU351" s="28">
        <f t="shared" ca="1" si="64"/>
        <v>0</v>
      </c>
      <c r="AV351" s="28" t="str">
        <f t="shared" si="65"/>
        <v>SEND</v>
      </c>
    </row>
    <row r="352" spans="1:48" x14ac:dyDescent="0.35">
      <c r="A352" s="28">
        <v>351</v>
      </c>
      <c r="B352" s="28" t="str">
        <f>IF(INPUT!A352="","",TRIM(INPUT!A352))</f>
        <v>Partner 008</v>
      </c>
      <c r="C352" s="28" t="str">
        <f>IF(B352="","",INPUT!C352)</f>
        <v>interviewer2@partner008.example.com</v>
      </c>
      <c r="D352" s="28" t="str">
        <f>IF(B352="","",INPUT!D352)</f>
        <v>Dev N.</v>
      </c>
      <c r="E352" s="28" t="str">
        <f>IF(B352="","",INPUT!E352)</f>
        <v>dev.n372@example.com</v>
      </c>
      <c r="F352" s="43" t="str">
        <f>IF(B352="","",TRIM(INPUT!F352&amp;""))</f>
        <v>9000004843</v>
      </c>
      <c r="G352" s="28" t="str">
        <f>IF(B352="","",INPUT!H352)</f>
        <v>Round1</v>
      </c>
      <c r="H352" s="46">
        <f>IF(B352="","",INPUT!I352)</f>
        <v>46308.82708333333</v>
      </c>
      <c r="I352" s="28" t="str">
        <f>IF(B352="","",IF(INPUT!J352="","None",INPUT!J352))</f>
        <v>Clicked</v>
      </c>
      <c r="J352" s="28" t="str">
        <f t="shared" si="55"/>
        <v>dev.n372@example.com|partner 008|Round1|interviewer2@partner008.example.com</v>
      </c>
      <c r="K352" s="28" t="str">
        <f>IF(B352="","",IF(SUMPRODUCT(($J$2:$J$601=J352)*($H$2:$H$601&lt;H352))+SUMPRODUCT(($J$2:J352=J352)*($H$2:H352=H352))-1&gt;0,"DUPLICATE",IF(AND(ISNUMBER(SEARCH("@",E352)),ISNUMBER(SEARCH(".",E352)),LEN(F352)=10,ISNUMBER(VALUE(F352))),"OK","BAD CONTACT")))</f>
        <v>OK</v>
      </c>
      <c r="L352" s="28">
        <f t="shared" si="56"/>
        <v>1</v>
      </c>
      <c r="M352" s="28">
        <f>IF(L352=1,IF(COUNTIFS(LOG!$C$2:$C$2001,F352,LOG!$E$2:$E$2001,B352,LOG!$D$2:$D$2001,"*BOOKED")+COUNTIFS(LOG!$C$2:$C$2001,F352,LOG!$E$2:$E$2001,"",LOG!$D$2:$D$2001,"*BOOKED")&gt;0,1,0),0)</f>
        <v>1</v>
      </c>
      <c r="N352" s="28">
        <f>IF(L352=1,IF(COUNTIFS(LOG!$C$2:$C$2001,F352,LOG!$E$2:$E$2001,B352,LOG!$D$2:$D$2001,"NOT_INTERESTED")+COUNTIFS(LOG!$C$2:$C$2001,F352,LOG!$E$2:$E$2001,"",LOG!$D$2:$D$2001,"NOT_INTERESTED")&gt;0,1,0),0)</f>
        <v>0</v>
      </c>
      <c r="O352" s="28">
        <f>IF(L352=1,IF(COUNTIFS(LOG!$C$2:$C$2001,F352,LOG!$D$2:$D$2001,"STOP")+COUNTIFS(LOG!$C$2:$C$2001,F352,LOG!$D$2:$D$2001,"WRONG_NUMBER")&gt;0,1,IF(ISNUMBER(SEARCH("STOP",AT352)),1,0)),0)</f>
        <v>0</v>
      </c>
      <c r="P352" s="28">
        <f>IF(L352=1,IF(IFERROR(INDEX(PARTNERS!$D$2:$D$88,MATCH(B352,PARTNERS!$A$2:$A$88,0)),"")="NO SLOTS",1,IF(AND(IFERROR(INDEX(PARTNERS!$D$2:$D$88,MATCH(B352,PARTNERS!$A$2:$A$88,0)),"")&lt;&gt;"REOPENED",COUNTIFS(LOG!$E$2:$E$2001,B352,LOG!$D$2:$D$2001,"NO_SLOTS")&gt;0),1,0)),0)</f>
        <v>0</v>
      </c>
      <c r="Q352" s="28">
        <f>IF(L352=1,COUNTIFS(LOG!$C$2:$C$2001,F352,LOG!$H$2:$H$2001,1),0)</f>
        <v>1</v>
      </c>
      <c r="R352" s="46">
        <f>IF(Q352&gt;0,_xlfn.MAXIFS(LOG!$G$2:$G$2001,LOG!$C$2:$C$2001,F352,LOG!$H$2:$H$2001,1),0)</f>
        <v>46309.673712173433</v>
      </c>
      <c r="S352" s="28" t="str">
        <f>IF(Q352&gt;0,IFERROR(INDEX(LOG!$D$2:$D$2001,MATCH(F352&amp;"|"&amp;Q352,LOG!$I$2:$I$2001,0)),""),"")</f>
        <v>BOOKED</v>
      </c>
      <c r="T352" s="28">
        <f>IF(S352="",0,IFERROR(VLOOKUP(S352,LISTS!$A$2:$E$10,4,FALSE),0))</f>
        <v>0</v>
      </c>
      <c r="U352" s="46">
        <f t="shared" si="57"/>
        <v>46309.673712173433</v>
      </c>
      <c r="V352" s="46">
        <f>IF(L352=1,H352+SETTINGS!$B$5/24,"")</f>
        <v>46309.82708333333</v>
      </c>
      <c r="W352" s="28">
        <f ca="1">IF(L352=1,(V352-SETTINGS!$B$4)*24,"")</f>
        <v>-1.6666666720993817E-2</v>
      </c>
      <c r="X352" s="28">
        <f ca="1">IF(AND(L352=1,K352="OK",M352=0,N352=0,O352=0,P352=0,SETTINGS!$B$4&lt;V352,Q352&lt;SETTINGS!$B$6),1,0)</f>
        <v>0</v>
      </c>
      <c r="Y352" s="28">
        <f ca="1">IF(AND(X352=1,SETTINGS!$B$4&gt;=H352,SETTINGS!$B$4&gt;=U352,ROUND(MOD(SETTINGS!$B$4,1)*1440,0)&gt;=ROUND(SETTINGS!$B$7*1440,0),ROUND(MOD(SETTINGS!$B$4,1)*1440,0)&lt;ROUND(SETTINGS!$B$8*1440,0)),1,0)</f>
        <v>0</v>
      </c>
      <c r="Z352" s="28" t="str">
        <f ca="1">IF(B352="","",IF(ROUND(MOD(SETTINGS!$B$4,1)*1440,0)&lt;ROUND(SETTINGS!$B$11*1440,0),"Ram",IF(ROUND(MOD(SETTINGS!$B$4,1)*1440,0)&gt;=ROUND(SETTINGS!$B$10*1440,0),"Shyam",IF(MOD(IFERROR(VALUE(RIGHT(F352,2)),0),2)=0,"Ram","Shyam"))))</f>
        <v>Shyam</v>
      </c>
      <c r="AA352" s="28">
        <f t="shared" ca="1" si="58"/>
        <v>0</v>
      </c>
      <c r="AB352" s="28">
        <f ca="1">IF(X352=1,COUNTIFS($F$2:F352,F352,$X$2:X352,1),0)</f>
        <v>0</v>
      </c>
      <c r="AC352" s="28" t="str">
        <f>IF(L352=1,IF(IFERROR(INDEX(PARTNERS!$C$2:$C$88,MATCH(B352,PARTNERS!$A$2:$A$88,0)),"")="YES","YES","NO"),"")</f>
        <v>YES</v>
      </c>
      <c r="AD352" s="28" t="str">
        <f>IF(L352=1,IFERROR(INDEX(PARTNERS!$B$2:$B$88,MATCH(B352,PARTNERS!$A$2:$A$88,0)),""),"")</f>
        <v>https://calendly.com/partner008/interview</v>
      </c>
      <c r="AE352" s="28">
        <f ca="1">IF(X352=1,IFERROR(INDEX(SETTINGS!$B$34:$D$36,MATCH(I352,SETTINGS!$A$34:$A$36,0),MIN(Q352,2)+1),SETTINGS!$B$36),0)</f>
        <v>0</v>
      </c>
      <c r="AF352" s="28">
        <f t="shared" si="59"/>
        <v>1</v>
      </c>
      <c r="AG352" s="28">
        <f ca="1">IF(AND(Y352=1,AB352=1),ROUND(AA352*AE352*IF(AF352&gt;1,SETTINGS!$B$16,1)*IF(W352&lt;=SETTINGS!$B$14,SETTINGS!$B$15,1)*IF(AU352=1,SETTINGS!$B$21,1),6),0)</f>
        <v>0</v>
      </c>
      <c r="AH352" s="28" t="str">
        <f ca="1">IF(AG352&gt;0,COUNTIFS($Z$2:$Z$601,Z352,$AG$2:$AG$601,"&gt;"&amp;AG352)+COUNTIFS($Z$2:Z352,Z352,$AG$2:AG352,AG352),"")</f>
        <v/>
      </c>
      <c r="AI352" s="28" t="str">
        <f t="shared" ca="1" si="60"/>
        <v/>
      </c>
      <c r="AJ352" s="28" t="str">
        <f t="shared" ca="1" si="61"/>
        <v/>
      </c>
      <c r="AK352" s="28">
        <f>IF(L352=1,IF(COUNTIFS($F$2:F352,F352,$L$2:L352,1)=1,1,0),0)</f>
        <v>1</v>
      </c>
      <c r="AL352" s="28" t="str">
        <f>IF(B352="","",IF(K352="DUPLICATE","Duplicate (removed)",IF(AO352=1,"Scheduled within 24h",IF(M352=1,"Scheduled late",IF(K352="BAD CONTACT","Bad contact details",IF(O352=1,"Stopped / wrong number",IF(N352=1,"Not interested",IF(P352=1,"Partner has no slots",IF(SETTINGS!$B$4&gt;=V352,IF(Q352=0,"Missed deadline: never tried","Missed deadline: tried, not booked"),IF(Q352&gt;=SETTINGS!$B$6,"No reply after max tries","Open"))))))))))</f>
        <v>Scheduled within 24h</v>
      </c>
      <c r="AM352" s="46">
        <f>IF(M352=1,IF(_xlfn.MINIFS(LOG!$G$2:$G$2001,LOG!$C$2:$C$2001,F352,LOG!$E$2:$E$2001,B352,LOG!$D$2:$D$2001,"*BOOKED")=0,_xlfn.MINIFS(LOG!$G$2:$G$2001,LOG!$C$2:$C$2001,F352,LOG!$E$2:$E$2001,"",LOG!$D$2:$D$2001,"*BOOKED"),IF(_xlfn.MINIFS(LOG!$G$2:$G$2001,LOG!$C$2:$C$2001,F352,LOG!$E$2:$E$2001,"",LOG!$D$2:$D$2001,"*BOOKED")=0,_xlfn.MINIFS(LOG!$G$2:$G$2001,LOG!$C$2:$C$2001,F352,LOG!$E$2:$E$2001,B352,LOG!$D$2:$D$2001,"*BOOKED"),MIN(_xlfn.MINIFS(LOG!$G$2:$G$2001,LOG!$C$2:$C$2001,F352,LOG!$E$2:$E$2001,B352,LOG!$D$2:$D$2001,"*BOOKED"),_xlfn.MINIFS(LOG!$G$2:$G$2001,LOG!$C$2:$C$2001,F352,LOG!$E$2:$E$2001,"",LOG!$D$2:$D$2001,"*BOOKED")))),"")</f>
        <v>46309.673712173433</v>
      </c>
      <c r="AN352" s="28">
        <f t="shared" si="62"/>
        <v>20.319092162477318</v>
      </c>
      <c r="AO352" s="28">
        <f>IF(AND(M352=1,AN352&lt;&gt;""),IF(AN352&lt;=SETTINGS!$B$5,1,0),0)</f>
        <v>1</v>
      </c>
      <c r="AP352" s="28">
        <f>IF(M352=1,IF(COUNTIFS(LOG!$C$2:$C$2001,F352,LOG!$E$2:$E$2001,B352,LOG!$D$2:$D$2001,"BOOKED")+COUNTIFS(LOG!$C$2:$C$2001,F352,LOG!$E$2:$E$2001,"",LOG!$D$2:$D$2001,"BOOKED")&gt;0,1,0),0)</f>
        <v>1</v>
      </c>
      <c r="AQ352" s="28" t="str">
        <f t="shared" si="63"/>
        <v>Dev</v>
      </c>
      <c r="AR352" s="28">
        <f>IF(AND(AK352=1,K352="OK"),COUNTIFS($AK$2:AK352,1,$K$2:K352,"OK"),"")</f>
        <v>301</v>
      </c>
      <c r="AS352" s="28" t="str">
        <f>IF(L352=1,IFERROR(INDEX(MESSAGES!$J$9:$J$1008,MATCH(F352,MESSAGES!$M$9:$M$1008,0))&amp;"",""),"")</f>
        <v/>
      </c>
      <c r="AT352" s="28" t="str">
        <f>IF(L352=1,IFERROR(INDEX(MESSAGES!$K$9:$K$1008,MATCH(F352,MESSAGES!$M$9:$M$1008,0))&amp;"",""),"")</f>
        <v/>
      </c>
      <c r="AU352" s="28">
        <f t="shared" ca="1" si="64"/>
        <v>0</v>
      </c>
      <c r="AV352" s="28" t="str">
        <f t="shared" si="65"/>
        <v>SEND</v>
      </c>
    </row>
    <row r="353" spans="1:48" x14ac:dyDescent="0.35">
      <c r="A353" s="28">
        <v>352</v>
      </c>
      <c r="B353" s="28" t="str">
        <f>IF(INPUT!A353="","",TRIM(INPUT!A353))</f>
        <v>Partner 003</v>
      </c>
      <c r="C353" s="28" t="str">
        <f>IF(B353="","",INPUT!C353)</f>
        <v>interviewer1@partner003.example.com</v>
      </c>
      <c r="D353" s="28" t="str">
        <f>IF(B353="","",INPUT!D353)</f>
        <v>Yash F.</v>
      </c>
      <c r="E353" s="28" t="str">
        <f>IF(B353="","",INPUT!E353)</f>
        <v>yash.f166@example.com</v>
      </c>
      <c r="F353" s="43" t="str">
        <f>IF(B353="","",TRIM(INPUT!F353&amp;""))</f>
        <v>9000002165</v>
      </c>
      <c r="G353" s="28" t="str">
        <f>IF(B353="","",INPUT!H353)</f>
        <v>Round1</v>
      </c>
      <c r="H353" s="46">
        <f>IF(B353="","",INPUT!I353)</f>
        <v>46308.82708333333</v>
      </c>
      <c r="I353" s="28" t="str">
        <f>IF(B353="","",IF(INPUT!J353="","None",INPUT!J353))</f>
        <v>Clicked</v>
      </c>
      <c r="J353" s="28" t="str">
        <f t="shared" si="55"/>
        <v>yash.f166@example.com|partner 003|Round1|interviewer1@partner003.example.com</v>
      </c>
      <c r="K353" s="28" t="str">
        <f>IF(B353="","",IF(SUMPRODUCT(($J$2:$J$601=J353)*($H$2:$H$601&lt;H353))+SUMPRODUCT(($J$2:J353=J353)*($H$2:H353=H353))-1&gt;0,"DUPLICATE",IF(AND(ISNUMBER(SEARCH("@",E353)),ISNUMBER(SEARCH(".",E353)),LEN(F353)=10,ISNUMBER(VALUE(F353))),"OK","BAD CONTACT")))</f>
        <v>OK</v>
      </c>
      <c r="L353" s="28">
        <f t="shared" si="56"/>
        <v>1</v>
      </c>
      <c r="M353" s="28">
        <f>IF(L353=1,IF(COUNTIFS(LOG!$C$2:$C$2001,F353,LOG!$E$2:$E$2001,B353,LOG!$D$2:$D$2001,"*BOOKED")+COUNTIFS(LOG!$C$2:$C$2001,F353,LOG!$E$2:$E$2001,"",LOG!$D$2:$D$2001,"*BOOKED")&gt;0,1,0),0)</f>
        <v>1</v>
      </c>
      <c r="N353" s="28">
        <f>IF(L353=1,IF(COUNTIFS(LOG!$C$2:$C$2001,F353,LOG!$E$2:$E$2001,B353,LOG!$D$2:$D$2001,"NOT_INTERESTED")+COUNTIFS(LOG!$C$2:$C$2001,F353,LOG!$E$2:$E$2001,"",LOG!$D$2:$D$2001,"NOT_INTERESTED")&gt;0,1,0),0)</f>
        <v>0</v>
      </c>
      <c r="O353" s="28">
        <f>IF(L353=1,IF(COUNTIFS(LOG!$C$2:$C$2001,F353,LOG!$D$2:$D$2001,"STOP")+COUNTIFS(LOG!$C$2:$C$2001,F353,LOG!$D$2:$D$2001,"WRONG_NUMBER")&gt;0,1,IF(ISNUMBER(SEARCH("STOP",AT353)),1,0)),0)</f>
        <v>0</v>
      </c>
      <c r="P353" s="28">
        <f>IF(L353=1,IF(IFERROR(INDEX(PARTNERS!$D$2:$D$88,MATCH(B353,PARTNERS!$A$2:$A$88,0)),"")="NO SLOTS",1,IF(AND(IFERROR(INDEX(PARTNERS!$D$2:$D$88,MATCH(B353,PARTNERS!$A$2:$A$88,0)),"")&lt;&gt;"REOPENED",COUNTIFS(LOG!$E$2:$E$2001,B353,LOG!$D$2:$D$2001,"NO_SLOTS")&gt;0),1,0)),0)</f>
        <v>0</v>
      </c>
      <c r="Q353" s="28">
        <f>IF(L353=1,COUNTIFS(LOG!$C$2:$C$2001,F353,LOG!$H$2:$H$2001,1),0)</f>
        <v>2</v>
      </c>
      <c r="R353" s="46">
        <f>IF(Q353&gt;0,_xlfn.MAXIFS(LOG!$G$2:$G$2001,LOG!$C$2:$C$2001,F353,LOG!$H$2:$H$2001,1),0)</f>
        <v>46309.744995274275</v>
      </c>
      <c r="S353" s="28" t="str">
        <f>IF(Q353&gt;0,IFERROR(INDEX(LOG!$D$2:$D$2001,MATCH(F353&amp;"|"&amp;Q353,LOG!$I$2:$I$2001,0)),""),"")</f>
        <v>BOOKED</v>
      </c>
      <c r="T353" s="28">
        <f>IF(S353="",0,IFERROR(VLOOKUP(S353,LISTS!$A$2:$E$10,4,FALSE),0))</f>
        <v>0</v>
      </c>
      <c r="U353" s="46">
        <f t="shared" si="57"/>
        <v>46309.744995274275</v>
      </c>
      <c r="V353" s="46">
        <f>IF(L353=1,H353+SETTINGS!$B$5/24,"")</f>
        <v>46309.82708333333</v>
      </c>
      <c r="W353" s="28">
        <f ca="1">IF(L353=1,(V353-SETTINGS!$B$4)*24,"")</f>
        <v>-1.6666666720993817E-2</v>
      </c>
      <c r="X353" s="28">
        <f ca="1">IF(AND(L353=1,K353="OK",M353=0,N353=0,O353=0,P353=0,SETTINGS!$B$4&lt;V353,Q353&lt;SETTINGS!$B$6),1,0)</f>
        <v>0</v>
      </c>
      <c r="Y353" s="28">
        <f ca="1">IF(AND(X353=1,SETTINGS!$B$4&gt;=H353,SETTINGS!$B$4&gt;=U353,ROUND(MOD(SETTINGS!$B$4,1)*1440,0)&gt;=ROUND(SETTINGS!$B$7*1440,0),ROUND(MOD(SETTINGS!$B$4,1)*1440,0)&lt;ROUND(SETTINGS!$B$8*1440,0)),1,0)</f>
        <v>0</v>
      </c>
      <c r="Z353" s="28" t="str">
        <f ca="1">IF(B353="","",IF(ROUND(MOD(SETTINGS!$B$4,1)*1440,0)&lt;ROUND(SETTINGS!$B$11*1440,0),"Ram",IF(ROUND(MOD(SETTINGS!$B$4,1)*1440,0)&gt;=ROUND(SETTINGS!$B$10*1440,0),"Shyam",IF(MOD(IFERROR(VALUE(RIGHT(F353,2)),0),2)=0,"Ram","Shyam"))))</f>
        <v>Shyam</v>
      </c>
      <c r="AA353" s="28">
        <f t="shared" ca="1" si="58"/>
        <v>0</v>
      </c>
      <c r="AB353" s="28">
        <f ca="1">IF(X353=1,COUNTIFS($F$2:F353,F353,$X$2:X353,1),0)</f>
        <v>0</v>
      </c>
      <c r="AC353" s="28" t="str">
        <f>IF(L353=1,IF(IFERROR(INDEX(PARTNERS!$C$2:$C$88,MATCH(B353,PARTNERS!$A$2:$A$88,0)),"")="YES","YES","NO"),"")</f>
        <v>NO</v>
      </c>
      <c r="AD353" s="28" t="str">
        <f>IF(L353=1,IFERROR(INDEX(PARTNERS!$B$2:$B$88,MATCH(B353,PARTNERS!$A$2:$A$88,0)),""),"")</f>
        <v>https://calendly.com/partner003/interview</v>
      </c>
      <c r="AE353" s="28">
        <f ca="1">IF(X353=1,IFERROR(INDEX(SETTINGS!$B$34:$D$36,MATCH(I353,SETTINGS!$A$34:$A$36,0),MIN(Q353,2)+1),SETTINGS!$B$36),0)</f>
        <v>0</v>
      </c>
      <c r="AF353" s="28">
        <f t="shared" si="59"/>
        <v>1</v>
      </c>
      <c r="AG353" s="28">
        <f ca="1">IF(AND(Y353=1,AB353=1),ROUND(AA353*AE353*IF(AF353&gt;1,SETTINGS!$B$16,1)*IF(W353&lt;=SETTINGS!$B$14,SETTINGS!$B$15,1)*IF(AU353=1,SETTINGS!$B$21,1),6),0)</f>
        <v>0</v>
      </c>
      <c r="AH353" s="28" t="str">
        <f ca="1">IF(AG353&gt;0,COUNTIFS($Z$2:$Z$601,Z353,$AG$2:$AG$601,"&gt;"&amp;AG353)+COUNTIFS($Z$2:Z353,Z353,$AG$2:AG353,AG353),"")</f>
        <v/>
      </c>
      <c r="AI353" s="28" t="str">
        <f t="shared" ca="1" si="60"/>
        <v/>
      </c>
      <c r="AJ353" s="28" t="str">
        <f t="shared" ca="1" si="61"/>
        <v/>
      </c>
      <c r="AK353" s="28">
        <f>IF(L353=1,IF(COUNTIFS($F$2:F353,F353,$L$2:L353,1)=1,1,0),0)</f>
        <v>0</v>
      </c>
      <c r="AL353" s="28" t="str">
        <f>IF(B353="","",IF(K353="DUPLICATE","Duplicate (removed)",IF(AO353=1,"Scheduled within 24h",IF(M353=1,"Scheduled late",IF(K353="BAD CONTACT","Bad contact details",IF(O353=1,"Stopped / wrong number",IF(N353=1,"Not interested",IF(P353=1,"Partner has no slots",IF(SETTINGS!$B$4&gt;=V353,IF(Q353=0,"Missed deadline: never tried","Missed deadline: tried, not booked"),IF(Q353&gt;=SETTINGS!$B$6,"No reply after max tries","Open"))))))))))</f>
        <v>Scheduled within 24h</v>
      </c>
      <c r="AM353" s="46">
        <f>IF(M353=1,IF(_xlfn.MINIFS(LOG!$G$2:$G$2001,LOG!$C$2:$C$2001,F353,LOG!$E$2:$E$2001,B353,LOG!$D$2:$D$2001,"*BOOKED")=0,_xlfn.MINIFS(LOG!$G$2:$G$2001,LOG!$C$2:$C$2001,F353,LOG!$E$2:$E$2001,"",LOG!$D$2:$D$2001,"*BOOKED"),IF(_xlfn.MINIFS(LOG!$G$2:$G$2001,LOG!$C$2:$C$2001,F353,LOG!$E$2:$E$2001,"",LOG!$D$2:$D$2001,"*BOOKED")=0,_xlfn.MINIFS(LOG!$G$2:$G$2001,LOG!$C$2:$C$2001,F353,LOG!$E$2:$E$2001,B353,LOG!$D$2:$D$2001,"*BOOKED"),MIN(_xlfn.MINIFS(LOG!$G$2:$G$2001,LOG!$C$2:$C$2001,F353,LOG!$E$2:$E$2001,B353,LOG!$D$2:$D$2001,"*BOOKED"),_xlfn.MINIFS(LOG!$G$2:$G$2001,LOG!$C$2:$C$2001,F353,LOG!$E$2:$E$2001,"",LOG!$D$2:$D$2001,"*BOOKED")))),"")</f>
        <v>46309.439307407498</v>
      </c>
      <c r="AN353" s="28">
        <f t="shared" si="62"/>
        <v>14.69337778002955</v>
      </c>
      <c r="AO353" s="28">
        <f>IF(AND(M353=1,AN353&lt;&gt;""),IF(AN353&lt;=SETTINGS!$B$5,1,0),0)</f>
        <v>1</v>
      </c>
      <c r="AP353" s="28">
        <f>IF(M353=1,IF(COUNTIFS(LOG!$C$2:$C$2001,F353,LOG!$E$2:$E$2001,B353,LOG!$D$2:$D$2001,"BOOKED")+COUNTIFS(LOG!$C$2:$C$2001,F353,LOG!$E$2:$E$2001,"",LOG!$D$2:$D$2001,"BOOKED")&gt;0,1,0),0)</f>
        <v>1</v>
      </c>
      <c r="AQ353" s="28" t="str">
        <f t="shared" si="63"/>
        <v>Yash</v>
      </c>
      <c r="AR353" s="28" t="str">
        <f>IF(AND(AK353=1,K353="OK"),COUNTIFS($AK$2:AK353,1,$K$2:K353,"OK"),"")</f>
        <v/>
      </c>
      <c r="AS353" s="28" t="str">
        <f>IF(L353=1,IFERROR(INDEX(MESSAGES!$J$9:$J$1008,MATCH(F353,MESSAGES!$M$9:$M$1008,0))&amp;"",""),"")</f>
        <v/>
      </c>
      <c r="AT353" s="28" t="str">
        <f>IF(L353=1,IFERROR(INDEX(MESSAGES!$K$9:$K$1008,MATCH(F353,MESSAGES!$M$9:$M$1008,0))&amp;"",""),"")</f>
        <v/>
      </c>
      <c r="AU353" s="28">
        <f t="shared" ca="1" si="64"/>
        <v>0</v>
      </c>
      <c r="AV353" s="28" t="str">
        <f t="shared" si="65"/>
        <v>SEND</v>
      </c>
    </row>
    <row r="354" spans="1:48" x14ac:dyDescent="0.35">
      <c r="A354" s="28">
        <v>353</v>
      </c>
      <c r="B354" s="28" t="str">
        <f>IF(INPUT!A354="","",TRIM(INPUT!A354))</f>
        <v>Partner 000</v>
      </c>
      <c r="C354" s="28" t="str">
        <f>IF(B354="","",INPUT!C354)</f>
        <v>interviewer2@partner000.example.com</v>
      </c>
      <c r="D354" s="28" t="str">
        <f>IF(B354="","",INPUT!D354)</f>
        <v>Ishaan E.</v>
      </c>
      <c r="E354" s="28" t="str">
        <f>IF(B354="","",INPUT!E354)</f>
        <v>ishaan.e134@example.com</v>
      </c>
      <c r="F354" s="43" t="str">
        <f>IF(B354="","",TRIM(INPUT!F354&amp;""))</f>
        <v>9000001749</v>
      </c>
      <c r="G354" s="28" t="str">
        <f>IF(B354="","",INPUT!H354)</f>
        <v>Round1</v>
      </c>
      <c r="H354" s="46">
        <f>IF(B354="","",INPUT!I354)</f>
        <v>46308.82708333333</v>
      </c>
      <c r="I354" s="28" t="str">
        <f>IF(B354="","",IF(INPUT!J354="","None",INPUT!J354))</f>
        <v>Opened</v>
      </c>
      <c r="J354" s="28" t="str">
        <f t="shared" si="55"/>
        <v>ishaan.e134@example.com|partner 000|Round1|interviewer2@partner000.example.com</v>
      </c>
      <c r="K354" s="28" t="str">
        <f>IF(B354="","",IF(SUMPRODUCT(($J$2:$J$601=J354)*($H$2:$H$601&lt;H354))+SUMPRODUCT(($J$2:J354=J354)*($H$2:H354=H354))-1&gt;0,"DUPLICATE",IF(AND(ISNUMBER(SEARCH("@",E354)),ISNUMBER(SEARCH(".",E354)),LEN(F354)=10,ISNUMBER(VALUE(F354))),"OK","BAD CONTACT")))</f>
        <v>OK</v>
      </c>
      <c r="L354" s="28">
        <f t="shared" si="56"/>
        <v>1</v>
      </c>
      <c r="M354" s="28">
        <f>IF(L354=1,IF(COUNTIFS(LOG!$C$2:$C$2001,F354,LOG!$E$2:$E$2001,B354,LOG!$D$2:$D$2001,"*BOOKED")+COUNTIFS(LOG!$C$2:$C$2001,F354,LOG!$E$2:$E$2001,"",LOG!$D$2:$D$2001,"*BOOKED")&gt;0,1,0),0)</f>
        <v>0</v>
      </c>
      <c r="N354" s="28">
        <f>IF(L354=1,IF(COUNTIFS(LOG!$C$2:$C$2001,F354,LOG!$E$2:$E$2001,B354,LOG!$D$2:$D$2001,"NOT_INTERESTED")+COUNTIFS(LOG!$C$2:$C$2001,F354,LOG!$E$2:$E$2001,"",LOG!$D$2:$D$2001,"NOT_INTERESTED")&gt;0,1,0),0)</f>
        <v>0</v>
      </c>
      <c r="O354" s="28">
        <f>IF(L354=1,IF(COUNTIFS(LOG!$C$2:$C$2001,F354,LOG!$D$2:$D$2001,"STOP")+COUNTIFS(LOG!$C$2:$C$2001,F354,LOG!$D$2:$D$2001,"WRONG_NUMBER")&gt;0,1,IF(ISNUMBER(SEARCH("STOP",AT354)),1,0)),0)</f>
        <v>0</v>
      </c>
      <c r="P354" s="28">
        <f>IF(L354=1,IF(IFERROR(INDEX(PARTNERS!$D$2:$D$88,MATCH(B354,PARTNERS!$A$2:$A$88,0)),"")="NO SLOTS",1,IF(AND(IFERROR(INDEX(PARTNERS!$D$2:$D$88,MATCH(B354,PARTNERS!$A$2:$A$88,0)),"")&lt;&gt;"REOPENED",COUNTIFS(LOG!$E$2:$E$2001,B354,LOG!$D$2:$D$2001,"NO_SLOTS")&gt;0),1,0)),0)</f>
        <v>0</v>
      </c>
      <c r="Q354" s="28">
        <f>IF(L354=1,COUNTIFS(LOG!$C$2:$C$2001,F354,LOG!$H$2:$H$2001,1),0)</f>
        <v>0</v>
      </c>
      <c r="R354" s="46">
        <f>IF(Q354&gt;0,_xlfn.MAXIFS(LOG!$G$2:$G$2001,LOG!$C$2:$C$2001,F354,LOG!$H$2:$H$2001,1),0)</f>
        <v>0</v>
      </c>
      <c r="S354" s="28" t="str">
        <f>IF(Q354&gt;0,IFERROR(INDEX(LOG!$D$2:$D$2001,MATCH(F354&amp;"|"&amp;Q354,LOG!$I$2:$I$2001,0)),""),"")</f>
        <v/>
      </c>
      <c r="T354" s="28">
        <f>IF(S354="",0,IFERROR(VLOOKUP(S354,LISTS!$A$2:$E$10,4,FALSE),0))</f>
        <v>0</v>
      </c>
      <c r="U354" s="46">
        <f t="shared" si="57"/>
        <v>0</v>
      </c>
      <c r="V354" s="46">
        <f>IF(L354=1,H354+SETTINGS!$B$5/24,"")</f>
        <v>46309.82708333333</v>
      </c>
      <c r="W354" s="28">
        <f ca="1">IF(L354=1,(V354-SETTINGS!$B$4)*24,"")</f>
        <v>-1.6666666720993817E-2</v>
      </c>
      <c r="X354" s="28">
        <f ca="1">IF(AND(L354=1,K354="OK",M354=0,N354=0,O354=0,P354=0,SETTINGS!$B$4&lt;V354,Q354&lt;SETTINGS!$B$6),1,0)</f>
        <v>0</v>
      </c>
      <c r="Y354" s="28">
        <f ca="1">IF(AND(X354=1,SETTINGS!$B$4&gt;=H354,SETTINGS!$B$4&gt;=U354,ROUND(MOD(SETTINGS!$B$4,1)*1440,0)&gt;=ROUND(SETTINGS!$B$7*1440,0),ROUND(MOD(SETTINGS!$B$4,1)*1440,0)&lt;ROUND(SETTINGS!$B$8*1440,0)),1,0)</f>
        <v>0</v>
      </c>
      <c r="Z354" s="28" t="str">
        <f ca="1">IF(B354="","",IF(ROUND(MOD(SETTINGS!$B$4,1)*1440,0)&lt;ROUND(SETTINGS!$B$11*1440,0),"Ram",IF(ROUND(MOD(SETTINGS!$B$4,1)*1440,0)&gt;=ROUND(SETTINGS!$B$10*1440,0),"Shyam",IF(MOD(IFERROR(VALUE(RIGHT(F354,2)),0),2)=0,"Ram","Shyam"))))</f>
        <v>Shyam</v>
      </c>
      <c r="AA354" s="28">
        <f t="shared" ca="1" si="58"/>
        <v>0</v>
      </c>
      <c r="AB354" s="28">
        <f ca="1">IF(X354=1,COUNTIFS($F$2:F354,F354,$X$2:X354,1),0)</f>
        <v>0</v>
      </c>
      <c r="AC354" s="28" t="str">
        <f>IF(L354=1,IF(IFERROR(INDEX(PARTNERS!$C$2:$C$88,MATCH(B354,PARTNERS!$A$2:$A$88,0)),"")="YES","YES","NO"),"")</f>
        <v>NO</v>
      </c>
      <c r="AD354" s="28" t="str">
        <f>IF(L354=1,IFERROR(INDEX(PARTNERS!$B$2:$B$88,MATCH(B354,PARTNERS!$A$2:$A$88,0)),""),"")</f>
        <v>https://calendly.com/partner000/interview</v>
      </c>
      <c r="AE354" s="28">
        <f ca="1">IF(X354=1,IFERROR(INDEX(SETTINGS!$B$34:$D$36,MATCH(I354,SETTINGS!$A$34:$A$36,0),MIN(Q354,2)+1),SETTINGS!$B$36),0)</f>
        <v>0</v>
      </c>
      <c r="AF354" s="28">
        <f t="shared" si="59"/>
        <v>1</v>
      </c>
      <c r="AG354" s="28">
        <f ca="1">IF(AND(Y354=1,AB354=1),ROUND(AA354*AE354*IF(AF354&gt;1,SETTINGS!$B$16,1)*IF(W354&lt;=SETTINGS!$B$14,SETTINGS!$B$15,1)*IF(AU354=1,SETTINGS!$B$21,1),6),0)</f>
        <v>0</v>
      </c>
      <c r="AH354" s="28" t="str">
        <f ca="1">IF(AG354&gt;0,COUNTIFS($Z$2:$Z$601,Z354,$AG$2:$AG$601,"&gt;"&amp;AG354)+COUNTIFS($Z$2:Z354,Z354,$AG$2:AG354,AG354),"")</f>
        <v/>
      </c>
      <c r="AI354" s="28" t="str">
        <f t="shared" ca="1" si="60"/>
        <v/>
      </c>
      <c r="AJ354" s="28" t="str">
        <f t="shared" ca="1" si="61"/>
        <v/>
      </c>
      <c r="AK354" s="28">
        <f>IF(L354=1,IF(COUNTIFS($F$2:F354,F354,$L$2:L354,1)=1,1,0),0)</f>
        <v>1</v>
      </c>
      <c r="AL354" s="28" t="str">
        <f ca="1">IF(B354="","",IF(K354="DUPLICATE","Duplicate (removed)",IF(AO354=1,"Scheduled within 24h",IF(M354=1,"Scheduled late",IF(K354="BAD CONTACT","Bad contact details",IF(O354=1,"Stopped / wrong number",IF(N354=1,"Not interested",IF(P354=1,"Partner has no slots",IF(SETTINGS!$B$4&gt;=V354,IF(Q354=0,"Missed deadline: never tried","Missed deadline: tried, not booked"),IF(Q354&gt;=SETTINGS!$B$6,"No reply after max tries","Open"))))))))))</f>
        <v>Missed deadline: never tried</v>
      </c>
      <c r="AM354" s="46" t="str">
        <f>IF(M354=1,IF(_xlfn.MINIFS(LOG!$G$2:$G$2001,LOG!$C$2:$C$2001,F354,LOG!$E$2:$E$2001,B354,LOG!$D$2:$D$2001,"*BOOKED")=0,_xlfn.MINIFS(LOG!$G$2:$G$2001,LOG!$C$2:$C$2001,F354,LOG!$E$2:$E$2001,"",LOG!$D$2:$D$2001,"*BOOKED"),IF(_xlfn.MINIFS(LOG!$G$2:$G$2001,LOG!$C$2:$C$2001,F354,LOG!$E$2:$E$2001,"",LOG!$D$2:$D$2001,"*BOOKED")=0,_xlfn.MINIFS(LOG!$G$2:$G$2001,LOG!$C$2:$C$2001,F354,LOG!$E$2:$E$2001,B354,LOG!$D$2:$D$2001,"*BOOKED"),MIN(_xlfn.MINIFS(LOG!$G$2:$G$2001,LOG!$C$2:$C$2001,F354,LOG!$E$2:$E$2001,B354,LOG!$D$2:$D$2001,"*BOOKED"),_xlfn.MINIFS(LOG!$G$2:$G$2001,LOG!$C$2:$C$2001,F354,LOG!$E$2:$E$2001,"",LOG!$D$2:$D$2001,"*BOOKED")))),"")</f>
        <v/>
      </c>
      <c r="AN354" s="28" t="str">
        <f t="shared" si="62"/>
        <v/>
      </c>
      <c r="AO354" s="28">
        <f>IF(AND(M354=1,AN354&lt;&gt;""),IF(AN354&lt;=SETTINGS!$B$5,1,0),0)</f>
        <v>0</v>
      </c>
      <c r="AP354" s="28">
        <f>IF(M354=1,IF(COUNTIFS(LOG!$C$2:$C$2001,F354,LOG!$E$2:$E$2001,B354,LOG!$D$2:$D$2001,"BOOKED")+COUNTIFS(LOG!$C$2:$C$2001,F354,LOG!$E$2:$E$2001,"",LOG!$D$2:$D$2001,"BOOKED")&gt;0,1,0),0)</f>
        <v>0</v>
      </c>
      <c r="AQ354" s="28" t="str">
        <f t="shared" si="63"/>
        <v>Ishaan</v>
      </c>
      <c r="AR354" s="28">
        <f>IF(AND(AK354=1,K354="OK"),COUNTIFS($AK$2:AK354,1,$K$2:K354,"OK"),"")</f>
        <v>302</v>
      </c>
      <c r="AS354" s="28" t="str">
        <f>IF(L354=1,IFERROR(INDEX(MESSAGES!$J$9:$J$1008,MATCH(F354,MESSAGES!$M$9:$M$1008,0))&amp;"",""),"")</f>
        <v/>
      </c>
      <c r="AT354" s="28" t="str">
        <f>IF(L354=1,IFERROR(INDEX(MESSAGES!$K$9:$K$1008,MATCH(F354,MESSAGES!$M$9:$M$1008,0))&amp;"",""),"")</f>
        <v/>
      </c>
      <c r="AU354" s="28">
        <f t="shared" ca="1" si="64"/>
        <v>0</v>
      </c>
      <c r="AV354" s="28" t="str">
        <f t="shared" si="65"/>
        <v>SEND</v>
      </c>
    </row>
    <row r="355" spans="1:48" x14ac:dyDescent="0.35">
      <c r="A355" s="28">
        <v>354</v>
      </c>
      <c r="B355" s="28" t="str">
        <f>IF(INPUT!A355="","",TRIM(INPUT!A355))</f>
        <v>Partner 003</v>
      </c>
      <c r="C355" s="28" t="str">
        <f>IF(B355="","",INPUT!C355)</f>
        <v>interviewer1@partner003.example.com</v>
      </c>
      <c r="D355" s="28" t="str">
        <f>IF(B355="","",INPUT!D355)</f>
        <v>Yash H.</v>
      </c>
      <c r="E355" s="28" t="str">
        <f>IF(B355="","",INPUT!E355)</f>
        <v>yash.h226@example.com</v>
      </c>
      <c r="F355" s="43" t="str">
        <f>IF(B355="","",TRIM(INPUT!F355&amp;""))</f>
        <v>9000002945</v>
      </c>
      <c r="G355" s="28" t="str">
        <f>IF(B355="","",INPUT!H355)</f>
        <v>Round1</v>
      </c>
      <c r="H355" s="46">
        <f>IF(B355="","",INPUT!I355)</f>
        <v>46308.82708333333</v>
      </c>
      <c r="I355" s="28" t="str">
        <f>IF(B355="","",IF(INPUT!J355="","None",INPUT!J355))</f>
        <v>None</v>
      </c>
      <c r="J355" s="28" t="str">
        <f t="shared" si="55"/>
        <v>yash.h226@example.com|partner 003|Round1|interviewer1@partner003.example.com</v>
      </c>
      <c r="K355" s="28" t="str">
        <f>IF(B355="","",IF(SUMPRODUCT(($J$2:$J$601=J355)*($H$2:$H$601&lt;H355))+SUMPRODUCT(($J$2:J355=J355)*($H$2:H355=H355))-1&gt;0,"DUPLICATE",IF(AND(ISNUMBER(SEARCH("@",E355)),ISNUMBER(SEARCH(".",E355)),LEN(F355)=10,ISNUMBER(VALUE(F355))),"OK","BAD CONTACT")))</f>
        <v>OK</v>
      </c>
      <c r="L355" s="28">
        <f t="shared" si="56"/>
        <v>1</v>
      </c>
      <c r="M355" s="28">
        <f>IF(L355=1,IF(COUNTIFS(LOG!$C$2:$C$2001,F355,LOG!$E$2:$E$2001,B355,LOG!$D$2:$D$2001,"*BOOKED")+COUNTIFS(LOG!$C$2:$C$2001,F355,LOG!$E$2:$E$2001,"",LOG!$D$2:$D$2001,"*BOOKED")&gt;0,1,0),0)</f>
        <v>1</v>
      </c>
      <c r="N355" s="28">
        <f>IF(L355=1,IF(COUNTIFS(LOG!$C$2:$C$2001,F355,LOG!$E$2:$E$2001,B355,LOG!$D$2:$D$2001,"NOT_INTERESTED")+COUNTIFS(LOG!$C$2:$C$2001,F355,LOG!$E$2:$E$2001,"",LOG!$D$2:$D$2001,"NOT_INTERESTED")&gt;0,1,0),0)</f>
        <v>0</v>
      </c>
      <c r="O355" s="28">
        <f>IF(L355=1,IF(COUNTIFS(LOG!$C$2:$C$2001,F355,LOG!$D$2:$D$2001,"STOP")+COUNTIFS(LOG!$C$2:$C$2001,F355,LOG!$D$2:$D$2001,"WRONG_NUMBER")&gt;0,1,IF(ISNUMBER(SEARCH("STOP",AT355)),1,0)),0)</f>
        <v>0</v>
      </c>
      <c r="P355" s="28">
        <f>IF(L355=1,IF(IFERROR(INDEX(PARTNERS!$D$2:$D$88,MATCH(B355,PARTNERS!$A$2:$A$88,0)),"")="NO SLOTS",1,IF(AND(IFERROR(INDEX(PARTNERS!$D$2:$D$88,MATCH(B355,PARTNERS!$A$2:$A$88,0)),"")&lt;&gt;"REOPENED",COUNTIFS(LOG!$E$2:$E$2001,B355,LOG!$D$2:$D$2001,"NO_SLOTS")&gt;0),1,0)),0)</f>
        <v>0</v>
      </c>
      <c r="Q355" s="28">
        <f>IF(L355=1,COUNTIFS(LOG!$C$2:$C$2001,F355,LOG!$H$2:$H$2001,1),0)</f>
        <v>0</v>
      </c>
      <c r="R355" s="46">
        <f>IF(Q355&gt;0,_xlfn.MAXIFS(LOG!$G$2:$G$2001,LOG!$C$2:$C$2001,F355,LOG!$H$2:$H$2001,1),0)</f>
        <v>0</v>
      </c>
      <c r="S355" s="28" t="str">
        <f>IF(Q355&gt;0,IFERROR(INDEX(LOG!$D$2:$D$2001,MATCH(F355&amp;"|"&amp;Q355,LOG!$I$2:$I$2001,0)),""),"")</f>
        <v/>
      </c>
      <c r="T355" s="28">
        <f>IF(S355="",0,IFERROR(VLOOKUP(S355,LISTS!$A$2:$E$10,4,FALSE),0))</f>
        <v>0</v>
      </c>
      <c r="U355" s="46">
        <f t="shared" si="57"/>
        <v>0</v>
      </c>
      <c r="V355" s="46">
        <f>IF(L355=1,H355+SETTINGS!$B$5/24,"")</f>
        <v>46309.82708333333</v>
      </c>
      <c r="W355" s="28">
        <f ca="1">IF(L355=1,(V355-SETTINGS!$B$4)*24,"")</f>
        <v>-1.6666666720993817E-2</v>
      </c>
      <c r="X355" s="28">
        <f ca="1">IF(AND(L355=1,K355="OK",M355=0,N355=0,O355=0,P355=0,SETTINGS!$B$4&lt;V355,Q355&lt;SETTINGS!$B$6),1,0)</f>
        <v>0</v>
      </c>
      <c r="Y355" s="28">
        <f ca="1">IF(AND(X355=1,SETTINGS!$B$4&gt;=H355,SETTINGS!$B$4&gt;=U355,ROUND(MOD(SETTINGS!$B$4,1)*1440,0)&gt;=ROUND(SETTINGS!$B$7*1440,0),ROUND(MOD(SETTINGS!$B$4,1)*1440,0)&lt;ROUND(SETTINGS!$B$8*1440,0)),1,0)</f>
        <v>0</v>
      </c>
      <c r="Z355" s="28" t="str">
        <f ca="1">IF(B355="","",IF(ROUND(MOD(SETTINGS!$B$4,1)*1440,0)&lt;ROUND(SETTINGS!$B$11*1440,0),"Ram",IF(ROUND(MOD(SETTINGS!$B$4,1)*1440,0)&gt;=ROUND(SETTINGS!$B$10*1440,0),"Shyam",IF(MOD(IFERROR(VALUE(RIGHT(F355,2)),0),2)=0,"Ram","Shyam"))))</f>
        <v>Shyam</v>
      </c>
      <c r="AA355" s="28">
        <f t="shared" ca="1" si="58"/>
        <v>0</v>
      </c>
      <c r="AB355" s="28">
        <f ca="1">IF(X355=1,COUNTIFS($F$2:F355,F355,$X$2:X355,1),0)</f>
        <v>0</v>
      </c>
      <c r="AC355" s="28" t="str">
        <f>IF(L355=1,IF(IFERROR(INDEX(PARTNERS!$C$2:$C$88,MATCH(B355,PARTNERS!$A$2:$A$88,0)),"")="YES","YES","NO"),"")</f>
        <v>NO</v>
      </c>
      <c r="AD355" s="28" t="str">
        <f>IF(L355=1,IFERROR(INDEX(PARTNERS!$B$2:$B$88,MATCH(B355,PARTNERS!$A$2:$A$88,0)),""),"")</f>
        <v>https://calendly.com/partner003/interview</v>
      </c>
      <c r="AE355" s="28">
        <f ca="1">IF(X355=1,IFERROR(INDEX(SETTINGS!$B$34:$D$36,MATCH(I355,SETTINGS!$A$34:$A$36,0),MIN(Q355,2)+1),SETTINGS!$B$36),0)</f>
        <v>0</v>
      </c>
      <c r="AF355" s="28">
        <f t="shared" si="59"/>
        <v>1</v>
      </c>
      <c r="AG355" s="28">
        <f ca="1">IF(AND(Y355=1,AB355=1),ROUND(AA355*AE355*IF(AF355&gt;1,SETTINGS!$B$16,1)*IF(W355&lt;=SETTINGS!$B$14,SETTINGS!$B$15,1)*IF(AU355=1,SETTINGS!$B$21,1),6),0)</f>
        <v>0</v>
      </c>
      <c r="AH355" s="28" t="str">
        <f ca="1">IF(AG355&gt;0,COUNTIFS($Z$2:$Z$601,Z355,$AG$2:$AG$601,"&gt;"&amp;AG355)+COUNTIFS($Z$2:Z355,Z355,$AG$2:AG355,AG355),"")</f>
        <v/>
      </c>
      <c r="AI355" s="28" t="str">
        <f t="shared" ca="1" si="60"/>
        <v/>
      </c>
      <c r="AJ355" s="28" t="str">
        <f t="shared" ca="1" si="61"/>
        <v/>
      </c>
      <c r="AK355" s="28">
        <f>IF(L355=1,IF(COUNTIFS($F$2:F355,F355,$L$2:L355,1)=1,1,0),0)</f>
        <v>1</v>
      </c>
      <c r="AL355" s="28" t="str">
        <f>IF(B355="","",IF(K355="DUPLICATE","Duplicate (removed)",IF(AO355=1,"Scheduled within 24h",IF(M355=1,"Scheduled late",IF(K355="BAD CONTACT","Bad contact details",IF(O355=1,"Stopped / wrong number",IF(N355=1,"Not interested",IF(P355=1,"Partner has no slots",IF(SETTINGS!$B$4&gt;=V355,IF(Q355=0,"Missed deadline: never tried","Missed deadline: tried, not booked"),IF(Q355&gt;=SETTINGS!$B$6,"No reply after max tries","Open"))))))))))</f>
        <v>Scheduled within 24h</v>
      </c>
      <c r="AM355" s="46">
        <f>IF(M355=1,IF(_xlfn.MINIFS(LOG!$G$2:$G$2001,LOG!$C$2:$C$2001,F355,LOG!$E$2:$E$2001,B355,LOG!$D$2:$D$2001,"*BOOKED")=0,_xlfn.MINIFS(LOG!$G$2:$G$2001,LOG!$C$2:$C$2001,F355,LOG!$E$2:$E$2001,"",LOG!$D$2:$D$2001,"*BOOKED"),IF(_xlfn.MINIFS(LOG!$G$2:$G$2001,LOG!$C$2:$C$2001,F355,LOG!$E$2:$E$2001,"",LOG!$D$2:$D$2001,"*BOOKED")=0,_xlfn.MINIFS(LOG!$G$2:$G$2001,LOG!$C$2:$C$2001,F355,LOG!$E$2:$E$2001,B355,LOG!$D$2:$D$2001,"*BOOKED"),MIN(_xlfn.MINIFS(LOG!$G$2:$G$2001,LOG!$C$2:$C$2001,F355,LOG!$E$2:$E$2001,B355,LOG!$D$2:$D$2001,"*BOOKED"),_xlfn.MINIFS(LOG!$G$2:$G$2001,LOG!$C$2:$C$2001,F355,LOG!$E$2:$E$2001,"",LOG!$D$2:$D$2001,"*BOOKED")))),"")</f>
        <v>46309.399036588584</v>
      </c>
      <c r="AN355" s="28">
        <f t="shared" si="62"/>
        <v>13.726878126093652</v>
      </c>
      <c r="AO355" s="28">
        <f>IF(AND(M355=1,AN355&lt;&gt;""),IF(AN355&lt;=SETTINGS!$B$5,1,0),0)</f>
        <v>1</v>
      </c>
      <c r="AP355" s="28">
        <f>IF(M355=1,IF(COUNTIFS(LOG!$C$2:$C$2001,F355,LOG!$E$2:$E$2001,B355,LOG!$D$2:$D$2001,"BOOKED")+COUNTIFS(LOG!$C$2:$C$2001,F355,LOG!$E$2:$E$2001,"",LOG!$D$2:$D$2001,"BOOKED")&gt;0,1,0),0)</f>
        <v>0</v>
      </c>
      <c r="AQ355" s="28" t="str">
        <f t="shared" si="63"/>
        <v>Yash</v>
      </c>
      <c r="AR355" s="28">
        <f>IF(AND(AK355=1,K355="OK"),COUNTIFS($AK$2:AK355,1,$K$2:K355,"OK"),"")</f>
        <v>303</v>
      </c>
      <c r="AS355" s="28" t="str">
        <f>IF(L355=1,IFERROR(INDEX(MESSAGES!$J$9:$J$1008,MATCH(F355,MESSAGES!$M$9:$M$1008,0))&amp;"",""),"")</f>
        <v/>
      </c>
      <c r="AT355" s="28" t="str">
        <f>IF(L355=1,IFERROR(INDEX(MESSAGES!$K$9:$K$1008,MATCH(F355,MESSAGES!$M$9:$M$1008,0))&amp;"",""),"")</f>
        <v/>
      </c>
      <c r="AU355" s="28">
        <f t="shared" ca="1" si="64"/>
        <v>0</v>
      </c>
      <c r="AV355" s="28" t="str">
        <f t="shared" si="65"/>
        <v>SEND</v>
      </c>
    </row>
    <row r="356" spans="1:48" x14ac:dyDescent="0.35">
      <c r="A356" s="28">
        <v>355</v>
      </c>
      <c r="B356" s="28" t="str">
        <f>IF(INPUT!A356="","",TRIM(INPUT!A356))</f>
        <v>Partner 045</v>
      </c>
      <c r="C356" s="28" t="str">
        <f>IF(B356="","",INPUT!C356)</f>
        <v>interviewer2@partner045.example.com</v>
      </c>
      <c r="D356" s="28" t="str">
        <f>IF(B356="","",INPUT!D356)</f>
        <v>Arjun K.</v>
      </c>
      <c r="E356" s="28" t="str">
        <f>IF(B356="","",INPUT!E356)</f>
        <v>arjun.k278@example.com</v>
      </c>
      <c r="F356" s="43" t="str">
        <f>IF(B356="","",TRIM(INPUT!F356&amp;""))</f>
        <v>9000003621</v>
      </c>
      <c r="G356" s="28" t="str">
        <f>IF(B356="","",INPUT!H356)</f>
        <v>Round1</v>
      </c>
      <c r="H356" s="46">
        <f>IF(B356="","",INPUT!I356)</f>
        <v>46308.82708333333</v>
      </c>
      <c r="I356" s="28" t="str">
        <f>IF(B356="","",IF(INPUT!J356="","None",INPUT!J356))</f>
        <v>Opened</v>
      </c>
      <c r="J356" s="28" t="str">
        <f t="shared" si="55"/>
        <v>arjun.k278@example.com|partner 045|Round1|interviewer2@partner045.example.com</v>
      </c>
      <c r="K356" s="28" t="str">
        <f>IF(B356="","",IF(SUMPRODUCT(($J$2:$J$601=J356)*($H$2:$H$601&lt;H356))+SUMPRODUCT(($J$2:J356=J356)*($H$2:H356=H356))-1&gt;0,"DUPLICATE",IF(AND(ISNUMBER(SEARCH("@",E356)),ISNUMBER(SEARCH(".",E356)),LEN(F356)=10,ISNUMBER(VALUE(F356))),"OK","BAD CONTACT")))</f>
        <v>OK</v>
      </c>
      <c r="L356" s="28">
        <f t="shared" si="56"/>
        <v>1</v>
      </c>
      <c r="M356" s="28">
        <f>IF(L356=1,IF(COUNTIFS(LOG!$C$2:$C$2001,F356,LOG!$E$2:$E$2001,B356,LOG!$D$2:$D$2001,"*BOOKED")+COUNTIFS(LOG!$C$2:$C$2001,F356,LOG!$E$2:$E$2001,"",LOG!$D$2:$D$2001,"*BOOKED")&gt;0,1,0),0)</f>
        <v>0</v>
      </c>
      <c r="N356" s="28">
        <f>IF(L356=1,IF(COUNTIFS(LOG!$C$2:$C$2001,F356,LOG!$E$2:$E$2001,B356,LOG!$D$2:$D$2001,"NOT_INTERESTED")+COUNTIFS(LOG!$C$2:$C$2001,F356,LOG!$E$2:$E$2001,"",LOG!$D$2:$D$2001,"NOT_INTERESTED")&gt;0,1,0),0)</f>
        <v>0</v>
      </c>
      <c r="O356" s="28">
        <f>IF(L356=1,IF(COUNTIFS(LOG!$C$2:$C$2001,F356,LOG!$D$2:$D$2001,"STOP")+COUNTIFS(LOG!$C$2:$C$2001,F356,LOG!$D$2:$D$2001,"WRONG_NUMBER")&gt;0,1,IF(ISNUMBER(SEARCH("STOP",AT356)),1,0)),0)</f>
        <v>0</v>
      </c>
      <c r="P356" s="28">
        <f>IF(L356=1,IF(IFERROR(INDEX(PARTNERS!$D$2:$D$88,MATCH(B356,PARTNERS!$A$2:$A$88,0)),"")="NO SLOTS",1,IF(AND(IFERROR(INDEX(PARTNERS!$D$2:$D$88,MATCH(B356,PARTNERS!$A$2:$A$88,0)),"")&lt;&gt;"REOPENED",COUNTIFS(LOG!$E$2:$E$2001,B356,LOG!$D$2:$D$2001,"NO_SLOTS")&gt;0),1,0)),0)</f>
        <v>0</v>
      </c>
      <c r="Q356" s="28">
        <f>IF(L356=1,COUNTIFS(LOG!$C$2:$C$2001,F356,LOG!$H$2:$H$2001,1),0)</f>
        <v>0</v>
      </c>
      <c r="R356" s="46">
        <f>IF(Q356&gt;0,_xlfn.MAXIFS(LOG!$G$2:$G$2001,LOG!$C$2:$C$2001,F356,LOG!$H$2:$H$2001,1),0)</f>
        <v>0</v>
      </c>
      <c r="S356" s="28" t="str">
        <f>IF(Q356&gt;0,IFERROR(INDEX(LOG!$D$2:$D$2001,MATCH(F356&amp;"|"&amp;Q356,LOG!$I$2:$I$2001,0)),""),"")</f>
        <v/>
      </c>
      <c r="T356" s="28">
        <f>IF(S356="",0,IFERROR(VLOOKUP(S356,LISTS!$A$2:$E$10,4,FALSE),0))</f>
        <v>0</v>
      </c>
      <c r="U356" s="46">
        <f t="shared" si="57"/>
        <v>0</v>
      </c>
      <c r="V356" s="46">
        <f>IF(L356=1,H356+SETTINGS!$B$5/24,"")</f>
        <v>46309.82708333333</v>
      </c>
      <c r="W356" s="28">
        <f ca="1">IF(L356=1,(V356-SETTINGS!$B$4)*24,"")</f>
        <v>-1.6666666720993817E-2</v>
      </c>
      <c r="X356" s="28">
        <f ca="1">IF(AND(L356=1,K356="OK",M356=0,N356=0,O356=0,P356=0,SETTINGS!$B$4&lt;V356,Q356&lt;SETTINGS!$B$6),1,0)</f>
        <v>0</v>
      </c>
      <c r="Y356" s="28">
        <f ca="1">IF(AND(X356=1,SETTINGS!$B$4&gt;=H356,SETTINGS!$B$4&gt;=U356,ROUND(MOD(SETTINGS!$B$4,1)*1440,0)&gt;=ROUND(SETTINGS!$B$7*1440,0),ROUND(MOD(SETTINGS!$B$4,1)*1440,0)&lt;ROUND(SETTINGS!$B$8*1440,0)),1,0)</f>
        <v>0</v>
      </c>
      <c r="Z356" s="28" t="str">
        <f ca="1">IF(B356="","",IF(ROUND(MOD(SETTINGS!$B$4,1)*1440,0)&lt;ROUND(SETTINGS!$B$11*1440,0),"Ram",IF(ROUND(MOD(SETTINGS!$B$4,1)*1440,0)&gt;=ROUND(SETTINGS!$B$10*1440,0),"Shyam",IF(MOD(IFERROR(VALUE(RIGHT(F356,2)),0),2)=0,"Ram","Shyam"))))</f>
        <v>Shyam</v>
      </c>
      <c r="AA356" s="28">
        <f t="shared" ca="1" si="58"/>
        <v>0</v>
      </c>
      <c r="AB356" s="28">
        <f ca="1">IF(X356=1,COUNTIFS($F$2:F356,F356,$X$2:X356,1),0)</f>
        <v>0</v>
      </c>
      <c r="AC356" s="28" t="str">
        <f>IF(L356=1,IF(IFERROR(INDEX(PARTNERS!$C$2:$C$88,MATCH(B356,PARTNERS!$A$2:$A$88,0)),"")="YES","YES","NO"),"")</f>
        <v>YES</v>
      </c>
      <c r="AD356" s="28" t="str">
        <f>IF(L356=1,IFERROR(INDEX(PARTNERS!$B$2:$B$88,MATCH(B356,PARTNERS!$A$2:$A$88,0)),""),"")</f>
        <v>https://calendly.com/partner045/interview</v>
      </c>
      <c r="AE356" s="28">
        <f ca="1">IF(X356=1,IFERROR(INDEX(SETTINGS!$B$34:$D$36,MATCH(I356,SETTINGS!$A$34:$A$36,0),MIN(Q356,2)+1),SETTINGS!$B$36),0)</f>
        <v>0</v>
      </c>
      <c r="AF356" s="28">
        <f t="shared" si="59"/>
        <v>1</v>
      </c>
      <c r="AG356" s="28">
        <f ca="1">IF(AND(Y356=1,AB356=1),ROUND(AA356*AE356*IF(AF356&gt;1,SETTINGS!$B$16,1)*IF(W356&lt;=SETTINGS!$B$14,SETTINGS!$B$15,1)*IF(AU356=1,SETTINGS!$B$21,1),6),0)</f>
        <v>0</v>
      </c>
      <c r="AH356" s="28" t="str">
        <f ca="1">IF(AG356&gt;0,COUNTIFS($Z$2:$Z$601,Z356,$AG$2:$AG$601,"&gt;"&amp;AG356)+COUNTIFS($Z$2:Z356,Z356,$AG$2:AG356,AG356),"")</f>
        <v/>
      </c>
      <c r="AI356" s="28" t="str">
        <f t="shared" ca="1" si="60"/>
        <v/>
      </c>
      <c r="AJ356" s="28" t="str">
        <f t="shared" ca="1" si="61"/>
        <v/>
      </c>
      <c r="AK356" s="28">
        <f>IF(L356=1,IF(COUNTIFS($F$2:F356,F356,$L$2:L356,1)=1,1,0),0)</f>
        <v>1</v>
      </c>
      <c r="AL356" s="28" t="str">
        <f ca="1">IF(B356="","",IF(K356="DUPLICATE","Duplicate (removed)",IF(AO356=1,"Scheduled within 24h",IF(M356=1,"Scheduled late",IF(K356="BAD CONTACT","Bad contact details",IF(O356=1,"Stopped / wrong number",IF(N356=1,"Not interested",IF(P356=1,"Partner has no slots",IF(SETTINGS!$B$4&gt;=V356,IF(Q356=0,"Missed deadline: never tried","Missed deadline: tried, not booked"),IF(Q356&gt;=SETTINGS!$B$6,"No reply after max tries","Open"))))))))))</f>
        <v>Missed deadline: never tried</v>
      </c>
      <c r="AM356" s="46" t="str">
        <f>IF(M356=1,IF(_xlfn.MINIFS(LOG!$G$2:$G$2001,LOG!$C$2:$C$2001,F356,LOG!$E$2:$E$2001,B356,LOG!$D$2:$D$2001,"*BOOKED")=0,_xlfn.MINIFS(LOG!$G$2:$G$2001,LOG!$C$2:$C$2001,F356,LOG!$E$2:$E$2001,"",LOG!$D$2:$D$2001,"*BOOKED"),IF(_xlfn.MINIFS(LOG!$G$2:$G$2001,LOG!$C$2:$C$2001,F356,LOG!$E$2:$E$2001,"",LOG!$D$2:$D$2001,"*BOOKED")=0,_xlfn.MINIFS(LOG!$G$2:$G$2001,LOG!$C$2:$C$2001,F356,LOG!$E$2:$E$2001,B356,LOG!$D$2:$D$2001,"*BOOKED"),MIN(_xlfn.MINIFS(LOG!$G$2:$G$2001,LOG!$C$2:$C$2001,F356,LOG!$E$2:$E$2001,B356,LOG!$D$2:$D$2001,"*BOOKED"),_xlfn.MINIFS(LOG!$G$2:$G$2001,LOG!$C$2:$C$2001,F356,LOG!$E$2:$E$2001,"",LOG!$D$2:$D$2001,"*BOOKED")))),"")</f>
        <v/>
      </c>
      <c r="AN356" s="28" t="str">
        <f t="shared" si="62"/>
        <v/>
      </c>
      <c r="AO356" s="28">
        <f>IF(AND(M356=1,AN356&lt;&gt;""),IF(AN356&lt;=SETTINGS!$B$5,1,0),0)</f>
        <v>0</v>
      </c>
      <c r="AP356" s="28">
        <f>IF(M356=1,IF(COUNTIFS(LOG!$C$2:$C$2001,F356,LOG!$E$2:$E$2001,B356,LOG!$D$2:$D$2001,"BOOKED")+COUNTIFS(LOG!$C$2:$C$2001,F356,LOG!$E$2:$E$2001,"",LOG!$D$2:$D$2001,"BOOKED")&gt;0,1,0),0)</f>
        <v>0</v>
      </c>
      <c r="AQ356" s="28" t="str">
        <f t="shared" si="63"/>
        <v>Arjun</v>
      </c>
      <c r="AR356" s="28">
        <f>IF(AND(AK356=1,K356="OK"),COUNTIFS($AK$2:AK356,1,$K$2:K356,"OK"),"")</f>
        <v>304</v>
      </c>
      <c r="AS356" s="28" t="str">
        <f>IF(L356=1,IFERROR(INDEX(MESSAGES!$J$9:$J$1008,MATCH(F356,MESSAGES!$M$9:$M$1008,0))&amp;"",""),"")</f>
        <v/>
      </c>
      <c r="AT356" s="28" t="str">
        <f>IF(L356=1,IFERROR(INDEX(MESSAGES!$K$9:$K$1008,MATCH(F356,MESSAGES!$M$9:$M$1008,0))&amp;"",""),"")</f>
        <v/>
      </c>
      <c r="AU356" s="28">
        <f t="shared" ca="1" si="64"/>
        <v>0</v>
      </c>
      <c r="AV356" s="28" t="str">
        <f t="shared" si="65"/>
        <v>SEND</v>
      </c>
    </row>
    <row r="357" spans="1:48" x14ac:dyDescent="0.35">
      <c r="A357" s="28">
        <v>356</v>
      </c>
      <c r="B357" s="28" t="str">
        <f>IF(INPUT!A357="","",TRIM(INPUT!A357))</f>
        <v>Partner 006</v>
      </c>
      <c r="C357" s="28" t="str">
        <f>IF(B357="","",INPUT!C357)</f>
        <v>interviewer0@partner006.example.com</v>
      </c>
      <c r="D357" s="28" t="str">
        <f>IF(B357="","",INPUT!D357)</f>
        <v>Nisha N.</v>
      </c>
      <c r="E357" s="28" t="str">
        <f>IF(B357="","",INPUT!E357)</f>
        <v>nisha.n387@example.com</v>
      </c>
      <c r="F357" s="43" t="str">
        <f>IF(B357="","",TRIM(INPUT!F357&amp;""))</f>
        <v>9000005038</v>
      </c>
      <c r="G357" s="28" t="str">
        <f>IF(B357="","",INPUT!H357)</f>
        <v>Round1</v>
      </c>
      <c r="H357" s="46">
        <f>IF(B357="","",INPUT!I357)</f>
        <v>46308.82708333333</v>
      </c>
      <c r="I357" s="28" t="str">
        <f>IF(B357="","",IF(INPUT!J357="","None",INPUT!J357))</f>
        <v>Opened</v>
      </c>
      <c r="J357" s="28" t="str">
        <f t="shared" si="55"/>
        <v>nisha.n387@example.com|partner 006|Round1|interviewer0@partner006.example.com</v>
      </c>
      <c r="K357" s="28" t="str">
        <f>IF(B357="","",IF(SUMPRODUCT(($J$2:$J$601=J357)*($H$2:$H$601&lt;H357))+SUMPRODUCT(($J$2:J357=J357)*($H$2:H357=H357))-1&gt;0,"DUPLICATE",IF(AND(ISNUMBER(SEARCH("@",E357)),ISNUMBER(SEARCH(".",E357)),LEN(F357)=10,ISNUMBER(VALUE(F357))),"OK","BAD CONTACT")))</f>
        <v>OK</v>
      </c>
      <c r="L357" s="28">
        <f t="shared" si="56"/>
        <v>1</v>
      </c>
      <c r="M357" s="28">
        <f>IF(L357=1,IF(COUNTIFS(LOG!$C$2:$C$2001,F357,LOG!$E$2:$E$2001,B357,LOG!$D$2:$D$2001,"*BOOKED")+COUNTIFS(LOG!$C$2:$C$2001,F357,LOG!$E$2:$E$2001,"",LOG!$D$2:$D$2001,"*BOOKED")&gt;0,1,0),0)</f>
        <v>0</v>
      </c>
      <c r="N357" s="28">
        <f>IF(L357=1,IF(COUNTIFS(LOG!$C$2:$C$2001,F357,LOG!$E$2:$E$2001,B357,LOG!$D$2:$D$2001,"NOT_INTERESTED")+COUNTIFS(LOG!$C$2:$C$2001,F357,LOG!$E$2:$E$2001,"",LOG!$D$2:$D$2001,"NOT_INTERESTED")&gt;0,1,0),0)</f>
        <v>0</v>
      </c>
      <c r="O357" s="28">
        <f>IF(L357=1,IF(COUNTIFS(LOG!$C$2:$C$2001,F357,LOG!$D$2:$D$2001,"STOP")+COUNTIFS(LOG!$C$2:$C$2001,F357,LOG!$D$2:$D$2001,"WRONG_NUMBER")&gt;0,1,IF(ISNUMBER(SEARCH("STOP",AT357)),1,0)),0)</f>
        <v>0</v>
      </c>
      <c r="P357" s="28">
        <f>IF(L357=1,IF(IFERROR(INDEX(PARTNERS!$D$2:$D$88,MATCH(B357,PARTNERS!$A$2:$A$88,0)),"")="NO SLOTS",1,IF(AND(IFERROR(INDEX(PARTNERS!$D$2:$D$88,MATCH(B357,PARTNERS!$A$2:$A$88,0)),"")&lt;&gt;"REOPENED",COUNTIFS(LOG!$E$2:$E$2001,B357,LOG!$D$2:$D$2001,"NO_SLOTS")&gt;0),1,0)),0)</f>
        <v>0</v>
      </c>
      <c r="Q357" s="28">
        <f>IF(L357=1,COUNTIFS(LOG!$C$2:$C$2001,F357,LOG!$H$2:$H$2001,1),0)</f>
        <v>3</v>
      </c>
      <c r="R357" s="46">
        <f>IF(Q357&gt;0,_xlfn.MAXIFS(LOG!$G$2:$G$2001,LOG!$C$2:$C$2001,F357,LOG!$H$2:$H$2001,1),0)</f>
        <v>46309.721806097397</v>
      </c>
      <c r="S357" s="28" t="str">
        <f>IF(Q357&gt;0,IFERROR(INDEX(LOG!$D$2:$D$2001,MATCH(F357&amp;"|"&amp;Q357,LOG!$I$2:$I$2001,0)),""),"")</f>
        <v>NO_ANSWER</v>
      </c>
      <c r="T357" s="28">
        <f>IF(S357="",0,IFERROR(VLOOKUP(S357,LISTS!$A$2:$E$10,4,FALSE),0))</f>
        <v>120</v>
      </c>
      <c r="U357" s="46">
        <f t="shared" si="57"/>
        <v>46309.805139430733</v>
      </c>
      <c r="V357" s="46">
        <f>IF(L357=1,H357+SETTINGS!$B$5/24,"")</f>
        <v>46309.82708333333</v>
      </c>
      <c r="W357" s="28">
        <f ca="1">IF(L357=1,(V357-SETTINGS!$B$4)*24,"")</f>
        <v>-1.6666666720993817E-2</v>
      </c>
      <c r="X357" s="28">
        <f ca="1">IF(AND(L357=1,K357="OK",M357=0,N357=0,O357=0,P357=0,SETTINGS!$B$4&lt;V357,Q357&lt;SETTINGS!$B$6),1,0)</f>
        <v>0</v>
      </c>
      <c r="Y357" s="28">
        <f ca="1">IF(AND(X357=1,SETTINGS!$B$4&gt;=H357,SETTINGS!$B$4&gt;=U357,ROUND(MOD(SETTINGS!$B$4,1)*1440,0)&gt;=ROUND(SETTINGS!$B$7*1440,0),ROUND(MOD(SETTINGS!$B$4,1)*1440,0)&lt;ROUND(SETTINGS!$B$8*1440,0)),1,0)</f>
        <v>0</v>
      </c>
      <c r="Z357" s="28" t="str">
        <f ca="1">IF(B357="","",IF(ROUND(MOD(SETTINGS!$B$4,1)*1440,0)&lt;ROUND(SETTINGS!$B$11*1440,0),"Ram",IF(ROUND(MOD(SETTINGS!$B$4,1)*1440,0)&gt;=ROUND(SETTINGS!$B$10*1440,0),"Shyam",IF(MOD(IFERROR(VALUE(RIGHT(F357,2)),0),2)=0,"Ram","Shyam"))))</f>
        <v>Shyam</v>
      </c>
      <c r="AA357" s="28">
        <f t="shared" ca="1" si="58"/>
        <v>0</v>
      </c>
      <c r="AB357" s="28">
        <f ca="1">IF(X357=1,COUNTIFS($F$2:F357,F357,$X$2:X357,1),0)</f>
        <v>0</v>
      </c>
      <c r="AC357" s="28" t="str">
        <f>IF(L357=1,IF(IFERROR(INDEX(PARTNERS!$C$2:$C$88,MATCH(B357,PARTNERS!$A$2:$A$88,0)),"")="YES","YES","NO"),"")</f>
        <v>YES</v>
      </c>
      <c r="AD357" s="28" t="str">
        <f>IF(L357=1,IFERROR(INDEX(PARTNERS!$B$2:$B$88,MATCH(B357,PARTNERS!$A$2:$A$88,0)),""),"")</f>
        <v>https://calendly.com/partner006/interview</v>
      </c>
      <c r="AE357" s="28">
        <f ca="1">IF(X357=1,IFERROR(INDEX(SETTINGS!$B$34:$D$36,MATCH(I357,SETTINGS!$A$34:$A$36,0),MIN(Q357,2)+1),SETTINGS!$B$36),0)</f>
        <v>0</v>
      </c>
      <c r="AF357" s="28">
        <f t="shared" si="59"/>
        <v>1</v>
      </c>
      <c r="AG357" s="28">
        <f ca="1">IF(AND(Y357=1,AB357=1),ROUND(AA357*AE357*IF(AF357&gt;1,SETTINGS!$B$16,1)*IF(W357&lt;=SETTINGS!$B$14,SETTINGS!$B$15,1)*IF(AU357=1,SETTINGS!$B$21,1),6),0)</f>
        <v>0</v>
      </c>
      <c r="AH357" s="28" t="str">
        <f ca="1">IF(AG357&gt;0,COUNTIFS($Z$2:$Z$601,Z357,$AG$2:$AG$601,"&gt;"&amp;AG357)+COUNTIFS($Z$2:Z357,Z357,$AG$2:AG357,AG357),"")</f>
        <v/>
      </c>
      <c r="AI357" s="28" t="str">
        <f t="shared" ca="1" si="60"/>
        <v/>
      </c>
      <c r="AJ357" s="28" t="str">
        <f t="shared" ca="1" si="61"/>
        <v/>
      </c>
      <c r="AK357" s="28">
        <f>IF(L357=1,IF(COUNTIFS($F$2:F357,F357,$L$2:L357,1)=1,1,0),0)</f>
        <v>1</v>
      </c>
      <c r="AL357" s="28" t="str">
        <f ca="1">IF(B357="","",IF(K357="DUPLICATE","Duplicate (removed)",IF(AO357=1,"Scheduled within 24h",IF(M357=1,"Scheduled late",IF(K357="BAD CONTACT","Bad contact details",IF(O357=1,"Stopped / wrong number",IF(N357=1,"Not interested",IF(P357=1,"Partner has no slots",IF(SETTINGS!$B$4&gt;=V357,IF(Q357=0,"Missed deadline: never tried","Missed deadline: tried, not booked"),IF(Q357&gt;=SETTINGS!$B$6,"No reply after max tries","Open"))))))))))</f>
        <v>Missed deadline: tried, not booked</v>
      </c>
      <c r="AM357" s="46" t="str">
        <f>IF(M357=1,IF(_xlfn.MINIFS(LOG!$G$2:$G$2001,LOG!$C$2:$C$2001,F357,LOG!$E$2:$E$2001,B357,LOG!$D$2:$D$2001,"*BOOKED")=0,_xlfn.MINIFS(LOG!$G$2:$G$2001,LOG!$C$2:$C$2001,F357,LOG!$E$2:$E$2001,"",LOG!$D$2:$D$2001,"*BOOKED"),IF(_xlfn.MINIFS(LOG!$G$2:$G$2001,LOG!$C$2:$C$2001,F357,LOG!$E$2:$E$2001,"",LOG!$D$2:$D$2001,"*BOOKED")=0,_xlfn.MINIFS(LOG!$G$2:$G$2001,LOG!$C$2:$C$2001,F357,LOG!$E$2:$E$2001,B357,LOG!$D$2:$D$2001,"*BOOKED"),MIN(_xlfn.MINIFS(LOG!$G$2:$G$2001,LOG!$C$2:$C$2001,F357,LOG!$E$2:$E$2001,B357,LOG!$D$2:$D$2001,"*BOOKED"),_xlfn.MINIFS(LOG!$G$2:$G$2001,LOG!$C$2:$C$2001,F357,LOG!$E$2:$E$2001,"",LOG!$D$2:$D$2001,"*BOOKED")))),"")</f>
        <v/>
      </c>
      <c r="AN357" s="28" t="str">
        <f t="shared" si="62"/>
        <v/>
      </c>
      <c r="AO357" s="28">
        <f>IF(AND(M357=1,AN357&lt;&gt;""),IF(AN357&lt;=SETTINGS!$B$5,1,0),0)</f>
        <v>0</v>
      </c>
      <c r="AP357" s="28">
        <f>IF(M357=1,IF(COUNTIFS(LOG!$C$2:$C$2001,F357,LOG!$E$2:$E$2001,B357,LOG!$D$2:$D$2001,"BOOKED")+COUNTIFS(LOG!$C$2:$C$2001,F357,LOG!$E$2:$E$2001,"",LOG!$D$2:$D$2001,"BOOKED")&gt;0,1,0),0)</f>
        <v>0</v>
      </c>
      <c r="AQ357" s="28" t="str">
        <f t="shared" si="63"/>
        <v>Nisha</v>
      </c>
      <c r="AR357" s="28">
        <f>IF(AND(AK357=1,K357="OK"),COUNTIFS($AK$2:AK357,1,$K$2:K357,"OK"),"")</f>
        <v>305</v>
      </c>
      <c r="AS357" s="28" t="str">
        <f>IF(L357=1,IFERROR(INDEX(MESSAGES!$J$9:$J$1008,MATCH(F357,MESSAGES!$M$9:$M$1008,0))&amp;"",""),"")</f>
        <v/>
      </c>
      <c r="AT357" s="28" t="str">
        <f>IF(L357=1,IFERROR(INDEX(MESSAGES!$K$9:$K$1008,MATCH(F357,MESSAGES!$M$9:$M$1008,0))&amp;"",""),"")</f>
        <v/>
      </c>
      <c r="AU357" s="28">
        <f t="shared" ca="1" si="64"/>
        <v>0</v>
      </c>
      <c r="AV357" s="28" t="str">
        <f t="shared" si="65"/>
        <v>HOLD</v>
      </c>
    </row>
    <row r="358" spans="1:48" x14ac:dyDescent="0.35">
      <c r="A358" s="28">
        <v>357</v>
      </c>
      <c r="B358" s="28" t="str">
        <f>IF(INPUT!A358="","",TRIM(INPUT!A358))</f>
        <v>Partner 002</v>
      </c>
      <c r="C358" s="28" t="str">
        <f>IF(B358="","",INPUT!C358)</f>
        <v>interviewer2@partner002.example.com</v>
      </c>
      <c r="D358" s="28" t="str">
        <f>IF(B358="","",INPUT!D358)</f>
        <v>Tara L.</v>
      </c>
      <c r="E358" s="28" t="str">
        <f>IF(B358="","",INPUT!E358)</f>
        <v>tara.l315@example.com</v>
      </c>
      <c r="F358" s="43" t="str">
        <f>IF(B358="","",TRIM(INPUT!F358&amp;""))</f>
        <v>9000004102</v>
      </c>
      <c r="G358" s="28" t="str">
        <f>IF(B358="","",INPUT!H358)</f>
        <v>Round1</v>
      </c>
      <c r="H358" s="46">
        <f>IF(B358="","",INPUT!I358)</f>
        <v>46308.82708333333</v>
      </c>
      <c r="I358" s="28" t="str">
        <f>IF(B358="","",IF(INPUT!J358="","None",INPUT!J358))</f>
        <v>Opened</v>
      </c>
      <c r="J358" s="28" t="str">
        <f t="shared" si="55"/>
        <v>tara.l315@example.com|partner 002|Round1|interviewer2@partner002.example.com</v>
      </c>
      <c r="K358" s="28" t="str">
        <f>IF(B358="","",IF(SUMPRODUCT(($J$2:$J$601=J358)*($H$2:$H$601&lt;H358))+SUMPRODUCT(($J$2:J358=J358)*($H$2:H358=H358))-1&gt;0,"DUPLICATE",IF(AND(ISNUMBER(SEARCH("@",E358)),ISNUMBER(SEARCH(".",E358)),LEN(F358)=10,ISNUMBER(VALUE(F358))),"OK","BAD CONTACT")))</f>
        <v>OK</v>
      </c>
      <c r="L358" s="28">
        <f t="shared" si="56"/>
        <v>1</v>
      </c>
      <c r="M358" s="28">
        <f>IF(L358=1,IF(COUNTIFS(LOG!$C$2:$C$2001,F358,LOG!$E$2:$E$2001,B358,LOG!$D$2:$D$2001,"*BOOKED")+COUNTIFS(LOG!$C$2:$C$2001,F358,LOG!$E$2:$E$2001,"",LOG!$D$2:$D$2001,"*BOOKED")&gt;0,1,0),0)</f>
        <v>0</v>
      </c>
      <c r="N358" s="28">
        <f>IF(L358=1,IF(COUNTIFS(LOG!$C$2:$C$2001,F358,LOG!$E$2:$E$2001,B358,LOG!$D$2:$D$2001,"NOT_INTERESTED")+COUNTIFS(LOG!$C$2:$C$2001,F358,LOG!$E$2:$E$2001,"",LOG!$D$2:$D$2001,"NOT_INTERESTED")&gt;0,1,0),0)</f>
        <v>0</v>
      </c>
      <c r="O358" s="28">
        <f>IF(L358=1,IF(COUNTIFS(LOG!$C$2:$C$2001,F358,LOG!$D$2:$D$2001,"STOP")+COUNTIFS(LOG!$C$2:$C$2001,F358,LOG!$D$2:$D$2001,"WRONG_NUMBER")&gt;0,1,IF(ISNUMBER(SEARCH("STOP",AT358)),1,0)),0)</f>
        <v>0</v>
      </c>
      <c r="P358" s="28">
        <f>IF(L358=1,IF(IFERROR(INDEX(PARTNERS!$D$2:$D$88,MATCH(B358,PARTNERS!$A$2:$A$88,0)),"")="NO SLOTS",1,IF(AND(IFERROR(INDEX(PARTNERS!$D$2:$D$88,MATCH(B358,PARTNERS!$A$2:$A$88,0)),"")&lt;&gt;"REOPENED",COUNTIFS(LOG!$E$2:$E$2001,B358,LOG!$D$2:$D$2001,"NO_SLOTS")&gt;0),1,0)),0)</f>
        <v>0</v>
      </c>
      <c r="Q358" s="28">
        <f>IF(L358=1,COUNTIFS(LOG!$C$2:$C$2001,F358,LOG!$H$2:$H$2001,1),0)</f>
        <v>0</v>
      </c>
      <c r="R358" s="46">
        <f>IF(Q358&gt;0,_xlfn.MAXIFS(LOG!$G$2:$G$2001,LOG!$C$2:$C$2001,F358,LOG!$H$2:$H$2001,1),0)</f>
        <v>0</v>
      </c>
      <c r="S358" s="28" t="str">
        <f>IF(Q358&gt;0,IFERROR(INDEX(LOG!$D$2:$D$2001,MATCH(F358&amp;"|"&amp;Q358,LOG!$I$2:$I$2001,0)),""),"")</f>
        <v/>
      </c>
      <c r="T358" s="28">
        <f>IF(S358="",0,IFERROR(VLOOKUP(S358,LISTS!$A$2:$E$10,4,FALSE),0))</f>
        <v>0</v>
      </c>
      <c r="U358" s="46">
        <f t="shared" si="57"/>
        <v>0</v>
      </c>
      <c r="V358" s="46">
        <f>IF(L358=1,H358+SETTINGS!$B$5/24,"")</f>
        <v>46309.82708333333</v>
      </c>
      <c r="W358" s="28">
        <f ca="1">IF(L358=1,(V358-SETTINGS!$B$4)*24,"")</f>
        <v>-1.6666666720993817E-2</v>
      </c>
      <c r="X358" s="28">
        <f ca="1">IF(AND(L358=1,K358="OK",M358=0,N358=0,O358=0,P358=0,SETTINGS!$B$4&lt;V358,Q358&lt;SETTINGS!$B$6),1,0)</f>
        <v>0</v>
      </c>
      <c r="Y358" s="28">
        <f ca="1">IF(AND(X358=1,SETTINGS!$B$4&gt;=H358,SETTINGS!$B$4&gt;=U358,ROUND(MOD(SETTINGS!$B$4,1)*1440,0)&gt;=ROUND(SETTINGS!$B$7*1440,0),ROUND(MOD(SETTINGS!$B$4,1)*1440,0)&lt;ROUND(SETTINGS!$B$8*1440,0)),1,0)</f>
        <v>0</v>
      </c>
      <c r="Z358" s="28" t="str">
        <f ca="1">IF(B358="","",IF(ROUND(MOD(SETTINGS!$B$4,1)*1440,0)&lt;ROUND(SETTINGS!$B$11*1440,0),"Ram",IF(ROUND(MOD(SETTINGS!$B$4,1)*1440,0)&gt;=ROUND(SETTINGS!$B$10*1440,0),"Shyam",IF(MOD(IFERROR(VALUE(RIGHT(F358,2)),0),2)=0,"Ram","Shyam"))))</f>
        <v>Shyam</v>
      </c>
      <c r="AA358" s="28">
        <f t="shared" ca="1" si="58"/>
        <v>0</v>
      </c>
      <c r="AB358" s="28">
        <f ca="1">IF(X358=1,COUNTIFS($F$2:F358,F358,$X$2:X358,1),0)</f>
        <v>0</v>
      </c>
      <c r="AC358" s="28" t="str">
        <f>IF(L358=1,IF(IFERROR(INDEX(PARTNERS!$C$2:$C$88,MATCH(B358,PARTNERS!$A$2:$A$88,0)),"")="YES","YES","NO"),"")</f>
        <v>YES</v>
      </c>
      <c r="AD358" s="28" t="str">
        <f>IF(L358=1,IFERROR(INDEX(PARTNERS!$B$2:$B$88,MATCH(B358,PARTNERS!$A$2:$A$88,0)),""),"")</f>
        <v>https://calendly.com/partner002/interview</v>
      </c>
      <c r="AE358" s="28">
        <f ca="1">IF(X358=1,IFERROR(INDEX(SETTINGS!$B$34:$D$36,MATCH(I358,SETTINGS!$A$34:$A$36,0),MIN(Q358,2)+1),SETTINGS!$B$36),0)</f>
        <v>0</v>
      </c>
      <c r="AF358" s="28">
        <f t="shared" si="59"/>
        <v>1</v>
      </c>
      <c r="AG358" s="28">
        <f ca="1">IF(AND(Y358=1,AB358=1),ROUND(AA358*AE358*IF(AF358&gt;1,SETTINGS!$B$16,1)*IF(W358&lt;=SETTINGS!$B$14,SETTINGS!$B$15,1)*IF(AU358=1,SETTINGS!$B$21,1),6),0)</f>
        <v>0</v>
      </c>
      <c r="AH358" s="28" t="str">
        <f ca="1">IF(AG358&gt;0,COUNTIFS($Z$2:$Z$601,Z358,$AG$2:$AG$601,"&gt;"&amp;AG358)+COUNTIFS($Z$2:Z358,Z358,$AG$2:AG358,AG358),"")</f>
        <v/>
      </c>
      <c r="AI358" s="28" t="str">
        <f t="shared" ca="1" si="60"/>
        <v/>
      </c>
      <c r="AJ358" s="28" t="str">
        <f t="shared" ca="1" si="61"/>
        <v/>
      </c>
      <c r="AK358" s="28">
        <f>IF(L358=1,IF(COUNTIFS($F$2:F358,F358,$L$2:L358,1)=1,1,0),0)</f>
        <v>1</v>
      </c>
      <c r="AL358" s="28" t="str">
        <f ca="1">IF(B358="","",IF(K358="DUPLICATE","Duplicate (removed)",IF(AO358=1,"Scheduled within 24h",IF(M358=1,"Scheduled late",IF(K358="BAD CONTACT","Bad contact details",IF(O358=1,"Stopped / wrong number",IF(N358=1,"Not interested",IF(P358=1,"Partner has no slots",IF(SETTINGS!$B$4&gt;=V358,IF(Q358=0,"Missed deadline: never tried","Missed deadline: tried, not booked"),IF(Q358&gt;=SETTINGS!$B$6,"No reply after max tries","Open"))))))))))</f>
        <v>Missed deadline: never tried</v>
      </c>
      <c r="AM358" s="46" t="str">
        <f>IF(M358=1,IF(_xlfn.MINIFS(LOG!$G$2:$G$2001,LOG!$C$2:$C$2001,F358,LOG!$E$2:$E$2001,B358,LOG!$D$2:$D$2001,"*BOOKED")=0,_xlfn.MINIFS(LOG!$G$2:$G$2001,LOG!$C$2:$C$2001,F358,LOG!$E$2:$E$2001,"",LOG!$D$2:$D$2001,"*BOOKED"),IF(_xlfn.MINIFS(LOG!$G$2:$G$2001,LOG!$C$2:$C$2001,F358,LOG!$E$2:$E$2001,"",LOG!$D$2:$D$2001,"*BOOKED")=0,_xlfn.MINIFS(LOG!$G$2:$G$2001,LOG!$C$2:$C$2001,F358,LOG!$E$2:$E$2001,B358,LOG!$D$2:$D$2001,"*BOOKED"),MIN(_xlfn.MINIFS(LOG!$G$2:$G$2001,LOG!$C$2:$C$2001,F358,LOG!$E$2:$E$2001,B358,LOG!$D$2:$D$2001,"*BOOKED"),_xlfn.MINIFS(LOG!$G$2:$G$2001,LOG!$C$2:$C$2001,F358,LOG!$E$2:$E$2001,"",LOG!$D$2:$D$2001,"*BOOKED")))),"")</f>
        <v/>
      </c>
      <c r="AN358" s="28" t="str">
        <f t="shared" si="62"/>
        <v/>
      </c>
      <c r="AO358" s="28">
        <f>IF(AND(M358=1,AN358&lt;&gt;""),IF(AN358&lt;=SETTINGS!$B$5,1,0),0)</f>
        <v>0</v>
      </c>
      <c r="AP358" s="28">
        <f>IF(M358=1,IF(COUNTIFS(LOG!$C$2:$C$2001,F358,LOG!$E$2:$E$2001,B358,LOG!$D$2:$D$2001,"BOOKED")+COUNTIFS(LOG!$C$2:$C$2001,F358,LOG!$E$2:$E$2001,"",LOG!$D$2:$D$2001,"BOOKED")&gt;0,1,0),0)</f>
        <v>0</v>
      </c>
      <c r="AQ358" s="28" t="str">
        <f t="shared" si="63"/>
        <v>Tara</v>
      </c>
      <c r="AR358" s="28">
        <f>IF(AND(AK358=1,K358="OK"),COUNTIFS($AK$2:AK358,1,$K$2:K358,"OK"),"")</f>
        <v>306</v>
      </c>
      <c r="AS358" s="28" t="str">
        <f>IF(L358=1,IFERROR(INDEX(MESSAGES!$J$9:$J$1008,MATCH(F358,MESSAGES!$M$9:$M$1008,0))&amp;"",""),"")</f>
        <v/>
      </c>
      <c r="AT358" s="28" t="str">
        <f>IF(L358=1,IFERROR(INDEX(MESSAGES!$K$9:$K$1008,MATCH(F358,MESSAGES!$M$9:$M$1008,0))&amp;"",""),"")</f>
        <v/>
      </c>
      <c r="AU358" s="28">
        <f t="shared" ca="1" si="64"/>
        <v>0</v>
      </c>
      <c r="AV358" s="28" t="str">
        <f t="shared" si="65"/>
        <v>SEND</v>
      </c>
    </row>
    <row r="359" spans="1:48" x14ac:dyDescent="0.35">
      <c r="A359" s="28">
        <v>358</v>
      </c>
      <c r="B359" s="28" t="str">
        <f>IF(INPUT!A359="","",TRIM(INPUT!A359))</f>
        <v>Partner 012</v>
      </c>
      <c r="C359" s="28" t="str">
        <f>IF(B359="","",INPUT!C359)</f>
        <v>interviewer0@partner012.example.com</v>
      </c>
      <c r="D359" s="28" t="str">
        <f>IF(B359="","",INPUT!D359)</f>
        <v>Manav A.</v>
      </c>
      <c r="E359" s="28" t="str">
        <f>IF(B359="","",INPUT!E359)</f>
        <v>manav.a024@example.com</v>
      </c>
      <c r="F359" s="43" t="str">
        <f>IF(B359="","",TRIM(INPUT!F359&amp;""))</f>
        <v>9000000319</v>
      </c>
      <c r="G359" s="28" t="str">
        <f>IF(B359="","",INPUT!H359)</f>
        <v>Round1</v>
      </c>
      <c r="H359" s="46">
        <f>IF(B359="","",INPUT!I359)</f>
        <v>46308.828472222223</v>
      </c>
      <c r="I359" s="28" t="str">
        <f>IF(B359="","",IF(INPUT!J359="","None",INPUT!J359))</f>
        <v>None</v>
      </c>
      <c r="J359" s="28" t="str">
        <f t="shared" si="55"/>
        <v>manav.a024@example.com|partner 012|Round1|interviewer0@partner012.example.com</v>
      </c>
      <c r="K359" s="28" t="str">
        <f>IF(B359="","",IF(SUMPRODUCT(($J$2:$J$601=J359)*($H$2:$H$601&lt;H359))+SUMPRODUCT(($J$2:J359=J359)*($H$2:H359=H359))-1&gt;0,"DUPLICATE",IF(AND(ISNUMBER(SEARCH("@",E359)),ISNUMBER(SEARCH(".",E359)),LEN(F359)=10,ISNUMBER(VALUE(F359))),"OK","BAD CONTACT")))</f>
        <v>DUPLICATE</v>
      </c>
      <c r="L359" s="28">
        <f t="shared" si="56"/>
        <v>0</v>
      </c>
      <c r="M359" s="28">
        <f>IF(L359=1,IF(COUNTIFS(LOG!$C$2:$C$2001,F359,LOG!$E$2:$E$2001,B359,LOG!$D$2:$D$2001,"*BOOKED")+COUNTIFS(LOG!$C$2:$C$2001,F359,LOG!$E$2:$E$2001,"",LOG!$D$2:$D$2001,"*BOOKED")&gt;0,1,0),0)</f>
        <v>0</v>
      </c>
      <c r="N359" s="28">
        <f>IF(L359=1,IF(COUNTIFS(LOG!$C$2:$C$2001,F359,LOG!$E$2:$E$2001,B359,LOG!$D$2:$D$2001,"NOT_INTERESTED")+COUNTIFS(LOG!$C$2:$C$2001,F359,LOG!$E$2:$E$2001,"",LOG!$D$2:$D$2001,"NOT_INTERESTED")&gt;0,1,0),0)</f>
        <v>0</v>
      </c>
      <c r="O359" s="28">
        <f>IF(L359=1,IF(COUNTIFS(LOG!$C$2:$C$2001,F359,LOG!$D$2:$D$2001,"STOP")+COUNTIFS(LOG!$C$2:$C$2001,F359,LOG!$D$2:$D$2001,"WRONG_NUMBER")&gt;0,1,IF(ISNUMBER(SEARCH("STOP",AT359)),1,0)),0)</f>
        <v>0</v>
      </c>
      <c r="P359" s="28">
        <f>IF(L359=1,IF(IFERROR(INDEX(PARTNERS!$D$2:$D$88,MATCH(B359,PARTNERS!$A$2:$A$88,0)),"")="NO SLOTS",1,IF(AND(IFERROR(INDEX(PARTNERS!$D$2:$D$88,MATCH(B359,PARTNERS!$A$2:$A$88,0)),"")&lt;&gt;"REOPENED",COUNTIFS(LOG!$E$2:$E$2001,B359,LOG!$D$2:$D$2001,"NO_SLOTS")&gt;0),1,0)),0)</f>
        <v>0</v>
      </c>
      <c r="Q359" s="28">
        <f>IF(L359=1,COUNTIFS(LOG!$C$2:$C$2001,F359,LOG!$H$2:$H$2001,1),0)</f>
        <v>0</v>
      </c>
      <c r="R359" s="46">
        <f>IF(Q359&gt;0,_xlfn.MAXIFS(LOG!$G$2:$G$2001,LOG!$C$2:$C$2001,F359,LOG!$H$2:$H$2001,1),0)</f>
        <v>0</v>
      </c>
      <c r="S359" s="28" t="str">
        <f>IF(Q359&gt;0,IFERROR(INDEX(LOG!$D$2:$D$2001,MATCH(F359&amp;"|"&amp;Q359,LOG!$I$2:$I$2001,0)),""),"")</f>
        <v/>
      </c>
      <c r="T359" s="28">
        <f>IF(S359="",0,IFERROR(VLOOKUP(S359,LISTS!$A$2:$E$10,4,FALSE),0))</f>
        <v>0</v>
      </c>
      <c r="U359" s="46">
        <f t="shared" si="57"/>
        <v>0</v>
      </c>
      <c r="V359" s="46" t="str">
        <f>IF(L359=1,H359+SETTINGS!$B$5/24,"")</f>
        <v/>
      </c>
      <c r="W359" s="28" t="str">
        <f>IF(L359=1,(V359-SETTINGS!$B$4)*24,"")</f>
        <v/>
      </c>
      <c r="X359" s="28">
        <f ca="1">IF(AND(L359=1,K359="OK",M359=0,N359=0,O359=0,P359=0,SETTINGS!$B$4&lt;V359,Q359&lt;SETTINGS!$B$6),1,0)</f>
        <v>0</v>
      </c>
      <c r="Y359" s="28">
        <f ca="1">IF(AND(X359=1,SETTINGS!$B$4&gt;=H359,SETTINGS!$B$4&gt;=U359,ROUND(MOD(SETTINGS!$B$4,1)*1440,0)&gt;=ROUND(SETTINGS!$B$7*1440,0),ROUND(MOD(SETTINGS!$B$4,1)*1440,0)&lt;ROUND(SETTINGS!$B$8*1440,0)),1,0)</f>
        <v>0</v>
      </c>
      <c r="Z359" s="28" t="str">
        <f ca="1">IF(B359="","",IF(ROUND(MOD(SETTINGS!$B$4,1)*1440,0)&lt;ROUND(SETTINGS!$B$11*1440,0),"Ram",IF(ROUND(MOD(SETTINGS!$B$4,1)*1440,0)&gt;=ROUND(SETTINGS!$B$10*1440,0),"Shyam",IF(MOD(IFERROR(VALUE(RIGHT(F359,2)),0),2)=0,"Ram","Shyam"))))</f>
        <v>Shyam</v>
      </c>
      <c r="AA359" s="28">
        <f t="shared" ca="1" si="58"/>
        <v>0</v>
      </c>
      <c r="AB359" s="28">
        <f ca="1">IF(X359=1,COUNTIFS($F$2:F359,F359,$X$2:X359,1),0)</f>
        <v>0</v>
      </c>
      <c r="AC359" s="28" t="str">
        <f>IF(L359=1,IF(IFERROR(INDEX(PARTNERS!$C$2:$C$88,MATCH(B359,PARTNERS!$A$2:$A$88,0)),"")="YES","YES","NO"),"")</f>
        <v/>
      </c>
      <c r="AD359" s="28" t="str">
        <f>IF(L359=1,IFERROR(INDEX(PARTNERS!$B$2:$B$88,MATCH(B359,PARTNERS!$A$2:$A$88,0)),""),"")</f>
        <v/>
      </c>
      <c r="AE359" s="28">
        <f ca="1">IF(X359=1,IFERROR(INDEX(SETTINGS!$B$34:$D$36,MATCH(I359,SETTINGS!$A$34:$A$36,0),MIN(Q359,2)+1),SETTINGS!$B$36),0)</f>
        <v>0</v>
      </c>
      <c r="AF359" s="28">
        <f t="shared" si="59"/>
        <v>0</v>
      </c>
      <c r="AG359" s="28">
        <f ca="1">IF(AND(Y359=1,AB359=1),ROUND(AA359*AE359*IF(AF359&gt;1,SETTINGS!$B$16,1)*IF(W359&lt;=SETTINGS!$B$14,SETTINGS!$B$15,1)*IF(AU359=1,SETTINGS!$B$21,1),6),0)</f>
        <v>0</v>
      </c>
      <c r="AH359" s="28" t="str">
        <f ca="1">IF(AG359&gt;0,COUNTIFS($Z$2:$Z$601,Z359,$AG$2:$AG$601,"&gt;"&amp;AG359)+COUNTIFS($Z$2:Z359,Z359,$AG$2:AG359,AG359),"")</f>
        <v/>
      </c>
      <c r="AI359" s="28" t="str">
        <f t="shared" ca="1" si="60"/>
        <v/>
      </c>
      <c r="AJ359" s="28" t="str">
        <f t="shared" ca="1" si="61"/>
        <v/>
      </c>
      <c r="AK359" s="28">
        <f>IF(L359=1,IF(COUNTIFS($F$2:F359,F359,$L$2:L359,1)=1,1,0),0)</f>
        <v>0</v>
      </c>
      <c r="AL359" s="28" t="str">
        <f>IF(B359="","",IF(K359="DUPLICATE","Duplicate (removed)",IF(AO359=1,"Scheduled within 24h",IF(M359=1,"Scheduled late",IF(K359="BAD CONTACT","Bad contact details",IF(O359=1,"Stopped / wrong number",IF(N359=1,"Not interested",IF(P359=1,"Partner has no slots",IF(SETTINGS!$B$4&gt;=V359,IF(Q359=0,"Missed deadline: never tried","Missed deadline: tried, not booked"),IF(Q359&gt;=SETTINGS!$B$6,"No reply after max tries","Open"))))))))))</f>
        <v>Duplicate (removed)</v>
      </c>
      <c r="AM359" s="46" t="str">
        <f>IF(M359=1,IF(_xlfn.MINIFS(LOG!$G$2:$G$2001,LOG!$C$2:$C$2001,F359,LOG!$E$2:$E$2001,B359,LOG!$D$2:$D$2001,"*BOOKED")=0,_xlfn.MINIFS(LOG!$G$2:$G$2001,LOG!$C$2:$C$2001,F359,LOG!$E$2:$E$2001,"",LOG!$D$2:$D$2001,"*BOOKED"),IF(_xlfn.MINIFS(LOG!$G$2:$G$2001,LOG!$C$2:$C$2001,F359,LOG!$E$2:$E$2001,"",LOG!$D$2:$D$2001,"*BOOKED")=0,_xlfn.MINIFS(LOG!$G$2:$G$2001,LOG!$C$2:$C$2001,F359,LOG!$E$2:$E$2001,B359,LOG!$D$2:$D$2001,"*BOOKED"),MIN(_xlfn.MINIFS(LOG!$G$2:$G$2001,LOG!$C$2:$C$2001,F359,LOG!$E$2:$E$2001,B359,LOG!$D$2:$D$2001,"*BOOKED"),_xlfn.MINIFS(LOG!$G$2:$G$2001,LOG!$C$2:$C$2001,F359,LOG!$E$2:$E$2001,"",LOG!$D$2:$D$2001,"*BOOKED")))),"")</f>
        <v/>
      </c>
      <c r="AN359" s="28" t="str">
        <f t="shared" si="62"/>
        <v/>
      </c>
      <c r="AO359" s="28">
        <f>IF(AND(M359=1,AN359&lt;&gt;""),IF(AN359&lt;=SETTINGS!$B$5,1,0),0)</f>
        <v>0</v>
      </c>
      <c r="AP359" s="28">
        <f>IF(M359=1,IF(COUNTIFS(LOG!$C$2:$C$2001,F359,LOG!$E$2:$E$2001,B359,LOG!$D$2:$D$2001,"BOOKED")+COUNTIFS(LOG!$C$2:$C$2001,F359,LOG!$E$2:$E$2001,"",LOG!$D$2:$D$2001,"BOOKED")&gt;0,1,0),0)</f>
        <v>0</v>
      </c>
      <c r="AQ359" s="28" t="str">
        <f t="shared" si="63"/>
        <v>Manav</v>
      </c>
      <c r="AR359" s="28" t="str">
        <f>IF(AND(AK359=1,K359="OK"),COUNTIFS($AK$2:AK359,1,$K$2:K359,"OK"),"")</f>
        <v/>
      </c>
      <c r="AS359" s="28" t="str">
        <f>IF(L359=1,IFERROR(INDEX(MESSAGES!$J$9:$J$1008,MATCH(F359,MESSAGES!$M$9:$M$1008,0))&amp;"",""),"")</f>
        <v/>
      </c>
      <c r="AT359" s="28" t="str">
        <f>IF(L359=1,IFERROR(INDEX(MESSAGES!$K$9:$K$1008,MATCH(F359,MESSAGES!$M$9:$M$1008,0))&amp;"",""),"")</f>
        <v/>
      </c>
      <c r="AU359" s="28">
        <f t="shared" ca="1" si="64"/>
        <v>0</v>
      </c>
      <c r="AV359" s="28" t="str">
        <f t="shared" si="65"/>
        <v/>
      </c>
    </row>
    <row r="360" spans="1:48" x14ac:dyDescent="0.35">
      <c r="A360" s="28">
        <v>359</v>
      </c>
      <c r="B360" s="28" t="str">
        <f>IF(INPUT!A360="","",TRIM(INPUT!A360))</f>
        <v>Partner 011</v>
      </c>
      <c r="C360" s="28" t="str">
        <f>IF(B360="","",INPUT!C360)</f>
        <v>interviewer1@partner011.example.com</v>
      </c>
      <c r="D360" s="28" t="str">
        <f>IF(B360="","",INPUT!D360)</f>
        <v>Kiara J.</v>
      </c>
      <c r="E360" s="28" t="str">
        <f>IF(B360="","",INPUT!E360)</f>
        <v>kiara.j251@example.com</v>
      </c>
      <c r="F360" s="43" t="str">
        <f>IF(B360="","",TRIM(INPUT!F360&amp;""))</f>
        <v>9000003270</v>
      </c>
      <c r="G360" s="28" t="str">
        <f>IF(B360="","",INPUT!H360)</f>
        <v>Round1</v>
      </c>
      <c r="H360" s="46">
        <f>IF(B360="","",INPUT!I360)</f>
        <v>46308.82916666667</v>
      </c>
      <c r="I360" s="28" t="str">
        <f>IF(B360="","",IF(INPUT!J360="","None",INPUT!J360))</f>
        <v>Opened</v>
      </c>
      <c r="J360" s="28" t="str">
        <f t="shared" si="55"/>
        <v>kiara.j251@example.com|partner 011|Round1|interviewer1@partner011.example.com</v>
      </c>
      <c r="K360" s="28" t="str">
        <f>IF(B360="","",IF(SUMPRODUCT(($J$2:$J$601=J360)*($H$2:$H$601&lt;H360))+SUMPRODUCT(($J$2:J360=J360)*($H$2:H360=H360))-1&gt;0,"DUPLICATE",IF(AND(ISNUMBER(SEARCH("@",E360)),ISNUMBER(SEARCH(".",E360)),LEN(F360)=10,ISNUMBER(VALUE(F360))),"OK","BAD CONTACT")))</f>
        <v>DUPLICATE</v>
      </c>
      <c r="L360" s="28">
        <f t="shared" si="56"/>
        <v>0</v>
      </c>
      <c r="M360" s="28">
        <f>IF(L360=1,IF(COUNTIFS(LOG!$C$2:$C$2001,F360,LOG!$E$2:$E$2001,B360,LOG!$D$2:$D$2001,"*BOOKED")+COUNTIFS(LOG!$C$2:$C$2001,F360,LOG!$E$2:$E$2001,"",LOG!$D$2:$D$2001,"*BOOKED")&gt;0,1,0),0)</f>
        <v>0</v>
      </c>
      <c r="N360" s="28">
        <f>IF(L360=1,IF(COUNTIFS(LOG!$C$2:$C$2001,F360,LOG!$E$2:$E$2001,B360,LOG!$D$2:$D$2001,"NOT_INTERESTED")+COUNTIFS(LOG!$C$2:$C$2001,F360,LOG!$E$2:$E$2001,"",LOG!$D$2:$D$2001,"NOT_INTERESTED")&gt;0,1,0),0)</f>
        <v>0</v>
      </c>
      <c r="O360" s="28">
        <f>IF(L360=1,IF(COUNTIFS(LOG!$C$2:$C$2001,F360,LOG!$D$2:$D$2001,"STOP")+COUNTIFS(LOG!$C$2:$C$2001,F360,LOG!$D$2:$D$2001,"WRONG_NUMBER")&gt;0,1,IF(ISNUMBER(SEARCH("STOP",AT360)),1,0)),0)</f>
        <v>0</v>
      </c>
      <c r="P360" s="28">
        <f>IF(L360=1,IF(IFERROR(INDEX(PARTNERS!$D$2:$D$88,MATCH(B360,PARTNERS!$A$2:$A$88,0)),"")="NO SLOTS",1,IF(AND(IFERROR(INDEX(PARTNERS!$D$2:$D$88,MATCH(B360,PARTNERS!$A$2:$A$88,0)),"")&lt;&gt;"REOPENED",COUNTIFS(LOG!$E$2:$E$2001,B360,LOG!$D$2:$D$2001,"NO_SLOTS")&gt;0),1,0)),0)</f>
        <v>0</v>
      </c>
      <c r="Q360" s="28">
        <f>IF(L360=1,COUNTIFS(LOG!$C$2:$C$2001,F360,LOG!$H$2:$H$2001,1),0)</f>
        <v>0</v>
      </c>
      <c r="R360" s="46">
        <f>IF(Q360&gt;0,_xlfn.MAXIFS(LOG!$G$2:$G$2001,LOG!$C$2:$C$2001,F360,LOG!$H$2:$H$2001,1),0)</f>
        <v>0</v>
      </c>
      <c r="S360" s="28" t="str">
        <f>IF(Q360&gt;0,IFERROR(INDEX(LOG!$D$2:$D$2001,MATCH(F360&amp;"|"&amp;Q360,LOG!$I$2:$I$2001,0)),""),"")</f>
        <v/>
      </c>
      <c r="T360" s="28">
        <f>IF(S360="",0,IFERROR(VLOOKUP(S360,LISTS!$A$2:$E$10,4,FALSE),0))</f>
        <v>0</v>
      </c>
      <c r="U360" s="46">
        <f t="shared" si="57"/>
        <v>0</v>
      </c>
      <c r="V360" s="46" t="str">
        <f>IF(L360=1,H360+SETTINGS!$B$5/24,"")</f>
        <v/>
      </c>
      <c r="W360" s="28" t="str">
        <f>IF(L360=1,(V360-SETTINGS!$B$4)*24,"")</f>
        <v/>
      </c>
      <c r="X360" s="28">
        <f ca="1">IF(AND(L360=1,K360="OK",M360=0,N360=0,O360=0,P360=0,SETTINGS!$B$4&lt;V360,Q360&lt;SETTINGS!$B$6),1,0)</f>
        <v>0</v>
      </c>
      <c r="Y360" s="28">
        <f ca="1">IF(AND(X360=1,SETTINGS!$B$4&gt;=H360,SETTINGS!$B$4&gt;=U360,ROUND(MOD(SETTINGS!$B$4,1)*1440,0)&gt;=ROUND(SETTINGS!$B$7*1440,0),ROUND(MOD(SETTINGS!$B$4,1)*1440,0)&lt;ROUND(SETTINGS!$B$8*1440,0)),1,0)</f>
        <v>0</v>
      </c>
      <c r="Z360" s="28" t="str">
        <f ca="1">IF(B360="","",IF(ROUND(MOD(SETTINGS!$B$4,1)*1440,0)&lt;ROUND(SETTINGS!$B$11*1440,0),"Ram",IF(ROUND(MOD(SETTINGS!$B$4,1)*1440,0)&gt;=ROUND(SETTINGS!$B$10*1440,0),"Shyam",IF(MOD(IFERROR(VALUE(RIGHT(F360,2)),0),2)=0,"Ram","Shyam"))))</f>
        <v>Shyam</v>
      </c>
      <c r="AA360" s="28">
        <f t="shared" ca="1" si="58"/>
        <v>0</v>
      </c>
      <c r="AB360" s="28">
        <f ca="1">IF(X360=1,COUNTIFS($F$2:F360,F360,$X$2:X360,1),0)</f>
        <v>0</v>
      </c>
      <c r="AC360" s="28" t="str">
        <f>IF(L360=1,IF(IFERROR(INDEX(PARTNERS!$C$2:$C$88,MATCH(B360,PARTNERS!$A$2:$A$88,0)),"")="YES","YES","NO"),"")</f>
        <v/>
      </c>
      <c r="AD360" s="28" t="str">
        <f>IF(L360=1,IFERROR(INDEX(PARTNERS!$B$2:$B$88,MATCH(B360,PARTNERS!$A$2:$A$88,0)),""),"")</f>
        <v/>
      </c>
      <c r="AE360" s="28">
        <f ca="1">IF(X360=1,IFERROR(INDEX(SETTINGS!$B$34:$D$36,MATCH(I360,SETTINGS!$A$34:$A$36,0),MIN(Q360,2)+1),SETTINGS!$B$36),0)</f>
        <v>0</v>
      </c>
      <c r="AF360" s="28">
        <f t="shared" si="59"/>
        <v>0</v>
      </c>
      <c r="AG360" s="28">
        <f ca="1">IF(AND(Y360=1,AB360=1),ROUND(AA360*AE360*IF(AF360&gt;1,SETTINGS!$B$16,1)*IF(W360&lt;=SETTINGS!$B$14,SETTINGS!$B$15,1)*IF(AU360=1,SETTINGS!$B$21,1),6),0)</f>
        <v>0</v>
      </c>
      <c r="AH360" s="28" t="str">
        <f ca="1">IF(AG360&gt;0,COUNTIFS($Z$2:$Z$601,Z360,$AG$2:$AG$601,"&gt;"&amp;AG360)+COUNTIFS($Z$2:Z360,Z360,$AG$2:AG360,AG360),"")</f>
        <v/>
      </c>
      <c r="AI360" s="28" t="str">
        <f t="shared" ca="1" si="60"/>
        <v/>
      </c>
      <c r="AJ360" s="28" t="str">
        <f t="shared" ca="1" si="61"/>
        <v/>
      </c>
      <c r="AK360" s="28">
        <f>IF(L360=1,IF(COUNTIFS($F$2:F360,F360,$L$2:L360,1)=1,1,0),0)</f>
        <v>0</v>
      </c>
      <c r="AL360" s="28" t="str">
        <f>IF(B360="","",IF(K360="DUPLICATE","Duplicate (removed)",IF(AO360=1,"Scheduled within 24h",IF(M360=1,"Scheduled late",IF(K360="BAD CONTACT","Bad contact details",IF(O360=1,"Stopped / wrong number",IF(N360=1,"Not interested",IF(P360=1,"Partner has no slots",IF(SETTINGS!$B$4&gt;=V360,IF(Q360=0,"Missed deadline: never tried","Missed deadline: tried, not booked"),IF(Q360&gt;=SETTINGS!$B$6,"No reply after max tries","Open"))))))))))</f>
        <v>Duplicate (removed)</v>
      </c>
      <c r="AM360" s="46" t="str">
        <f>IF(M360=1,IF(_xlfn.MINIFS(LOG!$G$2:$G$2001,LOG!$C$2:$C$2001,F360,LOG!$E$2:$E$2001,B360,LOG!$D$2:$D$2001,"*BOOKED")=0,_xlfn.MINIFS(LOG!$G$2:$G$2001,LOG!$C$2:$C$2001,F360,LOG!$E$2:$E$2001,"",LOG!$D$2:$D$2001,"*BOOKED"),IF(_xlfn.MINIFS(LOG!$G$2:$G$2001,LOG!$C$2:$C$2001,F360,LOG!$E$2:$E$2001,"",LOG!$D$2:$D$2001,"*BOOKED")=0,_xlfn.MINIFS(LOG!$G$2:$G$2001,LOG!$C$2:$C$2001,F360,LOG!$E$2:$E$2001,B360,LOG!$D$2:$D$2001,"*BOOKED"),MIN(_xlfn.MINIFS(LOG!$G$2:$G$2001,LOG!$C$2:$C$2001,F360,LOG!$E$2:$E$2001,B360,LOG!$D$2:$D$2001,"*BOOKED"),_xlfn.MINIFS(LOG!$G$2:$G$2001,LOG!$C$2:$C$2001,F360,LOG!$E$2:$E$2001,"",LOG!$D$2:$D$2001,"*BOOKED")))),"")</f>
        <v/>
      </c>
      <c r="AN360" s="28" t="str">
        <f t="shared" si="62"/>
        <v/>
      </c>
      <c r="AO360" s="28">
        <f>IF(AND(M360=1,AN360&lt;&gt;""),IF(AN360&lt;=SETTINGS!$B$5,1,0),0)</f>
        <v>0</v>
      </c>
      <c r="AP360" s="28">
        <f>IF(M360=1,IF(COUNTIFS(LOG!$C$2:$C$2001,F360,LOG!$E$2:$E$2001,B360,LOG!$D$2:$D$2001,"BOOKED")+COUNTIFS(LOG!$C$2:$C$2001,F360,LOG!$E$2:$E$2001,"",LOG!$D$2:$D$2001,"BOOKED")&gt;0,1,0),0)</f>
        <v>0</v>
      </c>
      <c r="AQ360" s="28" t="str">
        <f t="shared" si="63"/>
        <v>Kiara</v>
      </c>
      <c r="AR360" s="28" t="str">
        <f>IF(AND(AK360=1,K360="OK"),COUNTIFS($AK$2:AK360,1,$K$2:K360,"OK"),"")</f>
        <v/>
      </c>
      <c r="AS360" s="28" t="str">
        <f>IF(L360=1,IFERROR(INDEX(MESSAGES!$J$9:$J$1008,MATCH(F360,MESSAGES!$M$9:$M$1008,0))&amp;"",""),"")</f>
        <v/>
      </c>
      <c r="AT360" s="28" t="str">
        <f>IF(L360=1,IFERROR(INDEX(MESSAGES!$K$9:$K$1008,MATCH(F360,MESSAGES!$M$9:$M$1008,0))&amp;"",""),"")</f>
        <v/>
      </c>
      <c r="AU360" s="28">
        <f t="shared" ca="1" si="64"/>
        <v>0</v>
      </c>
      <c r="AV360" s="28" t="str">
        <f t="shared" si="65"/>
        <v/>
      </c>
    </row>
    <row r="361" spans="1:48" x14ac:dyDescent="0.35">
      <c r="A361" s="28">
        <v>360</v>
      </c>
      <c r="B361" s="28" t="str">
        <f>IF(INPUT!A361="","",TRIM(INPUT!A361))</f>
        <v>Partner 003</v>
      </c>
      <c r="C361" s="28" t="str">
        <f>IF(B361="","",INPUT!C361)</f>
        <v>interviewer2@partner003.example.com</v>
      </c>
      <c r="D361" s="28" t="str">
        <f>IF(B361="","",INPUT!D361)</f>
        <v>Sneha F.</v>
      </c>
      <c r="E361" s="28" t="str">
        <f>IF(B361="","",INPUT!E361)</f>
        <v>sneha.f173@example.com</v>
      </c>
      <c r="F361" s="43" t="str">
        <f>IF(B361="","",TRIM(INPUT!F361&amp;""))</f>
        <v>9000002256</v>
      </c>
      <c r="G361" s="28" t="str">
        <f>IF(B361="","",INPUT!H361)</f>
        <v>Round1</v>
      </c>
      <c r="H361" s="46">
        <f>IF(B361="","",INPUT!I361)</f>
        <v>46308.82708333333</v>
      </c>
      <c r="I361" s="28" t="str">
        <f>IF(B361="","",IF(INPUT!J361="","None",INPUT!J361))</f>
        <v>None</v>
      </c>
      <c r="J361" s="28" t="str">
        <f t="shared" si="55"/>
        <v>sneha.f173@example.com|partner 003|Round1|interviewer2@partner003.example.com</v>
      </c>
      <c r="K361" s="28" t="str">
        <f>IF(B361="","",IF(SUMPRODUCT(($J$2:$J$601=J361)*($H$2:$H$601&lt;H361))+SUMPRODUCT(($J$2:J361=J361)*($H$2:H361=H361))-1&gt;0,"DUPLICATE",IF(AND(ISNUMBER(SEARCH("@",E361)),ISNUMBER(SEARCH(".",E361)),LEN(F361)=10,ISNUMBER(VALUE(F361))),"OK","BAD CONTACT")))</f>
        <v>OK</v>
      </c>
      <c r="L361" s="28">
        <f t="shared" si="56"/>
        <v>1</v>
      </c>
      <c r="M361" s="28">
        <f>IF(L361=1,IF(COUNTIFS(LOG!$C$2:$C$2001,F361,LOG!$E$2:$E$2001,B361,LOG!$D$2:$D$2001,"*BOOKED")+COUNTIFS(LOG!$C$2:$C$2001,F361,LOG!$E$2:$E$2001,"",LOG!$D$2:$D$2001,"*BOOKED")&gt;0,1,0),0)</f>
        <v>0</v>
      </c>
      <c r="N361" s="28">
        <f>IF(L361=1,IF(COUNTIFS(LOG!$C$2:$C$2001,F361,LOG!$E$2:$E$2001,B361,LOG!$D$2:$D$2001,"NOT_INTERESTED")+COUNTIFS(LOG!$C$2:$C$2001,F361,LOG!$E$2:$E$2001,"",LOG!$D$2:$D$2001,"NOT_INTERESTED")&gt;0,1,0),0)</f>
        <v>0</v>
      </c>
      <c r="O361" s="28">
        <f>IF(L361=1,IF(COUNTIFS(LOG!$C$2:$C$2001,F361,LOG!$D$2:$D$2001,"STOP")+COUNTIFS(LOG!$C$2:$C$2001,F361,LOG!$D$2:$D$2001,"WRONG_NUMBER")&gt;0,1,IF(ISNUMBER(SEARCH("STOP",AT361)),1,0)),0)</f>
        <v>0</v>
      </c>
      <c r="P361" s="28">
        <f>IF(L361=1,IF(IFERROR(INDEX(PARTNERS!$D$2:$D$88,MATCH(B361,PARTNERS!$A$2:$A$88,0)),"")="NO SLOTS",1,IF(AND(IFERROR(INDEX(PARTNERS!$D$2:$D$88,MATCH(B361,PARTNERS!$A$2:$A$88,0)),"")&lt;&gt;"REOPENED",COUNTIFS(LOG!$E$2:$E$2001,B361,LOG!$D$2:$D$2001,"NO_SLOTS")&gt;0),1,0)),0)</f>
        <v>0</v>
      </c>
      <c r="Q361" s="28">
        <f>IF(L361=1,COUNTIFS(LOG!$C$2:$C$2001,F361,LOG!$H$2:$H$2001,1),0)</f>
        <v>0</v>
      </c>
      <c r="R361" s="46">
        <f>IF(Q361&gt;0,_xlfn.MAXIFS(LOG!$G$2:$G$2001,LOG!$C$2:$C$2001,F361,LOG!$H$2:$H$2001,1),0)</f>
        <v>0</v>
      </c>
      <c r="S361" s="28" t="str">
        <f>IF(Q361&gt;0,IFERROR(INDEX(LOG!$D$2:$D$2001,MATCH(F361&amp;"|"&amp;Q361,LOG!$I$2:$I$2001,0)),""),"")</f>
        <v/>
      </c>
      <c r="T361" s="28">
        <f>IF(S361="",0,IFERROR(VLOOKUP(S361,LISTS!$A$2:$E$10,4,FALSE),0))</f>
        <v>0</v>
      </c>
      <c r="U361" s="46">
        <f t="shared" si="57"/>
        <v>0</v>
      </c>
      <c r="V361" s="46">
        <f>IF(L361=1,H361+SETTINGS!$B$5/24,"")</f>
        <v>46309.82708333333</v>
      </c>
      <c r="W361" s="28">
        <f ca="1">IF(L361=1,(V361-SETTINGS!$B$4)*24,"")</f>
        <v>-1.6666666720993817E-2</v>
      </c>
      <c r="X361" s="28">
        <f ca="1">IF(AND(L361=1,K361="OK",M361=0,N361=0,O361=0,P361=0,SETTINGS!$B$4&lt;V361,Q361&lt;SETTINGS!$B$6),1,0)</f>
        <v>0</v>
      </c>
      <c r="Y361" s="28">
        <f ca="1">IF(AND(X361=1,SETTINGS!$B$4&gt;=H361,SETTINGS!$B$4&gt;=U361,ROUND(MOD(SETTINGS!$B$4,1)*1440,0)&gt;=ROUND(SETTINGS!$B$7*1440,0),ROUND(MOD(SETTINGS!$B$4,1)*1440,0)&lt;ROUND(SETTINGS!$B$8*1440,0)),1,0)</f>
        <v>0</v>
      </c>
      <c r="Z361" s="28" t="str">
        <f ca="1">IF(B361="","",IF(ROUND(MOD(SETTINGS!$B$4,1)*1440,0)&lt;ROUND(SETTINGS!$B$11*1440,0),"Ram",IF(ROUND(MOD(SETTINGS!$B$4,1)*1440,0)&gt;=ROUND(SETTINGS!$B$10*1440,0),"Shyam",IF(MOD(IFERROR(VALUE(RIGHT(F361,2)),0),2)=0,"Ram","Shyam"))))</f>
        <v>Shyam</v>
      </c>
      <c r="AA361" s="28">
        <f t="shared" ca="1" si="58"/>
        <v>0</v>
      </c>
      <c r="AB361" s="28">
        <f ca="1">IF(X361=1,COUNTIFS($F$2:F361,F361,$X$2:X361,1),0)</f>
        <v>0</v>
      </c>
      <c r="AC361" s="28" t="str">
        <f>IF(L361=1,IF(IFERROR(INDEX(PARTNERS!$C$2:$C$88,MATCH(B361,PARTNERS!$A$2:$A$88,0)),"")="YES","YES","NO"),"")</f>
        <v>NO</v>
      </c>
      <c r="AD361" s="28" t="str">
        <f>IF(L361=1,IFERROR(INDEX(PARTNERS!$B$2:$B$88,MATCH(B361,PARTNERS!$A$2:$A$88,0)),""),"")</f>
        <v>https://calendly.com/partner003/interview</v>
      </c>
      <c r="AE361" s="28">
        <f ca="1">IF(X361=1,IFERROR(INDEX(SETTINGS!$B$34:$D$36,MATCH(I361,SETTINGS!$A$34:$A$36,0),MIN(Q361,2)+1),SETTINGS!$B$36),0)</f>
        <v>0</v>
      </c>
      <c r="AF361" s="28">
        <f t="shared" si="59"/>
        <v>1</v>
      </c>
      <c r="AG361" s="28">
        <f ca="1">IF(AND(Y361=1,AB361=1),ROUND(AA361*AE361*IF(AF361&gt;1,SETTINGS!$B$16,1)*IF(W361&lt;=SETTINGS!$B$14,SETTINGS!$B$15,1)*IF(AU361=1,SETTINGS!$B$21,1),6),0)</f>
        <v>0</v>
      </c>
      <c r="AH361" s="28" t="str">
        <f ca="1">IF(AG361&gt;0,COUNTIFS($Z$2:$Z$601,Z361,$AG$2:$AG$601,"&gt;"&amp;AG361)+COUNTIFS($Z$2:Z361,Z361,$AG$2:AG361,AG361),"")</f>
        <v/>
      </c>
      <c r="AI361" s="28" t="str">
        <f t="shared" ca="1" si="60"/>
        <v/>
      </c>
      <c r="AJ361" s="28" t="str">
        <f t="shared" ca="1" si="61"/>
        <v/>
      </c>
      <c r="AK361" s="28">
        <f>IF(L361=1,IF(COUNTIFS($F$2:F361,F361,$L$2:L361,1)=1,1,0),0)</f>
        <v>0</v>
      </c>
      <c r="AL361" s="28" t="str">
        <f ca="1">IF(B361="","",IF(K361="DUPLICATE","Duplicate (removed)",IF(AO361=1,"Scheduled within 24h",IF(M361=1,"Scheduled late",IF(K361="BAD CONTACT","Bad contact details",IF(O361=1,"Stopped / wrong number",IF(N361=1,"Not interested",IF(P361=1,"Partner has no slots",IF(SETTINGS!$B$4&gt;=V361,IF(Q361=0,"Missed deadline: never tried","Missed deadline: tried, not booked"),IF(Q361&gt;=SETTINGS!$B$6,"No reply after max tries","Open"))))))))))</f>
        <v>Missed deadline: never tried</v>
      </c>
      <c r="AM361" s="46" t="str">
        <f>IF(M361=1,IF(_xlfn.MINIFS(LOG!$G$2:$G$2001,LOG!$C$2:$C$2001,F361,LOG!$E$2:$E$2001,B361,LOG!$D$2:$D$2001,"*BOOKED")=0,_xlfn.MINIFS(LOG!$G$2:$G$2001,LOG!$C$2:$C$2001,F361,LOG!$E$2:$E$2001,"",LOG!$D$2:$D$2001,"*BOOKED"),IF(_xlfn.MINIFS(LOG!$G$2:$G$2001,LOG!$C$2:$C$2001,F361,LOG!$E$2:$E$2001,"",LOG!$D$2:$D$2001,"*BOOKED")=0,_xlfn.MINIFS(LOG!$G$2:$G$2001,LOG!$C$2:$C$2001,F361,LOG!$E$2:$E$2001,B361,LOG!$D$2:$D$2001,"*BOOKED"),MIN(_xlfn.MINIFS(LOG!$G$2:$G$2001,LOG!$C$2:$C$2001,F361,LOG!$E$2:$E$2001,B361,LOG!$D$2:$D$2001,"*BOOKED"),_xlfn.MINIFS(LOG!$G$2:$G$2001,LOG!$C$2:$C$2001,F361,LOG!$E$2:$E$2001,"",LOG!$D$2:$D$2001,"*BOOKED")))),"")</f>
        <v/>
      </c>
      <c r="AN361" s="28" t="str">
        <f t="shared" si="62"/>
        <v/>
      </c>
      <c r="AO361" s="28">
        <f>IF(AND(M361=1,AN361&lt;&gt;""),IF(AN361&lt;=SETTINGS!$B$5,1,0),0)</f>
        <v>0</v>
      </c>
      <c r="AP361" s="28">
        <f>IF(M361=1,IF(COUNTIFS(LOG!$C$2:$C$2001,F361,LOG!$E$2:$E$2001,B361,LOG!$D$2:$D$2001,"BOOKED")+COUNTIFS(LOG!$C$2:$C$2001,F361,LOG!$E$2:$E$2001,"",LOG!$D$2:$D$2001,"BOOKED")&gt;0,1,0),0)</f>
        <v>0</v>
      </c>
      <c r="AQ361" s="28" t="str">
        <f t="shared" si="63"/>
        <v>Sneha</v>
      </c>
      <c r="AR361" s="28" t="str">
        <f>IF(AND(AK361=1,K361="OK"),COUNTIFS($AK$2:AK361,1,$K$2:K361,"OK"),"")</f>
        <v/>
      </c>
      <c r="AS361" s="28" t="str">
        <f>IF(L361=1,IFERROR(INDEX(MESSAGES!$J$9:$J$1008,MATCH(F361,MESSAGES!$M$9:$M$1008,0))&amp;"",""),"")</f>
        <v/>
      </c>
      <c r="AT361" s="28" t="str">
        <f>IF(L361=1,IFERROR(INDEX(MESSAGES!$K$9:$K$1008,MATCH(F361,MESSAGES!$M$9:$M$1008,0))&amp;"",""),"")</f>
        <v/>
      </c>
      <c r="AU361" s="28">
        <f t="shared" ca="1" si="64"/>
        <v>0</v>
      </c>
      <c r="AV361" s="28" t="str">
        <f t="shared" si="65"/>
        <v>HOLD</v>
      </c>
    </row>
    <row r="362" spans="1:48" x14ac:dyDescent="0.35">
      <c r="A362" s="28">
        <v>361</v>
      </c>
      <c r="B362" s="28" t="str">
        <f>IF(INPUT!A362="","",TRIM(INPUT!A362))</f>
        <v>Partner 029</v>
      </c>
      <c r="C362" s="28" t="str">
        <f>IF(B362="","",INPUT!C362)</f>
        <v>interviewer2@partner029.example.com</v>
      </c>
      <c r="D362" s="28" t="str">
        <f>IF(B362="","",INPUT!D362)</f>
        <v>Pooja F.</v>
      </c>
      <c r="E362" s="28" t="str">
        <f>IF(B362="","",INPUT!E362)</f>
        <v>pooja.f171@example.com</v>
      </c>
      <c r="F362" s="43" t="str">
        <f>IF(B362="","",TRIM(INPUT!F362&amp;""))</f>
        <v>9000002230</v>
      </c>
      <c r="G362" s="28" t="str">
        <f>IF(B362="","",INPUT!H362)</f>
        <v>Round1</v>
      </c>
      <c r="H362" s="46">
        <f>IF(B362="","",INPUT!I362)</f>
        <v>46308.82708333333</v>
      </c>
      <c r="I362" s="28" t="str">
        <f>IF(B362="","",IF(INPUT!J362="","None",INPUT!J362))</f>
        <v>Opened</v>
      </c>
      <c r="J362" s="28" t="str">
        <f t="shared" si="55"/>
        <v>pooja.f171@example.com|partner 029|Round1|interviewer2@partner029.example.com</v>
      </c>
      <c r="K362" s="28" t="str">
        <f>IF(B362="","",IF(SUMPRODUCT(($J$2:$J$601=J362)*($H$2:$H$601&lt;H362))+SUMPRODUCT(($J$2:J362=J362)*($H$2:H362=H362))-1&gt;0,"DUPLICATE",IF(AND(ISNUMBER(SEARCH("@",E362)),ISNUMBER(SEARCH(".",E362)),LEN(F362)=10,ISNUMBER(VALUE(F362))),"OK","BAD CONTACT")))</f>
        <v>OK</v>
      </c>
      <c r="L362" s="28">
        <f t="shared" si="56"/>
        <v>1</v>
      </c>
      <c r="M362" s="28">
        <f>IF(L362=1,IF(COUNTIFS(LOG!$C$2:$C$2001,F362,LOG!$E$2:$E$2001,B362,LOG!$D$2:$D$2001,"*BOOKED")+COUNTIFS(LOG!$C$2:$C$2001,F362,LOG!$E$2:$E$2001,"",LOG!$D$2:$D$2001,"*BOOKED")&gt;0,1,0),0)</f>
        <v>1</v>
      </c>
      <c r="N362" s="28">
        <f>IF(L362=1,IF(COUNTIFS(LOG!$C$2:$C$2001,F362,LOG!$E$2:$E$2001,B362,LOG!$D$2:$D$2001,"NOT_INTERESTED")+COUNTIFS(LOG!$C$2:$C$2001,F362,LOG!$E$2:$E$2001,"",LOG!$D$2:$D$2001,"NOT_INTERESTED")&gt;0,1,0),0)</f>
        <v>0</v>
      </c>
      <c r="O362" s="28">
        <f>IF(L362=1,IF(COUNTIFS(LOG!$C$2:$C$2001,F362,LOG!$D$2:$D$2001,"STOP")+COUNTIFS(LOG!$C$2:$C$2001,F362,LOG!$D$2:$D$2001,"WRONG_NUMBER")&gt;0,1,IF(ISNUMBER(SEARCH("STOP",AT362)),1,0)),0)</f>
        <v>0</v>
      </c>
      <c r="P362" s="28">
        <f>IF(L362=1,IF(IFERROR(INDEX(PARTNERS!$D$2:$D$88,MATCH(B362,PARTNERS!$A$2:$A$88,0)),"")="NO SLOTS",1,IF(AND(IFERROR(INDEX(PARTNERS!$D$2:$D$88,MATCH(B362,PARTNERS!$A$2:$A$88,0)),"")&lt;&gt;"REOPENED",COUNTIFS(LOG!$E$2:$E$2001,B362,LOG!$D$2:$D$2001,"NO_SLOTS")&gt;0),1,0)),0)</f>
        <v>0</v>
      </c>
      <c r="Q362" s="28">
        <f>IF(L362=1,COUNTIFS(LOG!$C$2:$C$2001,F362,LOG!$H$2:$H$2001,1),0)</f>
        <v>0</v>
      </c>
      <c r="R362" s="46">
        <f>IF(Q362&gt;0,_xlfn.MAXIFS(LOG!$G$2:$G$2001,LOG!$C$2:$C$2001,F362,LOG!$H$2:$H$2001,1),0)</f>
        <v>0</v>
      </c>
      <c r="S362" s="28" t="str">
        <f>IF(Q362&gt;0,IFERROR(INDEX(LOG!$D$2:$D$2001,MATCH(F362&amp;"|"&amp;Q362,LOG!$I$2:$I$2001,0)),""),"")</f>
        <v/>
      </c>
      <c r="T362" s="28">
        <f>IF(S362="",0,IFERROR(VLOOKUP(S362,LISTS!$A$2:$E$10,4,FALSE),0))</f>
        <v>0</v>
      </c>
      <c r="U362" s="46">
        <f t="shared" si="57"/>
        <v>0</v>
      </c>
      <c r="V362" s="46">
        <f>IF(L362=1,H362+SETTINGS!$B$5/24,"")</f>
        <v>46309.82708333333</v>
      </c>
      <c r="W362" s="28">
        <f ca="1">IF(L362=1,(V362-SETTINGS!$B$4)*24,"")</f>
        <v>-1.6666666720993817E-2</v>
      </c>
      <c r="X362" s="28">
        <f ca="1">IF(AND(L362=1,K362="OK",M362=0,N362=0,O362=0,P362=0,SETTINGS!$B$4&lt;V362,Q362&lt;SETTINGS!$B$6),1,0)</f>
        <v>0</v>
      </c>
      <c r="Y362" s="28">
        <f ca="1">IF(AND(X362=1,SETTINGS!$B$4&gt;=H362,SETTINGS!$B$4&gt;=U362,ROUND(MOD(SETTINGS!$B$4,1)*1440,0)&gt;=ROUND(SETTINGS!$B$7*1440,0),ROUND(MOD(SETTINGS!$B$4,1)*1440,0)&lt;ROUND(SETTINGS!$B$8*1440,0)),1,0)</f>
        <v>0</v>
      </c>
      <c r="Z362" s="28" t="str">
        <f ca="1">IF(B362="","",IF(ROUND(MOD(SETTINGS!$B$4,1)*1440,0)&lt;ROUND(SETTINGS!$B$11*1440,0),"Ram",IF(ROUND(MOD(SETTINGS!$B$4,1)*1440,0)&gt;=ROUND(SETTINGS!$B$10*1440,0),"Shyam",IF(MOD(IFERROR(VALUE(RIGHT(F362,2)),0),2)=0,"Ram","Shyam"))))</f>
        <v>Shyam</v>
      </c>
      <c r="AA362" s="28">
        <f t="shared" ca="1" si="58"/>
        <v>0</v>
      </c>
      <c r="AB362" s="28">
        <f ca="1">IF(X362=1,COUNTIFS($F$2:F362,F362,$X$2:X362,1),0)</f>
        <v>0</v>
      </c>
      <c r="AC362" s="28" t="str">
        <f>IF(L362=1,IF(IFERROR(INDEX(PARTNERS!$C$2:$C$88,MATCH(B362,PARTNERS!$A$2:$A$88,0)),"")="YES","YES","NO"),"")</f>
        <v>YES</v>
      </c>
      <c r="AD362" s="28" t="str">
        <f>IF(L362=1,IFERROR(INDEX(PARTNERS!$B$2:$B$88,MATCH(B362,PARTNERS!$A$2:$A$88,0)),""),"")</f>
        <v>https://calendly.com/partner029/interview</v>
      </c>
      <c r="AE362" s="28">
        <f ca="1">IF(X362=1,IFERROR(INDEX(SETTINGS!$B$34:$D$36,MATCH(I362,SETTINGS!$A$34:$A$36,0),MIN(Q362,2)+1),SETTINGS!$B$36),0)</f>
        <v>0</v>
      </c>
      <c r="AF362" s="28">
        <f t="shared" si="59"/>
        <v>1</v>
      </c>
      <c r="AG362" s="28">
        <f ca="1">IF(AND(Y362=1,AB362=1),ROUND(AA362*AE362*IF(AF362&gt;1,SETTINGS!$B$16,1)*IF(W362&lt;=SETTINGS!$B$14,SETTINGS!$B$15,1)*IF(AU362=1,SETTINGS!$B$21,1),6),0)</f>
        <v>0</v>
      </c>
      <c r="AH362" s="28" t="str">
        <f ca="1">IF(AG362&gt;0,COUNTIFS($Z$2:$Z$601,Z362,$AG$2:$AG$601,"&gt;"&amp;AG362)+COUNTIFS($Z$2:Z362,Z362,$AG$2:AG362,AG362),"")</f>
        <v/>
      </c>
      <c r="AI362" s="28" t="str">
        <f t="shared" ca="1" si="60"/>
        <v/>
      </c>
      <c r="AJ362" s="28" t="str">
        <f t="shared" ca="1" si="61"/>
        <v/>
      </c>
      <c r="AK362" s="28">
        <f>IF(L362=1,IF(COUNTIFS($F$2:F362,F362,$L$2:L362,1)=1,1,0),0)</f>
        <v>1</v>
      </c>
      <c r="AL362" s="28" t="str">
        <f>IF(B362="","",IF(K362="DUPLICATE","Duplicate (removed)",IF(AO362=1,"Scheduled within 24h",IF(M362=1,"Scheduled late",IF(K362="BAD CONTACT","Bad contact details",IF(O362=1,"Stopped / wrong number",IF(N362=1,"Not interested",IF(P362=1,"Partner has no slots",IF(SETTINGS!$B$4&gt;=V362,IF(Q362=0,"Missed deadline: never tried","Missed deadline: tried, not booked"),IF(Q362&gt;=SETTINGS!$B$6,"No reply after max tries","Open"))))))))))</f>
        <v>Scheduled within 24h</v>
      </c>
      <c r="AM362" s="46">
        <f>IF(M362=1,IF(_xlfn.MINIFS(LOG!$G$2:$G$2001,LOG!$C$2:$C$2001,F362,LOG!$E$2:$E$2001,B362,LOG!$D$2:$D$2001,"*BOOKED")=0,_xlfn.MINIFS(LOG!$G$2:$G$2001,LOG!$C$2:$C$2001,F362,LOG!$E$2:$E$2001,"",LOG!$D$2:$D$2001,"*BOOKED"),IF(_xlfn.MINIFS(LOG!$G$2:$G$2001,LOG!$C$2:$C$2001,F362,LOG!$E$2:$E$2001,"",LOG!$D$2:$D$2001,"*BOOKED")=0,_xlfn.MINIFS(LOG!$G$2:$G$2001,LOG!$C$2:$C$2001,F362,LOG!$E$2:$E$2001,B362,LOG!$D$2:$D$2001,"*BOOKED"),MIN(_xlfn.MINIFS(LOG!$G$2:$G$2001,LOG!$C$2:$C$2001,F362,LOG!$E$2:$E$2001,B362,LOG!$D$2:$D$2001,"*BOOKED"),_xlfn.MINIFS(LOG!$G$2:$G$2001,LOG!$C$2:$C$2001,F362,LOG!$E$2:$E$2001,"",LOG!$D$2:$D$2001,"*BOOKED")))),"")</f>
        <v>46308.843652800009</v>
      </c>
      <c r="AN362" s="28">
        <f t="shared" si="62"/>
        <v>0.39766720030456781</v>
      </c>
      <c r="AO362" s="28">
        <f>IF(AND(M362=1,AN362&lt;&gt;""),IF(AN362&lt;=SETTINGS!$B$5,1,0),0)</f>
        <v>1</v>
      </c>
      <c r="AP362" s="28">
        <f>IF(M362=1,IF(COUNTIFS(LOG!$C$2:$C$2001,F362,LOG!$E$2:$E$2001,B362,LOG!$D$2:$D$2001,"BOOKED")+COUNTIFS(LOG!$C$2:$C$2001,F362,LOG!$E$2:$E$2001,"",LOG!$D$2:$D$2001,"BOOKED")&gt;0,1,0),0)</f>
        <v>0</v>
      </c>
      <c r="AQ362" s="28" t="str">
        <f t="shared" si="63"/>
        <v>Pooja</v>
      </c>
      <c r="AR362" s="28">
        <f>IF(AND(AK362=1,K362="OK"),COUNTIFS($AK$2:AK362,1,$K$2:K362,"OK"),"")</f>
        <v>307</v>
      </c>
      <c r="AS362" s="28" t="str">
        <f>IF(L362=1,IFERROR(INDEX(MESSAGES!$J$9:$J$1008,MATCH(F362,MESSAGES!$M$9:$M$1008,0))&amp;"",""),"")</f>
        <v/>
      </c>
      <c r="AT362" s="28" t="str">
        <f>IF(L362=1,IFERROR(INDEX(MESSAGES!$K$9:$K$1008,MATCH(F362,MESSAGES!$M$9:$M$1008,0))&amp;"",""),"")</f>
        <v/>
      </c>
      <c r="AU362" s="28">
        <f t="shared" ca="1" si="64"/>
        <v>0</v>
      </c>
      <c r="AV362" s="28" t="str">
        <f t="shared" si="65"/>
        <v>HOLD</v>
      </c>
    </row>
    <row r="363" spans="1:48" x14ac:dyDescent="0.35">
      <c r="A363" s="28">
        <v>362</v>
      </c>
      <c r="B363" s="28" t="str">
        <f>IF(INPUT!A363="","",TRIM(INPUT!A363))</f>
        <v>Partner 006</v>
      </c>
      <c r="C363" s="28" t="str">
        <f>IF(B363="","",INPUT!C363)</f>
        <v>interviewer1@partner006.example.com</v>
      </c>
      <c r="D363" s="28" t="str">
        <f>IF(B363="","",INPUT!D363)</f>
        <v>Aditya K.</v>
      </c>
      <c r="E363" s="28" t="str">
        <f>IF(B363="","",INPUT!E363)</f>
        <v>aditya.k292@example.com</v>
      </c>
      <c r="F363" s="43" t="str">
        <f>IF(B363="","",TRIM(INPUT!F363&amp;""))</f>
        <v>9000003803</v>
      </c>
      <c r="G363" s="28" t="str">
        <f>IF(B363="","",INPUT!H363)</f>
        <v>Round1</v>
      </c>
      <c r="H363" s="46">
        <f>IF(B363="","",INPUT!I363)</f>
        <v>46308.82708333333</v>
      </c>
      <c r="I363" s="28" t="str">
        <f>IF(B363="","",IF(INPUT!J363="","None",INPUT!J363))</f>
        <v>Opened</v>
      </c>
      <c r="J363" s="28" t="str">
        <f t="shared" si="55"/>
        <v>aditya.k292@example.com|partner 006|Round1|interviewer1@partner006.example.com</v>
      </c>
      <c r="K363" s="28" t="str">
        <f>IF(B363="","",IF(SUMPRODUCT(($J$2:$J$601=J363)*($H$2:$H$601&lt;H363))+SUMPRODUCT(($J$2:J363=J363)*($H$2:H363=H363))-1&gt;0,"DUPLICATE",IF(AND(ISNUMBER(SEARCH("@",E363)),ISNUMBER(SEARCH(".",E363)),LEN(F363)=10,ISNUMBER(VALUE(F363))),"OK","BAD CONTACT")))</f>
        <v>OK</v>
      </c>
      <c r="L363" s="28">
        <f t="shared" si="56"/>
        <v>1</v>
      </c>
      <c r="M363" s="28">
        <f>IF(L363=1,IF(COUNTIFS(LOG!$C$2:$C$2001,F363,LOG!$E$2:$E$2001,B363,LOG!$D$2:$D$2001,"*BOOKED")+COUNTIFS(LOG!$C$2:$C$2001,F363,LOG!$E$2:$E$2001,"",LOG!$D$2:$D$2001,"*BOOKED")&gt;0,1,0),0)</f>
        <v>1</v>
      </c>
      <c r="N363" s="28">
        <f>IF(L363=1,IF(COUNTIFS(LOG!$C$2:$C$2001,F363,LOG!$E$2:$E$2001,B363,LOG!$D$2:$D$2001,"NOT_INTERESTED")+COUNTIFS(LOG!$C$2:$C$2001,F363,LOG!$E$2:$E$2001,"",LOG!$D$2:$D$2001,"NOT_INTERESTED")&gt;0,1,0),0)</f>
        <v>0</v>
      </c>
      <c r="O363" s="28">
        <f>IF(L363=1,IF(COUNTIFS(LOG!$C$2:$C$2001,F363,LOG!$D$2:$D$2001,"STOP")+COUNTIFS(LOG!$C$2:$C$2001,F363,LOG!$D$2:$D$2001,"WRONG_NUMBER")&gt;0,1,IF(ISNUMBER(SEARCH("STOP",AT363)),1,0)),0)</f>
        <v>0</v>
      </c>
      <c r="P363" s="28">
        <f>IF(L363=1,IF(IFERROR(INDEX(PARTNERS!$D$2:$D$88,MATCH(B363,PARTNERS!$A$2:$A$88,0)),"")="NO SLOTS",1,IF(AND(IFERROR(INDEX(PARTNERS!$D$2:$D$88,MATCH(B363,PARTNERS!$A$2:$A$88,0)),"")&lt;&gt;"REOPENED",COUNTIFS(LOG!$E$2:$E$2001,B363,LOG!$D$2:$D$2001,"NO_SLOTS")&gt;0),1,0)),0)</f>
        <v>0</v>
      </c>
      <c r="Q363" s="28">
        <f>IF(L363=1,COUNTIFS(LOG!$C$2:$C$2001,F363,LOG!$H$2:$H$2001,1),0)</f>
        <v>1</v>
      </c>
      <c r="R363" s="46">
        <f>IF(Q363&gt;0,_xlfn.MAXIFS(LOG!$G$2:$G$2001,LOG!$C$2:$C$2001,F363,LOG!$H$2:$H$2001,1),0)</f>
        <v>46309.503856786425</v>
      </c>
      <c r="S363" s="28" t="str">
        <f>IF(Q363&gt;0,IFERROR(INDEX(LOG!$D$2:$D$2001,MATCH(F363&amp;"|"&amp;Q363,LOG!$I$2:$I$2001,0)),""),"")</f>
        <v>SENT_LINK</v>
      </c>
      <c r="T363" s="28">
        <f>IF(S363="",0,IFERROR(VLOOKUP(S363,LISTS!$A$2:$E$10,4,FALSE),0))</f>
        <v>180</v>
      </c>
      <c r="U363" s="46">
        <f t="shared" si="57"/>
        <v>46309.628856786425</v>
      </c>
      <c r="V363" s="46">
        <f>IF(L363=1,H363+SETTINGS!$B$5/24,"")</f>
        <v>46309.82708333333</v>
      </c>
      <c r="W363" s="28">
        <f ca="1">IF(L363=1,(V363-SETTINGS!$B$4)*24,"")</f>
        <v>-1.6666666720993817E-2</v>
      </c>
      <c r="X363" s="28">
        <f ca="1">IF(AND(L363=1,K363="OK",M363=0,N363=0,O363=0,P363=0,SETTINGS!$B$4&lt;V363,Q363&lt;SETTINGS!$B$6),1,0)</f>
        <v>0</v>
      </c>
      <c r="Y363" s="28">
        <f ca="1">IF(AND(X363=1,SETTINGS!$B$4&gt;=H363,SETTINGS!$B$4&gt;=U363,ROUND(MOD(SETTINGS!$B$4,1)*1440,0)&gt;=ROUND(SETTINGS!$B$7*1440,0),ROUND(MOD(SETTINGS!$B$4,1)*1440,0)&lt;ROUND(SETTINGS!$B$8*1440,0)),1,0)</f>
        <v>0</v>
      </c>
      <c r="Z363" s="28" t="str">
        <f ca="1">IF(B363="","",IF(ROUND(MOD(SETTINGS!$B$4,1)*1440,0)&lt;ROUND(SETTINGS!$B$11*1440,0),"Ram",IF(ROUND(MOD(SETTINGS!$B$4,1)*1440,0)&gt;=ROUND(SETTINGS!$B$10*1440,0),"Shyam",IF(MOD(IFERROR(VALUE(RIGHT(F363,2)),0),2)=0,"Ram","Shyam"))))</f>
        <v>Shyam</v>
      </c>
      <c r="AA363" s="28">
        <f t="shared" ca="1" si="58"/>
        <v>0</v>
      </c>
      <c r="AB363" s="28">
        <f ca="1">IF(X363=1,COUNTIFS($F$2:F363,F363,$X$2:X363,1),0)</f>
        <v>0</v>
      </c>
      <c r="AC363" s="28" t="str">
        <f>IF(L363=1,IF(IFERROR(INDEX(PARTNERS!$C$2:$C$88,MATCH(B363,PARTNERS!$A$2:$A$88,0)),"")="YES","YES","NO"),"")</f>
        <v>YES</v>
      </c>
      <c r="AD363" s="28" t="str">
        <f>IF(L363=1,IFERROR(INDEX(PARTNERS!$B$2:$B$88,MATCH(B363,PARTNERS!$A$2:$A$88,0)),""),"")</f>
        <v>https://calendly.com/partner006/interview</v>
      </c>
      <c r="AE363" s="28">
        <f ca="1">IF(X363=1,IFERROR(INDEX(SETTINGS!$B$34:$D$36,MATCH(I363,SETTINGS!$A$34:$A$36,0),MIN(Q363,2)+1),SETTINGS!$B$36),0)</f>
        <v>0</v>
      </c>
      <c r="AF363" s="28">
        <f t="shared" si="59"/>
        <v>1</v>
      </c>
      <c r="AG363" s="28">
        <f ca="1">IF(AND(Y363=1,AB363=1),ROUND(AA363*AE363*IF(AF363&gt;1,SETTINGS!$B$16,1)*IF(W363&lt;=SETTINGS!$B$14,SETTINGS!$B$15,1)*IF(AU363=1,SETTINGS!$B$21,1),6),0)</f>
        <v>0</v>
      </c>
      <c r="AH363" s="28" t="str">
        <f ca="1">IF(AG363&gt;0,COUNTIFS($Z$2:$Z$601,Z363,$AG$2:$AG$601,"&gt;"&amp;AG363)+COUNTIFS($Z$2:Z363,Z363,$AG$2:AG363,AG363),"")</f>
        <v/>
      </c>
      <c r="AI363" s="28" t="str">
        <f t="shared" ca="1" si="60"/>
        <v/>
      </c>
      <c r="AJ363" s="28" t="str">
        <f t="shared" ca="1" si="61"/>
        <v/>
      </c>
      <c r="AK363" s="28">
        <f>IF(L363=1,IF(COUNTIFS($F$2:F363,F363,$L$2:L363,1)=1,1,0),0)</f>
        <v>0</v>
      </c>
      <c r="AL363" s="28" t="str">
        <f>IF(B363="","",IF(K363="DUPLICATE","Duplicate (removed)",IF(AO363=1,"Scheduled within 24h",IF(M363=1,"Scheduled late",IF(K363="BAD CONTACT","Bad contact details",IF(O363=1,"Stopped / wrong number",IF(N363=1,"Not interested",IF(P363=1,"Partner has no slots",IF(SETTINGS!$B$4&gt;=V363,IF(Q363=0,"Missed deadline: never tried","Missed deadline: tried, not booked"),IF(Q363&gt;=SETTINGS!$B$6,"No reply after max tries","Open"))))))))))</f>
        <v>Scheduled within 24h</v>
      </c>
      <c r="AM363" s="46">
        <f>IF(M363=1,IF(_xlfn.MINIFS(LOG!$G$2:$G$2001,LOG!$C$2:$C$2001,F363,LOG!$E$2:$E$2001,B363,LOG!$D$2:$D$2001,"*BOOKED")=0,_xlfn.MINIFS(LOG!$G$2:$G$2001,LOG!$C$2:$C$2001,F363,LOG!$E$2:$E$2001,"",LOG!$D$2:$D$2001,"*BOOKED"),IF(_xlfn.MINIFS(LOG!$G$2:$G$2001,LOG!$C$2:$C$2001,F363,LOG!$E$2:$E$2001,"",LOG!$D$2:$D$2001,"*BOOKED")=0,_xlfn.MINIFS(LOG!$G$2:$G$2001,LOG!$C$2:$C$2001,F363,LOG!$E$2:$E$2001,B363,LOG!$D$2:$D$2001,"*BOOKED"),MIN(_xlfn.MINIFS(LOG!$G$2:$G$2001,LOG!$C$2:$C$2001,F363,LOG!$E$2:$E$2001,B363,LOG!$D$2:$D$2001,"*BOOKED"),_xlfn.MINIFS(LOG!$G$2:$G$2001,LOG!$C$2:$C$2001,F363,LOG!$E$2:$E$2001,"",LOG!$D$2:$D$2001,"*BOOKED")))),"")</f>
        <v>46309.504088267902</v>
      </c>
      <c r="AN363" s="28">
        <f t="shared" si="62"/>
        <v>16.248118429735769</v>
      </c>
      <c r="AO363" s="28">
        <f>IF(AND(M363=1,AN363&lt;&gt;""),IF(AN363&lt;=SETTINGS!$B$5,1,0),0)</f>
        <v>1</v>
      </c>
      <c r="AP363" s="28">
        <f>IF(M363=1,IF(COUNTIFS(LOG!$C$2:$C$2001,F363,LOG!$E$2:$E$2001,B363,LOG!$D$2:$D$2001,"BOOKED")+COUNTIFS(LOG!$C$2:$C$2001,F363,LOG!$E$2:$E$2001,"",LOG!$D$2:$D$2001,"BOOKED")&gt;0,1,0),0)</f>
        <v>1</v>
      </c>
      <c r="AQ363" s="28" t="str">
        <f t="shared" si="63"/>
        <v>Aditya</v>
      </c>
      <c r="AR363" s="28" t="str">
        <f>IF(AND(AK363=1,K363="OK"),COUNTIFS($AK$2:AK363,1,$K$2:K363,"OK"),"")</f>
        <v/>
      </c>
      <c r="AS363" s="28" t="str">
        <f>IF(L363=1,IFERROR(INDEX(MESSAGES!$J$9:$J$1008,MATCH(F363,MESSAGES!$M$9:$M$1008,0))&amp;"",""),"")</f>
        <v/>
      </c>
      <c r="AT363" s="28" t="str">
        <f>IF(L363=1,IFERROR(INDEX(MESSAGES!$K$9:$K$1008,MATCH(F363,MESSAGES!$M$9:$M$1008,0))&amp;"",""),"")</f>
        <v/>
      </c>
      <c r="AU363" s="28">
        <f t="shared" ca="1" si="64"/>
        <v>0</v>
      </c>
      <c r="AV363" s="28" t="str">
        <f t="shared" si="65"/>
        <v>SEND</v>
      </c>
    </row>
    <row r="364" spans="1:48" x14ac:dyDescent="0.35">
      <c r="A364" s="28">
        <v>363</v>
      </c>
      <c r="B364" s="28" t="str">
        <f>IF(INPUT!A364="","",TRIM(INPUT!A364))</f>
        <v>Partner 003</v>
      </c>
      <c r="C364" s="28" t="str">
        <f>IF(B364="","",INPUT!C364)</f>
        <v>interviewer1@partner003.example.com</v>
      </c>
      <c r="D364" s="28" t="str">
        <f>IF(B364="","",INPUT!D364)</f>
        <v>Yash G.</v>
      </c>
      <c r="E364" s="28" t="str">
        <f>IF(B364="","",INPUT!E364)</f>
        <v>yash.g196@example.com</v>
      </c>
      <c r="F364" s="43" t="str">
        <f>IF(B364="","",TRIM(INPUT!F364&amp;""))</f>
        <v>9000002555</v>
      </c>
      <c r="G364" s="28" t="str">
        <f>IF(B364="","",INPUT!H364)</f>
        <v>Round1</v>
      </c>
      <c r="H364" s="46">
        <f>IF(B364="","",INPUT!I364)</f>
        <v>46308.82708333333</v>
      </c>
      <c r="I364" s="28" t="str">
        <f>IF(B364="","",IF(INPUT!J364="","None",INPUT!J364))</f>
        <v>None</v>
      </c>
      <c r="J364" s="28" t="str">
        <f t="shared" si="55"/>
        <v>yash.g196@example.com|partner 003|Round1|interviewer1@partner003.example.com</v>
      </c>
      <c r="K364" s="28" t="str">
        <f>IF(B364="","",IF(SUMPRODUCT(($J$2:$J$601=J364)*($H$2:$H$601&lt;H364))+SUMPRODUCT(($J$2:J364=J364)*($H$2:H364=H364))-1&gt;0,"DUPLICATE",IF(AND(ISNUMBER(SEARCH("@",E364)),ISNUMBER(SEARCH(".",E364)),LEN(F364)=10,ISNUMBER(VALUE(F364))),"OK","BAD CONTACT")))</f>
        <v>OK</v>
      </c>
      <c r="L364" s="28">
        <f t="shared" si="56"/>
        <v>1</v>
      </c>
      <c r="M364" s="28">
        <f>IF(L364=1,IF(COUNTIFS(LOG!$C$2:$C$2001,F364,LOG!$E$2:$E$2001,B364,LOG!$D$2:$D$2001,"*BOOKED")+COUNTIFS(LOG!$C$2:$C$2001,F364,LOG!$E$2:$E$2001,"",LOG!$D$2:$D$2001,"*BOOKED")&gt;0,1,0),0)</f>
        <v>0</v>
      </c>
      <c r="N364" s="28">
        <f>IF(L364=1,IF(COUNTIFS(LOG!$C$2:$C$2001,F364,LOG!$E$2:$E$2001,B364,LOG!$D$2:$D$2001,"NOT_INTERESTED")+COUNTIFS(LOG!$C$2:$C$2001,F364,LOG!$E$2:$E$2001,"",LOG!$D$2:$D$2001,"NOT_INTERESTED")&gt;0,1,0),0)</f>
        <v>0</v>
      </c>
      <c r="O364" s="28">
        <f>IF(L364=1,IF(COUNTIFS(LOG!$C$2:$C$2001,F364,LOG!$D$2:$D$2001,"STOP")+COUNTIFS(LOG!$C$2:$C$2001,F364,LOG!$D$2:$D$2001,"WRONG_NUMBER")&gt;0,1,IF(ISNUMBER(SEARCH("STOP",AT364)),1,0)),0)</f>
        <v>0</v>
      </c>
      <c r="P364" s="28">
        <f>IF(L364=1,IF(IFERROR(INDEX(PARTNERS!$D$2:$D$88,MATCH(B364,PARTNERS!$A$2:$A$88,0)),"")="NO SLOTS",1,IF(AND(IFERROR(INDEX(PARTNERS!$D$2:$D$88,MATCH(B364,PARTNERS!$A$2:$A$88,0)),"")&lt;&gt;"REOPENED",COUNTIFS(LOG!$E$2:$E$2001,B364,LOG!$D$2:$D$2001,"NO_SLOTS")&gt;0),1,0)),0)</f>
        <v>0</v>
      </c>
      <c r="Q364" s="28">
        <f>IF(L364=1,COUNTIFS(LOG!$C$2:$C$2001,F364,LOG!$H$2:$H$2001,1),0)</f>
        <v>0</v>
      </c>
      <c r="R364" s="46">
        <f>IF(Q364&gt;0,_xlfn.MAXIFS(LOG!$G$2:$G$2001,LOG!$C$2:$C$2001,F364,LOG!$H$2:$H$2001,1),0)</f>
        <v>0</v>
      </c>
      <c r="S364" s="28" t="str">
        <f>IF(Q364&gt;0,IFERROR(INDEX(LOG!$D$2:$D$2001,MATCH(F364&amp;"|"&amp;Q364,LOG!$I$2:$I$2001,0)),""),"")</f>
        <v/>
      </c>
      <c r="T364" s="28">
        <f>IF(S364="",0,IFERROR(VLOOKUP(S364,LISTS!$A$2:$E$10,4,FALSE),0))</f>
        <v>0</v>
      </c>
      <c r="U364" s="46">
        <f t="shared" si="57"/>
        <v>0</v>
      </c>
      <c r="V364" s="46">
        <f>IF(L364=1,H364+SETTINGS!$B$5/24,"")</f>
        <v>46309.82708333333</v>
      </c>
      <c r="W364" s="28">
        <f ca="1">IF(L364=1,(V364-SETTINGS!$B$4)*24,"")</f>
        <v>-1.6666666720993817E-2</v>
      </c>
      <c r="X364" s="28">
        <f ca="1">IF(AND(L364=1,K364="OK",M364=0,N364=0,O364=0,P364=0,SETTINGS!$B$4&lt;V364,Q364&lt;SETTINGS!$B$6),1,0)</f>
        <v>0</v>
      </c>
      <c r="Y364" s="28">
        <f ca="1">IF(AND(X364=1,SETTINGS!$B$4&gt;=H364,SETTINGS!$B$4&gt;=U364,ROUND(MOD(SETTINGS!$B$4,1)*1440,0)&gt;=ROUND(SETTINGS!$B$7*1440,0),ROUND(MOD(SETTINGS!$B$4,1)*1440,0)&lt;ROUND(SETTINGS!$B$8*1440,0)),1,0)</f>
        <v>0</v>
      </c>
      <c r="Z364" s="28" t="str">
        <f ca="1">IF(B364="","",IF(ROUND(MOD(SETTINGS!$B$4,1)*1440,0)&lt;ROUND(SETTINGS!$B$11*1440,0),"Ram",IF(ROUND(MOD(SETTINGS!$B$4,1)*1440,0)&gt;=ROUND(SETTINGS!$B$10*1440,0),"Shyam",IF(MOD(IFERROR(VALUE(RIGHT(F364,2)),0),2)=0,"Ram","Shyam"))))</f>
        <v>Shyam</v>
      </c>
      <c r="AA364" s="28">
        <f t="shared" ca="1" si="58"/>
        <v>0</v>
      </c>
      <c r="AB364" s="28">
        <f ca="1">IF(X364=1,COUNTIFS($F$2:F364,F364,$X$2:X364,1),0)</f>
        <v>0</v>
      </c>
      <c r="AC364" s="28" t="str">
        <f>IF(L364=1,IF(IFERROR(INDEX(PARTNERS!$C$2:$C$88,MATCH(B364,PARTNERS!$A$2:$A$88,0)),"")="YES","YES","NO"),"")</f>
        <v>NO</v>
      </c>
      <c r="AD364" s="28" t="str">
        <f>IF(L364=1,IFERROR(INDEX(PARTNERS!$B$2:$B$88,MATCH(B364,PARTNERS!$A$2:$A$88,0)),""),"")</f>
        <v>https://calendly.com/partner003/interview</v>
      </c>
      <c r="AE364" s="28">
        <f ca="1">IF(X364=1,IFERROR(INDEX(SETTINGS!$B$34:$D$36,MATCH(I364,SETTINGS!$A$34:$A$36,0),MIN(Q364,2)+1),SETTINGS!$B$36),0)</f>
        <v>0</v>
      </c>
      <c r="AF364" s="28">
        <f t="shared" si="59"/>
        <v>1</v>
      </c>
      <c r="AG364" s="28">
        <f ca="1">IF(AND(Y364=1,AB364=1),ROUND(AA364*AE364*IF(AF364&gt;1,SETTINGS!$B$16,1)*IF(W364&lt;=SETTINGS!$B$14,SETTINGS!$B$15,1)*IF(AU364=1,SETTINGS!$B$21,1),6),0)</f>
        <v>0</v>
      </c>
      <c r="AH364" s="28" t="str">
        <f ca="1">IF(AG364&gt;0,COUNTIFS($Z$2:$Z$601,Z364,$AG$2:$AG$601,"&gt;"&amp;AG364)+COUNTIFS($Z$2:Z364,Z364,$AG$2:AG364,AG364),"")</f>
        <v/>
      </c>
      <c r="AI364" s="28" t="str">
        <f t="shared" ca="1" si="60"/>
        <v/>
      </c>
      <c r="AJ364" s="28" t="str">
        <f t="shared" ca="1" si="61"/>
        <v/>
      </c>
      <c r="AK364" s="28">
        <f>IF(L364=1,IF(COUNTIFS($F$2:F364,F364,$L$2:L364,1)=1,1,0),0)</f>
        <v>0</v>
      </c>
      <c r="AL364" s="28" t="str">
        <f ca="1">IF(B364="","",IF(K364="DUPLICATE","Duplicate (removed)",IF(AO364=1,"Scheduled within 24h",IF(M364=1,"Scheduled late",IF(K364="BAD CONTACT","Bad contact details",IF(O364=1,"Stopped / wrong number",IF(N364=1,"Not interested",IF(P364=1,"Partner has no slots",IF(SETTINGS!$B$4&gt;=V364,IF(Q364=0,"Missed deadline: never tried","Missed deadline: tried, not booked"),IF(Q364&gt;=SETTINGS!$B$6,"No reply after max tries","Open"))))))))))</f>
        <v>Missed deadline: never tried</v>
      </c>
      <c r="AM364" s="46" t="str">
        <f>IF(M364=1,IF(_xlfn.MINIFS(LOG!$G$2:$G$2001,LOG!$C$2:$C$2001,F364,LOG!$E$2:$E$2001,B364,LOG!$D$2:$D$2001,"*BOOKED")=0,_xlfn.MINIFS(LOG!$G$2:$G$2001,LOG!$C$2:$C$2001,F364,LOG!$E$2:$E$2001,"",LOG!$D$2:$D$2001,"*BOOKED"),IF(_xlfn.MINIFS(LOG!$G$2:$G$2001,LOG!$C$2:$C$2001,F364,LOG!$E$2:$E$2001,"",LOG!$D$2:$D$2001,"*BOOKED")=0,_xlfn.MINIFS(LOG!$G$2:$G$2001,LOG!$C$2:$C$2001,F364,LOG!$E$2:$E$2001,B364,LOG!$D$2:$D$2001,"*BOOKED"),MIN(_xlfn.MINIFS(LOG!$G$2:$G$2001,LOG!$C$2:$C$2001,F364,LOG!$E$2:$E$2001,B364,LOG!$D$2:$D$2001,"*BOOKED"),_xlfn.MINIFS(LOG!$G$2:$G$2001,LOG!$C$2:$C$2001,F364,LOG!$E$2:$E$2001,"",LOG!$D$2:$D$2001,"*BOOKED")))),"")</f>
        <v/>
      </c>
      <c r="AN364" s="28" t="str">
        <f t="shared" si="62"/>
        <v/>
      </c>
      <c r="AO364" s="28">
        <f>IF(AND(M364=1,AN364&lt;&gt;""),IF(AN364&lt;=SETTINGS!$B$5,1,0),0)</f>
        <v>0</v>
      </c>
      <c r="AP364" s="28">
        <f>IF(M364=1,IF(COUNTIFS(LOG!$C$2:$C$2001,F364,LOG!$E$2:$E$2001,B364,LOG!$D$2:$D$2001,"BOOKED")+COUNTIFS(LOG!$C$2:$C$2001,F364,LOG!$E$2:$E$2001,"",LOG!$D$2:$D$2001,"BOOKED")&gt;0,1,0),0)</f>
        <v>0</v>
      </c>
      <c r="AQ364" s="28" t="str">
        <f t="shared" si="63"/>
        <v>Yash</v>
      </c>
      <c r="AR364" s="28" t="str">
        <f>IF(AND(AK364=1,K364="OK"),COUNTIFS($AK$2:AK364,1,$K$2:K364,"OK"),"")</f>
        <v/>
      </c>
      <c r="AS364" s="28" t="str">
        <f>IF(L364=1,IFERROR(INDEX(MESSAGES!$J$9:$J$1008,MATCH(F364,MESSAGES!$M$9:$M$1008,0))&amp;"",""),"")</f>
        <v/>
      </c>
      <c r="AT364" s="28" t="str">
        <f>IF(L364=1,IFERROR(INDEX(MESSAGES!$K$9:$K$1008,MATCH(F364,MESSAGES!$M$9:$M$1008,0))&amp;"",""),"")</f>
        <v/>
      </c>
      <c r="AU364" s="28">
        <f t="shared" ca="1" si="64"/>
        <v>0</v>
      </c>
      <c r="AV364" s="28" t="str">
        <f t="shared" si="65"/>
        <v>HOLD</v>
      </c>
    </row>
    <row r="365" spans="1:48" x14ac:dyDescent="0.35">
      <c r="A365" s="28">
        <v>364</v>
      </c>
      <c r="B365" s="28" t="str">
        <f>IF(INPUT!A365="","",TRIM(INPUT!A365))</f>
        <v>Partner 013</v>
      </c>
      <c r="C365" s="28" t="str">
        <f>IF(B365="","",INPUT!C365)</f>
        <v>interviewer0@partner013.example.com</v>
      </c>
      <c r="D365" s="28" t="str">
        <f>IF(B365="","",INPUT!D365)</f>
        <v>Rahul C.</v>
      </c>
      <c r="E365" s="28" t="str">
        <f>IF(B365="","",INPUT!E365)</f>
        <v>rahul.c086@example.com</v>
      </c>
      <c r="F365" s="43" t="str">
        <f>IF(B365="","",TRIM(INPUT!F365&amp;""))</f>
        <v>9000001125</v>
      </c>
      <c r="G365" s="28" t="str">
        <f>IF(B365="","",INPUT!H365)</f>
        <v>Round1</v>
      </c>
      <c r="H365" s="46">
        <f>IF(B365="","",INPUT!I365)</f>
        <v>46308.82708333333</v>
      </c>
      <c r="I365" s="28" t="str">
        <f>IF(B365="","",IF(INPUT!J365="","None",INPUT!J365))</f>
        <v>Opened</v>
      </c>
      <c r="J365" s="28" t="str">
        <f t="shared" si="55"/>
        <v>rahul.c086@example.com|partner 013|Round1|interviewer0@partner013.example.com</v>
      </c>
      <c r="K365" s="28" t="str">
        <f>IF(B365="","",IF(SUMPRODUCT(($J$2:$J$601=J365)*($H$2:$H$601&lt;H365))+SUMPRODUCT(($J$2:J365=J365)*($H$2:H365=H365))-1&gt;0,"DUPLICATE",IF(AND(ISNUMBER(SEARCH("@",E365)),ISNUMBER(SEARCH(".",E365)),LEN(F365)=10,ISNUMBER(VALUE(F365))),"OK","BAD CONTACT")))</f>
        <v>OK</v>
      </c>
      <c r="L365" s="28">
        <f t="shared" si="56"/>
        <v>1</v>
      </c>
      <c r="M365" s="28">
        <f>IF(L365=1,IF(COUNTIFS(LOG!$C$2:$C$2001,F365,LOG!$E$2:$E$2001,B365,LOG!$D$2:$D$2001,"*BOOKED")+COUNTIFS(LOG!$C$2:$C$2001,F365,LOG!$E$2:$E$2001,"",LOG!$D$2:$D$2001,"*BOOKED")&gt;0,1,0),0)</f>
        <v>0</v>
      </c>
      <c r="N365" s="28">
        <f>IF(L365=1,IF(COUNTIFS(LOG!$C$2:$C$2001,F365,LOG!$E$2:$E$2001,B365,LOG!$D$2:$D$2001,"NOT_INTERESTED")+COUNTIFS(LOG!$C$2:$C$2001,F365,LOG!$E$2:$E$2001,"",LOG!$D$2:$D$2001,"NOT_INTERESTED")&gt;0,1,0),0)</f>
        <v>0</v>
      </c>
      <c r="O365" s="28">
        <f>IF(L365=1,IF(COUNTIFS(LOG!$C$2:$C$2001,F365,LOG!$D$2:$D$2001,"STOP")+COUNTIFS(LOG!$C$2:$C$2001,F365,LOG!$D$2:$D$2001,"WRONG_NUMBER")&gt;0,1,IF(ISNUMBER(SEARCH("STOP",AT365)),1,0)),0)</f>
        <v>0</v>
      </c>
      <c r="P365" s="28">
        <f>IF(L365=1,IF(IFERROR(INDEX(PARTNERS!$D$2:$D$88,MATCH(B365,PARTNERS!$A$2:$A$88,0)),"")="NO SLOTS",1,IF(AND(IFERROR(INDEX(PARTNERS!$D$2:$D$88,MATCH(B365,PARTNERS!$A$2:$A$88,0)),"")&lt;&gt;"REOPENED",COUNTIFS(LOG!$E$2:$E$2001,B365,LOG!$D$2:$D$2001,"NO_SLOTS")&gt;0),1,0)),0)</f>
        <v>0</v>
      </c>
      <c r="Q365" s="28">
        <f>IF(L365=1,COUNTIFS(LOG!$C$2:$C$2001,F365,LOG!$H$2:$H$2001,1),0)</f>
        <v>0</v>
      </c>
      <c r="R365" s="46">
        <f>IF(Q365&gt;0,_xlfn.MAXIFS(LOG!$G$2:$G$2001,LOG!$C$2:$C$2001,F365,LOG!$H$2:$H$2001,1),0)</f>
        <v>0</v>
      </c>
      <c r="S365" s="28" t="str">
        <f>IF(Q365&gt;0,IFERROR(INDEX(LOG!$D$2:$D$2001,MATCH(F365&amp;"|"&amp;Q365,LOG!$I$2:$I$2001,0)),""),"")</f>
        <v/>
      </c>
      <c r="T365" s="28">
        <f>IF(S365="",0,IFERROR(VLOOKUP(S365,LISTS!$A$2:$E$10,4,FALSE),0))</f>
        <v>0</v>
      </c>
      <c r="U365" s="46">
        <f t="shared" si="57"/>
        <v>0</v>
      </c>
      <c r="V365" s="46">
        <f>IF(L365=1,H365+SETTINGS!$B$5/24,"")</f>
        <v>46309.82708333333</v>
      </c>
      <c r="W365" s="28">
        <f ca="1">IF(L365=1,(V365-SETTINGS!$B$4)*24,"")</f>
        <v>-1.6666666720993817E-2</v>
      </c>
      <c r="X365" s="28">
        <f ca="1">IF(AND(L365=1,K365="OK",M365=0,N365=0,O365=0,P365=0,SETTINGS!$B$4&lt;V365,Q365&lt;SETTINGS!$B$6),1,0)</f>
        <v>0</v>
      </c>
      <c r="Y365" s="28">
        <f ca="1">IF(AND(X365=1,SETTINGS!$B$4&gt;=H365,SETTINGS!$B$4&gt;=U365,ROUND(MOD(SETTINGS!$B$4,1)*1440,0)&gt;=ROUND(SETTINGS!$B$7*1440,0),ROUND(MOD(SETTINGS!$B$4,1)*1440,0)&lt;ROUND(SETTINGS!$B$8*1440,0)),1,0)</f>
        <v>0</v>
      </c>
      <c r="Z365" s="28" t="str">
        <f ca="1">IF(B365="","",IF(ROUND(MOD(SETTINGS!$B$4,1)*1440,0)&lt;ROUND(SETTINGS!$B$11*1440,0),"Ram",IF(ROUND(MOD(SETTINGS!$B$4,1)*1440,0)&gt;=ROUND(SETTINGS!$B$10*1440,0),"Shyam",IF(MOD(IFERROR(VALUE(RIGHT(F365,2)),0),2)=0,"Ram","Shyam"))))</f>
        <v>Shyam</v>
      </c>
      <c r="AA365" s="28">
        <f t="shared" ca="1" si="58"/>
        <v>0</v>
      </c>
      <c r="AB365" s="28">
        <f ca="1">IF(X365=1,COUNTIFS($F$2:F365,F365,$X$2:X365,1),0)</f>
        <v>0</v>
      </c>
      <c r="AC365" s="28" t="str">
        <f>IF(L365=1,IF(IFERROR(INDEX(PARTNERS!$C$2:$C$88,MATCH(B365,PARTNERS!$A$2:$A$88,0)),"")="YES","YES","NO"),"")</f>
        <v>YES</v>
      </c>
      <c r="AD365" s="28" t="str">
        <f>IF(L365=1,IFERROR(INDEX(PARTNERS!$B$2:$B$88,MATCH(B365,PARTNERS!$A$2:$A$88,0)),""),"")</f>
        <v>https://calendly.com/partner013/interview</v>
      </c>
      <c r="AE365" s="28">
        <f ca="1">IF(X365=1,IFERROR(INDEX(SETTINGS!$B$34:$D$36,MATCH(I365,SETTINGS!$A$34:$A$36,0),MIN(Q365,2)+1),SETTINGS!$B$36),0)</f>
        <v>0</v>
      </c>
      <c r="AF365" s="28">
        <f t="shared" si="59"/>
        <v>1</v>
      </c>
      <c r="AG365" s="28">
        <f ca="1">IF(AND(Y365=1,AB365=1),ROUND(AA365*AE365*IF(AF365&gt;1,SETTINGS!$B$16,1)*IF(W365&lt;=SETTINGS!$B$14,SETTINGS!$B$15,1)*IF(AU365=1,SETTINGS!$B$21,1),6),0)</f>
        <v>0</v>
      </c>
      <c r="AH365" s="28" t="str">
        <f ca="1">IF(AG365&gt;0,COUNTIFS($Z$2:$Z$601,Z365,$AG$2:$AG$601,"&gt;"&amp;AG365)+COUNTIFS($Z$2:Z365,Z365,$AG$2:AG365,AG365),"")</f>
        <v/>
      </c>
      <c r="AI365" s="28" t="str">
        <f t="shared" ca="1" si="60"/>
        <v/>
      </c>
      <c r="AJ365" s="28" t="str">
        <f t="shared" ca="1" si="61"/>
        <v/>
      </c>
      <c r="AK365" s="28">
        <f>IF(L365=1,IF(COUNTIFS($F$2:F365,F365,$L$2:L365,1)=1,1,0),0)</f>
        <v>1</v>
      </c>
      <c r="AL365" s="28" t="str">
        <f ca="1">IF(B365="","",IF(K365="DUPLICATE","Duplicate (removed)",IF(AO365=1,"Scheduled within 24h",IF(M365=1,"Scheduled late",IF(K365="BAD CONTACT","Bad contact details",IF(O365=1,"Stopped / wrong number",IF(N365=1,"Not interested",IF(P365=1,"Partner has no slots",IF(SETTINGS!$B$4&gt;=V365,IF(Q365=0,"Missed deadline: never tried","Missed deadline: tried, not booked"),IF(Q365&gt;=SETTINGS!$B$6,"No reply after max tries","Open"))))))))))</f>
        <v>Missed deadline: never tried</v>
      </c>
      <c r="AM365" s="46" t="str">
        <f>IF(M365=1,IF(_xlfn.MINIFS(LOG!$G$2:$G$2001,LOG!$C$2:$C$2001,F365,LOG!$E$2:$E$2001,B365,LOG!$D$2:$D$2001,"*BOOKED")=0,_xlfn.MINIFS(LOG!$G$2:$G$2001,LOG!$C$2:$C$2001,F365,LOG!$E$2:$E$2001,"",LOG!$D$2:$D$2001,"*BOOKED"),IF(_xlfn.MINIFS(LOG!$G$2:$G$2001,LOG!$C$2:$C$2001,F365,LOG!$E$2:$E$2001,"",LOG!$D$2:$D$2001,"*BOOKED")=0,_xlfn.MINIFS(LOG!$G$2:$G$2001,LOG!$C$2:$C$2001,F365,LOG!$E$2:$E$2001,B365,LOG!$D$2:$D$2001,"*BOOKED"),MIN(_xlfn.MINIFS(LOG!$G$2:$G$2001,LOG!$C$2:$C$2001,F365,LOG!$E$2:$E$2001,B365,LOG!$D$2:$D$2001,"*BOOKED"),_xlfn.MINIFS(LOG!$G$2:$G$2001,LOG!$C$2:$C$2001,F365,LOG!$E$2:$E$2001,"",LOG!$D$2:$D$2001,"*BOOKED")))),"")</f>
        <v/>
      </c>
      <c r="AN365" s="28" t="str">
        <f t="shared" si="62"/>
        <v/>
      </c>
      <c r="AO365" s="28">
        <f>IF(AND(M365=1,AN365&lt;&gt;""),IF(AN365&lt;=SETTINGS!$B$5,1,0),0)</f>
        <v>0</v>
      </c>
      <c r="AP365" s="28">
        <f>IF(M365=1,IF(COUNTIFS(LOG!$C$2:$C$2001,F365,LOG!$E$2:$E$2001,B365,LOG!$D$2:$D$2001,"BOOKED")+COUNTIFS(LOG!$C$2:$C$2001,F365,LOG!$E$2:$E$2001,"",LOG!$D$2:$D$2001,"BOOKED")&gt;0,1,0),0)</f>
        <v>0</v>
      </c>
      <c r="AQ365" s="28" t="str">
        <f t="shared" si="63"/>
        <v>Rahul</v>
      </c>
      <c r="AR365" s="28">
        <f>IF(AND(AK365=1,K365="OK"),COUNTIFS($AK$2:AK365,1,$K$2:K365,"OK"),"")</f>
        <v>308</v>
      </c>
      <c r="AS365" s="28" t="str">
        <f>IF(L365=1,IFERROR(INDEX(MESSAGES!$J$9:$J$1008,MATCH(F365,MESSAGES!$M$9:$M$1008,0))&amp;"",""),"")</f>
        <v/>
      </c>
      <c r="AT365" s="28" t="str">
        <f>IF(L365=1,IFERROR(INDEX(MESSAGES!$K$9:$K$1008,MATCH(F365,MESSAGES!$M$9:$M$1008,0))&amp;"",""),"")</f>
        <v/>
      </c>
      <c r="AU365" s="28">
        <f t="shared" ca="1" si="64"/>
        <v>0</v>
      </c>
      <c r="AV365" s="28" t="str">
        <f t="shared" si="65"/>
        <v>SEND</v>
      </c>
    </row>
    <row r="366" spans="1:48" x14ac:dyDescent="0.35">
      <c r="A366" s="28">
        <v>365</v>
      </c>
      <c r="B366" s="28" t="str">
        <f>IF(INPUT!A366="","",TRIM(INPUT!A366))</f>
        <v>Partner 058</v>
      </c>
      <c r="C366" s="28" t="str">
        <f>IF(B366="","",INPUT!C366)</f>
        <v>interviewer2@partner058.example.com</v>
      </c>
      <c r="D366" s="28" t="str">
        <f>IF(B366="","",INPUT!D366)</f>
        <v>Riya G.</v>
      </c>
      <c r="E366" s="28" t="str">
        <f>IF(B366="","",INPUT!E366)</f>
        <v>riya.g199@example.com</v>
      </c>
      <c r="F366" s="43" t="str">
        <f>IF(B366="","",TRIM(INPUT!F366&amp;""))</f>
        <v>9000002594</v>
      </c>
      <c r="G366" s="28" t="str">
        <f>IF(B366="","",INPUT!H366)</f>
        <v>Round1</v>
      </c>
      <c r="H366" s="46">
        <f>IF(B366="","",INPUT!I366)</f>
        <v>46308.82708333333</v>
      </c>
      <c r="I366" s="28" t="str">
        <f>IF(B366="","",IF(INPUT!J366="","None",INPUT!J366))</f>
        <v>None</v>
      </c>
      <c r="J366" s="28" t="str">
        <f t="shared" si="55"/>
        <v>riya.g199@example.com|partner 058|Round1|interviewer2@partner058.example.com</v>
      </c>
      <c r="K366" s="28" t="str">
        <f>IF(B366="","",IF(SUMPRODUCT(($J$2:$J$601=J366)*($H$2:$H$601&lt;H366))+SUMPRODUCT(($J$2:J366=J366)*($H$2:H366=H366))-1&gt;0,"DUPLICATE",IF(AND(ISNUMBER(SEARCH("@",E366)),ISNUMBER(SEARCH(".",E366)),LEN(F366)=10,ISNUMBER(VALUE(F366))),"OK","BAD CONTACT")))</f>
        <v>OK</v>
      </c>
      <c r="L366" s="28">
        <f t="shared" si="56"/>
        <v>1</v>
      </c>
      <c r="M366" s="28">
        <f>IF(L366=1,IF(COUNTIFS(LOG!$C$2:$C$2001,F366,LOG!$E$2:$E$2001,B366,LOG!$D$2:$D$2001,"*BOOKED")+COUNTIFS(LOG!$C$2:$C$2001,F366,LOG!$E$2:$E$2001,"",LOG!$D$2:$D$2001,"*BOOKED")&gt;0,1,0),0)</f>
        <v>0</v>
      </c>
      <c r="N366" s="28">
        <f>IF(L366=1,IF(COUNTIFS(LOG!$C$2:$C$2001,F366,LOG!$E$2:$E$2001,B366,LOG!$D$2:$D$2001,"NOT_INTERESTED")+COUNTIFS(LOG!$C$2:$C$2001,F366,LOG!$E$2:$E$2001,"",LOG!$D$2:$D$2001,"NOT_INTERESTED")&gt;0,1,0),0)</f>
        <v>0</v>
      </c>
      <c r="O366" s="28">
        <f>IF(L366=1,IF(COUNTIFS(LOG!$C$2:$C$2001,F366,LOG!$D$2:$D$2001,"STOP")+COUNTIFS(LOG!$C$2:$C$2001,F366,LOG!$D$2:$D$2001,"WRONG_NUMBER")&gt;0,1,IF(ISNUMBER(SEARCH("STOP",AT366)),1,0)),0)</f>
        <v>0</v>
      </c>
      <c r="P366" s="28">
        <f>IF(L366=1,IF(IFERROR(INDEX(PARTNERS!$D$2:$D$88,MATCH(B366,PARTNERS!$A$2:$A$88,0)),"")="NO SLOTS",1,IF(AND(IFERROR(INDEX(PARTNERS!$D$2:$D$88,MATCH(B366,PARTNERS!$A$2:$A$88,0)),"")&lt;&gt;"REOPENED",COUNTIFS(LOG!$E$2:$E$2001,B366,LOG!$D$2:$D$2001,"NO_SLOTS")&gt;0),1,0)),0)</f>
        <v>0</v>
      </c>
      <c r="Q366" s="28">
        <f>IF(L366=1,COUNTIFS(LOG!$C$2:$C$2001,F366,LOG!$H$2:$H$2001,1),0)</f>
        <v>0</v>
      </c>
      <c r="R366" s="46">
        <f>IF(Q366&gt;0,_xlfn.MAXIFS(LOG!$G$2:$G$2001,LOG!$C$2:$C$2001,F366,LOG!$H$2:$H$2001,1),0)</f>
        <v>0</v>
      </c>
      <c r="S366" s="28" t="str">
        <f>IF(Q366&gt;0,IFERROR(INDEX(LOG!$D$2:$D$2001,MATCH(F366&amp;"|"&amp;Q366,LOG!$I$2:$I$2001,0)),""),"")</f>
        <v/>
      </c>
      <c r="T366" s="28">
        <f>IF(S366="",0,IFERROR(VLOOKUP(S366,LISTS!$A$2:$E$10,4,FALSE),0))</f>
        <v>0</v>
      </c>
      <c r="U366" s="46">
        <f t="shared" si="57"/>
        <v>0</v>
      </c>
      <c r="V366" s="46">
        <f>IF(L366=1,H366+SETTINGS!$B$5/24,"")</f>
        <v>46309.82708333333</v>
      </c>
      <c r="W366" s="28">
        <f ca="1">IF(L366=1,(V366-SETTINGS!$B$4)*24,"")</f>
        <v>-1.6666666720993817E-2</v>
      </c>
      <c r="X366" s="28">
        <f ca="1">IF(AND(L366=1,K366="OK",M366=0,N366=0,O366=0,P366=0,SETTINGS!$B$4&lt;V366,Q366&lt;SETTINGS!$B$6),1,0)</f>
        <v>0</v>
      </c>
      <c r="Y366" s="28">
        <f ca="1">IF(AND(X366=1,SETTINGS!$B$4&gt;=H366,SETTINGS!$B$4&gt;=U366,ROUND(MOD(SETTINGS!$B$4,1)*1440,0)&gt;=ROUND(SETTINGS!$B$7*1440,0),ROUND(MOD(SETTINGS!$B$4,1)*1440,0)&lt;ROUND(SETTINGS!$B$8*1440,0)),1,0)</f>
        <v>0</v>
      </c>
      <c r="Z366" s="28" t="str">
        <f ca="1">IF(B366="","",IF(ROUND(MOD(SETTINGS!$B$4,1)*1440,0)&lt;ROUND(SETTINGS!$B$11*1440,0),"Ram",IF(ROUND(MOD(SETTINGS!$B$4,1)*1440,0)&gt;=ROUND(SETTINGS!$B$10*1440,0),"Shyam",IF(MOD(IFERROR(VALUE(RIGHT(F366,2)),0),2)=0,"Ram","Shyam"))))</f>
        <v>Shyam</v>
      </c>
      <c r="AA366" s="28">
        <f t="shared" ca="1" si="58"/>
        <v>0</v>
      </c>
      <c r="AB366" s="28">
        <f ca="1">IF(X366=1,COUNTIFS($F$2:F366,F366,$X$2:X366,1),0)</f>
        <v>0</v>
      </c>
      <c r="AC366" s="28" t="str">
        <f>IF(L366=1,IF(IFERROR(INDEX(PARTNERS!$C$2:$C$88,MATCH(B366,PARTNERS!$A$2:$A$88,0)),"")="YES","YES","NO"),"")</f>
        <v>NO</v>
      </c>
      <c r="AD366" s="28" t="str">
        <f>IF(L366=1,IFERROR(INDEX(PARTNERS!$B$2:$B$88,MATCH(B366,PARTNERS!$A$2:$A$88,0)),""),"")</f>
        <v>https://calendly.com/partner058/interview</v>
      </c>
      <c r="AE366" s="28">
        <f ca="1">IF(X366=1,IFERROR(INDEX(SETTINGS!$B$34:$D$36,MATCH(I366,SETTINGS!$A$34:$A$36,0),MIN(Q366,2)+1),SETTINGS!$B$36),0)</f>
        <v>0</v>
      </c>
      <c r="AF366" s="28">
        <f t="shared" si="59"/>
        <v>1</v>
      </c>
      <c r="AG366" s="28">
        <f ca="1">IF(AND(Y366=1,AB366=1),ROUND(AA366*AE366*IF(AF366&gt;1,SETTINGS!$B$16,1)*IF(W366&lt;=SETTINGS!$B$14,SETTINGS!$B$15,1)*IF(AU366=1,SETTINGS!$B$21,1),6),0)</f>
        <v>0</v>
      </c>
      <c r="AH366" s="28" t="str">
        <f ca="1">IF(AG366&gt;0,COUNTIFS($Z$2:$Z$601,Z366,$AG$2:$AG$601,"&gt;"&amp;AG366)+COUNTIFS($Z$2:Z366,Z366,$AG$2:AG366,AG366),"")</f>
        <v/>
      </c>
      <c r="AI366" s="28" t="str">
        <f t="shared" ca="1" si="60"/>
        <v/>
      </c>
      <c r="AJ366" s="28" t="str">
        <f t="shared" ca="1" si="61"/>
        <v/>
      </c>
      <c r="AK366" s="28">
        <f>IF(L366=1,IF(COUNTIFS($F$2:F366,F366,$L$2:L366,1)=1,1,0),0)</f>
        <v>1</v>
      </c>
      <c r="AL366" s="28" t="str">
        <f ca="1">IF(B366="","",IF(K366="DUPLICATE","Duplicate (removed)",IF(AO366=1,"Scheduled within 24h",IF(M366=1,"Scheduled late",IF(K366="BAD CONTACT","Bad contact details",IF(O366=1,"Stopped / wrong number",IF(N366=1,"Not interested",IF(P366=1,"Partner has no slots",IF(SETTINGS!$B$4&gt;=V366,IF(Q366=0,"Missed deadline: never tried","Missed deadline: tried, not booked"),IF(Q366&gt;=SETTINGS!$B$6,"No reply after max tries","Open"))))))))))</f>
        <v>Missed deadline: never tried</v>
      </c>
      <c r="AM366" s="46" t="str">
        <f>IF(M366=1,IF(_xlfn.MINIFS(LOG!$G$2:$G$2001,LOG!$C$2:$C$2001,F366,LOG!$E$2:$E$2001,B366,LOG!$D$2:$D$2001,"*BOOKED")=0,_xlfn.MINIFS(LOG!$G$2:$G$2001,LOG!$C$2:$C$2001,F366,LOG!$E$2:$E$2001,"",LOG!$D$2:$D$2001,"*BOOKED"),IF(_xlfn.MINIFS(LOG!$G$2:$G$2001,LOG!$C$2:$C$2001,F366,LOG!$E$2:$E$2001,"",LOG!$D$2:$D$2001,"*BOOKED")=0,_xlfn.MINIFS(LOG!$G$2:$G$2001,LOG!$C$2:$C$2001,F366,LOG!$E$2:$E$2001,B366,LOG!$D$2:$D$2001,"*BOOKED"),MIN(_xlfn.MINIFS(LOG!$G$2:$G$2001,LOG!$C$2:$C$2001,F366,LOG!$E$2:$E$2001,B366,LOG!$D$2:$D$2001,"*BOOKED"),_xlfn.MINIFS(LOG!$G$2:$G$2001,LOG!$C$2:$C$2001,F366,LOG!$E$2:$E$2001,"",LOG!$D$2:$D$2001,"*BOOKED")))),"")</f>
        <v/>
      </c>
      <c r="AN366" s="28" t="str">
        <f t="shared" si="62"/>
        <v/>
      </c>
      <c r="AO366" s="28">
        <f>IF(AND(M366=1,AN366&lt;&gt;""),IF(AN366&lt;=SETTINGS!$B$5,1,0),0)</f>
        <v>0</v>
      </c>
      <c r="AP366" s="28">
        <f>IF(M366=1,IF(COUNTIFS(LOG!$C$2:$C$2001,F366,LOG!$E$2:$E$2001,B366,LOG!$D$2:$D$2001,"BOOKED")+COUNTIFS(LOG!$C$2:$C$2001,F366,LOG!$E$2:$E$2001,"",LOG!$D$2:$D$2001,"BOOKED")&gt;0,1,0),0)</f>
        <v>0</v>
      </c>
      <c r="AQ366" s="28" t="str">
        <f t="shared" si="63"/>
        <v>Riya</v>
      </c>
      <c r="AR366" s="28">
        <f>IF(AND(AK366=1,K366="OK"),COUNTIFS($AK$2:AK366,1,$K$2:K366,"OK"),"")</f>
        <v>309</v>
      </c>
      <c r="AS366" s="28" t="str">
        <f>IF(L366=1,IFERROR(INDEX(MESSAGES!$J$9:$J$1008,MATCH(F366,MESSAGES!$M$9:$M$1008,0))&amp;"",""),"")</f>
        <v/>
      </c>
      <c r="AT366" s="28" t="str">
        <f>IF(L366=1,IFERROR(INDEX(MESSAGES!$K$9:$K$1008,MATCH(F366,MESSAGES!$M$9:$M$1008,0))&amp;"",""),"")</f>
        <v/>
      </c>
      <c r="AU366" s="28">
        <f t="shared" ca="1" si="64"/>
        <v>0</v>
      </c>
      <c r="AV366" s="28" t="str">
        <f t="shared" si="65"/>
        <v>HOLD</v>
      </c>
    </row>
    <row r="367" spans="1:48" x14ac:dyDescent="0.35">
      <c r="A367" s="28">
        <v>366</v>
      </c>
      <c r="B367" s="28" t="str">
        <f>IF(INPUT!A367="","",TRIM(INPUT!A367))</f>
        <v>Partner 002</v>
      </c>
      <c r="C367" s="28" t="str">
        <f>IF(B367="","",INPUT!C367)</f>
        <v>interviewer2@partner002.example.com</v>
      </c>
      <c r="D367" s="28" t="str">
        <f>IF(B367="","",INPUT!D367)</f>
        <v>Neil B.</v>
      </c>
      <c r="E367" s="28" t="str">
        <f>IF(B367="","",INPUT!E367)</f>
        <v>neil.b048@example.com</v>
      </c>
      <c r="F367" s="43" t="str">
        <f>IF(B367="","",TRIM(INPUT!F367&amp;""))</f>
        <v>9000000631</v>
      </c>
      <c r="G367" s="28" t="str">
        <f>IF(B367="","",INPUT!H367)</f>
        <v>Round1</v>
      </c>
      <c r="H367" s="46">
        <f>IF(B367="","",INPUT!I367)</f>
        <v>46308.82708333333</v>
      </c>
      <c r="I367" s="28" t="str">
        <f>IF(B367="","",IF(INPUT!J367="","None",INPUT!J367))</f>
        <v>Clicked</v>
      </c>
      <c r="J367" s="28" t="str">
        <f t="shared" si="55"/>
        <v>neil.b048@example.com|partner 002|Round1|interviewer2@partner002.example.com</v>
      </c>
      <c r="K367" s="28" t="str">
        <f>IF(B367="","",IF(SUMPRODUCT(($J$2:$J$601=J367)*($H$2:$H$601&lt;H367))+SUMPRODUCT(($J$2:J367=J367)*($H$2:H367=H367))-1&gt;0,"DUPLICATE",IF(AND(ISNUMBER(SEARCH("@",E367)),ISNUMBER(SEARCH(".",E367)),LEN(F367)=10,ISNUMBER(VALUE(F367))),"OK","BAD CONTACT")))</f>
        <v>OK</v>
      </c>
      <c r="L367" s="28">
        <f t="shared" si="56"/>
        <v>1</v>
      </c>
      <c r="M367" s="28">
        <f>IF(L367=1,IF(COUNTIFS(LOG!$C$2:$C$2001,F367,LOG!$E$2:$E$2001,B367,LOG!$D$2:$D$2001,"*BOOKED")+COUNTIFS(LOG!$C$2:$C$2001,F367,LOG!$E$2:$E$2001,"",LOG!$D$2:$D$2001,"*BOOKED")&gt;0,1,0),0)</f>
        <v>1</v>
      </c>
      <c r="N367" s="28">
        <f>IF(L367=1,IF(COUNTIFS(LOG!$C$2:$C$2001,F367,LOG!$E$2:$E$2001,B367,LOG!$D$2:$D$2001,"NOT_INTERESTED")+COUNTIFS(LOG!$C$2:$C$2001,F367,LOG!$E$2:$E$2001,"",LOG!$D$2:$D$2001,"NOT_INTERESTED")&gt;0,1,0),0)</f>
        <v>0</v>
      </c>
      <c r="O367" s="28">
        <f>IF(L367=1,IF(COUNTIFS(LOG!$C$2:$C$2001,F367,LOG!$D$2:$D$2001,"STOP")+COUNTIFS(LOG!$C$2:$C$2001,F367,LOG!$D$2:$D$2001,"WRONG_NUMBER")&gt;0,1,IF(ISNUMBER(SEARCH("STOP",AT367)),1,0)),0)</f>
        <v>0</v>
      </c>
      <c r="P367" s="28">
        <f>IF(L367=1,IF(IFERROR(INDEX(PARTNERS!$D$2:$D$88,MATCH(B367,PARTNERS!$A$2:$A$88,0)),"")="NO SLOTS",1,IF(AND(IFERROR(INDEX(PARTNERS!$D$2:$D$88,MATCH(B367,PARTNERS!$A$2:$A$88,0)),"")&lt;&gt;"REOPENED",COUNTIFS(LOG!$E$2:$E$2001,B367,LOG!$D$2:$D$2001,"NO_SLOTS")&gt;0),1,0)),0)</f>
        <v>0</v>
      </c>
      <c r="Q367" s="28">
        <f>IF(L367=1,COUNTIFS(LOG!$C$2:$C$2001,F367,LOG!$H$2:$H$2001,1),0)</f>
        <v>0</v>
      </c>
      <c r="R367" s="46">
        <f>IF(Q367&gt;0,_xlfn.MAXIFS(LOG!$G$2:$G$2001,LOG!$C$2:$C$2001,F367,LOG!$H$2:$H$2001,1),0)</f>
        <v>0</v>
      </c>
      <c r="S367" s="28" t="str">
        <f>IF(Q367&gt;0,IFERROR(INDEX(LOG!$D$2:$D$2001,MATCH(F367&amp;"|"&amp;Q367,LOG!$I$2:$I$2001,0)),""),"")</f>
        <v/>
      </c>
      <c r="T367" s="28">
        <f>IF(S367="",0,IFERROR(VLOOKUP(S367,LISTS!$A$2:$E$10,4,FALSE),0))</f>
        <v>0</v>
      </c>
      <c r="U367" s="46">
        <f t="shared" si="57"/>
        <v>0</v>
      </c>
      <c r="V367" s="46">
        <f>IF(L367=1,H367+SETTINGS!$B$5/24,"")</f>
        <v>46309.82708333333</v>
      </c>
      <c r="W367" s="28">
        <f ca="1">IF(L367=1,(V367-SETTINGS!$B$4)*24,"")</f>
        <v>-1.6666666720993817E-2</v>
      </c>
      <c r="X367" s="28">
        <f ca="1">IF(AND(L367=1,K367="OK",M367=0,N367=0,O367=0,P367=0,SETTINGS!$B$4&lt;V367,Q367&lt;SETTINGS!$B$6),1,0)</f>
        <v>0</v>
      </c>
      <c r="Y367" s="28">
        <f ca="1">IF(AND(X367=1,SETTINGS!$B$4&gt;=H367,SETTINGS!$B$4&gt;=U367,ROUND(MOD(SETTINGS!$B$4,1)*1440,0)&gt;=ROUND(SETTINGS!$B$7*1440,0),ROUND(MOD(SETTINGS!$B$4,1)*1440,0)&lt;ROUND(SETTINGS!$B$8*1440,0)),1,0)</f>
        <v>0</v>
      </c>
      <c r="Z367" s="28" t="str">
        <f ca="1">IF(B367="","",IF(ROUND(MOD(SETTINGS!$B$4,1)*1440,0)&lt;ROUND(SETTINGS!$B$11*1440,0),"Ram",IF(ROUND(MOD(SETTINGS!$B$4,1)*1440,0)&gt;=ROUND(SETTINGS!$B$10*1440,0),"Shyam",IF(MOD(IFERROR(VALUE(RIGHT(F367,2)),0),2)=0,"Ram","Shyam"))))</f>
        <v>Shyam</v>
      </c>
      <c r="AA367" s="28">
        <f t="shared" ca="1" si="58"/>
        <v>0</v>
      </c>
      <c r="AB367" s="28">
        <f ca="1">IF(X367=1,COUNTIFS($F$2:F367,F367,$X$2:X367,1),0)</f>
        <v>0</v>
      </c>
      <c r="AC367" s="28" t="str">
        <f>IF(L367=1,IF(IFERROR(INDEX(PARTNERS!$C$2:$C$88,MATCH(B367,PARTNERS!$A$2:$A$88,0)),"")="YES","YES","NO"),"")</f>
        <v>YES</v>
      </c>
      <c r="AD367" s="28" t="str">
        <f>IF(L367=1,IFERROR(INDEX(PARTNERS!$B$2:$B$88,MATCH(B367,PARTNERS!$A$2:$A$88,0)),""),"")</f>
        <v>https://calendly.com/partner002/interview</v>
      </c>
      <c r="AE367" s="28">
        <f ca="1">IF(X367=1,IFERROR(INDEX(SETTINGS!$B$34:$D$36,MATCH(I367,SETTINGS!$A$34:$A$36,0),MIN(Q367,2)+1),SETTINGS!$B$36),0)</f>
        <v>0</v>
      </c>
      <c r="AF367" s="28">
        <f t="shared" si="59"/>
        <v>1</v>
      </c>
      <c r="AG367" s="28">
        <f ca="1">IF(AND(Y367=1,AB367=1),ROUND(AA367*AE367*IF(AF367&gt;1,SETTINGS!$B$16,1)*IF(W367&lt;=SETTINGS!$B$14,SETTINGS!$B$15,1)*IF(AU367=1,SETTINGS!$B$21,1),6),0)</f>
        <v>0</v>
      </c>
      <c r="AH367" s="28" t="str">
        <f ca="1">IF(AG367&gt;0,COUNTIFS($Z$2:$Z$601,Z367,$AG$2:$AG$601,"&gt;"&amp;AG367)+COUNTIFS($Z$2:Z367,Z367,$AG$2:AG367,AG367),"")</f>
        <v/>
      </c>
      <c r="AI367" s="28" t="str">
        <f t="shared" ca="1" si="60"/>
        <v/>
      </c>
      <c r="AJ367" s="28" t="str">
        <f t="shared" ca="1" si="61"/>
        <v/>
      </c>
      <c r="AK367" s="28">
        <f>IF(L367=1,IF(COUNTIFS($F$2:F367,F367,$L$2:L367,1)=1,1,0),0)</f>
        <v>1</v>
      </c>
      <c r="AL367" s="28" t="str">
        <f>IF(B367="","",IF(K367="DUPLICATE","Duplicate (removed)",IF(AO367=1,"Scheduled within 24h",IF(M367=1,"Scheduled late",IF(K367="BAD CONTACT","Bad contact details",IF(O367=1,"Stopped / wrong number",IF(N367=1,"Not interested",IF(P367=1,"Partner has no slots",IF(SETTINGS!$B$4&gt;=V367,IF(Q367=0,"Missed deadline: never tried","Missed deadline: tried, not booked"),IF(Q367&gt;=SETTINGS!$B$6,"No reply after max tries","Open"))))))))))</f>
        <v>Scheduled within 24h</v>
      </c>
      <c r="AM367" s="46">
        <f>IF(M367=1,IF(_xlfn.MINIFS(LOG!$G$2:$G$2001,LOG!$C$2:$C$2001,F367,LOG!$E$2:$E$2001,B367,LOG!$D$2:$D$2001,"*BOOKED")=0,_xlfn.MINIFS(LOG!$G$2:$G$2001,LOG!$C$2:$C$2001,F367,LOG!$E$2:$E$2001,"",LOG!$D$2:$D$2001,"*BOOKED"),IF(_xlfn.MINIFS(LOG!$G$2:$G$2001,LOG!$C$2:$C$2001,F367,LOG!$E$2:$E$2001,"",LOG!$D$2:$D$2001,"*BOOKED")=0,_xlfn.MINIFS(LOG!$G$2:$G$2001,LOG!$C$2:$C$2001,F367,LOG!$E$2:$E$2001,B367,LOG!$D$2:$D$2001,"*BOOKED"),MIN(_xlfn.MINIFS(LOG!$G$2:$G$2001,LOG!$C$2:$C$2001,F367,LOG!$E$2:$E$2001,B367,LOG!$D$2:$D$2001,"*BOOKED"),_xlfn.MINIFS(LOG!$G$2:$G$2001,LOG!$C$2:$C$2001,F367,LOG!$E$2:$E$2001,"",LOG!$D$2:$D$2001,"*BOOKED")))),"")</f>
        <v>46308.934370394556</v>
      </c>
      <c r="AN367" s="28">
        <f t="shared" si="62"/>
        <v>2.5748894694261253</v>
      </c>
      <c r="AO367" s="28">
        <f>IF(AND(M367=1,AN367&lt;&gt;""),IF(AN367&lt;=SETTINGS!$B$5,1,0),0)</f>
        <v>1</v>
      </c>
      <c r="AP367" s="28">
        <f>IF(M367=1,IF(COUNTIFS(LOG!$C$2:$C$2001,F367,LOG!$E$2:$E$2001,B367,LOG!$D$2:$D$2001,"BOOKED")+COUNTIFS(LOG!$C$2:$C$2001,F367,LOG!$E$2:$E$2001,"",LOG!$D$2:$D$2001,"BOOKED")&gt;0,1,0),0)</f>
        <v>0</v>
      </c>
      <c r="AQ367" s="28" t="str">
        <f t="shared" si="63"/>
        <v>Neil</v>
      </c>
      <c r="AR367" s="28">
        <f>IF(AND(AK367=1,K367="OK"),COUNTIFS($AK$2:AK367,1,$K$2:K367,"OK"),"")</f>
        <v>310</v>
      </c>
      <c r="AS367" s="28" t="str">
        <f>IF(L367=1,IFERROR(INDEX(MESSAGES!$J$9:$J$1008,MATCH(F367,MESSAGES!$M$9:$M$1008,0))&amp;"",""),"")</f>
        <v/>
      </c>
      <c r="AT367" s="28" t="str">
        <f>IF(L367=1,IFERROR(INDEX(MESSAGES!$K$9:$K$1008,MATCH(F367,MESSAGES!$M$9:$M$1008,0))&amp;"",""),"")</f>
        <v/>
      </c>
      <c r="AU367" s="28">
        <f t="shared" ca="1" si="64"/>
        <v>0</v>
      </c>
      <c r="AV367" s="28" t="str">
        <f t="shared" si="65"/>
        <v>HOLD</v>
      </c>
    </row>
    <row r="368" spans="1:48" x14ac:dyDescent="0.35">
      <c r="A368" s="28">
        <v>367</v>
      </c>
      <c r="B368" s="28" t="str">
        <f>IF(INPUT!A368="","",TRIM(INPUT!A368))</f>
        <v>Partner 005</v>
      </c>
      <c r="C368" s="28" t="str">
        <f>IF(B368="","",INPUT!C368)</f>
        <v>interviewer0@partner005.example.com</v>
      </c>
      <c r="D368" s="28" t="str">
        <f>IF(B368="","",INPUT!D368)</f>
        <v>Isha D.</v>
      </c>
      <c r="E368" s="28" t="str">
        <f>IF(B368="","",INPUT!E368)</f>
        <v>isha.d115@example.com</v>
      </c>
      <c r="F368" s="43" t="str">
        <f>IF(B368="","",TRIM(INPUT!F368&amp;""))</f>
        <v>9000001502</v>
      </c>
      <c r="G368" s="28" t="str">
        <f>IF(B368="","",INPUT!H368)</f>
        <v>Round1</v>
      </c>
      <c r="H368" s="46">
        <f>IF(B368="","",INPUT!I368)</f>
        <v>46308.82708333333</v>
      </c>
      <c r="I368" s="28" t="str">
        <f>IF(B368="","",IF(INPUT!J368="","None",INPUT!J368))</f>
        <v>None</v>
      </c>
      <c r="J368" s="28" t="str">
        <f t="shared" si="55"/>
        <v>isha.d115@example.com|partner 005|Round1|interviewer0@partner005.example.com</v>
      </c>
      <c r="K368" s="28" t="str">
        <f>IF(B368="","",IF(SUMPRODUCT(($J$2:$J$601=J368)*($H$2:$H$601&lt;H368))+SUMPRODUCT(($J$2:J368=J368)*($H$2:H368=H368))-1&gt;0,"DUPLICATE",IF(AND(ISNUMBER(SEARCH("@",E368)),ISNUMBER(SEARCH(".",E368)),LEN(F368)=10,ISNUMBER(VALUE(F368))),"OK","BAD CONTACT")))</f>
        <v>OK</v>
      </c>
      <c r="L368" s="28">
        <f t="shared" si="56"/>
        <v>1</v>
      </c>
      <c r="M368" s="28">
        <f>IF(L368=1,IF(COUNTIFS(LOG!$C$2:$C$2001,F368,LOG!$E$2:$E$2001,B368,LOG!$D$2:$D$2001,"*BOOKED")+COUNTIFS(LOG!$C$2:$C$2001,F368,LOG!$E$2:$E$2001,"",LOG!$D$2:$D$2001,"*BOOKED")&gt;0,1,0),0)</f>
        <v>0</v>
      </c>
      <c r="N368" s="28">
        <f>IF(L368=1,IF(COUNTIFS(LOG!$C$2:$C$2001,F368,LOG!$E$2:$E$2001,B368,LOG!$D$2:$D$2001,"NOT_INTERESTED")+COUNTIFS(LOG!$C$2:$C$2001,F368,LOG!$E$2:$E$2001,"",LOG!$D$2:$D$2001,"NOT_INTERESTED")&gt;0,1,0),0)</f>
        <v>0</v>
      </c>
      <c r="O368" s="28">
        <f>IF(L368=1,IF(COUNTIFS(LOG!$C$2:$C$2001,F368,LOG!$D$2:$D$2001,"STOP")+COUNTIFS(LOG!$C$2:$C$2001,F368,LOG!$D$2:$D$2001,"WRONG_NUMBER")&gt;0,1,IF(ISNUMBER(SEARCH("STOP",AT368)),1,0)),0)</f>
        <v>0</v>
      </c>
      <c r="P368" s="28">
        <f>IF(L368=1,IF(IFERROR(INDEX(PARTNERS!$D$2:$D$88,MATCH(B368,PARTNERS!$A$2:$A$88,0)),"")="NO SLOTS",1,IF(AND(IFERROR(INDEX(PARTNERS!$D$2:$D$88,MATCH(B368,PARTNERS!$A$2:$A$88,0)),"")&lt;&gt;"REOPENED",COUNTIFS(LOG!$E$2:$E$2001,B368,LOG!$D$2:$D$2001,"NO_SLOTS")&gt;0),1,0)),0)</f>
        <v>0</v>
      </c>
      <c r="Q368" s="28">
        <f>IF(L368=1,COUNTIFS(LOG!$C$2:$C$2001,F368,LOG!$H$2:$H$2001,1),0)</f>
        <v>0</v>
      </c>
      <c r="R368" s="46">
        <f>IF(Q368&gt;0,_xlfn.MAXIFS(LOG!$G$2:$G$2001,LOG!$C$2:$C$2001,F368,LOG!$H$2:$H$2001,1),0)</f>
        <v>0</v>
      </c>
      <c r="S368" s="28" t="str">
        <f>IF(Q368&gt;0,IFERROR(INDEX(LOG!$D$2:$D$2001,MATCH(F368&amp;"|"&amp;Q368,LOG!$I$2:$I$2001,0)),""),"")</f>
        <v/>
      </c>
      <c r="T368" s="28">
        <f>IF(S368="",0,IFERROR(VLOOKUP(S368,LISTS!$A$2:$E$10,4,FALSE),0))</f>
        <v>0</v>
      </c>
      <c r="U368" s="46">
        <f t="shared" si="57"/>
        <v>0</v>
      </c>
      <c r="V368" s="46">
        <f>IF(L368=1,H368+SETTINGS!$B$5/24,"")</f>
        <v>46309.82708333333</v>
      </c>
      <c r="W368" s="28">
        <f ca="1">IF(L368=1,(V368-SETTINGS!$B$4)*24,"")</f>
        <v>-1.6666666720993817E-2</v>
      </c>
      <c r="X368" s="28">
        <f ca="1">IF(AND(L368=1,K368="OK",M368=0,N368=0,O368=0,P368=0,SETTINGS!$B$4&lt;V368,Q368&lt;SETTINGS!$B$6),1,0)</f>
        <v>0</v>
      </c>
      <c r="Y368" s="28">
        <f ca="1">IF(AND(X368=1,SETTINGS!$B$4&gt;=H368,SETTINGS!$B$4&gt;=U368,ROUND(MOD(SETTINGS!$B$4,1)*1440,0)&gt;=ROUND(SETTINGS!$B$7*1440,0),ROUND(MOD(SETTINGS!$B$4,1)*1440,0)&lt;ROUND(SETTINGS!$B$8*1440,0)),1,0)</f>
        <v>0</v>
      </c>
      <c r="Z368" s="28" t="str">
        <f ca="1">IF(B368="","",IF(ROUND(MOD(SETTINGS!$B$4,1)*1440,0)&lt;ROUND(SETTINGS!$B$11*1440,0),"Ram",IF(ROUND(MOD(SETTINGS!$B$4,1)*1440,0)&gt;=ROUND(SETTINGS!$B$10*1440,0),"Shyam",IF(MOD(IFERROR(VALUE(RIGHT(F368,2)),0),2)=0,"Ram","Shyam"))))</f>
        <v>Shyam</v>
      </c>
      <c r="AA368" s="28">
        <f t="shared" ca="1" si="58"/>
        <v>0</v>
      </c>
      <c r="AB368" s="28">
        <f ca="1">IF(X368=1,COUNTIFS($F$2:F368,F368,$X$2:X368,1),0)</f>
        <v>0</v>
      </c>
      <c r="AC368" s="28" t="str">
        <f>IF(L368=1,IF(IFERROR(INDEX(PARTNERS!$C$2:$C$88,MATCH(B368,PARTNERS!$A$2:$A$88,0)),"")="YES","YES","NO"),"")</f>
        <v>YES</v>
      </c>
      <c r="AD368" s="28" t="str">
        <f>IF(L368=1,IFERROR(INDEX(PARTNERS!$B$2:$B$88,MATCH(B368,PARTNERS!$A$2:$A$88,0)),""),"")</f>
        <v>https://calendly.com/partner005/interview</v>
      </c>
      <c r="AE368" s="28">
        <f ca="1">IF(X368=1,IFERROR(INDEX(SETTINGS!$B$34:$D$36,MATCH(I368,SETTINGS!$A$34:$A$36,0),MIN(Q368,2)+1),SETTINGS!$B$36),0)</f>
        <v>0</v>
      </c>
      <c r="AF368" s="28">
        <f t="shared" si="59"/>
        <v>1</v>
      </c>
      <c r="AG368" s="28">
        <f ca="1">IF(AND(Y368=1,AB368=1),ROUND(AA368*AE368*IF(AF368&gt;1,SETTINGS!$B$16,1)*IF(W368&lt;=SETTINGS!$B$14,SETTINGS!$B$15,1)*IF(AU368=1,SETTINGS!$B$21,1),6),0)</f>
        <v>0</v>
      </c>
      <c r="AH368" s="28" t="str">
        <f ca="1">IF(AG368&gt;0,COUNTIFS($Z$2:$Z$601,Z368,$AG$2:$AG$601,"&gt;"&amp;AG368)+COUNTIFS($Z$2:Z368,Z368,$AG$2:AG368,AG368),"")</f>
        <v/>
      </c>
      <c r="AI368" s="28" t="str">
        <f t="shared" ca="1" si="60"/>
        <v/>
      </c>
      <c r="AJ368" s="28" t="str">
        <f t="shared" ca="1" si="61"/>
        <v/>
      </c>
      <c r="AK368" s="28">
        <f>IF(L368=1,IF(COUNTIFS($F$2:F368,F368,$L$2:L368,1)=1,1,0),0)</f>
        <v>1</v>
      </c>
      <c r="AL368" s="28" t="str">
        <f ca="1">IF(B368="","",IF(K368="DUPLICATE","Duplicate (removed)",IF(AO368=1,"Scheduled within 24h",IF(M368=1,"Scheduled late",IF(K368="BAD CONTACT","Bad contact details",IF(O368=1,"Stopped / wrong number",IF(N368=1,"Not interested",IF(P368=1,"Partner has no slots",IF(SETTINGS!$B$4&gt;=V368,IF(Q368=0,"Missed deadline: never tried","Missed deadline: tried, not booked"),IF(Q368&gt;=SETTINGS!$B$6,"No reply after max tries","Open"))))))))))</f>
        <v>Missed deadline: never tried</v>
      </c>
      <c r="AM368" s="46" t="str">
        <f>IF(M368=1,IF(_xlfn.MINIFS(LOG!$G$2:$G$2001,LOG!$C$2:$C$2001,F368,LOG!$E$2:$E$2001,B368,LOG!$D$2:$D$2001,"*BOOKED")=0,_xlfn.MINIFS(LOG!$G$2:$G$2001,LOG!$C$2:$C$2001,F368,LOG!$E$2:$E$2001,"",LOG!$D$2:$D$2001,"*BOOKED"),IF(_xlfn.MINIFS(LOG!$G$2:$G$2001,LOG!$C$2:$C$2001,F368,LOG!$E$2:$E$2001,"",LOG!$D$2:$D$2001,"*BOOKED")=0,_xlfn.MINIFS(LOG!$G$2:$G$2001,LOG!$C$2:$C$2001,F368,LOG!$E$2:$E$2001,B368,LOG!$D$2:$D$2001,"*BOOKED"),MIN(_xlfn.MINIFS(LOG!$G$2:$G$2001,LOG!$C$2:$C$2001,F368,LOG!$E$2:$E$2001,B368,LOG!$D$2:$D$2001,"*BOOKED"),_xlfn.MINIFS(LOG!$G$2:$G$2001,LOG!$C$2:$C$2001,F368,LOG!$E$2:$E$2001,"",LOG!$D$2:$D$2001,"*BOOKED")))),"")</f>
        <v/>
      </c>
      <c r="AN368" s="28" t="str">
        <f t="shared" si="62"/>
        <v/>
      </c>
      <c r="AO368" s="28">
        <f>IF(AND(M368=1,AN368&lt;&gt;""),IF(AN368&lt;=SETTINGS!$B$5,1,0),0)</f>
        <v>0</v>
      </c>
      <c r="AP368" s="28">
        <f>IF(M368=1,IF(COUNTIFS(LOG!$C$2:$C$2001,F368,LOG!$E$2:$E$2001,B368,LOG!$D$2:$D$2001,"BOOKED")+COUNTIFS(LOG!$C$2:$C$2001,F368,LOG!$E$2:$E$2001,"",LOG!$D$2:$D$2001,"BOOKED")&gt;0,1,0),0)</f>
        <v>0</v>
      </c>
      <c r="AQ368" s="28" t="str">
        <f t="shared" si="63"/>
        <v>Isha</v>
      </c>
      <c r="AR368" s="28">
        <f>IF(AND(AK368=1,K368="OK"),COUNTIFS($AK$2:AK368,1,$K$2:K368,"OK"),"")</f>
        <v>311</v>
      </c>
      <c r="AS368" s="28" t="str">
        <f>IF(L368=1,IFERROR(INDEX(MESSAGES!$J$9:$J$1008,MATCH(F368,MESSAGES!$M$9:$M$1008,0))&amp;"",""),"")</f>
        <v/>
      </c>
      <c r="AT368" s="28" t="str">
        <f>IF(L368=1,IFERROR(INDEX(MESSAGES!$K$9:$K$1008,MATCH(F368,MESSAGES!$M$9:$M$1008,0))&amp;"",""),"")</f>
        <v/>
      </c>
      <c r="AU368" s="28">
        <f t="shared" ca="1" si="64"/>
        <v>0</v>
      </c>
      <c r="AV368" s="28" t="str">
        <f t="shared" si="65"/>
        <v>SEND</v>
      </c>
    </row>
    <row r="369" spans="1:48" x14ac:dyDescent="0.35">
      <c r="A369" s="28">
        <v>368</v>
      </c>
      <c r="B369" s="28" t="str">
        <f>IF(INPUT!A369="","",TRIM(INPUT!A369))</f>
        <v>Partner 019</v>
      </c>
      <c r="C369" s="28" t="str">
        <f>IF(B369="","",INPUT!C369)</f>
        <v>interviewer2@partner019.example.com</v>
      </c>
      <c r="D369" s="28" t="str">
        <f>IF(B369="","",INPUT!D369)</f>
        <v>Aditya K.</v>
      </c>
      <c r="E369" s="28" t="str">
        <f>IF(B369="","",INPUT!E369)</f>
        <v>aditya.k292@example.com</v>
      </c>
      <c r="F369" s="43" t="str">
        <f>IF(B369="","",TRIM(INPUT!F369&amp;""))</f>
        <v>9000003803</v>
      </c>
      <c r="G369" s="28" t="str">
        <f>IF(B369="","",INPUT!H369)</f>
        <v>Round1</v>
      </c>
      <c r="H369" s="46">
        <f>IF(B369="","",INPUT!I369)</f>
        <v>46308.827777777777</v>
      </c>
      <c r="I369" s="28" t="str">
        <f>IF(B369="","",IF(INPUT!J369="","None",INPUT!J369))</f>
        <v>Opened</v>
      </c>
      <c r="J369" s="28" t="str">
        <f t="shared" si="55"/>
        <v>aditya.k292@example.com|partner 019|Round1|interviewer2@partner019.example.com</v>
      </c>
      <c r="K369" s="28" t="str">
        <f>IF(B369="","",IF(SUMPRODUCT(($J$2:$J$601=J369)*($H$2:$H$601&lt;H369))+SUMPRODUCT(($J$2:J369=J369)*($H$2:H369=H369))-1&gt;0,"DUPLICATE",IF(AND(ISNUMBER(SEARCH("@",E369)),ISNUMBER(SEARCH(".",E369)),LEN(F369)=10,ISNUMBER(VALUE(F369))),"OK","BAD CONTACT")))</f>
        <v>DUPLICATE</v>
      </c>
      <c r="L369" s="28">
        <f t="shared" si="56"/>
        <v>0</v>
      </c>
      <c r="M369" s="28">
        <f>IF(L369=1,IF(COUNTIFS(LOG!$C$2:$C$2001,F369,LOG!$E$2:$E$2001,B369,LOG!$D$2:$D$2001,"*BOOKED")+COUNTIFS(LOG!$C$2:$C$2001,F369,LOG!$E$2:$E$2001,"",LOG!$D$2:$D$2001,"*BOOKED")&gt;0,1,0),0)</f>
        <v>0</v>
      </c>
      <c r="N369" s="28">
        <f>IF(L369=1,IF(COUNTIFS(LOG!$C$2:$C$2001,F369,LOG!$E$2:$E$2001,B369,LOG!$D$2:$D$2001,"NOT_INTERESTED")+COUNTIFS(LOG!$C$2:$C$2001,F369,LOG!$E$2:$E$2001,"",LOG!$D$2:$D$2001,"NOT_INTERESTED")&gt;0,1,0),0)</f>
        <v>0</v>
      </c>
      <c r="O369" s="28">
        <f>IF(L369=1,IF(COUNTIFS(LOG!$C$2:$C$2001,F369,LOG!$D$2:$D$2001,"STOP")+COUNTIFS(LOG!$C$2:$C$2001,F369,LOG!$D$2:$D$2001,"WRONG_NUMBER")&gt;0,1,IF(ISNUMBER(SEARCH("STOP",AT369)),1,0)),0)</f>
        <v>0</v>
      </c>
      <c r="P369" s="28">
        <f>IF(L369=1,IF(IFERROR(INDEX(PARTNERS!$D$2:$D$88,MATCH(B369,PARTNERS!$A$2:$A$88,0)),"")="NO SLOTS",1,IF(AND(IFERROR(INDEX(PARTNERS!$D$2:$D$88,MATCH(B369,PARTNERS!$A$2:$A$88,0)),"")&lt;&gt;"REOPENED",COUNTIFS(LOG!$E$2:$E$2001,B369,LOG!$D$2:$D$2001,"NO_SLOTS")&gt;0),1,0)),0)</f>
        <v>0</v>
      </c>
      <c r="Q369" s="28">
        <f>IF(L369=1,COUNTIFS(LOG!$C$2:$C$2001,F369,LOG!$H$2:$H$2001,1),0)</f>
        <v>0</v>
      </c>
      <c r="R369" s="46">
        <f>IF(Q369&gt;0,_xlfn.MAXIFS(LOG!$G$2:$G$2001,LOG!$C$2:$C$2001,F369,LOG!$H$2:$H$2001,1),0)</f>
        <v>0</v>
      </c>
      <c r="S369" s="28" t="str">
        <f>IF(Q369&gt;0,IFERROR(INDEX(LOG!$D$2:$D$2001,MATCH(F369&amp;"|"&amp;Q369,LOG!$I$2:$I$2001,0)),""),"")</f>
        <v/>
      </c>
      <c r="T369" s="28">
        <f>IF(S369="",0,IFERROR(VLOOKUP(S369,LISTS!$A$2:$E$10,4,FALSE),0))</f>
        <v>0</v>
      </c>
      <c r="U369" s="46">
        <f t="shared" si="57"/>
        <v>0</v>
      </c>
      <c r="V369" s="46" t="str">
        <f>IF(L369=1,H369+SETTINGS!$B$5/24,"")</f>
        <v/>
      </c>
      <c r="W369" s="28" t="str">
        <f>IF(L369=1,(V369-SETTINGS!$B$4)*24,"")</f>
        <v/>
      </c>
      <c r="X369" s="28">
        <f ca="1">IF(AND(L369=1,K369="OK",M369=0,N369=0,O369=0,P369=0,SETTINGS!$B$4&lt;V369,Q369&lt;SETTINGS!$B$6),1,0)</f>
        <v>0</v>
      </c>
      <c r="Y369" s="28">
        <f ca="1">IF(AND(X369=1,SETTINGS!$B$4&gt;=H369,SETTINGS!$B$4&gt;=U369,ROUND(MOD(SETTINGS!$B$4,1)*1440,0)&gt;=ROUND(SETTINGS!$B$7*1440,0),ROUND(MOD(SETTINGS!$B$4,1)*1440,0)&lt;ROUND(SETTINGS!$B$8*1440,0)),1,0)</f>
        <v>0</v>
      </c>
      <c r="Z369" s="28" t="str">
        <f ca="1">IF(B369="","",IF(ROUND(MOD(SETTINGS!$B$4,1)*1440,0)&lt;ROUND(SETTINGS!$B$11*1440,0),"Ram",IF(ROUND(MOD(SETTINGS!$B$4,1)*1440,0)&gt;=ROUND(SETTINGS!$B$10*1440,0),"Shyam",IF(MOD(IFERROR(VALUE(RIGHT(F369,2)),0),2)=0,"Ram","Shyam"))))</f>
        <v>Shyam</v>
      </c>
      <c r="AA369" s="28">
        <f t="shared" ca="1" si="58"/>
        <v>0</v>
      </c>
      <c r="AB369" s="28">
        <f ca="1">IF(X369=1,COUNTIFS($F$2:F369,F369,$X$2:X369,1),0)</f>
        <v>0</v>
      </c>
      <c r="AC369" s="28" t="str">
        <f>IF(L369=1,IF(IFERROR(INDEX(PARTNERS!$C$2:$C$88,MATCH(B369,PARTNERS!$A$2:$A$88,0)),"")="YES","YES","NO"),"")</f>
        <v/>
      </c>
      <c r="AD369" s="28" t="str">
        <f>IF(L369=1,IFERROR(INDEX(PARTNERS!$B$2:$B$88,MATCH(B369,PARTNERS!$A$2:$A$88,0)),""),"")</f>
        <v/>
      </c>
      <c r="AE369" s="28">
        <f ca="1">IF(X369=1,IFERROR(INDEX(SETTINGS!$B$34:$D$36,MATCH(I369,SETTINGS!$A$34:$A$36,0),MIN(Q369,2)+1),SETTINGS!$B$36),0)</f>
        <v>0</v>
      </c>
      <c r="AF369" s="28">
        <f t="shared" si="59"/>
        <v>0</v>
      </c>
      <c r="AG369" s="28">
        <f ca="1">IF(AND(Y369=1,AB369=1),ROUND(AA369*AE369*IF(AF369&gt;1,SETTINGS!$B$16,1)*IF(W369&lt;=SETTINGS!$B$14,SETTINGS!$B$15,1)*IF(AU369=1,SETTINGS!$B$21,1),6),0)</f>
        <v>0</v>
      </c>
      <c r="AH369" s="28" t="str">
        <f ca="1">IF(AG369&gt;0,COUNTIFS($Z$2:$Z$601,Z369,$AG$2:$AG$601,"&gt;"&amp;AG369)+COUNTIFS($Z$2:Z369,Z369,$AG$2:AG369,AG369),"")</f>
        <v/>
      </c>
      <c r="AI369" s="28" t="str">
        <f t="shared" ca="1" si="60"/>
        <v/>
      </c>
      <c r="AJ369" s="28" t="str">
        <f t="shared" ca="1" si="61"/>
        <v/>
      </c>
      <c r="AK369" s="28">
        <f>IF(L369=1,IF(COUNTIFS($F$2:F369,F369,$L$2:L369,1)=1,1,0),0)</f>
        <v>0</v>
      </c>
      <c r="AL369" s="28" t="str">
        <f>IF(B369="","",IF(K369="DUPLICATE","Duplicate (removed)",IF(AO369=1,"Scheduled within 24h",IF(M369=1,"Scheduled late",IF(K369="BAD CONTACT","Bad contact details",IF(O369=1,"Stopped / wrong number",IF(N369=1,"Not interested",IF(P369=1,"Partner has no slots",IF(SETTINGS!$B$4&gt;=V369,IF(Q369=0,"Missed deadline: never tried","Missed deadline: tried, not booked"),IF(Q369&gt;=SETTINGS!$B$6,"No reply after max tries","Open"))))))))))</f>
        <v>Duplicate (removed)</v>
      </c>
      <c r="AM369" s="46" t="str">
        <f>IF(M369=1,IF(_xlfn.MINIFS(LOG!$G$2:$G$2001,LOG!$C$2:$C$2001,F369,LOG!$E$2:$E$2001,B369,LOG!$D$2:$D$2001,"*BOOKED")=0,_xlfn.MINIFS(LOG!$G$2:$G$2001,LOG!$C$2:$C$2001,F369,LOG!$E$2:$E$2001,"",LOG!$D$2:$D$2001,"*BOOKED"),IF(_xlfn.MINIFS(LOG!$G$2:$G$2001,LOG!$C$2:$C$2001,F369,LOG!$E$2:$E$2001,"",LOG!$D$2:$D$2001,"*BOOKED")=0,_xlfn.MINIFS(LOG!$G$2:$G$2001,LOG!$C$2:$C$2001,F369,LOG!$E$2:$E$2001,B369,LOG!$D$2:$D$2001,"*BOOKED"),MIN(_xlfn.MINIFS(LOG!$G$2:$G$2001,LOG!$C$2:$C$2001,F369,LOG!$E$2:$E$2001,B369,LOG!$D$2:$D$2001,"*BOOKED"),_xlfn.MINIFS(LOG!$G$2:$G$2001,LOG!$C$2:$C$2001,F369,LOG!$E$2:$E$2001,"",LOG!$D$2:$D$2001,"*BOOKED")))),"")</f>
        <v/>
      </c>
      <c r="AN369" s="28" t="str">
        <f t="shared" si="62"/>
        <v/>
      </c>
      <c r="AO369" s="28">
        <f>IF(AND(M369=1,AN369&lt;&gt;""),IF(AN369&lt;=SETTINGS!$B$5,1,0),0)</f>
        <v>0</v>
      </c>
      <c r="AP369" s="28">
        <f>IF(M369=1,IF(COUNTIFS(LOG!$C$2:$C$2001,F369,LOG!$E$2:$E$2001,B369,LOG!$D$2:$D$2001,"BOOKED")+COUNTIFS(LOG!$C$2:$C$2001,F369,LOG!$E$2:$E$2001,"",LOG!$D$2:$D$2001,"BOOKED")&gt;0,1,0),0)</f>
        <v>0</v>
      </c>
      <c r="AQ369" s="28" t="str">
        <f t="shared" si="63"/>
        <v>Aditya</v>
      </c>
      <c r="AR369" s="28" t="str">
        <f>IF(AND(AK369=1,K369="OK"),COUNTIFS($AK$2:AK369,1,$K$2:K369,"OK"),"")</f>
        <v/>
      </c>
      <c r="AS369" s="28" t="str">
        <f>IF(L369=1,IFERROR(INDEX(MESSAGES!$J$9:$J$1008,MATCH(F369,MESSAGES!$M$9:$M$1008,0))&amp;"",""),"")</f>
        <v/>
      </c>
      <c r="AT369" s="28" t="str">
        <f>IF(L369=1,IFERROR(INDEX(MESSAGES!$K$9:$K$1008,MATCH(F369,MESSAGES!$M$9:$M$1008,0))&amp;"",""),"")</f>
        <v/>
      </c>
      <c r="AU369" s="28">
        <f t="shared" ca="1" si="64"/>
        <v>0</v>
      </c>
      <c r="AV369" s="28" t="str">
        <f t="shared" si="65"/>
        <v/>
      </c>
    </row>
    <row r="370" spans="1:48" x14ac:dyDescent="0.35">
      <c r="A370" s="28">
        <v>369</v>
      </c>
      <c r="B370" s="28" t="str">
        <f>IF(INPUT!A370="","",TRIM(INPUT!A370))</f>
        <v>Partner 003</v>
      </c>
      <c r="C370" s="28" t="str">
        <f>IF(B370="","",INPUT!C370)</f>
        <v>interviewer0@partner003.example.com</v>
      </c>
      <c r="D370" s="28" t="str">
        <f>IF(B370="","",INPUT!D370)</f>
        <v>Dev C.</v>
      </c>
      <c r="E370" s="28" t="str">
        <f>IF(B370="","",INPUT!E370)</f>
        <v>dev.c072@example.com</v>
      </c>
      <c r="F370" s="43" t="str">
        <f>IF(B370="","",TRIM(INPUT!F370&amp;""))</f>
        <v>9000000943</v>
      </c>
      <c r="G370" s="28" t="str">
        <f>IF(B370="","",INPUT!H370)</f>
        <v>Round1</v>
      </c>
      <c r="H370" s="46">
        <f>IF(B370="","",INPUT!I370)</f>
        <v>46308.82708333333</v>
      </c>
      <c r="I370" s="28" t="str">
        <f>IF(B370="","",IF(INPUT!J370="","None",INPUT!J370))</f>
        <v>None</v>
      </c>
      <c r="J370" s="28" t="str">
        <f t="shared" si="55"/>
        <v>dev.c072@example.com|partner 003|Round1|interviewer0@partner003.example.com</v>
      </c>
      <c r="K370" s="28" t="str">
        <f>IF(B370="","",IF(SUMPRODUCT(($J$2:$J$601=J370)*($H$2:$H$601&lt;H370))+SUMPRODUCT(($J$2:J370=J370)*($H$2:H370=H370))-1&gt;0,"DUPLICATE",IF(AND(ISNUMBER(SEARCH("@",E370)),ISNUMBER(SEARCH(".",E370)),LEN(F370)=10,ISNUMBER(VALUE(F370))),"OK","BAD CONTACT")))</f>
        <v>OK</v>
      </c>
      <c r="L370" s="28">
        <f t="shared" si="56"/>
        <v>1</v>
      </c>
      <c r="M370" s="28">
        <f>IF(L370=1,IF(COUNTIFS(LOG!$C$2:$C$2001,F370,LOG!$E$2:$E$2001,B370,LOG!$D$2:$D$2001,"*BOOKED")+COUNTIFS(LOG!$C$2:$C$2001,F370,LOG!$E$2:$E$2001,"",LOG!$D$2:$D$2001,"*BOOKED")&gt;0,1,0),0)</f>
        <v>0</v>
      </c>
      <c r="N370" s="28">
        <f>IF(L370=1,IF(COUNTIFS(LOG!$C$2:$C$2001,F370,LOG!$E$2:$E$2001,B370,LOG!$D$2:$D$2001,"NOT_INTERESTED")+COUNTIFS(LOG!$C$2:$C$2001,F370,LOG!$E$2:$E$2001,"",LOG!$D$2:$D$2001,"NOT_INTERESTED")&gt;0,1,0),0)</f>
        <v>0</v>
      </c>
      <c r="O370" s="28">
        <f>IF(L370=1,IF(COUNTIFS(LOG!$C$2:$C$2001,F370,LOG!$D$2:$D$2001,"STOP")+COUNTIFS(LOG!$C$2:$C$2001,F370,LOG!$D$2:$D$2001,"WRONG_NUMBER")&gt;0,1,IF(ISNUMBER(SEARCH("STOP",AT370)),1,0)),0)</f>
        <v>0</v>
      </c>
      <c r="P370" s="28">
        <f>IF(L370=1,IF(IFERROR(INDEX(PARTNERS!$D$2:$D$88,MATCH(B370,PARTNERS!$A$2:$A$88,0)),"")="NO SLOTS",1,IF(AND(IFERROR(INDEX(PARTNERS!$D$2:$D$88,MATCH(B370,PARTNERS!$A$2:$A$88,0)),"")&lt;&gt;"REOPENED",COUNTIFS(LOG!$E$2:$E$2001,B370,LOG!$D$2:$D$2001,"NO_SLOTS")&gt;0),1,0)),0)</f>
        <v>0</v>
      </c>
      <c r="Q370" s="28">
        <f>IF(L370=1,COUNTIFS(LOG!$C$2:$C$2001,F370,LOG!$H$2:$H$2001,1),0)</f>
        <v>0</v>
      </c>
      <c r="R370" s="46">
        <f>IF(Q370&gt;0,_xlfn.MAXIFS(LOG!$G$2:$G$2001,LOG!$C$2:$C$2001,F370,LOG!$H$2:$H$2001,1),0)</f>
        <v>0</v>
      </c>
      <c r="S370" s="28" t="str">
        <f>IF(Q370&gt;0,IFERROR(INDEX(LOG!$D$2:$D$2001,MATCH(F370&amp;"|"&amp;Q370,LOG!$I$2:$I$2001,0)),""),"")</f>
        <v/>
      </c>
      <c r="T370" s="28">
        <f>IF(S370="",0,IFERROR(VLOOKUP(S370,LISTS!$A$2:$E$10,4,FALSE),0))</f>
        <v>0</v>
      </c>
      <c r="U370" s="46">
        <f t="shared" si="57"/>
        <v>0</v>
      </c>
      <c r="V370" s="46">
        <f>IF(L370=1,H370+SETTINGS!$B$5/24,"")</f>
        <v>46309.82708333333</v>
      </c>
      <c r="W370" s="28">
        <f ca="1">IF(L370=1,(V370-SETTINGS!$B$4)*24,"")</f>
        <v>-1.6666666720993817E-2</v>
      </c>
      <c r="X370" s="28">
        <f ca="1">IF(AND(L370=1,K370="OK",M370=0,N370=0,O370=0,P370=0,SETTINGS!$B$4&lt;V370,Q370&lt;SETTINGS!$B$6),1,0)</f>
        <v>0</v>
      </c>
      <c r="Y370" s="28">
        <f ca="1">IF(AND(X370=1,SETTINGS!$B$4&gt;=H370,SETTINGS!$B$4&gt;=U370,ROUND(MOD(SETTINGS!$B$4,1)*1440,0)&gt;=ROUND(SETTINGS!$B$7*1440,0),ROUND(MOD(SETTINGS!$B$4,1)*1440,0)&lt;ROUND(SETTINGS!$B$8*1440,0)),1,0)</f>
        <v>0</v>
      </c>
      <c r="Z370" s="28" t="str">
        <f ca="1">IF(B370="","",IF(ROUND(MOD(SETTINGS!$B$4,1)*1440,0)&lt;ROUND(SETTINGS!$B$11*1440,0),"Ram",IF(ROUND(MOD(SETTINGS!$B$4,1)*1440,0)&gt;=ROUND(SETTINGS!$B$10*1440,0),"Shyam",IF(MOD(IFERROR(VALUE(RIGHT(F370,2)),0),2)=0,"Ram","Shyam"))))</f>
        <v>Shyam</v>
      </c>
      <c r="AA370" s="28">
        <f t="shared" ca="1" si="58"/>
        <v>0</v>
      </c>
      <c r="AB370" s="28">
        <f ca="1">IF(X370=1,COUNTIFS($F$2:F370,F370,$X$2:X370,1),0)</f>
        <v>0</v>
      </c>
      <c r="AC370" s="28" t="str">
        <f>IF(L370=1,IF(IFERROR(INDEX(PARTNERS!$C$2:$C$88,MATCH(B370,PARTNERS!$A$2:$A$88,0)),"")="YES","YES","NO"),"")</f>
        <v>NO</v>
      </c>
      <c r="AD370" s="28" t="str">
        <f>IF(L370=1,IFERROR(INDEX(PARTNERS!$B$2:$B$88,MATCH(B370,PARTNERS!$A$2:$A$88,0)),""),"")</f>
        <v>https://calendly.com/partner003/interview</v>
      </c>
      <c r="AE370" s="28">
        <f ca="1">IF(X370=1,IFERROR(INDEX(SETTINGS!$B$34:$D$36,MATCH(I370,SETTINGS!$A$34:$A$36,0),MIN(Q370,2)+1),SETTINGS!$B$36),0)</f>
        <v>0</v>
      </c>
      <c r="AF370" s="28">
        <f t="shared" si="59"/>
        <v>1</v>
      </c>
      <c r="AG370" s="28">
        <f ca="1">IF(AND(Y370=1,AB370=1),ROUND(AA370*AE370*IF(AF370&gt;1,SETTINGS!$B$16,1)*IF(W370&lt;=SETTINGS!$B$14,SETTINGS!$B$15,1)*IF(AU370=1,SETTINGS!$B$21,1),6),0)</f>
        <v>0</v>
      </c>
      <c r="AH370" s="28" t="str">
        <f ca="1">IF(AG370&gt;0,COUNTIFS($Z$2:$Z$601,Z370,$AG$2:$AG$601,"&gt;"&amp;AG370)+COUNTIFS($Z$2:Z370,Z370,$AG$2:AG370,AG370),"")</f>
        <v/>
      </c>
      <c r="AI370" s="28" t="str">
        <f t="shared" ca="1" si="60"/>
        <v/>
      </c>
      <c r="AJ370" s="28" t="str">
        <f t="shared" ca="1" si="61"/>
        <v/>
      </c>
      <c r="AK370" s="28">
        <f>IF(L370=1,IF(COUNTIFS($F$2:F370,F370,$L$2:L370,1)=1,1,0),0)</f>
        <v>1</v>
      </c>
      <c r="AL370" s="28" t="str">
        <f ca="1">IF(B370="","",IF(K370="DUPLICATE","Duplicate (removed)",IF(AO370=1,"Scheduled within 24h",IF(M370=1,"Scheduled late",IF(K370="BAD CONTACT","Bad contact details",IF(O370=1,"Stopped / wrong number",IF(N370=1,"Not interested",IF(P370=1,"Partner has no slots",IF(SETTINGS!$B$4&gt;=V370,IF(Q370=0,"Missed deadline: never tried","Missed deadline: tried, not booked"),IF(Q370&gt;=SETTINGS!$B$6,"No reply after max tries","Open"))))))))))</f>
        <v>Missed deadline: never tried</v>
      </c>
      <c r="AM370" s="46" t="str">
        <f>IF(M370=1,IF(_xlfn.MINIFS(LOG!$G$2:$G$2001,LOG!$C$2:$C$2001,F370,LOG!$E$2:$E$2001,B370,LOG!$D$2:$D$2001,"*BOOKED")=0,_xlfn.MINIFS(LOG!$G$2:$G$2001,LOG!$C$2:$C$2001,F370,LOG!$E$2:$E$2001,"",LOG!$D$2:$D$2001,"*BOOKED"),IF(_xlfn.MINIFS(LOG!$G$2:$G$2001,LOG!$C$2:$C$2001,F370,LOG!$E$2:$E$2001,"",LOG!$D$2:$D$2001,"*BOOKED")=0,_xlfn.MINIFS(LOG!$G$2:$G$2001,LOG!$C$2:$C$2001,F370,LOG!$E$2:$E$2001,B370,LOG!$D$2:$D$2001,"*BOOKED"),MIN(_xlfn.MINIFS(LOG!$G$2:$G$2001,LOG!$C$2:$C$2001,F370,LOG!$E$2:$E$2001,B370,LOG!$D$2:$D$2001,"*BOOKED"),_xlfn.MINIFS(LOG!$G$2:$G$2001,LOG!$C$2:$C$2001,F370,LOG!$E$2:$E$2001,"",LOG!$D$2:$D$2001,"*BOOKED")))),"")</f>
        <v/>
      </c>
      <c r="AN370" s="28" t="str">
        <f t="shared" si="62"/>
        <v/>
      </c>
      <c r="AO370" s="28">
        <f>IF(AND(M370=1,AN370&lt;&gt;""),IF(AN370&lt;=SETTINGS!$B$5,1,0),0)</f>
        <v>0</v>
      </c>
      <c r="AP370" s="28">
        <f>IF(M370=1,IF(COUNTIFS(LOG!$C$2:$C$2001,F370,LOG!$E$2:$E$2001,B370,LOG!$D$2:$D$2001,"BOOKED")+COUNTIFS(LOG!$C$2:$C$2001,F370,LOG!$E$2:$E$2001,"",LOG!$D$2:$D$2001,"BOOKED")&gt;0,1,0),0)</f>
        <v>0</v>
      </c>
      <c r="AQ370" s="28" t="str">
        <f t="shared" si="63"/>
        <v>Dev</v>
      </c>
      <c r="AR370" s="28">
        <f>IF(AND(AK370=1,K370="OK"),COUNTIFS($AK$2:AK370,1,$K$2:K370,"OK"),"")</f>
        <v>312</v>
      </c>
      <c r="AS370" s="28" t="str">
        <f>IF(L370=1,IFERROR(INDEX(MESSAGES!$J$9:$J$1008,MATCH(F370,MESSAGES!$M$9:$M$1008,0))&amp;"",""),"")</f>
        <v/>
      </c>
      <c r="AT370" s="28" t="str">
        <f>IF(L370=1,IFERROR(INDEX(MESSAGES!$K$9:$K$1008,MATCH(F370,MESSAGES!$M$9:$M$1008,0))&amp;"",""),"")</f>
        <v/>
      </c>
      <c r="AU370" s="28">
        <f t="shared" ca="1" si="64"/>
        <v>0</v>
      </c>
      <c r="AV370" s="28" t="str">
        <f t="shared" si="65"/>
        <v>SEND</v>
      </c>
    </row>
    <row r="371" spans="1:48" x14ac:dyDescent="0.35">
      <c r="A371" s="28">
        <v>370</v>
      </c>
      <c r="B371" s="28" t="str">
        <f>IF(INPUT!A371="","",TRIM(INPUT!A371))</f>
        <v>Partner 000</v>
      </c>
      <c r="C371" s="28" t="str">
        <f>IF(B371="","",INPUT!C371)</f>
        <v>interviewer0@partner000.example.com</v>
      </c>
      <c r="D371" s="28" t="str">
        <f>IF(B371="","",INPUT!D371)</f>
        <v>Dev F.</v>
      </c>
      <c r="E371" s="28" t="str">
        <f>IF(B371="","",INPUT!E371)</f>
        <v>dev.f162@example.com</v>
      </c>
      <c r="F371" s="43" t="str">
        <f>IF(B371="","",TRIM(INPUT!F371&amp;""))</f>
        <v>9000002113</v>
      </c>
      <c r="G371" s="28" t="str">
        <f>IF(B371="","",INPUT!H371)</f>
        <v>Round1</v>
      </c>
      <c r="H371" s="46">
        <f>IF(B371="","",INPUT!I371)</f>
        <v>46308.82708333333</v>
      </c>
      <c r="I371" s="28" t="str">
        <f>IF(B371="","",IF(INPUT!J371="","None",INPUT!J371))</f>
        <v>None</v>
      </c>
      <c r="J371" s="28" t="str">
        <f t="shared" si="55"/>
        <v>dev.f162@example.com|partner 000|Round1|interviewer0@partner000.example.com</v>
      </c>
      <c r="K371" s="28" t="str">
        <f>IF(B371="","",IF(SUMPRODUCT(($J$2:$J$601=J371)*($H$2:$H$601&lt;H371))+SUMPRODUCT(($J$2:J371=J371)*($H$2:H371=H371))-1&gt;0,"DUPLICATE",IF(AND(ISNUMBER(SEARCH("@",E371)),ISNUMBER(SEARCH(".",E371)),LEN(F371)=10,ISNUMBER(VALUE(F371))),"OK","BAD CONTACT")))</f>
        <v>OK</v>
      </c>
      <c r="L371" s="28">
        <f t="shared" si="56"/>
        <v>1</v>
      </c>
      <c r="M371" s="28">
        <f>IF(L371=1,IF(COUNTIFS(LOG!$C$2:$C$2001,F371,LOG!$E$2:$E$2001,B371,LOG!$D$2:$D$2001,"*BOOKED")+COUNTIFS(LOG!$C$2:$C$2001,F371,LOG!$E$2:$E$2001,"",LOG!$D$2:$D$2001,"*BOOKED")&gt;0,1,0),0)</f>
        <v>0</v>
      </c>
      <c r="N371" s="28">
        <f>IF(L371=1,IF(COUNTIFS(LOG!$C$2:$C$2001,F371,LOG!$E$2:$E$2001,B371,LOG!$D$2:$D$2001,"NOT_INTERESTED")+COUNTIFS(LOG!$C$2:$C$2001,F371,LOG!$E$2:$E$2001,"",LOG!$D$2:$D$2001,"NOT_INTERESTED")&gt;0,1,0),0)</f>
        <v>0</v>
      </c>
      <c r="O371" s="28">
        <f>IF(L371=1,IF(COUNTIFS(LOG!$C$2:$C$2001,F371,LOG!$D$2:$D$2001,"STOP")+COUNTIFS(LOG!$C$2:$C$2001,F371,LOG!$D$2:$D$2001,"WRONG_NUMBER")&gt;0,1,IF(ISNUMBER(SEARCH("STOP",AT371)),1,0)),0)</f>
        <v>0</v>
      </c>
      <c r="P371" s="28">
        <f>IF(L371=1,IF(IFERROR(INDEX(PARTNERS!$D$2:$D$88,MATCH(B371,PARTNERS!$A$2:$A$88,0)),"")="NO SLOTS",1,IF(AND(IFERROR(INDEX(PARTNERS!$D$2:$D$88,MATCH(B371,PARTNERS!$A$2:$A$88,0)),"")&lt;&gt;"REOPENED",COUNTIFS(LOG!$E$2:$E$2001,B371,LOG!$D$2:$D$2001,"NO_SLOTS")&gt;0),1,0)),0)</f>
        <v>0</v>
      </c>
      <c r="Q371" s="28">
        <f>IF(L371=1,COUNTIFS(LOG!$C$2:$C$2001,F371,LOG!$H$2:$H$2001,1),0)</f>
        <v>0</v>
      </c>
      <c r="R371" s="46">
        <f>IF(Q371&gt;0,_xlfn.MAXIFS(LOG!$G$2:$G$2001,LOG!$C$2:$C$2001,F371,LOG!$H$2:$H$2001,1),0)</f>
        <v>0</v>
      </c>
      <c r="S371" s="28" t="str">
        <f>IF(Q371&gt;0,IFERROR(INDEX(LOG!$D$2:$D$2001,MATCH(F371&amp;"|"&amp;Q371,LOG!$I$2:$I$2001,0)),""),"")</f>
        <v/>
      </c>
      <c r="T371" s="28">
        <f>IF(S371="",0,IFERROR(VLOOKUP(S371,LISTS!$A$2:$E$10,4,FALSE),0))</f>
        <v>0</v>
      </c>
      <c r="U371" s="46">
        <f t="shared" si="57"/>
        <v>0</v>
      </c>
      <c r="V371" s="46">
        <f>IF(L371=1,H371+SETTINGS!$B$5/24,"")</f>
        <v>46309.82708333333</v>
      </c>
      <c r="W371" s="28">
        <f ca="1">IF(L371=1,(V371-SETTINGS!$B$4)*24,"")</f>
        <v>-1.6666666720993817E-2</v>
      </c>
      <c r="X371" s="28">
        <f ca="1">IF(AND(L371=1,K371="OK",M371=0,N371=0,O371=0,P371=0,SETTINGS!$B$4&lt;V371,Q371&lt;SETTINGS!$B$6),1,0)</f>
        <v>0</v>
      </c>
      <c r="Y371" s="28">
        <f ca="1">IF(AND(X371=1,SETTINGS!$B$4&gt;=H371,SETTINGS!$B$4&gt;=U371,ROUND(MOD(SETTINGS!$B$4,1)*1440,0)&gt;=ROUND(SETTINGS!$B$7*1440,0),ROUND(MOD(SETTINGS!$B$4,1)*1440,0)&lt;ROUND(SETTINGS!$B$8*1440,0)),1,0)</f>
        <v>0</v>
      </c>
      <c r="Z371" s="28" t="str">
        <f ca="1">IF(B371="","",IF(ROUND(MOD(SETTINGS!$B$4,1)*1440,0)&lt;ROUND(SETTINGS!$B$11*1440,0),"Ram",IF(ROUND(MOD(SETTINGS!$B$4,1)*1440,0)&gt;=ROUND(SETTINGS!$B$10*1440,0),"Shyam",IF(MOD(IFERROR(VALUE(RIGHT(F371,2)),0),2)=0,"Ram","Shyam"))))</f>
        <v>Shyam</v>
      </c>
      <c r="AA371" s="28">
        <f t="shared" ca="1" si="58"/>
        <v>0</v>
      </c>
      <c r="AB371" s="28">
        <f ca="1">IF(X371=1,COUNTIFS($F$2:F371,F371,$X$2:X371,1),0)</f>
        <v>0</v>
      </c>
      <c r="AC371" s="28" t="str">
        <f>IF(L371=1,IF(IFERROR(INDEX(PARTNERS!$C$2:$C$88,MATCH(B371,PARTNERS!$A$2:$A$88,0)),"")="YES","YES","NO"),"")</f>
        <v>NO</v>
      </c>
      <c r="AD371" s="28" t="str">
        <f>IF(L371=1,IFERROR(INDEX(PARTNERS!$B$2:$B$88,MATCH(B371,PARTNERS!$A$2:$A$88,0)),""),"")</f>
        <v>https://calendly.com/partner000/interview</v>
      </c>
      <c r="AE371" s="28">
        <f ca="1">IF(X371=1,IFERROR(INDEX(SETTINGS!$B$34:$D$36,MATCH(I371,SETTINGS!$A$34:$A$36,0),MIN(Q371,2)+1),SETTINGS!$B$36),0)</f>
        <v>0</v>
      </c>
      <c r="AF371" s="28">
        <f t="shared" si="59"/>
        <v>1</v>
      </c>
      <c r="AG371" s="28">
        <f ca="1">IF(AND(Y371=1,AB371=1),ROUND(AA371*AE371*IF(AF371&gt;1,SETTINGS!$B$16,1)*IF(W371&lt;=SETTINGS!$B$14,SETTINGS!$B$15,1)*IF(AU371=1,SETTINGS!$B$21,1),6),0)</f>
        <v>0</v>
      </c>
      <c r="AH371" s="28" t="str">
        <f ca="1">IF(AG371&gt;0,COUNTIFS($Z$2:$Z$601,Z371,$AG$2:$AG$601,"&gt;"&amp;AG371)+COUNTIFS($Z$2:Z371,Z371,$AG$2:AG371,AG371),"")</f>
        <v/>
      </c>
      <c r="AI371" s="28" t="str">
        <f t="shared" ca="1" si="60"/>
        <v/>
      </c>
      <c r="AJ371" s="28" t="str">
        <f t="shared" ca="1" si="61"/>
        <v/>
      </c>
      <c r="AK371" s="28">
        <f>IF(L371=1,IF(COUNTIFS($F$2:F371,F371,$L$2:L371,1)=1,1,0),0)</f>
        <v>1</v>
      </c>
      <c r="AL371" s="28" t="str">
        <f ca="1">IF(B371="","",IF(K371="DUPLICATE","Duplicate (removed)",IF(AO371=1,"Scheduled within 24h",IF(M371=1,"Scheduled late",IF(K371="BAD CONTACT","Bad contact details",IF(O371=1,"Stopped / wrong number",IF(N371=1,"Not interested",IF(P371=1,"Partner has no slots",IF(SETTINGS!$B$4&gt;=V371,IF(Q371=0,"Missed deadline: never tried","Missed deadline: tried, not booked"),IF(Q371&gt;=SETTINGS!$B$6,"No reply after max tries","Open"))))))))))</f>
        <v>Missed deadline: never tried</v>
      </c>
      <c r="AM371" s="46" t="str">
        <f>IF(M371=1,IF(_xlfn.MINIFS(LOG!$G$2:$G$2001,LOG!$C$2:$C$2001,F371,LOG!$E$2:$E$2001,B371,LOG!$D$2:$D$2001,"*BOOKED")=0,_xlfn.MINIFS(LOG!$G$2:$G$2001,LOG!$C$2:$C$2001,F371,LOG!$E$2:$E$2001,"",LOG!$D$2:$D$2001,"*BOOKED"),IF(_xlfn.MINIFS(LOG!$G$2:$G$2001,LOG!$C$2:$C$2001,F371,LOG!$E$2:$E$2001,"",LOG!$D$2:$D$2001,"*BOOKED")=0,_xlfn.MINIFS(LOG!$G$2:$G$2001,LOG!$C$2:$C$2001,F371,LOG!$E$2:$E$2001,B371,LOG!$D$2:$D$2001,"*BOOKED"),MIN(_xlfn.MINIFS(LOG!$G$2:$G$2001,LOG!$C$2:$C$2001,F371,LOG!$E$2:$E$2001,B371,LOG!$D$2:$D$2001,"*BOOKED"),_xlfn.MINIFS(LOG!$G$2:$G$2001,LOG!$C$2:$C$2001,F371,LOG!$E$2:$E$2001,"",LOG!$D$2:$D$2001,"*BOOKED")))),"")</f>
        <v/>
      </c>
      <c r="AN371" s="28" t="str">
        <f t="shared" si="62"/>
        <v/>
      </c>
      <c r="AO371" s="28">
        <f>IF(AND(M371=1,AN371&lt;&gt;""),IF(AN371&lt;=SETTINGS!$B$5,1,0),0)</f>
        <v>0</v>
      </c>
      <c r="AP371" s="28">
        <f>IF(M371=1,IF(COUNTIFS(LOG!$C$2:$C$2001,F371,LOG!$E$2:$E$2001,B371,LOG!$D$2:$D$2001,"BOOKED")+COUNTIFS(LOG!$C$2:$C$2001,F371,LOG!$E$2:$E$2001,"",LOG!$D$2:$D$2001,"BOOKED")&gt;0,1,0),0)</f>
        <v>0</v>
      </c>
      <c r="AQ371" s="28" t="str">
        <f t="shared" si="63"/>
        <v>Dev</v>
      </c>
      <c r="AR371" s="28">
        <f>IF(AND(AK371=1,K371="OK"),COUNTIFS($AK$2:AK371,1,$K$2:K371,"OK"),"")</f>
        <v>313</v>
      </c>
      <c r="AS371" s="28" t="str">
        <f>IF(L371=1,IFERROR(INDEX(MESSAGES!$J$9:$J$1008,MATCH(F371,MESSAGES!$M$9:$M$1008,0))&amp;"",""),"")</f>
        <v/>
      </c>
      <c r="AT371" s="28" t="str">
        <f>IF(L371=1,IFERROR(INDEX(MESSAGES!$K$9:$K$1008,MATCH(F371,MESSAGES!$M$9:$M$1008,0))&amp;"",""),"")</f>
        <v/>
      </c>
      <c r="AU371" s="28">
        <f t="shared" ca="1" si="64"/>
        <v>0</v>
      </c>
      <c r="AV371" s="28" t="str">
        <f t="shared" si="65"/>
        <v>HOLD</v>
      </c>
    </row>
    <row r="372" spans="1:48" x14ac:dyDescent="0.35">
      <c r="A372" s="28">
        <v>371</v>
      </c>
      <c r="B372" s="28" t="str">
        <f>IF(INPUT!A372="","",TRIM(INPUT!A372))</f>
        <v>Partner 096</v>
      </c>
      <c r="C372" s="28" t="str">
        <f>IF(B372="","",INPUT!C372)</f>
        <v>interviewer1@partner096.example.com</v>
      </c>
      <c r="D372" s="28" t="str">
        <f>IF(B372="","",INPUT!D372)</f>
        <v>Navya J.</v>
      </c>
      <c r="E372" s="28" t="str">
        <f>IF(B372="","",INPUT!E372)</f>
        <v>navya.j253@example.com</v>
      </c>
      <c r="F372" s="43" t="str">
        <f>IF(B372="","",TRIM(INPUT!F372&amp;""))</f>
        <v>9000003296</v>
      </c>
      <c r="G372" s="28" t="str">
        <f>IF(B372="","",INPUT!H372)</f>
        <v>Round1</v>
      </c>
      <c r="H372" s="46">
        <f>IF(B372="","",INPUT!I372)</f>
        <v>46308.82708333333</v>
      </c>
      <c r="I372" s="28" t="str">
        <f>IF(B372="","",IF(INPUT!J372="","None",INPUT!J372))</f>
        <v>None</v>
      </c>
      <c r="J372" s="28" t="str">
        <f t="shared" si="55"/>
        <v>navya.j253@example.com|partner 096|Round1|interviewer1@partner096.example.com</v>
      </c>
      <c r="K372" s="28" t="str">
        <f>IF(B372="","",IF(SUMPRODUCT(($J$2:$J$601=J372)*($H$2:$H$601&lt;H372))+SUMPRODUCT(($J$2:J372=J372)*($H$2:H372=H372))-1&gt;0,"DUPLICATE",IF(AND(ISNUMBER(SEARCH("@",E372)),ISNUMBER(SEARCH(".",E372)),LEN(F372)=10,ISNUMBER(VALUE(F372))),"OK","BAD CONTACT")))</f>
        <v>OK</v>
      </c>
      <c r="L372" s="28">
        <f t="shared" si="56"/>
        <v>1</v>
      </c>
      <c r="M372" s="28">
        <f>IF(L372=1,IF(COUNTIFS(LOG!$C$2:$C$2001,F372,LOG!$E$2:$E$2001,B372,LOG!$D$2:$D$2001,"*BOOKED")+COUNTIFS(LOG!$C$2:$C$2001,F372,LOG!$E$2:$E$2001,"",LOG!$D$2:$D$2001,"*BOOKED")&gt;0,1,0),0)</f>
        <v>0</v>
      </c>
      <c r="N372" s="28">
        <f>IF(L372=1,IF(COUNTIFS(LOG!$C$2:$C$2001,F372,LOG!$E$2:$E$2001,B372,LOG!$D$2:$D$2001,"NOT_INTERESTED")+COUNTIFS(LOG!$C$2:$C$2001,F372,LOG!$E$2:$E$2001,"",LOG!$D$2:$D$2001,"NOT_INTERESTED")&gt;0,1,0),0)</f>
        <v>0</v>
      </c>
      <c r="O372" s="28">
        <f>IF(L372=1,IF(COUNTIFS(LOG!$C$2:$C$2001,F372,LOG!$D$2:$D$2001,"STOP")+COUNTIFS(LOG!$C$2:$C$2001,F372,LOG!$D$2:$D$2001,"WRONG_NUMBER")&gt;0,1,IF(ISNUMBER(SEARCH("STOP",AT372)),1,0)),0)</f>
        <v>0</v>
      </c>
      <c r="P372" s="28">
        <f>IF(L372=1,IF(IFERROR(INDEX(PARTNERS!$D$2:$D$88,MATCH(B372,PARTNERS!$A$2:$A$88,0)),"")="NO SLOTS",1,IF(AND(IFERROR(INDEX(PARTNERS!$D$2:$D$88,MATCH(B372,PARTNERS!$A$2:$A$88,0)),"")&lt;&gt;"REOPENED",COUNTIFS(LOG!$E$2:$E$2001,B372,LOG!$D$2:$D$2001,"NO_SLOTS")&gt;0),1,0)),0)</f>
        <v>0</v>
      </c>
      <c r="Q372" s="28">
        <f>IF(L372=1,COUNTIFS(LOG!$C$2:$C$2001,F372,LOG!$H$2:$H$2001,1),0)</f>
        <v>0</v>
      </c>
      <c r="R372" s="46">
        <f>IF(Q372&gt;0,_xlfn.MAXIFS(LOG!$G$2:$G$2001,LOG!$C$2:$C$2001,F372,LOG!$H$2:$H$2001,1),0)</f>
        <v>0</v>
      </c>
      <c r="S372" s="28" t="str">
        <f>IF(Q372&gt;0,IFERROR(INDEX(LOG!$D$2:$D$2001,MATCH(F372&amp;"|"&amp;Q372,LOG!$I$2:$I$2001,0)),""),"")</f>
        <v/>
      </c>
      <c r="T372" s="28">
        <f>IF(S372="",0,IFERROR(VLOOKUP(S372,LISTS!$A$2:$E$10,4,FALSE),0))</f>
        <v>0</v>
      </c>
      <c r="U372" s="46">
        <f t="shared" si="57"/>
        <v>0</v>
      </c>
      <c r="V372" s="46">
        <f>IF(L372=1,H372+SETTINGS!$B$5/24,"")</f>
        <v>46309.82708333333</v>
      </c>
      <c r="W372" s="28">
        <f ca="1">IF(L372=1,(V372-SETTINGS!$B$4)*24,"")</f>
        <v>-1.6666666720993817E-2</v>
      </c>
      <c r="X372" s="28">
        <f ca="1">IF(AND(L372=1,K372="OK",M372=0,N372=0,O372=0,P372=0,SETTINGS!$B$4&lt;V372,Q372&lt;SETTINGS!$B$6),1,0)</f>
        <v>0</v>
      </c>
      <c r="Y372" s="28">
        <f ca="1">IF(AND(X372=1,SETTINGS!$B$4&gt;=H372,SETTINGS!$B$4&gt;=U372,ROUND(MOD(SETTINGS!$B$4,1)*1440,0)&gt;=ROUND(SETTINGS!$B$7*1440,0),ROUND(MOD(SETTINGS!$B$4,1)*1440,0)&lt;ROUND(SETTINGS!$B$8*1440,0)),1,0)</f>
        <v>0</v>
      </c>
      <c r="Z372" s="28" t="str">
        <f ca="1">IF(B372="","",IF(ROUND(MOD(SETTINGS!$B$4,1)*1440,0)&lt;ROUND(SETTINGS!$B$11*1440,0),"Ram",IF(ROUND(MOD(SETTINGS!$B$4,1)*1440,0)&gt;=ROUND(SETTINGS!$B$10*1440,0),"Shyam",IF(MOD(IFERROR(VALUE(RIGHT(F372,2)),0),2)=0,"Ram","Shyam"))))</f>
        <v>Shyam</v>
      </c>
      <c r="AA372" s="28">
        <f t="shared" ca="1" si="58"/>
        <v>0</v>
      </c>
      <c r="AB372" s="28">
        <f ca="1">IF(X372=1,COUNTIFS($F$2:F372,F372,$X$2:X372,1),0)</f>
        <v>0</v>
      </c>
      <c r="AC372" s="28" t="str">
        <f>IF(L372=1,IF(IFERROR(INDEX(PARTNERS!$C$2:$C$88,MATCH(B372,PARTNERS!$A$2:$A$88,0)),"")="YES","YES","NO"),"")</f>
        <v>YES</v>
      </c>
      <c r="AD372" s="28" t="str">
        <f>IF(L372=1,IFERROR(INDEX(PARTNERS!$B$2:$B$88,MATCH(B372,PARTNERS!$A$2:$A$88,0)),""),"")</f>
        <v>https://calendly.com/partner096/interview</v>
      </c>
      <c r="AE372" s="28">
        <f ca="1">IF(X372=1,IFERROR(INDEX(SETTINGS!$B$34:$D$36,MATCH(I372,SETTINGS!$A$34:$A$36,0),MIN(Q372,2)+1),SETTINGS!$B$36),0)</f>
        <v>0</v>
      </c>
      <c r="AF372" s="28">
        <f t="shared" si="59"/>
        <v>1</v>
      </c>
      <c r="AG372" s="28">
        <f ca="1">IF(AND(Y372=1,AB372=1),ROUND(AA372*AE372*IF(AF372&gt;1,SETTINGS!$B$16,1)*IF(W372&lt;=SETTINGS!$B$14,SETTINGS!$B$15,1)*IF(AU372=1,SETTINGS!$B$21,1),6),0)</f>
        <v>0</v>
      </c>
      <c r="AH372" s="28" t="str">
        <f ca="1">IF(AG372&gt;0,COUNTIFS($Z$2:$Z$601,Z372,$AG$2:$AG$601,"&gt;"&amp;AG372)+COUNTIFS($Z$2:Z372,Z372,$AG$2:AG372,AG372),"")</f>
        <v/>
      </c>
      <c r="AI372" s="28" t="str">
        <f t="shared" ca="1" si="60"/>
        <v/>
      </c>
      <c r="AJ372" s="28" t="str">
        <f t="shared" ca="1" si="61"/>
        <v/>
      </c>
      <c r="AK372" s="28">
        <f>IF(L372=1,IF(COUNTIFS($F$2:F372,F372,$L$2:L372,1)=1,1,0),0)</f>
        <v>0</v>
      </c>
      <c r="AL372" s="28" t="str">
        <f ca="1">IF(B372="","",IF(K372="DUPLICATE","Duplicate (removed)",IF(AO372=1,"Scheduled within 24h",IF(M372=1,"Scheduled late",IF(K372="BAD CONTACT","Bad contact details",IF(O372=1,"Stopped / wrong number",IF(N372=1,"Not interested",IF(P372=1,"Partner has no slots",IF(SETTINGS!$B$4&gt;=V372,IF(Q372=0,"Missed deadline: never tried","Missed deadline: tried, not booked"),IF(Q372&gt;=SETTINGS!$B$6,"No reply after max tries","Open"))))))))))</f>
        <v>Missed deadline: never tried</v>
      </c>
      <c r="AM372" s="46" t="str">
        <f>IF(M372=1,IF(_xlfn.MINIFS(LOG!$G$2:$G$2001,LOG!$C$2:$C$2001,F372,LOG!$E$2:$E$2001,B372,LOG!$D$2:$D$2001,"*BOOKED")=0,_xlfn.MINIFS(LOG!$G$2:$G$2001,LOG!$C$2:$C$2001,F372,LOG!$E$2:$E$2001,"",LOG!$D$2:$D$2001,"*BOOKED"),IF(_xlfn.MINIFS(LOG!$G$2:$G$2001,LOG!$C$2:$C$2001,F372,LOG!$E$2:$E$2001,"",LOG!$D$2:$D$2001,"*BOOKED")=0,_xlfn.MINIFS(LOG!$G$2:$G$2001,LOG!$C$2:$C$2001,F372,LOG!$E$2:$E$2001,B372,LOG!$D$2:$D$2001,"*BOOKED"),MIN(_xlfn.MINIFS(LOG!$G$2:$G$2001,LOG!$C$2:$C$2001,F372,LOG!$E$2:$E$2001,B372,LOG!$D$2:$D$2001,"*BOOKED"),_xlfn.MINIFS(LOG!$G$2:$G$2001,LOG!$C$2:$C$2001,F372,LOG!$E$2:$E$2001,"",LOG!$D$2:$D$2001,"*BOOKED")))),"")</f>
        <v/>
      </c>
      <c r="AN372" s="28" t="str">
        <f t="shared" si="62"/>
        <v/>
      </c>
      <c r="AO372" s="28">
        <f>IF(AND(M372=1,AN372&lt;&gt;""),IF(AN372&lt;=SETTINGS!$B$5,1,0),0)</f>
        <v>0</v>
      </c>
      <c r="AP372" s="28">
        <f>IF(M372=1,IF(COUNTIFS(LOG!$C$2:$C$2001,F372,LOG!$E$2:$E$2001,B372,LOG!$D$2:$D$2001,"BOOKED")+COUNTIFS(LOG!$C$2:$C$2001,F372,LOG!$E$2:$E$2001,"",LOG!$D$2:$D$2001,"BOOKED")&gt;0,1,0),0)</f>
        <v>0</v>
      </c>
      <c r="AQ372" s="28" t="str">
        <f t="shared" si="63"/>
        <v>Navya</v>
      </c>
      <c r="AR372" s="28" t="str">
        <f>IF(AND(AK372=1,K372="OK"),COUNTIFS($AK$2:AK372,1,$K$2:K372,"OK"),"")</f>
        <v/>
      </c>
      <c r="AS372" s="28" t="str">
        <f>IF(L372=1,IFERROR(INDEX(MESSAGES!$J$9:$J$1008,MATCH(F372,MESSAGES!$M$9:$M$1008,0))&amp;"",""),"")</f>
        <v/>
      </c>
      <c r="AT372" s="28" t="str">
        <f>IF(L372=1,IFERROR(INDEX(MESSAGES!$K$9:$K$1008,MATCH(F372,MESSAGES!$M$9:$M$1008,0))&amp;"",""),"")</f>
        <v/>
      </c>
      <c r="AU372" s="28">
        <f t="shared" ca="1" si="64"/>
        <v>0</v>
      </c>
      <c r="AV372" s="28" t="str">
        <f t="shared" si="65"/>
        <v>HOLD</v>
      </c>
    </row>
    <row r="373" spans="1:48" x14ac:dyDescent="0.35">
      <c r="A373" s="28">
        <v>372</v>
      </c>
      <c r="B373" s="28" t="str">
        <f>IF(INPUT!A373="","",TRIM(INPUT!A373))</f>
        <v>Partner 003</v>
      </c>
      <c r="C373" s="28" t="str">
        <f>IF(B373="","",INPUT!C373)</f>
        <v>interviewer0@partner003.example.com</v>
      </c>
      <c r="D373" s="28" t="str">
        <f>IF(B373="","",INPUT!D373)</f>
        <v>Nisha M.</v>
      </c>
      <c r="E373" s="28" t="str">
        <f>IF(B373="","",INPUT!E373)</f>
        <v>nisha.m357@example.com</v>
      </c>
      <c r="F373" s="43" t="str">
        <f>IF(B373="","",TRIM(INPUT!F373&amp;""))</f>
        <v>9000004648</v>
      </c>
      <c r="G373" s="28" t="str">
        <f>IF(B373="","",INPUT!H373)</f>
        <v>Round1</v>
      </c>
      <c r="H373" s="46">
        <f>IF(B373="","",INPUT!I373)</f>
        <v>46308.830555555563</v>
      </c>
      <c r="I373" s="28" t="str">
        <f>IF(B373="","",IF(INPUT!J373="","None",INPUT!J373))</f>
        <v>None</v>
      </c>
      <c r="J373" s="28" t="str">
        <f t="shared" si="55"/>
        <v>nisha.m357@example.com|partner 003|Round1|interviewer0@partner003.example.com</v>
      </c>
      <c r="K373" s="28" t="str">
        <f>IF(B373="","",IF(SUMPRODUCT(($J$2:$J$601=J373)*($H$2:$H$601&lt;H373))+SUMPRODUCT(($J$2:J373=J373)*($H$2:H373=H373))-1&gt;0,"DUPLICATE",IF(AND(ISNUMBER(SEARCH("@",E373)),ISNUMBER(SEARCH(".",E373)),LEN(F373)=10,ISNUMBER(VALUE(F373))),"OK","BAD CONTACT")))</f>
        <v>DUPLICATE</v>
      </c>
      <c r="L373" s="28">
        <f t="shared" si="56"/>
        <v>0</v>
      </c>
      <c r="M373" s="28">
        <f>IF(L373=1,IF(COUNTIFS(LOG!$C$2:$C$2001,F373,LOG!$E$2:$E$2001,B373,LOG!$D$2:$D$2001,"*BOOKED")+COUNTIFS(LOG!$C$2:$C$2001,F373,LOG!$E$2:$E$2001,"",LOG!$D$2:$D$2001,"*BOOKED")&gt;0,1,0),0)</f>
        <v>0</v>
      </c>
      <c r="N373" s="28">
        <f>IF(L373=1,IF(COUNTIFS(LOG!$C$2:$C$2001,F373,LOG!$E$2:$E$2001,B373,LOG!$D$2:$D$2001,"NOT_INTERESTED")+COUNTIFS(LOG!$C$2:$C$2001,F373,LOG!$E$2:$E$2001,"",LOG!$D$2:$D$2001,"NOT_INTERESTED")&gt;0,1,0),0)</f>
        <v>0</v>
      </c>
      <c r="O373" s="28">
        <f>IF(L373=1,IF(COUNTIFS(LOG!$C$2:$C$2001,F373,LOG!$D$2:$D$2001,"STOP")+COUNTIFS(LOG!$C$2:$C$2001,F373,LOG!$D$2:$D$2001,"WRONG_NUMBER")&gt;0,1,IF(ISNUMBER(SEARCH("STOP",AT373)),1,0)),0)</f>
        <v>0</v>
      </c>
      <c r="P373" s="28">
        <f>IF(L373=1,IF(IFERROR(INDEX(PARTNERS!$D$2:$D$88,MATCH(B373,PARTNERS!$A$2:$A$88,0)),"")="NO SLOTS",1,IF(AND(IFERROR(INDEX(PARTNERS!$D$2:$D$88,MATCH(B373,PARTNERS!$A$2:$A$88,0)),"")&lt;&gt;"REOPENED",COUNTIFS(LOG!$E$2:$E$2001,B373,LOG!$D$2:$D$2001,"NO_SLOTS")&gt;0),1,0)),0)</f>
        <v>0</v>
      </c>
      <c r="Q373" s="28">
        <f>IF(L373=1,COUNTIFS(LOG!$C$2:$C$2001,F373,LOG!$H$2:$H$2001,1),0)</f>
        <v>0</v>
      </c>
      <c r="R373" s="46">
        <f>IF(Q373&gt;0,_xlfn.MAXIFS(LOG!$G$2:$G$2001,LOG!$C$2:$C$2001,F373,LOG!$H$2:$H$2001,1),0)</f>
        <v>0</v>
      </c>
      <c r="S373" s="28" t="str">
        <f>IF(Q373&gt;0,IFERROR(INDEX(LOG!$D$2:$D$2001,MATCH(F373&amp;"|"&amp;Q373,LOG!$I$2:$I$2001,0)),""),"")</f>
        <v/>
      </c>
      <c r="T373" s="28">
        <f>IF(S373="",0,IFERROR(VLOOKUP(S373,LISTS!$A$2:$E$10,4,FALSE),0))</f>
        <v>0</v>
      </c>
      <c r="U373" s="46">
        <f t="shared" si="57"/>
        <v>0</v>
      </c>
      <c r="V373" s="46" t="str">
        <f>IF(L373=1,H373+SETTINGS!$B$5/24,"")</f>
        <v/>
      </c>
      <c r="W373" s="28" t="str">
        <f>IF(L373=1,(V373-SETTINGS!$B$4)*24,"")</f>
        <v/>
      </c>
      <c r="X373" s="28">
        <f ca="1">IF(AND(L373=1,K373="OK",M373=0,N373=0,O373=0,P373=0,SETTINGS!$B$4&lt;V373,Q373&lt;SETTINGS!$B$6),1,0)</f>
        <v>0</v>
      </c>
      <c r="Y373" s="28">
        <f ca="1">IF(AND(X373=1,SETTINGS!$B$4&gt;=H373,SETTINGS!$B$4&gt;=U373,ROUND(MOD(SETTINGS!$B$4,1)*1440,0)&gt;=ROUND(SETTINGS!$B$7*1440,0),ROUND(MOD(SETTINGS!$B$4,1)*1440,0)&lt;ROUND(SETTINGS!$B$8*1440,0)),1,0)</f>
        <v>0</v>
      </c>
      <c r="Z373" s="28" t="str">
        <f ca="1">IF(B373="","",IF(ROUND(MOD(SETTINGS!$B$4,1)*1440,0)&lt;ROUND(SETTINGS!$B$11*1440,0),"Ram",IF(ROUND(MOD(SETTINGS!$B$4,1)*1440,0)&gt;=ROUND(SETTINGS!$B$10*1440,0),"Shyam",IF(MOD(IFERROR(VALUE(RIGHT(F373,2)),0),2)=0,"Ram","Shyam"))))</f>
        <v>Shyam</v>
      </c>
      <c r="AA373" s="28">
        <f t="shared" ca="1" si="58"/>
        <v>0</v>
      </c>
      <c r="AB373" s="28">
        <f ca="1">IF(X373=1,COUNTIFS($F$2:F373,F373,$X$2:X373,1),0)</f>
        <v>0</v>
      </c>
      <c r="AC373" s="28" t="str">
        <f>IF(L373=1,IF(IFERROR(INDEX(PARTNERS!$C$2:$C$88,MATCH(B373,PARTNERS!$A$2:$A$88,0)),"")="YES","YES","NO"),"")</f>
        <v/>
      </c>
      <c r="AD373" s="28" t="str">
        <f>IF(L373=1,IFERROR(INDEX(PARTNERS!$B$2:$B$88,MATCH(B373,PARTNERS!$A$2:$A$88,0)),""),"")</f>
        <v/>
      </c>
      <c r="AE373" s="28">
        <f ca="1">IF(X373=1,IFERROR(INDEX(SETTINGS!$B$34:$D$36,MATCH(I373,SETTINGS!$A$34:$A$36,0),MIN(Q373,2)+1),SETTINGS!$B$36),0)</f>
        <v>0</v>
      </c>
      <c r="AF373" s="28">
        <f t="shared" si="59"/>
        <v>0</v>
      </c>
      <c r="AG373" s="28">
        <f ca="1">IF(AND(Y373=1,AB373=1),ROUND(AA373*AE373*IF(AF373&gt;1,SETTINGS!$B$16,1)*IF(W373&lt;=SETTINGS!$B$14,SETTINGS!$B$15,1)*IF(AU373=1,SETTINGS!$B$21,1),6),0)</f>
        <v>0</v>
      </c>
      <c r="AH373" s="28" t="str">
        <f ca="1">IF(AG373&gt;0,COUNTIFS($Z$2:$Z$601,Z373,$AG$2:$AG$601,"&gt;"&amp;AG373)+COUNTIFS($Z$2:Z373,Z373,$AG$2:AG373,AG373),"")</f>
        <v/>
      </c>
      <c r="AI373" s="28" t="str">
        <f t="shared" ca="1" si="60"/>
        <v/>
      </c>
      <c r="AJ373" s="28" t="str">
        <f t="shared" ca="1" si="61"/>
        <v/>
      </c>
      <c r="AK373" s="28">
        <f>IF(L373=1,IF(COUNTIFS($F$2:F373,F373,$L$2:L373,1)=1,1,0),0)</f>
        <v>0</v>
      </c>
      <c r="AL373" s="28" t="str">
        <f>IF(B373="","",IF(K373="DUPLICATE","Duplicate (removed)",IF(AO373=1,"Scheduled within 24h",IF(M373=1,"Scheduled late",IF(K373="BAD CONTACT","Bad contact details",IF(O373=1,"Stopped / wrong number",IF(N373=1,"Not interested",IF(P373=1,"Partner has no slots",IF(SETTINGS!$B$4&gt;=V373,IF(Q373=0,"Missed deadline: never tried","Missed deadline: tried, not booked"),IF(Q373&gt;=SETTINGS!$B$6,"No reply after max tries","Open"))))))))))</f>
        <v>Duplicate (removed)</v>
      </c>
      <c r="AM373" s="46" t="str">
        <f>IF(M373=1,IF(_xlfn.MINIFS(LOG!$G$2:$G$2001,LOG!$C$2:$C$2001,F373,LOG!$E$2:$E$2001,B373,LOG!$D$2:$D$2001,"*BOOKED")=0,_xlfn.MINIFS(LOG!$G$2:$G$2001,LOG!$C$2:$C$2001,F373,LOG!$E$2:$E$2001,"",LOG!$D$2:$D$2001,"*BOOKED"),IF(_xlfn.MINIFS(LOG!$G$2:$G$2001,LOG!$C$2:$C$2001,F373,LOG!$E$2:$E$2001,"",LOG!$D$2:$D$2001,"*BOOKED")=0,_xlfn.MINIFS(LOG!$G$2:$G$2001,LOG!$C$2:$C$2001,F373,LOG!$E$2:$E$2001,B373,LOG!$D$2:$D$2001,"*BOOKED"),MIN(_xlfn.MINIFS(LOG!$G$2:$G$2001,LOG!$C$2:$C$2001,F373,LOG!$E$2:$E$2001,B373,LOG!$D$2:$D$2001,"*BOOKED"),_xlfn.MINIFS(LOG!$G$2:$G$2001,LOG!$C$2:$C$2001,F373,LOG!$E$2:$E$2001,"",LOG!$D$2:$D$2001,"*BOOKED")))),"")</f>
        <v/>
      </c>
      <c r="AN373" s="28" t="str">
        <f t="shared" si="62"/>
        <v/>
      </c>
      <c r="AO373" s="28">
        <f>IF(AND(M373=1,AN373&lt;&gt;""),IF(AN373&lt;=SETTINGS!$B$5,1,0),0)</f>
        <v>0</v>
      </c>
      <c r="AP373" s="28">
        <f>IF(M373=1,IF(COUNTIFS(LOG!$C$2:$C$2001,F373,LOG!$E$2:$E$2001,B373,LOG!$D$2:$D$2001,"BOOKED")+COUNTIFS(LOG!$C$2:$C$2001,F373,LOG!$E$2:$E$2001,"",LOG!$D$2:$D$2001,"BOOKED")&gt;0,1,0),0)</f>
        <v>0</v>
      </c>
      <c r="AQ373" s="28" t="str">
        <f t="shared" si="63"/>
        <v>Nisha</v>
      </c>
      <c r="AR373" s="28" t="str">
        <f>IF(AND(AK373=1,K373="OK"),COUNTIFS($AK$2:AK373,1,$K$2:K373,"OK"),"")</f>
        <v/>
      </c>
      <c r="AS373" s="28" t="str">
        <f>IF(L373=1,IFERROR(INDEX(MESSAGES!$J$9:$J$1008,MATCH(F373,MESSAGES!$M$9:$M$1008,0))&amp;"",""),"")</f>
        <v/>
      </c>
      <c r="AT373" s="28" t="str">
        <f>IF(L373=1,IFERROR(INDEX(MESSAGES!$K$9:$K$1008,MATCH(F373,MESSAGES!$M$9:$M$1008,0))&amp;"",""),"")</f>
        <v/>
      </c>
      <c r="AU373" s="28">
        <f t="shared" ca="1" si="64"/>
        <v>0</v>
      </c>
      <c r="AV373" s="28" t="str">
        <f t="shared" si="65"/>
        <v/>
      </c>
    </row>
    <row r="374" spans="1:48" x14ac:dyDescent="0.35">
      <c r="A374" s="28">
        <v>373</v>
      </c>
      <c r="B374" s="28" t="str">
        <f>IF(INPUT!A374="","",TRIM(INPUT!A374))</f>
        <v>Partner 002</v>
      </c>
      <c r="C374" s="28" t="str">
        <f>IF(B374="","",INPUT!C374)</f>
        <v>interviewer2@partner002.example.com</v>
      </c>
      <c r="D374" s="28" t="str">
        <f>IF(B374="","",INPUT!D374)</f>
        <v>Nisha D.</v>
      </c>
      <c r="E374" s="28" t="str">
        <f>IF(B374="","",INPUT!E374)</f>
        <v>nisha.d117@example.com</v>
      </c>
      <c r="F374" s="43" t="str">
        <f>IF(B374="","",TRIM(INPUT!F374&amp;""))</f>
        <v>9000001528</v>
      </c>
      <c r="G374" s="28" t="str">
        <f>IF(B374="","",INPUT!H374)</f>
        <v>Round1</v>
      </c>
      <c r="H374" s="46">
        <f>IF(B374="","",INPUT!I374)</f>
        <v>46308.82708333333</v>
      </c>
      <c r="I374" s="28" t="str">
        <f>IF(B374="","",IF(INPUT!J374="","None",INPUT!J374))</f>
        <v>Opened</v>
      </c>
      <c r="J374" s="28" t="str">
        <f t="shared" si="55"/>
        <v>nisha.d117@example.com|partner 002|Round1|interviewer2@partner002.example.com</v>
      </c>
      <c r="K374" s="28" t="str">
        <f>IF(B374="","",IF(SUMPRODUCT(($J$2:$J$601=J374)*($H$2:$H$601&lt;H374))+SUMPRODUCT(($J$2:J374=J374)*($H$2:H374=H374))-1&gt;0,"DUPLICATE",IF(AND(ISNUMBER(SEARCH("@",E374)),ISNUMBER(SEARCH(".",E374)),LEN(F374)=10,ISNUMBER(VALUE(F374))),"OK","BAD CONTACT")))</f>
        <v>OK</v>
      </c>
      <c r="L374" s="28">
        <f t="shared" si="56"/>
        <v>1</v>
      </c>
      <c r="M374" s="28">
        <f>IF(L374=1,IF(COUNTIFS(LOG!$C$2:$C$2001,F374,LOG!$E$2:$E$2001,B374,LOG!$D$2:$D$2001,"*BOOKED")+COUNTIFS(LOG!$C$2:$C$2001,F374,LOG!$E$2:$E$2001,"",LOG!$D$2:$D$2001,"*BOOKED")&gt;0,1,0),0)</f>
        <v>0</v>
      </c>
      <c r="N374" s="28">
        <f>IF(L374=1,IF(COUNTIFS(LOG!$C$2:$C$2001,F374,LOG!$E$2:$E$2001,B374,LOG!$D$2:$D$2001,"NOT_INTERESTED")+COUNTIFS(LOG!$C$2:$C$2001,F374,LOG!$E$2:$E$2001,"",LOG!$D$2:$D$2001,"NOT_INTERESTED")&gt;0,1,0),0)</f>
        <v>0</v>
      </c>
      <c r="O374" s="28">
        <f>IF(L374=1,IF(COUNTIFS(LOG!$C$2:$C$2001,F374,LOG!$D$2:$D$2001,"STOP")+COUNTIFS(LOG!$C$2:$C$2001,F374,LOG!$D$2:$D$2001,"WRONG_NUMBER")&gt;0,1,IF(ISNUMBER(SEARCH("STOP",AT374)),1,0)),0)</f>
        <v>0</v>
      </c>
      <c r="P374" s="28">
        <f>IF(L374=1,IF(IFERROR(INDEX(PARTNERS!$D$2:$D$88,MATCH(B374,PARTNERS!$A$2:$A$88,0)),"")="NO SLOTS",1,IF(AND(IFERROR(INDEX(PARTNERS!$D$2:$D$88,MATCH(B374,PARTNERS!$A$2:$A$88,0)),"")&lt;&gt;"REOPENED",COUNTIFS(LOG!$E$2:$E$2001,B374,LOG!$D$2:$D$2001,"NO_SLOTS")&gt;0),1,0)),0)</f>
        <v>0</v>
      </c>
      <c r="Q374" s="28">
        <f>IF(L374=1,COUNTIFS(LOG!$C$2:$C$2001,F374,LOG!$H$2:$H$2001,1),0)</f>
        <v>0</v>
      </c>
      <c r="R374" s="46">
        <f>IF(Q374&gt;0,_xlfn.MAXIFS(LOG!$G$2:$G$2001,LOG!$C$2:$C$2001,F374,LOG!$H$2:$H$2001,1),0)</f>
        <v>0</v>
      </c>
      <c r="S374" s="28" t="str">
        <f>IF(Q374&gt;0,IFERROR(INDEX(LOG!$D$2:$D$2001,MATCH(F374&amp;"|"&amp;Q374,LOG!$I$2:$I$2001,0)),""),"")</f>
        <v/>
      </c>
      <c r="T374" s="28">
        <f>IF(S374="",0,IFERROR(VLOOKUP(S374,LISTS!$A$2:$E$10,4,FALSE),0))</f>
        <v>0</v>
      </c>
      <c r="U374" s="46">
        <f t="shared" si="57"/>
        <v>0</v>
      </c>
      <c r="V374" s="46">
        <f>IF(L374=1,H374+SETTINGS!$B$5/24,"")</f>
        <v>46309.82708333333</v>
      </c>
      <c r="W374" s="28">
        <f ca="1">IF(L374=1,(V374-SETTINGS!$B$4)*24,"")</f>
        <v>-1.6666666720993817E-2</v>
      </c>
      <c r="X374" s="28">
        <f ca="1">IF(AND(L374=1,K374="OK",M374=0,N374=0,O374=0,P374=0,SETTINGS!$B$4&lt;V374,Q374&lt;SETTINGS!$B$6),1,0)</f>
        <v>0</v>
      </c>
      <c r="Y374" s="28">
        <f ca="1">IF(AND(X374=1,SETTINGS!$B$4&gt;=H374,SETTINGS!$B$4&gt;=U374,ROUND(MOD(SETTINGS!$B$4,1)*1440,0)&gt;=ROUND(SETTINGS!$B$7*1440,0),ROUND(MOD(SETTINGS!$B$4,1)*1440,0)&lt;ROUND(SETTINGS!$B$8*1440,0)),1,0)</f>
        <v>0</v>
      </c>
      <c r="Z374" s="28" t="str">
        <f ca="1">IF(B374="","",IF(ROUND(MOD(SETTINGS!$B$4,1)*1440,0)&lt;ROUND(SETTINGS!$B$11*1440,0),"Ram",IF(ROUND(MOD(SETTINGS!$B$4,1)*1440,0)&gt;=ROUND(SETTINGS!$B$10*1440,0),"Shyam",IF(MOD(IFERROR(VALUE(RIGHT(F374,2)),0),2)=0,"Ram","Shyam"))))</f>
        <v>Shyam</v>
      </c>
      <c r="AA374" s="28">
        <f t="shared" ca="1" si="58"/>
        <v>0</v>
      </c>
      <c r="AB374" s="28">
        <f ca="1">IF(X374=1,COUNTIFS($F$2:F374,F374,$X$2:X374,1),0)</f>
        <v>0</v>
      </c>
      <c r="AC374" s="28" t="str">
        <f>IF(L374=1,IF(IFERROR(INDEX(PARTNERS!$C$2:$C$88,MATCH(B374,PARTNERS!$A$2:$A$88,0)),"")="YES","YES","NO"),"")</f>
        <v>YES</v>
      </c>
      <c r="AD374" s="28" t="str">
        <f>IF(L374=1,IFERROR(INDEX(PARTNERS!$B$2:$B$88,MATCH(B374,PARTNERS!$A$2:$A$88,0)),""),"")</f>
        <v>https://calendly.com/partner002/interview</v>
      </c>
      <c r="AE374" s="28">
        <f ca="1">IF(X374=1,IFERROR(INDEX(SETTINGS!$B$34:$D$36,MATCH(I374,SETTINGS!$A$34:$A$36,0),MIN(Q374,2)+1),SETTINGS!$B$36),0)</f>
        <v>0</v>
      </c>
      <c r="AF374" s="28">
        <f t="shared" si="59"/>
        <v>1</v>
      </c>
      <c r="AG374" s="28">
        <f ca="1">IF(AND(Y374=1,AB374=1),ROUND(AA374*AE374*IF(AF374&gt;1,SETTINGS!$B$16,1)*IF(W374&lt;=SETTINGS!$B$14,SETTINGS!$B$15,1)*IF(AU374=1,SETTINGS!$B$21,1),6),0)</f>
        <v>0</v>
      </c>
      <c r="AH374" s="28" t="str">
        <f ca="1">IF(AG374&gt;0,COUNTIFS($Z$2:$Z$601,Z374,$AG$2:$AG$601,"&gt;"&amp;AG374)+COUNTIFS($Z$2:Z374,Z374,$AG$2:AG374,AG374),"")</f>
        <v/>
      </c>
      <c r="AI374" s="28" t="str">
        <f t="shared" ca="1" si="60"/>
        <v/>
      </c>
      <c r="AJ374" s="28" t="str">
        <f t="shared" ca="1" si="61"/>
        <v/>
      </c>
      <c r="AK374" s="28">
        <f>IF(L374=1,IF(COUNTIFS($F$2:F374,F374,$L$2:L374,1)=1,1,0),0)</f>
        <v>1</v>
      </c>
      <c r="AL374" s="28" t="str">
        <f ca="1">IF(B374="","",IF(K374="DUPLICATE","Duplicate (removed)",IF(AO374=1,"Scheduled within 24h",IF(M374=1,"Scheduled late",IF(K374="BAD CONTACT","Bad contact details",IF(O374=1,"Stopped / wrong number",IF(N374=1,"Not interested",IF(P374=1,"Partner has no slots",IF(SETTINGS!$B$4&gt;=V374,IF(Q374=0,"Missed deadline: never tried","Missed deadline: tried, not booked"),IF(Q374&gt;=SETTINGS!$B$6,"No reply after max tries","Open"))))))))))</f>
        <v>Missed deadline: never tried</v>
      </c>
      <c r="AM374" s="46" t="str">
        <f>IF(M374=1,IF(_xlfn.MINIFS(LOG!$G$2:$G$2001,LOG!$C$2:$C$2001,F374,LOG!$E$2:$E$2001,B374,LOG!$D$2:$D$2001,"*BOOKED")=0,_xlfn.MINIFS(LOG!$G$2:$G$2001,LOG!$C$2:$C$2001,F374,LOG!$E$2:$E$2001,"",LOG!$D$2:$D$2001,"*BOOKED"),IF(_xlfn.MINIFS(LOG!$G$2:$G$2001,LOG!$C$2:$C$2001,F374,LOG!$E$2:$E$2001,"",LOG!$D$2:$D$2001,"*BOOKED")=0,_xlfn.MINIFS(LOG!$G$2:$G$2001,LOG!$C$2:$C$2001,F374,LOG!$E$2:$E$2001,B374,LOG!$D$2:$D$2001,"*BOOKED"),MIN(_xlfn.MINIFS(LOG!$G$2:$G$2001,LOG!$C$2:$C$2001,F374,LOG!$E$2:$E$2001,B374,LOG!$D$2:$D$2001,"*BOOKED"),_xlfn.MINIFS(LOG!$G$2:$G$2001,LOG!$C$2:$C$2001,F374,LOG!$E$2:$E$2001,"",LOG!$D$2:$D$2001,"*BOOKED")))),"")</f>
        <v/>
      </c>
      <c r="AN374" s="28" t="str">
        <f t="shared" si="62"/>
        <v/>
      </c>
      <c r="AO374" s="28">
        <f>IF(AND(M374=1,AN374&lt;&gt;""),IF(AN374&lt;=SETTINGS!$B$5,1,0),0)</f>
        <v>0</v>
      </c>
      <c r="AP374" s="28">
        <f>IF(M374=1,IF(COUNTIFS(LOG!$C$2:$C$2001,F374,LOG!$E$2:$E$2001,B374,LOG!$D$2:$D$2001,"BOOKED")+COUNTIFS(LOG!$C$2:$C$2001,F374,LOG!$E$2:$E$2001,"",LOG!$D$2:$D$2001,"BOOKED")&gt;0,1,0),0)</f>
        <v>0</v>
      </c>
      <c r="AQ374" s="28" t="str">
        <f t="shared" si="63"/>
        <v>Nisha</v>
      </c>
      <c r="AR374" s="28">
        <f>IF(AND(AK374=1,K374="OK"),COUNTIFS($AK$2:AK374,1,$K$2:K374,"OK"),"")</f>
        <v>314</v>
      </c>
      <c r="AS374" s="28" t="str">
        <f>IF(L374=1,IFERROR(INDEX(MESSAGES!$J$9:$J$1008,MATCH(F374,MESSAGES!$M$9:$M$1008,0))&amp;"",""),"")</f>
        <v/>
      </c>
      <c r="AT374" s="28" t="str">
        <f>IF(L374=1,IFERROR(INDEX(MESSAGES!$K$9:$K$1008,MATCH(F374,MESSAGES!$M$9:$M$1008,0))&amp;"",""),"")</f>
        <v/>
      </c>
      <c r="AU374" s="28">
        <f t="shared" ca="1" si="64"/>
        <v>0</v>
      </c>
      <c r="AV374" s="28" t="str">
        <f t="shared" si="65"/>
        <v>SEND</v>
      </c>
    </row>
    <row r="375" spans="1:48" x14ac:dyDescent="0.35">
      <c r="A375" s="28">
        <v>374</v>
      </c>
      <c r="B375" s="28" t="str">
        <f>IF(INPUT!A375="","",TRIM(INPUT!A375))</f>
        <v>Partner 002</v>
      </c>
      <c r="C375" s="28" t="str">
        <f>IF(B375="","",INPUT!C375)</f>
        <v>interviewer0@partner002.example.com</v>
      </c>
      <c r="D375" s="28" t="str">
        <f>IF(B375="","",INPUT!D375)</f>
        <v>Isha C.</v>
      </c>
      <c r="E375" s="28" t="str">
        <f>IF(B375="","",INPUT!E375)</f>
        <v>isha.c085@example.com</v>
      </c>
      <c r="F375" s="43" t="str">
        <f>IF(B375="","",TRIM(INPUT!F375&amp;""))</f>
        <v>9000001112</v>
      </c>
      <c r="G375" s="28" t="str">
        <f>IF(B375="","",INPUT!H375)</f>
        <v>Round1</v>
      </c>
      <c r="H375" s="46">
        <f>IF(B375="","",INPUT!I375)</f>
        <v>46308.82708333333</v>
      </c>
      <c r="I375" s="28" t="str">
        <f>IF(B375="","",IF(INPUT!J375="","None",INPUT!J375))</f>
        <v>Clicked</v>
      </c>
      <c r="J375" s="28" t="str">
        <f t="shared" si="55"/>
        <v>isha.c085@example.com|partner 002|Round1|interviewer0@partner002.example.com</v>
      </c>
      <c r="K375" s="28" t="str">
        <f>IF(B375="","",IF(SUMPRODUCT(($J$2:$J$601=J375)*($H$2:$H$601&lt;H375))+SUMPRODUCT(($J$2:J375=J375)*($H$2:H375=H375))-1&gt;0,"DUPLICATE",IF(AND(ISNUMBER(SEARCH("@",E375)),ISNUMBER(SEARCH(".",E375)),LEN(F375)=10,ISNUMBER(VALUE(F375))),"OK","BAD CONTACT")))</f>
        <v>OK</v>
      </c>
      <c r="L375" s="28">
        <f t="shared" si="56"/>
        <v>1</v>
      </c>
      <c r="M375" s="28">
        <f>IF(L375=1,IF(COUNTIFS(LOG!$C$2:$C$2001,F375,LOG!$E$2:$E$2001,B375,LOG!$D$2:$D$2001,"*BOOKED")+COUNTIFS(LOG!$C$2:$C$2001,F375,LOG!$E$2:$E$2001,"",LOG!$D$2:$D$2001,"*BOOKED")&gt;0,1,0),0)</f>
        <v>1</v>
      </c>
      <c r="N375" s="28">
        <f>IF(L375=1,IF(COUNTIFS(LOG!$C$2:$C$2001,F375,LOG!$E$2:$E$2001,B375,LOG!$D$2:$D$2001,"NOT_INTERESTED")+COUNTIFS(LOG!$C$2:$C$2001,F375,LOG!$E$2:$E$2001,"",LOG!$D$2:$D$2001,"NOT_INTERESTED")&gt;0,1,0),0)</f>
        <v>0</v>
      </c>
      <c r="O375" s="28">
        <f>IF(L375=1,IF(COUNTIFS(LOG!$C$2:$C$2001,F375,LOG!$D$2:$D$2001,"STOP")+COUNTIFS(LOG!$C$2:$C$2001,F375,LOG!$D$2:$D$2001,"WRONG_NUMBER")&gt;0,1,IF(ISNUMBER(SEARCH("STOP",AT375)),1,0)),0)</f>
        <v>0</v>
      </c>
      <c r="P375" s="28">
        <f>IF(L375=1,IF(IFERROR(INDEX(PARTNERS!$D$2:$D$88,MATCH(B375,PARTNERS!$A$2:$A$88,0)),"")="NO SLOTS",1,IF(AND(IFERROR(INDEX(PARTNERS!$D$2:$D$88,MATCH(B375,PARTNERS!$A$2:$A$88,0)),"")&lt;&gt;"REOPENED",COUNTIFS(LOG!$E$2:$E$2001,B375,LOG!$D$2:$D$2001,"NO_SLOTS")&gt;0),1,0)),0)</f>
        <v>0</v>
      </c>
      <c r="Q375" s="28">
        <f>IF(L375=1,COUNTIFS(LOG!$C$2:$C$2001,F375,LOG!$H$2:$H$2001,1),0)</f>
        <v>0</v>
      </c>
      <c r="R375" s="46">
        <f>IF(Q375&gt;0,_xlfn.MAXIFS(LOG!$G$2:$G$2001,LOG!$C$2:$C$2001,F375,LOG!$H$2:$H$2001,1),0)</f>
        <v>0</v>
      </c>
      <c r="S375" s="28" t="str">
        <f>IF(Q375&gt;0,IFERROR(INDEX(LOG!$D$2:$D$2001,MATCH(F375&amp;"|"&amp;Q375,LOG!$I$2:$I$2001,0)),""),"")</f>
        <v/>
      </c>
      <c r="T375" s="28">
        <f>IF(S375="",0,IFERROR(VLOOKUP(S375,LISTS!$A$2:$E$10,4,FALSE),0))</f>
        <v>0</v>
      </c>
      <c r="U375" s="46">
        <f t="shared" si="57"/>
        <v>0</v>
      </c>
      <c r="V375" s="46">
        <f>IF(L375=1,H375+SETTINGS!$B$5/24,"")</f>
        <v>46309.82708333333</v>
      </c>
      <c r="W375" s="28">
        <f ca="1">IF(L375=1,(V375-SETTINGS!$B$4)*24,"")</f>
        <v>-1.6666666720993817E-2</v>
      </c>
      <c r="X375" s="28">
        <f ca="1">IF(AND(L375=1,K375="OK",M375=0,N375=0,O375=0,P375=0,SETTINGS!$B$4&lt;V375,Q375&lt;SETTINGS!$B$6),1,0)</f>
        <v>0</v>
      </c>
      <c r="Y375" s="28">
        <f ca="1">IF(AND(X375=1,SETTINGS!$B$4&gt;=H375,SETTINGS!$B$4&gt;=U375,ROUND(MOD(SETTINGS!$B$4,1)*1440,0)&gt;=ROUND(SETTINGS!$B$7*1440,0),ROUND(MOD(SETTINGS!$B$4,1)*1440,0)&lt;ROUND(SETTINGS!$B$8*1440,0)),1,0)</f>
        <v>0</v>
      </c>
      <c r="Z375" s="28" t="str">
        <f ca="1">IF(B375="","",IF(ROUND(MOD(SETTINGS!$B$4,1)*1440,0)&lt;ROUND(SETTINGS!$B$11*1440,0),"Ram",IF(ROUND(MOD(SETTINGS!$B$4,1)*1440,0)&gt;=ROUND(SETTINGS!$B$10*1440,0),"Shyam",IF(MOD(IFERROR(VALUE(RIGHT(F375,2)),0),2)=0,"Ram","Shyam"))))</f>
        <v>Shyam</v>
      </c>
      <c r="AA375" s="28">
        <f t="shared" ca="1" si="58"/>
        <v>0</v>
      </c>
      <c r="AB375" s="28">
        <f ca="1">IF(X375=1,COUNTIFS($F$2:F375,F375,$X$2:X375,1),0)</f>
        <v>0</v>
      </c>
      <c r="AC375" s="28" t="str">
        <f>IF(L375=1,IF(IFERROR(INDEX(PARTNERS!$C$2:$C$88,MATCH(B375,PARTNERS!$A$2:$A$88,0)),"")="YES","YES","NO"),"")</f>
        <v>YES</v>
      </c>
      <c r="AD375" s="28" t="str">
        <f>IF(L375=1,IFERROR(INDEX(PARTNERS!$B$2:$B$88,MATCH(B375,PARTNERS!$A$2:$A$88,0)),""),"")</f>
        <v>https://calendly.com/partner002/interview</v>
      </c>
      <c r="AE375" s="28">
        <f ca="1">IF(X375=1,IFERROR(INDEX(SETTINGS!$B$34:$D$36,MATCH(I375,SETTINGS!$A$34:$A$36,0),MIN(Q375,2)+1),SETTINGS!$B$36),0)</f>
        <v>0</v>
      </c>
      <c r="AF375" s="28">
        <f t="shared" si="59"/>
        <v>1</v>
      </c>
      <c r="AG375" s="28">
        <f ca="1">IF(AND(Y375=1,AB375=1),ROUND(AA375*AE375*IF(AF375&gt;1,SETTINGS!$B$16,1)*IF(W375&lt;=SETTINGS!$B$14,SETTINGS!$B$15,1)*IF(AU375=1,SETTINGS!$B$21,1),6),0)</f>
        <v>0</v>
      </c>
      <c r="AH375" s="28" t="str">
        <f ca="1">IF(AG375&gt;0,COUNTIFS($Z$2:$Z$601,Z375,$AG$2:$AG$601,"&gt;"&amp;AG375)+COUNTIFS($Z$2:Z375,Z375,$AG$2:AG375,AG375),"")</f>
        <v/>
      </c>
      <c r="AI375" s="28" t="str">
        <f t="shared" ca="1" si="60"/>
        <v/>
      </c>
      <c r="AJ375" s="28" t="str">
        <f t="shared" ca="1" si="61"/>
        <v/>
      </c>
      <c r="AK375" s="28">
        <f>IF(L375=1,IF(COUNTIFS($F$2:F375,F375,$L$2:L375,1)=1,1,0),0)</f>
        <v>1</v>
      </c>
      <c r="AL375" s="28" t="str">
        <f>IF(B375="","",IF(K375="DUPLICATE","Duplicate (removed)",IF(AO375=1,"Scheduled within 24h",IF(M375=1,"Scheduled late",IF(K375="BAD CONTACT","Bad contact details",IF(O375=1,"Stopped / wrong number",IF(N375=1,"Not interested",IF(P375=1,"Partner has no slots",IF(SETTINGS!$B$4&gt;=V375,IF(Q375=0,"Missed deadline: never tried","Missed deadline: tried, not booked"),IF(Q375&gt;=SETTINGS!$B$6,"No reply after max tries","Open"))))))))))</f>
        <v>Scheduled within 24h</v>
      </c>
      <c r="AM375" s="46">
        <f>IF(M375=1,IF(_xlfn.MINIFS(LOG!$G$2:$G$2001,LOG!$C$2:$C$2001,F375,LOG!$E$2:$E$2001,B375,LOG!$D$2:$D$2001,"*BOOKED")=0,_xlfn.MINIFS(LOG!$G$2:$G$2001,LOG!$C$2:$C$2001,F375,LOG!$E$2:$E$2001,"",LOG!$D$2:$D$2001,"*BOOKED"),IF(_xlfn.MINIFS(LOG!$G$2:$G$2001,LOG!$C$2:$C$2001,F375,LOG!$E$2:$E$2001,"",LOG!$D$2:$D$2001,"*BOOKED")=0,_xlfn.MINIFS(LOG!$G$2:$G$2001,LOG!$C$2:$C$2001,F375,LOG!$E$2:$E$2001,B375,LOG!$D$2:$D$2001,"*BOOKED"),MIN(_xlfn.MINIFS(LOG!$G$2:$G$2001,LOG!$C$2:$C$2001,F375,LOG!$E$2:$E$2001,B375,LOG!$D$2:$D$2001,"*BOOKED"),_xlfn.MINIFS(LOG!$G$2:$G$2001,LOG!$C$2:$C$2001,F375,LOG!$E$2:$E$2001,"",LOG!$D$2:$D$2001,"*BOOKED")))),"")</f>
        <v>46309.518036844041</v>
      </c>
      <c r="AN375" s="28">
        <f t="shared" si="62"/>
        <v>16.582884257077239</v>
      </c>
      <c r="AO375" s="28">
        <f>IF(AND(M375=1,AN375&lt;&gt;""),IF(AN375&lt;=SETTINGS!$B$5,1,0),0)</f>
        <v>1</v>
      </c>
      <c r="AP375" s="28">
        <f>IF(M375=1,IF(COUNTIFS(LOG!$C$2:$C$2001,F375,LOG!$E$2:$E$2001,B375,LOG!$D$2:$D$2001,"BOOKED")+COUNTIFS(LOG!$C$2:$C$2001,F375,LOG!$E$2:$E$2001,"",LOG!$D$2:$D$2001,"BOOKED")&gt;0,1,0),0)</f>
        <v>0</v>
      </c>
      <c r="AQ375" s="28" t="str">
        <f t="shared" si="63"/>
        <v>Isha</v>
      </c>
      <c r="AR375" s="28">
        <f>IF(AND(AK375=1,K375="OK"),COUNTIFS($AK$2:AK375,1,$K$2:K375,"OK"),"")</f>
        <v>315</v>
      </c>
      <c r="AS375" s="28" t="str">
        <f>IF(L375=1,IFERROR(INDEX(MESSAGES!$J$9:$J$1008,MATCH(F375,MESSAGES!$M$9:$M$1008,0))&amp;"",""),"")</f>
        <v/>
      </c>
      <c r="AT375" s="28" t="str">
        <f>IF(L375=1,IFERROR(INDEX(MESSAGES!$K$9:$K$1008,MATCH(F375,MESSAGES!$M$9:$M$1008,0))&amp;"",""),"")</f>
        <v/>
      </c>
      <c r="AU375" s="28">
        <f t="shared" ca="1" si="64"/>
        <v>0</v>
      </c>
      <c r="AV375" s="28" t="str">
        <f t="shared" si="65"/>
        <v>HOLD</v>
      </c>
    </row>
    <row r="376" spans="1:48" x14ac:dyDescent="0.35">
      <c r="A376" s="28">
        <v>375</v>
      </c>
      <c r="B376" s="28" t="str">
        <f>IF(INPUT!A376="","",TRIM(INPUT!A376))</f>
        <v>Partner 041</v>
      </c>
      <c r="C376" s="28" t="str">
        <f>IF(B376="","",INPUT!C376)</f>
        <v>interviewer0@partner041.example.com</v>
      </c>
      <c r="D376" s="28" t="str">
        <f>IF(B376="","",INPUT!D376)</f>
        <v>Rohan J.</v>
      </c>
      <c r="E376" s="28" t="str">
        <f>IF(B376="","",INPUT!E376)</f>
        <v>rohan.j250@example.com</v>
      </c>
      <c r="F376" s="43" t="str">
        <f>IF(B376="","",TRIM(INPUT!F376&amp;""))</f>
        <v>900000325</v>
      </c>
      <c r="G376" s="28" t="str">
        <f>IF(B376="","",INPUT!H376)</f>
        <v>Round1</v>
      </c>
      <c r="H376" s="46">
        <f>IF(B376="","",INPUT!I376)</f>
        <v>46308.82708333333</v>
      </c>
      <c r="I376" s="28" t="str">
        <f>IF(B376="","",IF(INPUT!J376="","None",INPUT!J376))</f>
        <v>Opened</v>
      </c>
      <c r="J376" s="28" t="str">
        <f t="shared" si="55"/>
        <v>rohan.j250@example.com|partner 041|Round1|interviewer0@partner041.example.com</v>
      </c>
      <c r="K376" s="28" t="str">
        <f>IF(B376="","",IF(SUMPRODUCT(($J$2:$J$601=J376)*($H$2:$H$601&lt;H376))+SUMPRODUCT(($J$2:J376=J376)*($H$2:H376=H376))-1&gt;0,"DUPLICATE",IF(AND(ISNUMBER(SEARCH("@",E376)),ISNUMBER(SEARCH(".",E376)),LEN(F376)=10,ISNUMBER(VALUE(F376))),"OK","BAD CONTACT")))</f>
        <v>BAD CONTACT</v>
      </c>
      <c r="L376" s="28">
        <f t="shared" si="56"/>
        <v>1</v>
      </c>
      <c r="M376" s="28">
        <f>IF(L376=1,IF(COUNTIFS(LOG!$C$2:$C$2001,F376,LOG!$E$2:$E$2001,B376,LOG!$D$2:$D$2001,"*BOOKED")+COUNTIFS(LOG!$C$2:$C$2001,F376,LOG!$E$2:$E$2001,"",LOG!$D$2:$D$2001,"*BOOKED")&gt;0,1,0),0)</f>
        <v>0</v>
      </c>
      <c r="N376" s="28">
        <f>IF(L376=1,IF(COUNTIFS(LOG!$C$2:$C$2001,F376,LOG!$E$2:$E$2001,B376,LOG!$D$2:$D$2001,"NOT_INTERESTED")+COUNTIFS(LOG!$C$2:$C$2001,F376,LOG!$E$2:$E$2001,"",LOG!$D$2:$D$2001,"NOT_INTERESTED")&gt;0,1,0),0)</f>
        <v>0</v>
      </c>
      <c r="O376" s="28">
        <f>IF(L376=1,IF(COUNTIFS(LOG!$C$2:$C$2001,F376,LOG!$D$2:$D$2001,"STOP")+COUNTIFS(LOG!$C$2:$C$2001,F376,LOG!$D$2:$D$2001,"WRONG_NUMBER")&gt;0,1,IF(ISNUMBER(SEARCH("STOP",AT376)),1,0)),0)</f>
        <v>0</v>
      </c>
      <c r="P376" s="28">
        <f>IF(L376=1,IF(IFERROR(INDEX(PARTNERS!$D$2:$D$88,MATCH(B376,PARTNERS!$A$2:$A$88,0)),"")="NO SLOTS",1,IF(AND(IFERROR(INDEX(PARTNERS!$D$2:$D$88,MATCH(B376,PARTNERS!$A$2:$A$88,0)),"")&lt;&gt;"REOPENED",COUNTIFS(LOG!$E$2:$E$2001,B376,LOG!$D$2:$D$2001,"NO_SLOTS")&gt;0),1,0)),0)</f>
        <v>0</v>
      </c>
      <c r="Q376" s="28">
        <f>IF(L376=1,COUNTIFS(LOG!$C$2:$C$2001,F376,LOG!$H$2:$H$2001,1),0)</f>
        <v>0</v>
      </c>
      <c r="R376" s="46">
        <f>IF(Q376&gt;0,_xlfn.MAXIFS(LOG!$G$2:$G$2001,LOG!$C$2:$C$2001,F376,LOG!$H$2:$H$2001,1),0)</f>
        <v>0</v>
      </c>
      <c r="S376" s="28" t="str">
        <f>IF(Q376&gt;0,IFERROR(INDEX(LOG!$D$2:$D$2001,MATCH(F376&amp;"|"&amp;Q376,LOG!$I$2:$I$2001,0)),""),"")</f>
        <v/>
      </c>
      <c r="T376" s="28">
        <f>IF(S376="",0,IFERROR(VLOOKUP(S376,LISTS!$A$2:$E$10,4,FALSE),0))</f>
        <v>0</v>
      </c>
      <c r="U376" s="46">
        <f t="shared" si="57"/>
        <v>0</v>
      </c>
      <c r="V376" s="46">
        <f>IF(L376=1,H376+SETTINGS!$B$5/24,"")</f>
        <v>46309.82708333333</v>
      </c>
      <c r="W376" s="28">
        <f ca="1">IF(L376=1,(V376-SETTINGS!$B$4)*24,"")</f>
        <v>-1.6666666720993817E-2</v>
      </c>
      <c r="X376" s="28">
        <f ca="1">IF(AND(L376=1,K376="OK",M376=0,N376=0,O376=0,P376=0,SETTINGS!$B$4&lt;V376,Q376&lt;SETTINGS!$B$6),1,0)</f>
        <v>0</v>
      </c>
      <c r="Y376" s="28">
        <f ca="1">IF(AND(X376=1,SETTINGS!$B$4&gt;=H376,SETTINGS!$B$4&gt;=U376,ROUND(MOD(SETTINGS!$B$4,1)*1440,0)&gt;=ROUND(SETTINGS!$B$7*1440,0),ROUND(MOD(SETTINGS!$B$4,1)*1440,0)&lt;ROUND(SETTINGS!$B$8*1440,0)),1,0)</f>
        <v>0</v>
      </c>
      <c r="Z376" s="28" t="str">
        <f ca="1">IF(B376="","",IF(ROUND(MOD(SETTINGS!$B$4,1)*1440,0)&lt;ROUND(SETTINGS!$B$11*1440,0),"Ram",IF(ROUND(MOD(SETTINGS!$B$4,1)*1440,0)&gt;=ROUND(SETTINGS!$B$10*1440,0),"Shyam",IF(MOD(IFERROR(VALUE(RIGHT(F376,2)),0),2)=0,"Ram","Shyam"))))</f>
        <v>Shyam</v>
      </c>
      <c r="AA376" s="28">
        <f t="shared" ca="1" si="58"/>
        <v>0</v>
      </c>
      <c r="AB376" s="28">
        <f ca="1">IF(X376=1,COUNTIFS($F$2:F376,F376,$X$2:X376,1),0)</f>
        <v>0</v>
      </c>
      <c r="AC376" s="28" t="str">
        <f>IF(L376=1,IF(IFERROR(INDEX(PARTNERS!$C$2:$C$88,MATCH(B376,PARTNERS!$A$2:$A$88,0)),"")="YES","YES","NO"),"")</f>
        <v>NO</v>
      </c>
      <c r="AD376" s="28" t="str">
        <f>IF(L376=1,IFERROR(INDEX(PARTNERS!$B$2:$B$88,MATCH(B376,PARTNERS!$A$2:$A$88,0)),""),"")</f>
        <v>https://calendly.com/partner041/interview</v>
      </c>
      <c r="AE376" s="28">
        <f ca="1">IF(X376=1,IFERROR(INDEX(SETTINGS!$B$34:$D$36,MATCH(I376,SETTINGS!$A$34:$A$36,0),MIN(Q376,2)+1),SETTINGS!$B$36),0)</f>
        <v>0</v>
      </c>
      <c r="AF376" s="28">
        <f t="shared" si="59"/>
        <v>1</v>
      </c>
      <c r="AG376" s="28">
        <f ca="1">IF(AND(Y376=1,AB376=1),ROUND(AA376*AE376*IF(AF376&gt;1,SETTINGS!$B$16,1)*IF(W376&lt;=SETTINGS!$B$14,SETTINGS!$B$15,1)*IF(AU376=1,SETTINGS!$B$21,1),6),0)</f>
        <v>0</v>
      </c>
      <c r="AH376" s="28" t="str">
        <f ca="1">IF(AG376&gt;0,COUNTIFS($Z$2:$Z$601,Z376,$AG$2:$AG$601,"&gt;"&amp;AG376)+COUNTIFS($Z$2:Z376,Z376,$AG$2:AG376,AG376),"")</f>
        <v/>
      </c>
      <c r="AI376" s="28" t="str">
        <f t="shared" ca="1" si="60"/>
        <v/>
      </c>
      <c r="AJ376" s="28" t="str">
        <f t="shared" ca="1" si="61"/>
        <v/>
      </c>
      <c r="AK376" s="28">
        <f>IF(L376=1,IF(COUNTIFS($F$2:F376,F376,$L$2:L376,1)=1,1,0),0)</f>
        <v>0</v>
      </c>
      <c r="AL376" s="28" t="str">
        <f>IF(B376="","",IF(K376="DUPLICATE","Duplicate (removed)",IF(AO376=1,"Scheduled within 24h",IF(M376=1,"Scheduled late",IF(K376="BAD CONTACT","Bad contact details",IF(O376=1,"Stopped / wrong number",IF(N376=1,"Not interested",IF(P376=1,"Partner has no slots",IF(SETTINGS!$B$4&gt;=V376,IF(Q376=0,"Missed deadline: never tried","Missed deadline: tried, not booked"),IF(Q376&gt;=SETTINGS!$B$6,"No reply after max tries","Open"))))))))))</f>
        <v>Bad contact details</v>
      </c>
      <c r="AM376" s="46" t="str">
        <f>IF(M376=1,IF(_xlfn.MINIFS(LOG!$G$2:$G$2001,LOG!$C$2:$C$2001,F376,LOG!$E$2:$E$2001,B376,LOG!$D$2:$D$2001,"*BOOKED")=0,_xlfn.MINIFS(LOG!$G$2:$G$2001,LOG!$C$2:$C$2001,F376,LOG!$E$2:$E$2001,"",LOG!$D$2:$D$2001,"*BOOKED"),IF(_xlfn.MINIFS(LOG!$G$2:$G$2001,LOG!$C$2:$C$2001,F376,LOG!$E$2:$E$2001,"",LOG!$D$2:$D$2001,"*BOOKED")=0,_xlfn.MINIFS(LOG!$G$2:$G$2001,LOG!$C$2:$C$2001,F376,LOG!$E$2:$E$2001,B376,LOG!$D$2:$D$2001,"*BOOKED"),MIN(_xlfn.MINIFS(LOG!$G$2:$G$2001,LOG!$C$2:$C$2001,F376,LOG!$E$2:$E$2001,B376,LOG!$D$2:$D$2001,"*BOOKED"),_xlfn.MINIFS(LOG!$G$2:$G$2001,LOG!$C$2:$C$2001,F376,LOG!$E$2:$E$2001,"",LOG!$D$2:$D$2001,"*BOOKED")))),"")</f>
        <v/>
      </c>
      <c r="AN376" s="28" t="str">
        <f t="shared" si="62"/>
        <v/>
      </c>
      <c r="AO376" s="28">
        <f>IF(AND(M376=1,AN376&lt;&gt;""),IF(AN376&lt;=SETTINGS!$B$5,1,0),0)</f>
        <v>0</v>
      </c>
      <c r="AP376" s="28">
        <f>IF(M376=1,IF(COUNTIFS(LOG!$C$2:$C$2001,F376,LOG!$E$2:$E$2001,B376,LOG!$D$2:$D$2001,"BOOKED")+COUNTIFS(LOG!$C$2:$C$2001,F376,LOG!$E$2:$E$2001,"",LOG!$D$2:$D$2001,"BOOKED")&gt;0,1,0),0)</f>
        <v>0</v>
      </c>
      <c r="AQ376" s="28" t="str">
        <f t="shared" si="63"/>
        <v>Rohan</v>
      </c>
      <c r="AR376" s="28" t="str">
        <f>IF(AND(AK376=1,K376="OK"),COUNTIFS($AK$2:AK376,1,$K$2:K376,"OK"),"")</f>
        <v/>
      </c>
      <c r="AS376" s="28" t="str">
        <f>IF(L376=1,IFERROR(INDEX(MESSAGES!$J$9:$J$1008,MATCH(F376,MESSAGES!$M$9:$M$1008,0))&amp;"",""),"")</f>
        <v/>
      </c>
      <c r="AT376" s="28" t="str">
        <f>IF(L376=1,IFERROR(INDEX(MESSAGES!$K$9:$K$1008,MATCH(F376,MESSAGES!$M$9:$M$1008,0))&amp;"",""),"")</f>
        <v/>
      </c>
      <c r="AU376" s="28">
        <f t="shared" ca="1" si="64"/>
        <v>0</v>
      </c>
      <c r="AV376" s="28" t="str">
        <f t="shared" si="65"/>
        <v>HOLD</v>
      </c>
    </row>
    <row r="377" spans="1:48" x14ac:dyDescent="0.35">
      <c r="A377" s="28">
        <v>376</v>
      </c>
      <c r="B377" s="28" t="str">
        <f>IF(INPUT!A377="","",TRIM(INPUT!A377))</f>
        <v>Partner 031</v>
      </c>
      <c r="C377" s="28" t="str">
        <f>IF(B377="","",INPUT!C377)</f>
        <v>interviewer0@partner031.example.com</v>
      </c>
      <c r="D377" s="28" t="str">
        <f>IF(B377="","",INPUT!D377)</f>
        <v>Ishaan G.</v>
      </c>
      <c r="E377" s="28" t="str">
        <f>IF(B377="","",INPUT!E377)</f>
        <v>ishaan.g194@example.com</v>
      </c>
      <c r="F377" s="43" t="str">
        <f>IF(B377="","",TRIM(INPUT!F377&amp;""))</f>
        <v>9000002529</v>
      </c>
      <c r="G377" s="28" t="str">
        <f>IF(B377="","",INPUT!H377)</f>
        <v>Round1</v>
      </c>
      <c r="H377" s="46">
        <f>IF(B377="","",INPUT!I377)</f>
        <v>46308.82708333333</v>
      </c>
      <c r="I377" s="28" t="str">
        <f>IF(B377="","",IF(INPUT!J377="","None",INPUT!J377))</f>
        <v>Clicked</v>
      </c>
      <c r="J377" s="28" t="str">
        <f t="shared" si="55"/>
        <v>ishaan.g194@example.com|partner 031|Round1|interviewer0@partner031.example.com</v>
      </c>
      <c r="K377" s="28" t="str">
        <f>IF(B377="","",IF(SUMPRODUCT(($J$2:$J$601=J377)*($H$2:$H$601&lt;H377))+SUMPRODUCT(($J$2:J377=J377)*($H$2:H377=H377))-1&gt;0,"DUPLICATE",IF(AND(ISNUMBER(SEARCH("@",E377)),ISNUMBER(SEARCH(".",E377)),LEN(F377)=10,ISNUMBER(VALUE(F377))),"OK","BAD CONTACT")))</f>
        <v>OK</v>
      </c>
      <c r="L377" s="28">
        <f t="shared" si="56"/>
        <v>1</v>
      </c>
      <c r="M377" s="28">
        <f>IF(L377=1,IF(COUNTIFS(LOG!$C$2:$C$2001,F377,LOG!$E$2:$E$2001,B377,LOG!$D$2:$D$2001,"*BOOKED")+COUNTIFS(LOG!$C$2:$C$2001,F377,LOG!$E$2:$E$2001,"",LOG!$D$2:$D$2001,"*BOOKED")&gt;0,1,0),0)</f>
        <v>1</v>
      </c>
      <c r="N377" s="28">
        <f>IF(L377=1,IF(COUNTIFS(LOG!$C$2:$C$2001,F377,LOG!$E$2:$E$2001,B377,LOG!$D$2:$D$2001,"NOT_INTERESTED")+COUNTIFS(LOG!$C$2:$C$2001,F377,LOG!$E$2:$E$2001,"",LOG!$D$2:$D$2001,"NOT_INTERESTED")&gt;0,1,0),0)</f>
        <v>0</v>
      </c>
      <c r="O377" s="28">
        <f>IF(L377=1,IF(COUNTIFS(LOG!$C$2:$C$2001,F377,LOG!$D$2:$D$2001,"STOP")+COUNTIFS(LOG!$C$2:$C$2001,F377,LOG!$D$2:$D$2001,"WRONG_NUMBER")&gt;0,1,IF(ISNUMBER(SEARCH("STOP",AT377)),1,0)),0)</f>
        <v>0</v>
      </c>
      <c r="P377" s="28">
        <f>IF(L377=1,IF(IFERROR(INDEX(PARTNERS!$D$2:$D$88,MATCH(B377,PARTNERS!$A$2:$A$88,0)),"")="NO SLOTS",1,IF(AND(IFERROR(INDEX(PARTNERS!$D$2:$D$88,MATCH(B377,PARTNERS!$A$2:$A$88,0)),"")&lt;&gt;"REOPENED",COUNTIFS(LOG!$E$2:$E$2001,B377,LOG!$D$2:$D$2001,"NO_SLOTS")&gt;0),1,0)),0)</f>
        <v>0</v>
      </c>
      <c r="Q377" s="28">
        <f>IF(L377=1,COUNTIFS(LOG!$C$2:$C$2001,F377,LOG!$H$2:$H$2001,1),0)</f>
        <v>1</v>
      </c>
      <c r="R377" s="46">
        <f>IF(Q377&gt;0,_xlfn.MAXIFS(LOG!$G$2:$G$2001,LOG!$C$2:$C$2001,F377,LOG!$H$2:$H$2001,1),0)</f>
        <v>46309.676418654424</v>
      </c>
      <c r="S377" s="28" t="str">
        <f>IF(Q377&gt;0,IFERROR(INDEX(LOG!$D$2:$D$2001,MATCH(F377&amp;"|"&amp;Q377,LOG!$I$2:$I$2001,0)),""),"")</f>
        <v>BOOKED</v>
      </c>
      <c r="T377" s="28">
        <f>IF(S377="",0,IFERROR(VLOOKUP(S377,LISTS!$A$2:$E$10,4,FALSE),0))</f>
        <v>0</v>
      </c>
      <c r="U377" s="46">
        <f t="shared" si="57"/>
        <v>46309.676418654424</v>
      </c>
      <c r="V377" s="46">
        <f>IF(L377=1,H377+SETTINGS!$B$5/24,"")</f>
        <v>46309.82708333333</v>
      </c>
      <c r="W377" s="28">
        <f ca="1">IF(L377=1,(V377-SETTINGS!$B$4)*24,"")</f>
        <v>-1.6666666720993817E-2</v>
      </c>
      <c r="X377" s="28">
        <f ca="1">IF(AND(L377=1,K377="OK",M377=0,N377=0,O377=0,P377=0,SETTINGS!$B$4&lt;V377,Q377&lt;SETTINGS!$B$6),1,0)</f>
        <v>0</v>
      </c>
      <c r="Y377" s="28">
        <f ca="1">IF(AND(X377=1,SETTINGS!$B$4&gt;=H377,SETTINGS!$B$4&gt;=U377,ROUND(MOD(SETTINGS!$B$4,1)*1440,0)&gt;=ROUND(SETTINGS!$B$7*1440,0),ROUND(MOD(SETTINGS!$B$4,1)*1440,0)&lt;ROUND(SETTINGS!$B$8*1440,0)),1,0)</f>
        <v>0</v>
      </c>
      <c r="Z377" s="28" t="str">
        <f ca="1">IF(B377="","",IF(ROUND(MOD(SETTINGS!$B$4,1)*1440,0)&lt;ROUND(SETTINGS!$B$11*1440,0),"Ram",IF(ROUND(MOD(SETTINGS!$B$4,1)*1440,0)&gt;=ROUND(SETTINGS!$B$10*1440,0),"Shyam",IF(MOD(IFERROR(VALUE(RIGHT(F377,2)),0),2)=0,"Ram","Shyam"))))</f>
        <v>Shyam</v>
      </c>
      <c r="AA377" s="28">
        <f t="shared" ca="1" si="58"/>
        <v>0</v>
      </c>
      <c r="AB377" s="28">
        <f ca="1">IF(X377=1,COUNTIFS($F$2:F377,F377,$X$2:X377,1),0)</f>
        <v>0</v>
      </c>
      <c r="AC377" s="28" t="str">
        <f>IF(L377=1,IF(IFERROR(INDEX(PARTNERS!$C$2:$C$88,MATCH(B377,PARTNERS!$A$2:$A$88,0)),"")="YES","YES","NO"),"")</f>
        <v>YES</v>
      </c>
      <c r="AD377" s="28" t="str">
        <f>IF(L377=1,IFERROR(INDEX(PARTNERS!$B$2:$B$88,MATCH(B377,PARTNERS!$A$2:$A$88,0)),""),"")</f>
        <v>https://calendly.com/partner031/interview</v>
      </c>
      <c r="AE377" s="28">
        <f ca="1">IF(X377=1,IFERROR(INDEX(SETTINGS!$B$34:$D$36,MATCH(I377,SETTINGS!$A$34:$A$36,0),MIN(Q377,2)+1),SETTINGS!$B$36),0)</f>
        <v>0</v>
      </c>
      <c r="AF377" s="28">
        <f t="shared" si="59"/>
        <v>1</v>
      </c>
      <c r="AG377" s="28">
        <f ca="1">IF(AND(Y377=1,AB377=1),ROUND(AA377*AE377*IF(AF377&gt;1,SETTINGS!$B$16,1)*IF(W377&lt;=SETTINGS!$B$14,SETTINGS!$B$15,1)*IF(AU377=1,SETTINGS!$B$21,1),6),0)</f>
        <v>0</v>
      </c>
      <c r="AH377" s="28" t="str">
        <f ca="1">IF(AG377&gt;0,COUNTIFS($Z$2:$Z$601,Z377,$AG$2:$AG$601,"&gt;"&amp;AG377)+COUNTIFS($Z$2:Z377,Z377,$AG$2:AG377,AG377),"")</f>
        <v/>
      </c>
      <c r="AI377" s="28" t="str">
        <f t="shared" ca="1" si="60"/>
        <v/>
      </c>
      <c r="AJ377" s="28" t="str">
        <f t="shared" ca="1" si="61"/>
        <v/>
      </c>
      <c r="AK377" s="28">
        <f>IF(L377=1,IF(COUNTIFS($F$2:F377,F377,$L$2:L377,1)=1,1,0),0)</f>
        <v>1</v>
      </c>
      <c r="AL377" s="28" t="str">
        <f>IF(B377="","",IF(K377="DUPLICATE","Duplicate (removed)",IF(AO377=1,"Scheduled within 24h",IF(M377=1,"Scheduled late",IF(K377="BAD CONTACT","Bad contact details",IF(O377=1,"Stopped / wrong number",IF(N377=1,"Not interested",IF(P377=1,"Partner has no slots",IF(SETTINGS!$B$4&gt;=V377,IF(Q377=0,"Missed deadline: never tried","Missed deadline: tried, not booked"),IF(Q377&gt;=SETTINGS!$B$6,"No reply after max tries","Open"))))))))))</f>
        <v>Scheduled within 24h</v>
      </c>
      <c r="AM377" s="46">
        <f>IF(M377=1,IF(_xlfn.MINIFS(LOG!$G$2:$G$2001,LOG!$C$2:$C$2001,F377,LOG!$E$2:$E$2001,B377,LOG!$D$2:$D$2001,"*BOOKED")=0,_xlfn.MINIFS(LOG!$G$2:$G$2001,LOG!$C$2:$C$2001,F377,LOG!$E$2:$E$2001,"",LOG!$D$2:$D$2001,"*BOOKED"),IF(_xlfn.MINIFS(LOG!$G$2:$G$2001,LOG!$C$2:$C$2001,F377,LOG!$E$2:$E$2001,"",LOG!$D$2:$D$2001,"*BOOKED")=0,_xlfn.MINIFS(LOG!$G$2:$G$2001,LOG!$C$2:$C$2001,F377,LOG!$E$2:$E$2001,B377,LOG!$D$2:$D$2001,"*BOOKED"),MIN(_xlfn.MINIFS(LOG!$G$2:$G$2001,LOG!$C$2:$C$2001,F377,LOG!$E$2:$E$2001,B377,LOG!$D$2:$D$2001,"*BOOKED"),_xlfn.MINIFS(LOG!$G$2:$G$2001,LOG!$C$2:$C$2001,F377,LOG!$E$2:$E$2001,"",LOG!$D$2:$D$2001,"*BOOKED")))),"")</f>
        <v>46309.676418654424</v>
      </c>
      <c r="AN377" s="28">
        <f t="shared" si="62"/>
        <v>20.384047706262209</v>
      </c>
      <c r="AO377" s="28">
        <f>IF(AND(M377=1,AN377&lt;&gt;""),IF(AN377&lt;=SETTINGS!$B$5,1,0),0)</f>
        <v>1</v>
      </c>
      <c r="AP377" s="28">
        <f>IF(M377=1,IF(COUNTIFS(LOG!$C$2:$C$2001,F377,LOG!$E$2:$E$2001,B377,LOG!$D$2:$D$2001,"BOOKED")+COUNTIFS(LOG!$C$2:$C$2001,F377,LOG!$E$2:$E$2001,"",LOG!$D$2:$D$2001,"BOOKED")&gt;0,1,0),0)</f>
        <v>1</v>
      </c>
      <c r="AQ377" s="28" t="str">
        <f t="shared" si="63"/>
        <v>Ishaan</v>
      </c>
      <c r="AR377" s="28">
        <f>IF(AND(AK377=1,K377="OK"),COUNTIFS($AK$2:AK377,1,$K$2:K377,"OK"),"")</f>
        <v>316</v>
      </c>
      <c r="AS377" s="28" t="str">
        <f>IF(L377=1,IFERROR(INDEX(MESSAGES!$J$9:$J$1008,MATCH(F377,MESSAGES!$M$9:$M$1008,0))&amp;"",""),"")</f>
        <v/>
      </c>
      <c r="AT377" s="28" t="str">
        <f>IF(L377=1,IFERROR(INDEX(MESSAGES!$K$9:$K$1008,MATCH(F377,MESSAGES!$M$9:$M$1008,0))&amp;"",""),"")</f>
        <v/>
      </c>
      <c r="AU377" s="28">
        <f t="shared" ca="1" si="64"/>
        <v>0</v>
      </c>
      <c r="AV377" s="28" t="str">
        <f t="shared" si="65"/>
        <v>SEND</v>
      </c>
    </row>
    <row r="378" spans="1:48" x14ac:dyDescent="0.35">
      <c r="A378" s="28">
        <v>377</v>
      </c>
      <c r="B378" s="28" t="str">
        <f>IF(INPUT!A378="","",TRIM(INPUT!A378))</f>
        <v>Partner 063</v>
      </c>
      <c r="C378" s="28" t="str">
        <f>IF(B378="","",INPUT!C378)</f>
        <v>interviewer0@partner063.example.com</v>
      </c>
      <c r="D378" s="28" t="str">
        <f>IF(B378="","",INPUT!D378)</f>
        <v>Reyansh A.</v>
      </c>
      <c r="E378" s="28" t="str">
        <f>IF(B378="","",INPUT!E378)</f>
        <v>reyansh.a006@example.com</v>
      </c>
      <c r="F378" s="43" t="str">
        <f>IF(B378="","",TRIM(INPUT!F378&amp;""))</f>
        <v>9000000085</v>
      </c>
      <c r="G378" s="28" t="str">
        <f>IF(B378="","",INPUT!H378)</f>
        <v>Round1</v>
      </c>
      <c r="H378" s="46">
        <f>IF(B378="","",INPUT!I378)</f>
        <v>46308.82708333333</v>
      </c>
      <c r="I378" s="28" t="str">
        <f>IF(B378="","",IF(INPUT!J378="","None",INPUT!J378))</f>
        <v>None</v>
      </c>
      <c r="J378" s="28" t="str">
        <f t="shared" si="55"/>
        <v>reyansh.a006@example.com|partner 063|Round1|interviewer0@partner063.example.com</v>
      </c>
      <c r="K378" s="28" t="str">
        <f>IF(B378="","",IF(SUMPRODUCT(($J$2:$J$601=J378)*($H$2:$H$601&lt;H378))+SUMPRODUCT(($J$2:J378=J378)*($H$2:H378=H378))-1&gt;0,"DUPLICATE",IF(AND(ISNUMBER(SEARCH("@",E378)),ISNUMBER(SEARCH(".",E378)),LEN(F378)=10,ISNUMBER(VALUE(F378))),"OK","BAD CONTACT")))</f>
        <v>OK</v>
      </c>
      <c r="L378" s="28">
        <f t="shared" si="56"/>
        <v>1</v>
      </c>
      <c r="M378" s="28">
        <f>IF(L378=1,IF(COUNTIFS(LOG!$C$2:$C$2001,F378,LOG!$E$2:$E$2001,B378,LOG!$D$2:$D$2001,"*BOOKED")+COUNTIFS(LOG!$C$2:$C$2001,F378,LOG!$E$2:$E$2001,"",LOG!$D$2:$D$2001,"*BOOKED")&gt;0,1,0),0)</f>
        <v>0</v>
      </c>
      <c r="N378" s="28">
        <f>IF(L378=1,IF(COUNTIFS(LOG!$C$2:$C$2001,F378,LOG!$E$2:$E$2001,B378,LOG!$D$2:$D$2001,"NOT_INTERESTED")+COUNTIFS(LOG!$C$2:$C$2001,F378,LOG!$E$2:$E$2001,"",LOG!$D$2:$D$2001,"NOT_INTERESTED")&gt;0,1,0),0)</f>
        <v>0</v>
      </c>
      <c r="O378" s="28">
        <f>IF(L378=1,IF(COUNTIFS(LOG!$C$2:$C$2001,F378,LOG!$D$2:$D$2001,"STOP")+COUNTIFS(LOG!$C$2:$C$2001,F378,LOG!$D$2:$D$2001,"WRONG_NUMBER")&gt;0,1,IF(ISNUMBER(SEARCH("STOP",AT378)),1,0)),0)</f>
        <v>0</v>
      </c>
      <c r="P378" s="28">
        <f>IF(L378=1,IF(IFERROR(INDEX(PARTNERS!$D$2:$D$88,MATCH(B378,PARTNERS!$A$2:$A$88,0)),"")="NO SLOTS",1,IF(AND(IFERROR(INDEX(PARTNERS!$D$2:$D$88,MATCH(B378,PARTNERS!$A$2:$A$88,0)),"")&lt;&gt;"REOPENED",COUNTIFS(LOG!$E$2:$E$2001,B378,LOG!$D$2:$D$2001,"NO_SLOTS")&gt;0),1,0)),0)</f>
        <v>0</v>
      </c>
      <c r="Q378" s="28">
        <f>IF(L378=1,COUNTIFS(LOG!$C$2:$C$2001,F378,LOG!$H$2:$H$2001,1),0)</f>
        <v>0</v>
      </c>
      <c r="R378" s="46">
        <f>IF(Q378&gt;0,_xlfn.MAXIFS(LOG!$G$2:$G$2001,LOG!$C$2:$C$2001,F378,LOG!$H$2:$H$2001,1),0)</f>
        <v>0</v>
      </c>
      <c r="S378" s="28" t="str">
        <f>IF(Q378&gt;0,IFERROR(INDEX(LOG!$D$2:$D$2001,MATCH(F378&amp;"|"&amp;Q378,LOG!$I$2:$I$2001,0)),""),"")</f>
        <v/>
      </c>
      <c r="T378" s="28">
        <f>IF(S378="",0,IFERROR(VLOOKUP(S378,LISTS!$A$2:$E$10,4,FALSE),0))</f>
        <v>0</v>
      </c>
      <c r="U378" s="46">
        <f t="shared" si="57"/>
        <v>0</v>
      </c>
      <c r="V378" s="46">
        <f>IF(L378=1,H378+SETTINGS!$B$5/24,"")</f>
        <v>46309.82708333333</v>
      </c>
      <c r="W378" s="28">
        <f ca="1">IF(L378=1,(V378-SETTINGS!$B$4)*24,"")</f>
        <v>-1.6666666720993817E-2</v>
      </c>
      <c r="X378" s="28">
        <f ca="1">IF(AND(L378=1,K378="OK",M378=0,N378=0,O378=0,P378=0,SETTINGS!$B$4&lt;V378,Q378&lt;SETTINGS!$B$6),1,0)</f>
        <v>0</v>
      </c>
      <c r="Y378" s="28">
        <f ca="1">IF(AND(X378=1,SETTINGS!$B$4&gt;=H378,SETTINGS!$B$4&gt;=U378,ROUND(MOD(SETTINGS!$B$4,1)*1440,0)&gt;=ROUND(SETTINGS!$B$7*1440,0),ROUND(MOD(SETTINGS!$B$4,1)*1440,0)&lt;ROUND(SETTINGS!$B$8*1440,0)),1,0)</f>
        <v>0</v>
      </c>
      <c r="Z378" s="28" t="str">
        <f ca="1">IF(B378="","",IF(ROUND(MOD(SETTINGS!$B$4,1)*1440,0)&lt;ROUND(SETTINGS!$B$11*1440,0),"Ram",IF(ROUND(MOD(SETTINGS!$B$4,1)*1440,0)&gt;=ROUND(SETTINGS!$B$10*1440,0),"Shyam",IF(MOD(IFERROR(VALUE(RIGHT(F378,2)),0),2)=0,"Ram","Shyam"))))</f>
        <v>Shyam</v>
      </c>
      <c r="AA378" s="28">
        <f t="shared" ca="1" si="58"/>
        <v>0</v>
      </c>
      <c r="AB378" s="28">
        <f ca="1">IF(X378=1,COUNTIFS($F$2:F378,F378,$X$2:X378,1),0)</f>
        <v>0</v>
      </c>
      <c r="AC378" s="28" t="str">
        <f>IF(L378=1,IF(IFERROR(INDEX(PARTNERS!$C$2:$C$88,MATCH(B378,PARTNERS!$A$2:$A$88,0)),"")="YES","YES","NO"),"")</f>
        <v>NO</v>
      </c>
      <c r="AD378" s="28" t="str">
        <f>IF(L378=1,IFERROR(INDEX(PARTNERS!$B$2:$B$88,MATCH(B378,PARTNERS!$A$2:$A$88,0)),""),"")</f>
        <v>https://calendly.com/partner063/interview</v>
      </c>
      <c r="AE378" s="28">
        <f ca="1">IF(X378=1,IFERROR(INDEX(SETTINGS!$B$34:$D$36,MATCH(I378,SETTINGS!$A$34:$A$36,0),MIN(Q378,2)+1),SETTINGS!$B$36),0)</f>
        <v>0</v>
      </c>
      <c r="AF378" s="28">
        <f t="shared" si="59"/>
        <v>1</v>
      </c>
      <c r="AG378" s="28">
        <f ca="1">IF(AND(Y378=1,AB378=1),ROUND(AA378*AE378*IF(AF378&gt;1,SETTINGS!$B$16,1)*IF(W378&lt;=SETTINGS!$B$14,SETTINGS!$B$15,1)*IF(AU378=1,SETTINGS!$B$21,1),6),0)</f>
        <v>0</v>
      </c>
      <c r="AH378" s="28" t="str">
        <f ca="1">IF(AG378&gt;0,COUNTIFS($Z$2:$Z$601,Z378,$AG$2:$AG$601,"&gt;"&amp;AG378)+COUNTIFS($Z$2:Z378,Z378,$AG$2:AG378,AG378),"")</f>
        <v/>
      </c>
      <c r="AI378" s="28" t="str">
        <f t="shared" ca="1" si="60"/>
        <v/>
      </c>
      <c r="AJ378" s="28" t="str">
        <f t="shared" ca="1" si="61"/>
        <v/>
      </c>
      <c r="AK378" s="28">
        <f>IF(L378=1,IF(COUNTIFS($F$2:F378,F378,$L$2:L378,1)=1,1,0),0)</f>
        <v>0</v>
      </c>
      <c r="AL378" s="28" t="str">
        <f ca="1">IF(B378="","",IF(K378="DUPLICATE","Duplicate (removed)",IF(AO378=1,"Scheduled within 24h",IF(M378=1,"Scheduled late",IF(K378="BAD CONTACT","Bad contact details",IF(O378=1,"Stopped / wrong number",IF(N378=1,"Not interested",IF(P378=1,"Partner has no slots",IF(SETTINGS!$B$4&gt;=V378,IF(Q378=0,"Missed deadline: never tried","Missed deadline: tried, not booked"),IF(Q378&gt;=SETTINGS!$B$6,"No reply after max tries","Open"))))))))))</f>
        <v>Missed deadline: never tried</v>
      </c>
      <c r="AM378" s="46" t="str">
        <f>IF(M378=1,IF(_xlfn.MINIFS(LOG!$G$2:$G$2001,LOG!$C$2:$C$2001,F378,LOG!$E$2:$E$2001,B378,LOG!$D$2:$D$2001,"*BOOKED")=0,_xlfn.MINIFS(LOG!$G$2:$G$2001,LOG!$C$2:$C$2001,F378,LOG!$E$2:$E$2001,"",LOG!$D$2:$D$2001,"*BOOKED"),IF(_xlfn.MINIFS(LOG!$G$2:$G$2001,LOG!$C$2:$C$2001,F378,LOG!$E$2:$E$2001,"",LOG!$D$2:$D$2001,"*BOOKED")=0,_xlfn.MINIFS(LOG!$G$2:$G$2001,LOG!$C$2:$C$2001,F378,LOG!$E$2:$E$2001,B378,LOG!$D$2:$D$2001,"*BOOKED"),MIN(_xlfn.MINIFS(LOG!$G$2:$G$2001,LOG!$C$2:$C$2001,F378,LOG!$E$2:$E$2001,B378,LOG!$D$2:$D$2001,"*BOOKED"),_xlfn.MINIFS(LOG!$G$2:$G$2001,LOG!$C$2:$C$2001,F378,LOG!$E$2:$E$2001,"",LOG!$D$2:$D$2001,"*BOOKED")))),"")</f>
        <v/>
      </c>
      <c r="AN378" s="28" t="str">
        <f t="shared" si="62"/>
        <v/>
      </c>
      <c r="AO378" s="28">
        <f>IF(AND(M378=1,AN378&lt;&gt;""),IF(AN378&lt;=SETTINGS!$B$5,1,0),0)</f>
        <v>0</v>
      </c>
      <c r="AP378" s="28">
        <f>IF(M378=1,IF(COUNTIFS(LOG!$C$2:$C$2001,F378,LOG!$E$2:$E$2001,B378,LOG!$D$2:$D$2001,"BOOKED")+COUNTIFS(LOG!$C$2:$C$2001,F378,LOG!$E$2:$E$2001,"",LOG!$D$2:$D$2001,"BOOKED")&gt;0,1,0),0)</f>
        <v>0</v>
      </c>
      <c r="AQ378" s="28" t="str">
        <f t="shared" si="63"/>
        <v>Reyansh</v>
      </c>
      <c r="AR378" s="28" t="str">
        <f>IF(AND(AK378=1,K378="OK"),COUNTIFS($AK$2:AK378,1,$K$2:K378,"OK"),"")</f>
        <v/>
      </c>
      <c r="AS378" s="28" t="str">
        <f>IF(L378=1,IFERROR(INDEX(MESSAGES!$J$9:$J$1008,MATCH(F378,MESSAGES!$M$9:$M$1008,0))&amp;"",""),"")</f>
        <v/>
      </c>
      <c r="AT378" s="28" t="str">
        <f>IF(L378=1,IFERROR(INDEX(MESSAGES!$K$9:$K$1008,MATCH(F378,MESSAGES!$M$9:$M$1008,0))&amp;"",""),"")</f>
        <v/>
      </c>
      <c r="AU378" s="28">
        <f t="shared" ca="1" si="64"/>
        <v>0</v>
      </c>
      <c r="AV378" s="28" t="str">
        <f t="shared" si="65"/>
        <v>SEND</v>
      </c>
    </row>
    <row r="379" spans="1:48" x14ac:dyDescent="0.35">
      <c r="A379" s="28">
        <v>378</v>
      </c>
      <c r="B379" s="28" t="str">
        <f>IF(INPUT!A379="","",TRIM(INPUT!A379))</f>
        <v>Partner 001</v>
      </c>
      <c r="C379" s="28" t="str">
        <f>IF(B379="","",INPUT!C379)</f>
        <v>interviewer0@partner001.example.com</v>
      </c>
      <c r="D379" s="28" t="str">
        <f>IF(B379="","",INPUT!D379)</f>
        <v>Kiara B.</v>
      </c>
      <c r="E379" s="28" t="str">
        <f>IF(B379="","",INPUT!E379)</f>
        <v>kiara.b041@example.com</v>
      </c>
      <c r="F379" s="43" t="str">
        <f>IF(B379="","",TRIM(INPUT!F379&amp;""))</f>
        <v>9000000540</v>
      </c>
      <c r="G379" s="28" t="str">
        <f>IF(B379="","",INPUT!H379)</f>
        <v>Round1</v>
      </c>
      <c r="H379" s="46">
        <f>IF(B379="","",INPUT!I379)</f>
        <v>46308.82708333333</v>
      </c>
      <c r="I379" s="28" t="str">
        <f>IF(B379="","",IF(INPUT!J379="","None",INPUT!J379))</f>
        <v>Clicked</v>
      </c>
      <c r="J379" s="28" t="str">
        <f t="shared" si="55"/>
        <v>kiara.b041@example.com|partner 001|Round1|interviewer0@partner001.example.com</v>
      </c>
      <c r="K379" s="28" t="str">
        <f>IF(B379="","",IF(SUMPRODUCT(($J$2:$J$601=J379)*($H$2:$H$601&lt;H379))+SUMPRODUCT(($J$2:J379=J379)*($H$2:H379=H379))-1&gt;0,"DUPLICATE",IF(AND(ISNUMBER(SEARCH("@",E379)),ISNUMBER(SEARCH(".",E379)),LEN(F379)=10,ISNUMBER(VALUE(F379))),"OK","BAD CONTACT")))</f>
        <v>OK</v>
      </c>
      <c r="L379" s="28">
        <f t="shared" si="56"/>
        <v>1</v>
      </c>
      <c r="M379" s="28">
        <f>IF(L379=1,IF(COUNTIFS(LOG!$C$2:$C$2001,F379,LOG!$E$2:$E$2001,B379,LOG!$D$2:$D$2001,"*BOOKED")+COUNTIFS(LOG!$C$2:$C$2001,F379,LOG!$E$2:$E$2001,"",LOG!$D$2:$D$2001,"*BOOKED")&gt;0,1,0),0)</f>
        <v>0</v>
      </c>
      <c r="N379" s="28">
        <f>IF(L379=1,IF(COUNTIFS(LOG!$C$2:$C$2001,F379,LOG!$E$2:$E$2001,B379,LOG!$D$2:$D$2001,"NOT_INTERESTED")+COUNTIFS(LOG!$C$2:$C$2001,F379,LOG!$E$2:$E$2001,"",LOG!$D$2:$D$2001,"NOT_INTERESTED")&gt;0,1,0),0)</f>
        <v>0</v>
      </c>
      <c r="O379" s="28">
        <f>IF(L379=1,IF(COUNTIFS(LOG!$C$2:$C$2001,F379,LOG!$D$2:$D$2001,"STOP")+COUNTIFS(LOG!$C$2:$C$2001,F379,LOG!$D$2:$D$2001,"WRONG_NUMBER")&gt;0,1,IF(ISNUMBER(SEARCH("STOP",AT379)),1,0)),0)</f>
        <v>0</v>
      </c>
      <c r="P379" s="28">
        <f>IF(L379=1,IF(IFERROR(INDEX(PARTNERS!$D$2:$D$88,MATCH(B379,PARTNERS!$A$2:$A$88,0)),"")="NO SLOTS",1,IF(AND(IFERROR(INDEX(PARTNERS!$D$2:$D$88,MATCH(B379,PARTNERS!$A$2:$A$88,0)),"")&lt;&gt;"REOPENED",COUNTIFS(LOG!$E$2:$E$2001,B379,LOG!$D$2:$D$2001,"NO_SLOTS")&gt;0),1,0)),0)</f>
        <v>0</v>
      </c>
      <c r="Q379" s="28">
        <f>IF(L379=1,COUNTIFS(LOG!$C$2:$C$2001,F379,LOG!$H$2:$H$2001,1),0)</f>
        <v>2</v>
      </c>
      <c r="R379" s="46">
        <f>IF(Q379&gt;0,_xlfn.MAXIFS(LOG!$G$2:$G$2001,LOG!$C$2:$C$2001,F379,LOG!$H$2:$H$2001,1),0)</f>
        <v>46309.768311396896</v>
      </c>
      <c r="S379" s="28" t="str">
        <f>IF(Q379&gt;0,IFERROR(INDEX(LOG!$D$2:$D$2001,MATCH(F379&amp;"|"&amp;Q379,LOG!$I$2:$I$2001,0)),""),"")</f>
        <v>NO_ANSWER</v>
      </c>
      <c r="T379" s="28">
        <f>IF(S379="",0,IFERROR(VLOOKUP(S379,LISTS!$A$2:$E$10,4,FALSE),0))</f>
        <v>120</v>
      </c>
      <c r="U379" s="46">
        <f t="shared" si="57"/>
        <v>46309.851644730232</v>
      </c>
      <c r="V379" s="46">
        <f>IF(L379=1,H379+SETTINGS!$B$5/24,"")</f>
        <v>46309.82708333333</v>
      </c>
      <c r="W379" s="28">
        <f ca="1">IF(L379=1,(V379-SETTINGS!$B$4)*24,"")</f>
        <v>-1.6666666720993817E-2</v>
      </c>
      <c r="X379" s="28">
        <f ca="1">IF(AND(L379=1,K379="OK",M379=0,N379=0,O379=0,P379=0,SETTINGS!$B$4&lt;V379,Q379&lt;SETTINGS!$B$6),1,0)</f>
        <v>0</v>
      </c>
      <c r="Y379" s="28">
        <f ca="1">IF(AND(X379=1,SETTINGS!$B$4&gt;=H379,SETTINGS!$B$4&gt;=U379,ROUND(MOD(SETTINGS!$B$4,1)*1440,0)&gt;=ROUND(SETTINGS!$B$7*1440,0),ROUND(MOD(SETTINGS!$B$4,1)*1440,0)&lt;ROUND(SETTINGS!$B$8*1440,0)),1,0)</f>
        <v>0</v>
      </c>
      <c r="Z379" s="28" t="str">
        <f ca="1">IF(B379="","",IF(ROUND(MOD(SETTINGS!$B$4,1)*1440,0)&lt;ROUND(SETTINGS!$B$11*1440,0),"Ram",IF(ROUND(MOD(SETTINGS!$B$4,1)*1440,0)&gt;=ROUND(SETTINGS!$B$10*1440,0),"Shyam",IF(MOD(IFERROR(VALUE(RIGHT(F379,2)),0),2)=0,"Ram","Shyam"))))</f>
        <v>Shyam</v>
      </c>
      <c r="AA379" s="28">
        <f t="shared" ca="1" si="58"/>
        <v>0</v>
      </c>
      <c r="AB379" s="28">
        <f ca="1">IF(X379=1,COUNTIFS($F$2:F379,F379,$X$2:X379,1),0)</f>
        <v>0</v>
      </c>
      <c r="AC379" s="28" t="str">
        <f>IF(L379=1,IF(IFERROR(INDEX(PARTNERS!$C$2:$C$88,MATCH(B379,PARTNERS!$A$2:$A$88,0)),"")="YES","YES","NO"),"")</f>
        <v>NO</v>
      </c>
      <c r="AD379" s="28" t="str">
        <f>IF(L379=1,IFERROR(INDEX(PARTNERS!$B$2:$B$88,MATCH(B379,PARTNERS!$A$2:$A$88,0)),""),"")</f>
        <v>https://calendly.com/partner001/interview</v>
      </c>
      <c r="AE379" s="28">
        <f ca="1">IF(X379=1,IFERROR(INDEX(SETTINGS!$B$34:$D$36,MATCH(I379,SETTINGS!$A$34:$A$36,0),MIN(Q379,2)+1),SETTINGS!$B$36),0)</f>
        <v>0</v>
      </c>
      <c r="AF379" s="28">
        <f t="shared" si="59"/>
        <v>1</v>
      </c>
      <c r="AG379" s="28">
        <f ca="1">IF(AND(Y379=1,AB379=1),ROUND(AA379*AE379*IF(AF379&gt;1,SETTINGS!$B$16,1)*IF(W379&lt;=SETTINGS!$B$14,SETTINGS!$B$15,1)*IF(AU379=1,SETTINGS!$B$21,1),6),0)</f>
        <v>0</v>
      </c>
      <c r="AH379" s="28" t="str">
        <f ca="1">IF(AG379&gt;0,COUNTIFS($Z$2:$Z$601,Z379,$AG$2:$AG$601,"&gt;"&amp;AG379)+COUNTIFS($Z$2:Z379,Z379,$AG$2:AG379,AG379),"")</f>
        <v/>
      </c>
      <c r="AI379" s="28" t="str">
        <f t="shared" ca="1" si="60"/>
        <v/>
      </c>
      <c r="AJ379" s="28" t="str">
        <f t="shared" ca="1" si="61"/>
        <v/>
      </c>
      <c r="AK379" s="28">
        <f>IF(L379=1,IF(COUNTIFS($F$2:F379,F379,$L$2:L379,1)=1,1,0),0)</f>
        <v>1</v>
      </c>
      <c r="AL379" s="28" t="str">
        <f ca="1">IF(B379="","",IF(K379="DUPLICATE","Duplicate (removed)",IF(AO379=1,"Scheduled within 24h",IF(M379=1,"Scheduled late",IF(K379="BAD CONTACT","Bad contact details",IF(O379=1,"Stopped / wrong number",IF(N379=1,"Not interested",IF(P379=1,"Partner has no slots",IF(SETTINGS!$B$4&gt;=V379,IF(Q379=0,"Missed deadline: never tried","Missed deadline: tried, not booked"),IF(Q379&gt;=SETTINGS!$B$6,"No reply after max tries","Open"))))))))))</f>
        <v>Missed deadline: tried, not booked</v>
      </c>
      <c r="AM379" s="46" t="str">
        <f>IF(M379=1,IF(_xlfn.MINIFS(LOG!$G$2:$G$2001,LOG!$C$2:$C$2001,F379,LOG!$E$2:$E$2001,B379,LOG!$D$2:$D$2001,"*BOOKED")=0,_xlfn.MINIFS(LOG!$G$2:$G$2001,LOG!$C$2:$C$2001,F379,LOG!$E$2:$E$2001,"",LOG!$D$2:$D$2001,"*BOOKED"),IF(_xlfn.MINIFS(LOG!$G$2:$G$2001,LOG!$C$2:$C$2001,F379,LOG!$E$2:$E$2001,"",LOG!$D$2:$D$2001,"*BOOKED")=0,_xlfn.MINIFS(LOG!$G$2:$G$2001,LOG!$C$2:$C$2001,F379,LOG!$E$2:$E$2001,B379,LOG!$D$2:$D$2001,"*BOOKED"),MIN(_xlfn.MINIFS(LOG!$G$2:$G$2001,LOG!$C$2:$C$2001,F379,LOG!$E$2:$E$2001,B379,LOG!$D$2:$D$2001,"*BOOKED"),_xlfn.MINIFS(LOG!$G$2:$G$2001,LOG!$C$2:$C$2001,F379,LOG!$E$2:$E$2001,"",LOG!$D$2:$D$2001,"*BOOKED")))),"")</f>
        <v/>
      </c>
      <c r="AN379" s="28" t="str">
        <f t="shared" si="62"/>
        <v/>
      </c>
      <c r="AO379" s="28">
        <f>IF(AND(M379=1,AN379&lt;&gt;""),IF(AN379&lt;=SETTINGS!$B$5,1,0),0)</f>
        <v>0</v>
      </c>
      <c r="AP379" s="28">
        <f>IF(M379=1,IF(COUNTIFS(LOG!$C$2:$C$2001,F379,LOG!$E$2:$E$2001,B379,LOG!$D$2:$D$2001,"BOOKED")+COUNTIFS(LOG!$C$2:$C$2001,F379,LOG!$E$2:$E$2001,"",LOG!$D$2:$D$2001,"BOOKED")&gt;0,1,0),0)</f>
        <v>0</v>
      </c>
      <c r="AQ379" s="28" t="str">
        <f t="shared" si="63"/>
        <v>Kiara</v>
      </c>
      <c r="AR379" s="28">
        <f>IF(AND(AK379=1,K379="OK"),COUNTIFS($AK$2:AK379,1,$K$2:K379,"OK"),"")</f>
        <v>317</v>
      </c>
      <c r="AS379" s="28" t="str">
        <f>IF(L379=1,IFERROR(INDEX(MESSAGES!$J$9:$J$1008,MATCH(F379,MESSAGES!$M$9:$M$1008,0))&amp;"",""),"")</f>
        <v/>
      </c>
      <c r="AT379" s="28" t="str">
        <f>IF(L379=1,IFERROR(INDEX(MESSAGES!$K$9:$K$1008,MATCH(F379,MESSAGES!$M$9:$M$1008,0))&amp;"",""),"")</f>
        <v/>
      </c>
      <c r="AU379" s="28">
        <f t="shared" ca="1" si="64"/>
        <v>0</v>
      </c>
      <c r="AV379" s="28" t="str">
        <f t="shared" si="65"/>
        <v>SEND</v>
      </c>
    </row>
    <row r="380" spans="1:48" x14ac:dyDescent="0.35">
      <c r="A380" s="28">
        <v>379</v>
      </c>
      <c r="B380" s="28" t="str">
        <f>IF(INPUT!A380="","",TRIM(INPUT!A380))</f>
        <v>Partner 000</v>
      </c>
      <c r="C380" s="28" t="str">
        <f>IF(B380="","",INPUT!C380)</f>
        <v>interviewer2@partner000.example.com</v>
      </c>
      <c r="D380" s="28" t="str">
        <f>IF(B380="","",INPUT!D380)</f>
        <v>Rahul H.</v>
      </c>
      <c r="E380" s="28" t="str">
        <f>IF(B380="","",INPUT!E380)</f>
        <v>rahul.h236@example.com</v>
      </c>
      <c r="F380" s="43" t="str">
        <f>IF(B380="","",TRIM(INPUT!F380&amp;""))</f>
        <v>9000003075</v>
      </c>
      <c r="G380" s="28" t="str">
        <f>IF(B380="","",INPUT!H380)</f>
        <v>Round1</v>
      </c>
      <c r="H380" s="46">
        <f>IF(B380="","",INPUT!I380)</f>
        <v>46308.82708333333</v>
      </c>
      <c r="I380" s="28" t="str">
        <f>IF(B380="","",IF(INPUT!J380="","None",INPUT!J380))</f>
        <v>Opened</v>
      </c>
      <c r="J380" s="28" t="str">
        <f t="shared" si="55"/>
        <v>rahul.h236@example.com|partner 000|Round1|interviewer2@partner000.example.com</v>
      </c>
      <c r="K380" s="28" t="str">
        <f>IF(B380="","",IF(SUMPRODUCT(($J$2:$J$601=J380)*($H$2:$H$601&lt;H380))+SUMPRODUCT(($J$2:J380=J380)*($H$2:H380=H380))-1&gt;0,"DUPLICATE",IF(AND(ISNUMBER(SEARCH("@",E380)),ISNUMBER(SEARCH(".",E380)),LEN(F380)=10,ISNUMBER(VALUE(F380))),"OK","BAD CONTACT")))</f>
        <v>OK</v>
      </c>
      <c r="L380" s="28">
        <f t="shared" si="56"/>
        <v>1</v>
      </c>
      <c r="M380" s="28">
        <f>IF(L380=1,IF(COUNTIFS(LOG!$C$2:$C$2001,F380,LOG!$E$2:$E$2001,B380,LOG!$D$2:$D$2001,"*BOOKED")+COUNTIFS(LOG!$C$2:$C$2001,F380,LOG!$E$2:$E$2001,"",LOG!$D$2:$D$2001,"*BOOKED")&gt;0,1,0),0)</f>
        <v>0</v>
      </c>
      <c r="N380" s="28">
        <f>IF(L380=1,IF(COUNTIFS(LOG!$C$2:$C$2001,F380,LOG!$E$2:$E$2001,B380,LOG!$D$2:$D$2001,"NOT_INTERESTED")+COUNTIFS(LOG!$C$2:$C$2001,F380,LOG!$E$2:$E$2001,"",LOG!$D$2:$D$2001,"NOT_INTERESTED")&gt;0,1,0),0)</f>
        <v>0</v>
      </c>
      <c r="O380" s="28">
        <f>IF(L380=1,IF(COUNTIFS(LOG!$C$2:$C$2001,F380,LOG!$D$2:$D$2001,"STOP")+COUNTIFS(LOG!$C$2:$C$2001,F380,LOG!$D$2:$D$2001,"WRONG_NUMBER")&gt;0,1,IF(ISNUMBER(SEARCH("STOP",AT380)),1,0)),0)</f>
        <v>0</v>
      </c>
      <c r="P380" s="28">
        <f>IF(L380=1,IF(IFERROR(INDEX(PARTNERS!$D$2:$D$88,MATCH(B380,PARTNERS!$A$2:$A$88,0)),"")="NO SLOTS",1,IF(AND(IFERROR(INDEX(PARTNERS!$D$2:$D$88,MATCH(B380,PARTNERS!$A$2:$A$88,0)),"")&lt;&gt;"REOPENED",COUNTIFS(LOG!$E$2:$E$2001,B380,LOG!$D$2:$D$2001,"NO_SLOTS")&gt;0),1,0)),0)</f>
        <v>0</v>
      </c>
      <c r="Q380" s="28">
        <f>IF(L380=1,COUNTIFS(LOG!$C$2:$C$2001,F380,LOG!$H$2:$H$2001,1),0)</f>
        <v>0</v>
      </c>
      <c r="R380" s="46">
        <f>IF(Q380&gt;0,_xlfn.MAXIFS(LOG!$G$2:$G$2001,LOG!$C$2:$C$2001,F380,LOG!$H$2:$H$2001,1),0)</f>
        <v>0</v>
      </c>
      <c r="S380" s="28" t="str">
        <f>IF(Q380&gt;0,IFERROR(INDEX(LOG!$D$2:$D$2001,MATCH(F380&amp;"|"&amp;Q380,LOG!$I$2:$I$2001,0)),""),"")</f>
        <v/>
      </c>
      <c r="T380" s="28">
        <f>IF(S380="",0,IFERROR(VLOOKUP(S380,LISTS!$A$2:$E$10,4,FALSE),0))</f>
        <v>0</v>
      </c>
      <c r="U380" s="46">
        <f t="shared" si="57"/>
        <v>0</v>
      </c>
      <c r="V380" s="46">
        <f>IF(L380=1,H380+SETTINGS!$B$5/24,"")</f>
        <v>46309.82708333333</v>
      </c>
      <c r="W380" s="28">
        <f ca="1">IF(L380=1,(V380-SETTINGS!$B$4)*24,"")</f>
        <v>-1.6666666720993817E-2</v>
      </c>
      <c r="X380" s="28">
        <f ca="1">IF(AND(L380=1,K380="OK",M380=0,N380=0,O380=0,P380=0,SETTINGS!$B$4&lt;V380,Q380&lt;SETTINGS!$B$6),1,0)</f>
        <v>0</v>
      </c>
      <c r="Y380" s="28">
        <f ca="1">IF(AND(X380=1,SETTINGS!$B$4&gt;=H380,SETTINGS!$B$4&gt;=U380,ROUND(MOD(SETTINGS!$B$4,1)*1440,0)&gt;=ROUND(SETTINGS!$B$7*1440,0),ROUND(MOD(SETTINGS!$B$4,1)*1440,0)&lt;ROUND(SETTINGS!$B$8*1440,0)),1,0)</f>
        <v>0</v>
      </c>
      <c r="Z380" s="28" t="str">
        <f ca="1">IF(B380="","",IF(ROUND(MOD(SETTINGS!$B$4,1)*1440,0)&lt;ROUND(SETTINGS!$B$11*1440,0),"Ram",IF(ROUND(MOD(SETTINGS!$B$4,1)*1440,0)&gt;=ROUND(SETTINGS!$B$10*1440,0),"Shyam",IF(MOD(IFERROR(VALUE(RIGHT(F380,2)),0),2)=0,"Ram","Shyam"))))</f>
        <v>Shyam</v>
      </c>
      <c r="AA380" s="28">
        <f t="shared" ca="1" si="58"/>
        <v>0</v>
      </c>
      <c r="AB380" s="28">
        <f ca="1">IF(X380=1,COUNTIFS($F$2:F380,F380,$X$2:X380,1),0)</f>
        <v>0</v>
      </c>
      <c r="AC380" s="28" t="str">
        <f>IF(L380=1,IF(IFERROR(INDEX(PARTNERS!$C$2:$C$88,MATCH(B380,PARTNERS!$A$2:$A$88,0)),"")="YES","YES","NO"),"")</f>
        <v>NO</v>
      </c>
      <c r="AD380" s="28" t="str">
        <f>IF(L380=1,IFERROR(INDEX(PARTNERS!$B$2:$B$88,MATCH(B380,PARTNERS!$A$2:$A$88,0)),""),"")</f>
        <v>https://calendly.com/partner000/interview</v>
      </c>
      <c r="AE380" s="28">
        <f ca="1">IF(X380=1,IFERROR(INDEX(SETTINGS!$B$34:$D$36,MATCH(I380,SETTINGS!$A$34:$A$36,0),MIN(Q380,2)+1),SETTINGS!$B$36),0)</f>
        <v>0</v>
      </c>
      <c r="AF380" s="28">
        <f t="shared" si="59"/>
        <v>1</v>
      </c>
      <c r="AG380" s="28">
        <f ca="1">IF(AND(Y380=1,AB380=1),ROUND(AA380*AE380*IF(AF380&gt;1,SETTINGS!$B$16,1)*IF(W380&lt;=SETTINGS!$B$14,SETTINGS!$B$15,1)*IF(AU380=1,SETTINGS!$B$21,1),6),0)</f>
        <v>0</v>
      </c>
      <c r="AH380" s="28" t="str">
        <f ca="1">IF(AG380&gt;0,COUNTIFS($Z$2:$Z$601,Z380,$AG$2:$AG$601,"&gt;"&amp;AG380)+COUNTIFS($Z$2:Z380,Z380,$AG$2:AG380,AG380),"")</f>
        <v/>
      </c>
      <c r="AI380" s="28" t="str">
        <f t="shared" ca="1" si="60"/>
        <v/>
      </c>
      <c r="AJ380" s="28" t="str">
        <f t="shared" ca="1" si="61"/>
        <v/>
      </c>
      <c r="AK380" s="28">
        <f>IF(L380=1,IF(COUNTIFS($F$2:F380,F380,$L$2:L380,1)=1,1,0),0)</f>
        <v>1</v>
      </c>
      <c r="AL380" s="28" t="str">
        <f ca="1">IF(B380="","",IF(K380="DUPLICATE","Duplicate (removed)",IF(AO380=1,"Scheduled within 24h",IF(M380=1,"Scheduled late",IF(K380="BAD CONTACT","Bad contact details",IF(O380=1,"Stopped / wrong number",IF(N380=1,"Not interested",IF(P380=1,"Partner has no slots",IF(SETTINGS!$B$4&gt;=V380,IF(Q380=0,"Missed deadline: never tried","Missed deadline: tried, not booked"),IF(Q380&gt;=SETTINGS!$B$6,"No reply after max tries","Open"))))))))))</f>
        <v>Missed deadline: never tried</v>
      </c>
      <c r="AM380" s="46" t="str">
        <f>IF(M380=1,IF(_xlfn.MINIFS(LOG!$G$2:$G$2001,LOG!$C$2:$C$2001,F380,LOG!$E$2:$E$2001,B380,LOG!$D$2:$D$2001,"*BOOKED")=0,_xlfn.MINIFS(LOG!$G$2:$G$2001,LOG!$C$2:$C$2001,F380,LOG!$E$2:$E$2001,"",LOG!$D$2:$D$2001,"*BOOKED"),IF(_xlfn.MINIFS(LOG!$G$2:$G$2001,LOG!$C$2:$C$2001,F380,LOG!$E$2:$E$2001,"",LOG!$D$2:$D$2001,"*BOOKED")=0,_xlfn.MINIFS(LOG!$G$2:$G$2001,LOG!$C$2:$C$2001,F380,LOG!$E$2:$E$2001,B380,LOG!$D$2:$D$2001,"*BOOKED"),MIN(_xlfn.MINIFS(LOG!$G$2:$G$2001,LOG!$C$2:$C$2001,F380,LOG!$E$2:$E$2001,B380,LOG!$D$2:$D$2001,"*BOOKED"),_xlfn.MINIFS(LOG!$G$2:$G$2001,LOG!$C$2:$C$2001,F380,LOG!$E$2:$E$2001,"",LOG!$D$2:$D$2001,"*BOOKED")))),"")</f>
        <v/>
      </c>
      <c r="AN380" s="28" t="str">
        <f t="shared" si="62"/>
        <v/>
      </c>
      <c r="AO380" s="28">
        <f>IF(AND(M380=1,AN380&lt;&gt;""),IF(AN380&lt;=SETTINGS!$B$5,1,0),0)</f>
        <v>0</v>
      </c>
      <c r="AP380" s="28">
        <f>IF(M380=1,IF(COUNTIFS(LOG!$C$2:$C$2001,F380,LOG!$E$2:$E$2001,B380,LOG!$D$2:$D$2001,"BOOKED")+COUNTIFS(LOG!$C$2:$C$2001,F380,LOG!$E$2:$E$2001,"",LOG!$D$2:$D$2001,"BOOKED")&gt;0,1,0),0)</f>
        <v>0</v>
      </c>
      <c r="AQ380" s="28" t="str">
        <f t="shared" si="63"/>
        <v>Rahul</v>
      </c>
      <c r="AR380" s="28">
        <f>IF(AND(AK380=1,K380="OK"),COUNTIFS($AK$2:AK380,1,$K$2:K380,"OK"),"")</f>
        <v>318</v>
      </c>
      <c r="AS380" s="28" t="str">
        <f>IF(L380=1,IFERROR(INDEX(MESSAGES!$J$9:$J$1008,MATCH(F380,MESSAGES!$M$9:$M$1008,0))&amp;"",""),"")</f>
        <v/>
      </c>
      <c r="AT380" s="28" t="str">
        <f>IF(L380=1,IFERROR(INDEX(MESSAGES!$K$9:$K$1008,MATCH(F380,MESSAGES!$M$9:$M$1008,0))&amp;"",""),"")</f>
        <v/>
      </c>
      <c r="AU380" s="28">
        <f t="shared" ca="1" si="64"/>
        <v>0</v>
      </c>
      <c r="AV380" s="28" t="str">
        <f t="shared" si="65"/>
        <v>HOLD</v>
      </c>
    </row>
    <row r="381" spans="1:48" x14ac:dyDescent="0.35">
      <c r="A381" s="28">
        <v>380</v>
      </c>
      <c r="B381" s="28" t="str">
        <f>IF(INPUT!A381="","",TRIM(INPUT!A381))</f>
        <v>Partner 000</v>
      </c>
      <c r="C381" s="28" t="str">
        <f>IF(B381="","",INPUT!C381)</f>
        <v>interviewer2@partner000.example.com</v>
      </c>
      <c r="D381" s="28" t="str">
        <f>IF(B381="","",INPUT!D381)</f>
        <v>Sneha B.</v>
      </c>
      <c r="E381" s="28" t="str">
        <f>IF(B381="","",INPUT!E381)</f>
        <v>sneha.b053@example.com</v>
      </c>
      <c r="F381" s="43" t="str">
        <f>IF(B381="","",TRIM(INPUT!F381&amp;""))</f>
        <v>9000000696</v>
      </c>
      <c r="G381" s="28" t="str">
        <f>IF(B381="","",INPUT!H381)</f>
        <v>Round1</v>
      </c>
      <c r="H381" s="46">
        <f>IF(B381="","",INPUT!I381)</f>
        <v>46308.830555555563</v>
      </c>
      <c r="I381" s="28" t="str">
        <f>IF(B381="","",IF(INPUT!J381="","None",INPUT!J381))</f>
        <v>Clicked</v>
      </c>
      <c r="J381" s="28" t="str">
        <f t="shared" si="55"/>
        <v>sneha.b053@example.com|partner 000|Round1|interviewer2@partner000.example.com</v>
      </c>
      <c r="K381" s="28" t="str">
        <f>IF(B381="","",IF(SUMPRODUCT(($J$2:$J$601=J381)*($H$2:$H$601&lt;H381))+SUMPRODUCT(($J$2:J381=J381)*($H$2:H381=H381))-1&gt;0,"DUPLICATE",IF(AND(ISNUMBER(SEARCH("@",E381)),ISNUMBER(SEARCH(".",E381)),LEN(F381)=10,ISNUMBER(VALUE(F381))),"OK","BAD CONTACT")))</f>
        <v>DUPLICATE</v>
      </c>
      <c r="L381" s="28">
        <f t="shared" si="56"/>
        <v>0</v>
      </c>
      <c r="M381" s="28">
        <f>IF(L381=1,IF(COUNTIFS(LOG!$C$2:$C$2001,F381,LOG!$E$2:$E$2001,B381,LOG!$D$2:$D$2001,"*BOOKED")+COUNTIFS(LOG!$C$2:$C$2001,F381,LOG!$E$2:$E$2001,"",LOG!$D$2:$D$2001,"*BOOKED")&gt;0,1,0),0)</f>
        <v>0</v>
      </c>
      <c r="N381" s="28">
        <f>IF(L381=1,IF(COUNTIFS(LOG!$C$2:$C$2001,F381,LOG!$E$2:$E$2001,B381,LOG!$D$2:$D$2001,"NOT_INTERESTED")+COUNTIFS(LOG!$C$2:$C$2001,F381,LOG!$E$2:$E$2001,"",LOG!$D$2:$D$2001,"NOT_INTERESTED")&gt;0,1,0),0)</f>
        <v>0</v>
      </c>
      <c r="O381" s="28">
        <f>IF(L381=1,IF(COUNTIFS(LOG!$C$2:$C$2001,F381,LOG!$D$2:$D$2001,"STOP")+COUNTIFS(LOG!$C$2:$C$2001,F381,LOG!$D$2:$D$2001,"WRONG_NUMBER")&gt;0,1,IF(ISNUMBER(SEARCH("STOP",AT381)),1,0)),0)</f>
        <v>0</v>
      </c>
      <c r="P381" s="28">
        <f>IF(L381=1,IF(IFERROR(INDEX(PARTNERS!$D$2:$D$88,MATCH(B381,PARTNERS!$A$2:$A$88,0)),"")="NO SLOTS",1,IF(AND(IFERROR(INDEX(PARTNERS!$D$2:$D$88,MATCH(B381,PARTNERS!$A$2:$A$88,0)),"")&lt;&gt;"REOPENED",COUNTIFS(LOG!$E$2:$E$2001,B381,LOG!$D$2:$D$2001,"NO_SLOTS")&gt;0),1,0)),0)</f>
        <v>0</v>
      </c>
      <c r="Q381" s="28">
        <f>IF(L381=1,COUNTIFS(LOG!$C$2:$C$2001,F381,LOG!$H$2:$H$2001,1),0)</f>
        <v>0</v>
      </c>
      <c r="R381" s="46">
        <f>IF(Q381&gt;0,_xlfn.MAXIFS(LOG!$G$2:$G$2001,LOG!$C$2:$C$2001,F381,LOG!$H$2:$H$2001,1),0)</f>
        <v>0</v>
      </c>
      <c r="S381" s="28" t="str">
        <f>IF(Q381&gt;0,IFERROR(INDEX(LOG!$D$2:$D$2001,MATCH(F381&amp;"|"&amp;Q381,LOG!$I$2:$I$2001,0)),""),"")</f>
        <v/>
      </c>
      <c r="T381" s="28">
        <f>IF(S381="",0,IFERROR(VLOOKUP(S381,LISTS!$A$2:$E$10,4,FALSE),0))</f>
        <v>0</v>
      </c>
      <c r="U381" s="46">
        <f t="shared" si="57"/>
        <v>0</v>
      </c>
      <c r="V381" s="46" t="str">
        <f>IF(L381=1,H381+SETTINGS!$B$5/24,"")</f>
        <v/>
      </c>
      <c r="W381" s="28" t="str">
        <f>IF(L381=1,(V381-SETTINGS!$B$4)*24,"")</f>
        <v/>
      </c>
      <c r="X381" s="28">
        <f ca="1">IF(AND(L381=1,K381="OK",M381=0,N381=0,O381=0,P381=0,SETTINGS!$B$4&lt;V381,Q381&lt;SETTINGS!$B$6),1,0)</f>
        <v>0</v>
      </c>
      <c r="Y381" s="28">
        <f ca="1">IF(AND(X381=1,SETTINGS!$B$4&gt;=H381,SETTINGS!$B$4&gt;=U381,ROUND(MOD(SETTINGS!$B$4,1)*1440,0)&gt;=ROUND(SETTINGS!$B$7*1440,0),ROUND(MOD(SETTINGS!$B$4,1)*1440,0)&lt;ROUND(SETTINGS!$B$8*1440,0)),1,0)</f>
        <v>0</v>
      </c>
      <c r="Z381" s="28" t="str">
        <f ca="1">IF(B381="","",IF(ROUND(MOD(SETTINGS!$B$4,1)*1440,0)&lt;ROUND(SETTINGS!$B$11*1440,0),"Ram",IF(ROUND(MOD(SETTINGS!$B$4,1)*1440,0)&gt;=ROUND(SETTINGS!$B$10*1440,0),"Shyam",IF(MOD(IFERROR(VALUE(RIGHT(F381,2)),0),2)=0,"Ram","Shyam"))))</f>
        <v>Shyam</v>
      </c>
      <c r="AA381" s="28">
        <f t="shared" ca="1" si="58"/>
        <v>0</v>
      </c>
      <c r="AB381" s="28">
        <f ca="1">IF(X381=1,COUNTIFS($F$2:F381,F381,$X$2:X381,1),0)</f>
        <v>0</v>
      </c>
      <c r="AC381" s="28" t="str">
        <f>IF(L381=1,IF(IFERROR(INDEX(PARTNERS!$C$2:$C$88,MATCH(B381,PARTNERS!$A$2:$A$88,0)),"")="YES","YES","NO"),"")</f>
        <v/>
      </c>
      <c r="AD381" s="28" t="str">
        <f>IF(L381=1,IFERROR(INDEX(PARTNERS!$B$2:$B$88,MATCH(B381,PARTNERS!$A$2:$A$88,0)),""),"")</f>
        <v/>
      </c>
      <c r="AE381" s="28">
        <f ca="1">IF(X381=1,IFERROR(INDEX(SETTINGS!$B$34:$D$36,MATCH(I381,SETTINGS!$A$34:$A$36,0),MIN(Q381,2)+1),SETTINGS!$B$36),0)</f>
        <v>0</v>
      </c>
      <c r="AF381" s="28">
        <f t="shared" si="59"/>
        <v>0</v>
      </c>
      <c r="AG381" s="28">
        <f ca="1">IF(AND(Y381=1,AB381=1),ROUND(AA381*AE381*IF(AF381&gt;1,SETTINGS!$B$16,1)*IF(W381&lt;=SETTINGS!$B$14,SETTINGS!$B$15,1)*IF(AU381=1,SETTINGS!$B$21,1),6),0)</f>
        <v>0</v>
      </c>
      <c r="AH381" s="28" t="str">
        <f ca="1">IF(AG381&gt;0,COUNTIFS($Z$2:$Z$601,Z381,$AG$2:$AG$601,"&gt;"&amp;AG381)+COUNTIFS($Z$2:Z381,Z381,$AG$2:AG381,AG381),"")</f>
        <v/>
      </c>
      <c r="AI381" s="28" t="str">
        <f t="shared" ca="1" si="60"/>
        <v/>
      </c>
      <c r="AJ381" s="28" t="str">
        <f t="shared" ca="1" si="61"/>
        <v/>
      </c>
      <c r="AK381" s="28">
        <f>IF(L381=1,IF(COUNTIFS($F$2:F381,F381,$L$2:L381,1)=1,1,0),0)</f>
        <v>0</v>
      </c>
      <c r="AL381" s="28" t="str">
        <f>IF(B381="","",IF(K381="DUPLICATE","Duplicate (removed)",IF(AO381=1,"Scheduled within 24h",IF(M381=1,"Scheduled late",IF(K381="BAD CONTACT","Bad contact details",IF(O381=1,"Stopped / wrong number",IF(N381=1,"Not interested",IF(P381=1,"Partner has no slots",IF(SETTINGS!$B$4&gt;=V381,IF(Q381=0,"Missed deadline: never tried","Missed deadline: tried, not booked"),IF(Q381&gt;=SETTINGS!$B$6,"No reply after max tries","Open"))))))))))</f>
        <v>Duplicate (removed)</v>
      </c>
      <c r="AM381" s="46" t="str">
        <f>IF(M381=1,IF(_xlfn.MINIFS(LOG!$G$2:$G$2001,LOG!$C$2:$C$2001,F381,LOG!$E$2:$E$2001,B381,LOG!$D$2:$D$2001,"*BOOKED")=0,_xlfn.MINIFS(LOG!$G$2:$G$2001,LOG!$C$2:$C$2001,F381,LOG!$E$2:$E$2001,"",LOG!$D$2:$D$2001,"*BOOKED"),IF(_xlfn.MINIFS(LOG!$G$2:$G$2001,LOG!$C$2:$C$2001,F381,LOG!$E$2:$E$2001,"",LOG!$D$2:$D$2001,"*BOOKED")=0,_xlfn.MINIFS(LOG!$G$2:$G$2001,LOG!$C$2:$C$2001,F381,LOG!$E$2:$E$2001,B381,LOG!$D$2:$D$2001,"*BOOKED"),MIN(_xlfn.MINIFS(LOG!$G$2:$G$2001,LOG!$C$2:$C$2001,F381,LOG!$E$2:$E$2001,B381,LOG!$D$2:$D$2001,"*BOOKED"),_xlfn.MINIFS(LOG!$G$2:$G$2001,LOG!$C$2:$C$2001,F381,LOG!$E$2:$E$2001,"",LOG!$D$2:$D$2001,"*BOOKED")))),"")</f>
        <v/>
      </c>
      <c r="AN381" s="28" t="str">
        <f t="shared" si="62"/>
        <v/>
      </c>
      <c r="AO381" s="28">
        <f>IF(AND(M381=1,AN381&lt;&gt;""),IF(AN381&lt;=SETTINGS!$B$5,1,0),0)</f>
        <v>0</v>
      </c>
      <c r="AP381" s="28">
        <f>IF(M381=1,IF(COUNTIFS(LOG!$C$2:$C$2001,F381,LOG!$E$2:$E$2001,B381,LOG!$D$2:$D$2001,"BOOKED")+COUNTIFS(LOG!$C$2:$C$2001,F381,LOG!$E$2:$E$2001,"",LOG!$D$2:$D$2001,"BOOKED")&gt;0,1,0),0)</f>
        <v>0</v>
      </c>
      <c r="AQ381" s="28" t="str">
        <f t="shared" si="63"/>
        <v>Sneha</v>
      </c>
      <c r="AR381" s="28" t="str">
        <f>IF(AND(AK381=1,K381="OK"),COUNTIFS($AK$2:AK381,1,$K$2:K381,"OK"),"")</f>
        <v/>
      </c>
      <c r="AS381" s="28" t="str">
        <f>IF(L381=1,IFERROR(INDEX(MESSAGES!$J$9:$J$1008,MATCH(F381,MESSAGES!$M$9:$M$1008,0))&amp;"",""),"")</f>
        <v/>
      </c>
      <c r="AT381" s="28" t="str">
        <f>IF(L381=1,IFERROR(INDEX(MESSAGES!$K$9:$K$1008,MATCH(F381,MESSAGES!$M$9:$M$1008,0))&amp;"",""),"")</f>
        <v/>
      </c>
      <c r="AU381" s="28">
        <f t="shared" ca="1" si="64"/>
        <v>0</v>
      </c>
      <c r="AV381" s="28" t="str">
        <f t="shared" si="65"/>
        <v/>
      </c>
    </row>
    <row r="382" spans="1:48" x14ac:dyDescent="0.35">
      <c r="A382" s="28">
        <v>381</v>
      </c>
      <c r="B382" s="28" t="str">
        <f>IF(INPUT!A382="","",TRIM(INPUT!A382))</f>
        <v>Partner 001</v>
      </c>
      <c r="C382" s="28" t="str">
        <f>IF(B382="","",INPUT!C382)</f>
        <v>interviewer0@partner001.example.com</v>
      </c>
      <c r="D382" s="28" t="str">
        <f>IF(B382="","",INPUT!D382)</f>
        <v>Kavya C.</v>
      </c>
      <c r="E382" s="28" t="str">
        <f>IF(B382="","",INPUT!E382)</f>
        <v>kavya.c089@example.com</v>
      </c>
      <c r="F382" s="43" t="str">
        <f>IF(B382="","",TRIM(INPUT!F382&amp;""))</f>
        <v>9000001164</v>
      </c>
      <c r="G382" s="28" t="str">
        <f>IF(B382="","",INPUT!H382)</f>
        <v>Round1</v>
      </c>
      <c r="H382" s="46">
        <f>IF(B382="","",INPUT!I382)</f>
        <v>46308.82708333333</v>
      </c>
      <c r="I382" s="28" t="str">
        <f>IF(B382="","",IF(INPUT!J382="","None",INPUT!J382))</f>
        <v>None</v>
      </c>
      <c r="J382" s="28" t="str">
        <f t="shared" si="55"/>
        <v>kavya.c089@example.com|partner 001|Round1|interviewer0@partner001.example.com</v>
      </c>
      <c r="K382" s="28" t="str">
        <f>IF(B382="","",IF(SUMPRODUCT(($J$2:$J$601=J382)*($H$2:$H$601&lt;H382))+SUMPRODUCT(($J$2:J382=J382)*($H$2:H382=H382))-1&gt;0,"DUPLICATE",IF(AND(ISNUMBER(SEARCH("@",E382)),ISNUMBER(SEARCH(".",E382)),LEN(F382)=10,ISNUMBER(VALUE(F382))),"OK","BAD CONTACT")))</f>
        <v>OK</v>
      </c>
      <c r="L382" s="28">
        <f t="shared" si="56"/>
        <v>1</v>
      </c>
      <c r="M382" s="28">
        <f>IF(L382=1,IF(COUNTIFS(LOG!$C$2:$C$2001,F382,LOG!$E$2:$E$2001,B382,LOG!$D$2:$D$2001,"*BOOKED")+COUNTIFS(LOG!$C$2:$C$2001,F382,LOG!$E$2:$E$2001,"",LOG!$D$2:$D$2001,"*BOOKED")&gt;0,1,0),0)</f>
        <v>1</v>
      </c>
      <c r="N382" s="28">
        <f>IF(L382=1,IF(COUNTIFS(LOG!$C$2:$C$2001,F382,LOG!$E$2:$E$2001,B382,LOG!$D$2:$D$2001,"NOT_INTERESTED")+COUNTIFS(LOG!$C$2:$C$2001,F382,LOG!$E$2:$E$2001,"",LOG!$D$2:$D$2001,"NOT_INTERESTED")&gt;0,1,0),0)</f>
        <v>0</v>
      </c>
      <c r="O382" s="28">
        <f>IF(L382=1,IF(COUNTIFS(LOG!$C$2:$C$2001,F382,LOG!$D$2:$D$2001,"STOP")+COUNTIFS(LOG!$C$2:$C$2001,F382,LOG!$D$2:$D$2001,"WRONG_NUMBER")&gt;0,1,IF(ISNUMBER(SEARCH("STOP",AT382)),1,0)),0)</f>
        <v>0</v>
      </c>
      <c r="P382" s="28">
        <f>IF(L382=1,IF(IFERROR(INDEX(PARTNERS!$D$2:$D$88,MATCH(B382,PARTNERS!$A$2:$A$88,0)),"")="NO SLOTS",1,IF(AND(IFERROR(INDEX(PARTNERS!$D$2:$D$88,MATCH(B382,PARTNERS!$A$2:$A$88,0)),"")&lt;&gt;"REOPENED",COUNTIFS(LOG!$E$2:$E$2001,B382,LOG!$D$2:$D$2001,"NO_SLOTS")&gt;0),1,0)),0)</f>
        <v>0</v>
      </c>
      <c r="Q382" s="28">
        <f>IF(L382=1,COUNTIFS(LOG!$C$2:$C$2001,F382,LOG!$H$2:$H$2001,1),0)</f>
        <v>0</v>
      </c>
      <c r="R382" s="46">
        <f>IF(Q382&gt;0,_xlfn.MAXIFS(LOG!$G$2:$G$2001,LOG!$C$2:$C$2001,F382,LOG!$H$2:$H$2001,1),0)</f>
        <v>0</v>
      </c>
      <c r="S382" s="28" t="str">
        <f>IF(Q382&gt;0,IFERROR(INDEX(LOG!$D$2:$D$2001,MATCH(F382&amp;"|"&amp;Q382,LOG!$I$2:$I$2001,0)),""),"")</f>
        <v/>
      </c>
      <c r="T382" s="28">
        <f>IF(S382="",0,IFERROR(VLOOKUP(S382,LISTS!$A$2:$E$10,4,FALSE),0))</f>
        <v>0</v>
      </c>
      <c r="U382" s="46">
        <f t="shared" si="57"/>
        <v>0</v>
      </c>
      <c r="V382" s="46">
        <f>IF(L382=1,H382+SETTINGS!$B$5/24,"")</f>
        <v>46309.82708333333</v>
      </c>
      <c r="W382" s="28">
        <f ca="1">IF(L382=1,(V382-SETTINGS!$B$4)*24,"")</f>
        <v>-1.6666666720993817E-2</v>
      </c>
      <c r="X382" s="28">
        <f ca="1">IF(AND(L382=1,K382="OK",M382=0,N382=0,O382=0,P382=0,SETTINGS!$B$4&lt;V382,Q382&lt;SETTINGS!$B$6),1,0)</f>
        <v>0</v>
      </c>
      <c r="Y382" s="28">
        <f ca="1">IF(AND(X382=1,SETTINGS!$B$4&gt;=H382,SETTINGS!$B$4&gt;=U382,ROUND(MOD(SETTINGS!$B$4,1)*1440,0)&gt;=ROUND(SETTINGS!$B$7*1440,0),ROUND(MOD(SETTINGS!$B$4,1)*1440,0)&lt;ROUND(SETTINGS!$B$8*1440,0)),1,0)</f>
        <v>0</v>
      </c>
      <c r="Z382" s="28" t="str">
        <f ca="1">IF(B382="","",IF(ROUND(MOD(SETTINGS!$B$4,1)*1440,0)&lt;ROUND(SETTINGS!$B$11*1440,0),"Ram",IF(ROUND(MOD(SETTINGS!$B$4,1)*1440,0)&gt;=ROUND(SETTINGS!$B$10*1440,0),"Shyam",IF(MOD(IFERROR(VALUE(RIGHT(F382,2)),0),2)=0,"Ram","Shyam"))))</f>
        <v>Shyam</v>
      </c>
      <c r="AA382" s="28">
        <f t="shared" ca="1" si="58"/>
        <v>0</v>
      </c>
      <c r="AB382" s="28">
        <f ca="1">IF(X382=1,COUNTIFS($F$2:F382,F382,$X$2:X382,1),0)</f>
        <v>0</v>
      </c>
      <c r="AC382" s="28" t="str">
        <f>IF(L382=1,IF(IFERROR(INDEX(PARTNERS!$C$2:$C$88,MATCH(B382,PARTNERS!$A$2:$A$88,0)),"")="YES","YES","NO"),"")</f>
        <v>NO</v>
      </c>
      <c r="AD382" s="28" t="str">
        <f>IF(L382=1,IFERROR(INDEX(PARTNERS!$B$2:$B$88,MATCH(B382,PARTNERS!$A$2:$A$88,0)),""),"")</f>
        <v>https://calendly.com/partner001/interview</v>
      </c>
      <c r="AE382" s="28">
        <f ca="1">IF(X382=1,IFERROR(INDEX(SETTINGS!$B$34:$D$36,MATCH(I382,SETTINGS!$A$34:$A$36,0),MIN(Q382,2)+1),SETTINGS!$B$36),0)</f>
        <v>0</v>
      </c>
      <c r="AF382" s="28">
        <f t="shared" si="59"/>
        <v>1</v>
      </c>
      <c r="AG382" s="28">
        <f ca="1">IF(AND(Y382=1,AB382=1),ROUND(AA382*AE382*IF(AF382&gt;1,SETTINGS!$B$16,1)*IF(W382&lt;=SETTINGS!$B$14,SETTINGS!$B$15,1)*IF(AU382=1,SETTINGS!$B$21,1),6),0)</f>
        <v>0</v>
      </c>
      <c r="AH382" s="28" t="str">
        <f ca="1">IF(AG382&gt;0,COUNTIFS($Z$2:$Z$601,Z382,$AG$2:$AG$601,"&gt;"&amp;AG382)+COUNTIFS($Z$2:Z382,Z382,$AG$2:AG382,AG382),"")</f>
        <v/>
      </c>
      <c r="AI382" s="28" t="str">
        <f t="shared" ca="1" si="60"/>
        <v/>
      </c>
      <c r="AJ382" s="28" t="str">
        <f t="shared" ca="1" si="61"/>
        <v/>
      </c>
      <c r="AK382" s="28">
        <f>IF(L382=1,IF(COUNTIFS($F$2:F382,F382,$L$2:L382,1)=1,1,0),0)</f>
        <v>1</v>
      </c>
      <c r="AL382" s="28" t="str">
        <f>IF(B382="","",IF(K382="DUPLICATE","Duplicate (removed)",IF(AO382=1,"Scheduled within 24h",IF(M382=1,"Scheduled late",IF(K382="BAD CONTACT","Bad contact details",IF(O382=1,"Stopped / wrong number",IF(N382=1,"Not interested",IF(P382=1,"Partner has no slots",IF(SETTINGS!$B$4&gt;=V382,IF(Q382=0,"Missed deadline: never tried","Missed deadline: tried, not booked"),IF(Q382&gt;=SETTINGS!$B$6,"No reply after max tries","Open"))))))))))</f>
        <v>Scheduled within 24h</v>
      </c>
      <c r="AM382" s="46">
        <f>IF(M382=1,IF(_xlfn.MINIFS(LOG!$G$2:$G$2001,LOG!$C$2:$C$2001,F382,LOG!$E$2:$E$2001,B382,LOG!$D$2:$D$2001,"*BOOKED")=0,_xlfn.MINIFS(LOG!$G$2:$G$2001,LOG!$C$2:$C$2001,F382,LOG!$E$2:$E$2001,"",LOG!$D$2:$D$2001,"*BOOKED"),IF(_xlfn.MINIFS(LOG!$G$2:$G$2001,LOG!$C$2:$C$2001,F382,LOG!$E$2:$E$2001,"",LOG!$D$2:$D$2001,"*BOOKED")=0,_xlfn.MINIFS(LOG!$G$2:$G$2001,LOG!$C$2:$C$2001,F382,LOG!$E$2:$E$2001,B382,LOG!$D$2:$D$2001,"*BOOKED"),MIN(_xlfn.MINIFS(LOG!$G$2:$G$2001,LOG!$C$2:$C$2001,F382,LOG!$E$2:$E$2001,B382,LOG!$D$2:$D$2001,"*BOOKED"),_xlfn.MINIFS(LOG!$G$2:$G$2001,LOG!$C$2:$C$2001,F382,LOG!$E$2:$E$2001,"",LOG!$D$2:$D$2001,"*BOOKED")))),"")</f>
        <v>46309.462900326296</v>
      </c>
      <c r="AN382" s="28">
        <f t="shared" si="62"/>
        <v>15.259607831190806</v>
      </c>
      <c r="AO382" s="28">
        <f>IF(AND(M382=1,AN382&lt;&gt;""),IF(AN382&lt;=SETTINGS!$B$5,1,0),0)</f>
        <v>1</v>
      </c>
      <c r="AP382" s="28">
        <f>IF(M382=1,IF(COUNTIFS(LOG!$C$2:$C$2001,F382,LOG!$E$2:$E$2001,B382,LOG!$D$2:$D$2001,"BOOKED")+COUNTIFS(LOG!$C$2:$C$2001,F382,LOG!$E$2:$E$2001,"",LOG!$D$2:$D$2001,"BOOKED")&gt;0,1,0),0)</f>
        <v>0</v>
      </c>
      <c r="AQ382" s="28" t="str">
        <f t="shared" si="63"/>
        <v>Kavya</v>
      </c>
      <c r="AR382" s="28">
        <f>IF(AND(AK382=1,K382="OK"),COUNTIFS($AK$2:AK382,1,$K$2:K382,"OK"),"")</f>
        <v>319</v>
      </c>
      <c r="AS382" s="28" t="str">
        <f>IF(L382=1,IFERROR(INDEX(MESSAGES!$J$9:$J$1008,MATCH(F382,MESSAGES!$M$9:$M$1008,0))&amp;"",""),"")</f>
        <v/>
      </c>
      <c r="AT382" s="28" t="str">
        <f>IF(L382=1,IFERROR(INDEX(MESSAGES!$K$9:$K$1008,MATCH(F382,MESSAGES!$M$9:$M$1008,0))&amp;"",""),"")</f>
        <v/>
      </c>
      <c r="AU382" s="28">
        <f t="shared" ca="1" si="64"/>
        <v>0</v>
      </c>
      <c r="AV382" s="28" t="str">
        <f t="shared" si="65"/>
        <v>SEND</v>
      </c>
    </row>
    <row r="383" spans="1:48" x14ac:dyDescent="0.35">
      <c r="A383" s="28">
        <v>382</v>
      </c>
      <c r="B383" s="28" t="str">
        <f>IF(INPUT!A383="","",TRIM(INPUT!A383))</f>
        <v>Partner 001</v>
      </c>
      <c r="C383" s="28" t="str">
        <f>IF(B383="","",INPUT!C383)</f>
        <v>interviewer2@partner001.example.com</v>
      </c>
      <c r="D383" s="28" t="str">
        <f>IF(B383="","",INPUT!D383)</f>
        <v>Rohan A.</v>
      </c>
      <c r="E383" s="28" t="str">
        <f>IF(B383="","",INPUT!E383)</f>
        <v>rohan.a010@example.com</v>
      </c>
      <c r="F383" s="43" t="str">
        <f>IF(B383="","",TRIM(INPUT!F383&amp;""))</f>
        <v>9000000137</v>
      </c>
      <c r="G383" s="28" t="str">
        <f>IF(B383="","",INPUT!H383)</f>
        <v>Round1</v>
      </c>
      <c r="H383" s="46">
        <f>IF(B383="","",INPUT!I383)</f>
        <v>46308.82708333333</v>
      </c>
      <c r="I383" s="28" t="str">
        <f>IF(B383="","",IF(INPUT!J383="","None",INPUT!J383))</f>
        <v>None</v>
      </c>
      <c r="J383" s="28" t="str">
        <f t="shared" si="55"/>
        <v>rohan.a010@example.com|partner 001|Round1|interviewer2@partner001.example.com</v>
      </c>
      <c r="K383" s="28" t="str">
        <f>IF(B383="","",IF(SUMPRODUCT(($J$2:$J$601=J383)*($H$2:$H$601&lt;H383))+SUMPRODUCT(($J$2:J383=J383)*($H$2:H383=H383))-1&gt;0,"DUPLICATE",IF(AND(ISNUMBER(SEARCH("@",E383)),ISNUMBER(SEARCH(".",E383)),LEN(F383)=10,ISNUMBER(VALUE(F383))),"OK","BAD CONTACT")))</f>
        <v>OK</v>
      </c>
      <c r="L383" s="28">
        <f t="shared" si="56"/>
        <v>1</v>
      </c>
      <c r="M383" s="28">
        <f>IF(L383=1,IF(COUNTIFS(LOG!$C$2:$C$2001,F383,LOG!$E$2:$E$2001,B383,LOG!$D$2:$D$2001,"*BOOKED")+COUNTIFS(LOG!$C$2:$C$2001,F383,LOG!$E$2:$E$2001,"",LOG!$D$2:$D$2001,"*BOOKED")&gt;0,1,0),0)</f>
        <v>0</v>
      </c>
      <c r="N383" s="28">
        <f>IF(L383=1,IF(COUNTIFS(LOG!$C$2:$C$2001,F383,LOG!$E$2:$E$2001,B383,LOG!$D$2:$D$2001,"NOT_INTERESTED")+COUNTIFS(LOG!$C$2:$C$2001,F383,LOG!$E$2:$E$2001,"",LOG!$D$2:$D$2001,"NOT_INTERESTED")&gt;0,1,0),0)</f>
        <v>0</v>
      </c>
      <c r="O383" s="28">
        <f>IF(L383=1,IF(COUNTIFS(LOG!$C$2:$C$2001,F383,LOG!$D$2:$D$2001,"STOP")+COUNTIFS(LOG!$C$2:$C$2001,F383,LOG!$D$2:$D$2001,"WRONG_NUMBER")&gt;0,1,IF(ISNUMBER(SEARCH("STOP",AT383)),1,0)),0)</f>
        <v>0</v>
      </c>
      <c r="P383" s="28">
        <f>IF(L383=1,IF(IFERROR(INDEX(PARTNERS!$D$2:$D$88,MATCH(B383,PARTNERS!$A$2:$A$88,0)),"")="NO SLOTS",1,IF(AND(IFERROR(INDEX(PARTNERS!$D$2:$D$88,MATCH(B383,PARTNERS!$A$2:$A$88,0)),"")&lt;&gt;"REOPENED",COUNTIFS(LOG!$E$2:$E$2001,B383,LOG!$D$2:$D$2001,"NO_SLOTS")&gt;0),1,0)),0)</f>
        <v>0</v>
      </c>
      <c r="Q383" s="28">
        <f>IF(L383=1,COUNTIFS(LOG!$C$2:$C$2001,F383,LOG!$H$2:$H$2001,1),0)</f>
        <v>0</v>
      </c>
      <c r="R383" s="46">
        <f>IF(Q383&gt;0,_xlfn.MAXIFS(LOG!$G$2:$G$2001,LOG!$C$2:$C$2001,F383,LOG!$H$2:$H$2001,1),0)</f>
        <v>0</v>
      </c>
      <c r="S383" s="28" t="str">
        <f>IF(Q383&gt;0,IFERROR(INDEX(LOG!$D$2:$D$2001,MATCH(F383&amp;"|"&amp;Q383,LOG!$I$2:$I$2001,0)),""),"")</f>
        <v/>
      </c>
      <c r="T383" s="28">
        <f>IF(S383="",0,IFERROR(VLOOKUP(S383,LISTS!$A$2:$E$10,4,FALSE),0))</f>
        <v>0</v>
      </c>
      <c r="U383" s="46">
        <f t="shared" si="57"/>
        <v>0</v>
      </c>
      <c r="V383" s="46">
        <f>IF(L383=1,H383+SETTINGS!$B$5/24,"")</f>
        <v>46309.82708333333</v>
      </c>
      <c r="W383" s="28">
        <f ca="1">IF(L383=1,(V383-SETTINGS!$B$4)*24,"")</f>
        <v>-1.6666666720993817E-2</v>
      </c>
      <c r="X383" s="28">
        <f ca="1">IF(AND(L383=1,K383="OK",M383=0,N383=0,O383=0,P383=0,SETTINGS!$B$4&lt;V383,Q383&lt;SETTINGS!$B$6),1,0)</f>
        <v>0</v>
      </c>
      <c r="Y383" s="28">
        <f ca="1">IF(AND(X383=1,SETTINGS!$B$4&gt;=H383,SETTINGS!$B$4&gt;=U383,ROUND(MOD(SETTINGS!$B$4,1)*1440,0)&gt;=ROUND(SETTINGS!$B$7*1440,0),ROUND(MOD(SETTINGS!$B$4,1)*1440,0)&lt;ROUND(SETTINGS!$B$8*1440,0)),1,0)</f>
        <v>0</v>
      </c>
      <c r="Z383" s="28" t="str">
        <f ca="1">IF(B383="","",IF(ROUND(MOD(SETTINGS!$B$4,1)*1440,0)&lt;ROUND(SETTINGS!$B$11*1440,0),"Ram",IF(ROUND(MOD(SETTINGS!$B$4,1)*1440,0)&gt;=ROUND(SETTINGS!$B$10*1440,0),"Shyam",IF(MOD(IFERROR(VALUE(RIGHT(F383,2)),0),2)=0,"Ram","Shyam"))))</f>
        <v>Shyam</v>
      </c>
      <c r="AA383" s="28">
        <f t="shared" ca="1" si="58"/>
        <v>0</v>
      </c>
      <c r="AB383" s="28">
        <f ca="1">IF(X383=1,COUNTIFS($F$2:F383,F383,$X$2:X383,1),0)</f>
        <v>0</v>
      </c>
      <c r="AC383" s="28" t="str">
        <f>IF(L383=1,IF(IFERROR(INDEX(PARTNERS!$C$2:$C$88,MATCH(B383,PARTNERS!$A$2:$A$88,0)),"")="YES","YES","NO"),"")</f>
        <v>NO</v>
      </c>
      <c r="AD383" s="28" t="str">
        <f>IF(L383=1,IFERROR(INDEX(PARTNERS!$B$2:$B$88,MATCH(B383,PARTNERS!$A$2:$A$88,0)),""),"")</f>
        <v>https://calendly.com/partner001/interview</v>
      </c>
      <c r="AE383" s="28">
        <f ca="1">IF(X383=1,IFERROR(INDEX(SETTINGS!$B$34:$D$36,MATCH(I383,SETTINGS!$A$34:$A$36,0),MIN(Q383,2)+1),SETTINGS!$B$36),0)</f>
        <v>0</v>
      </c>
      <c r="AF383" s="28">
        <f t="shared" si="59"/>
        <v>1</v>
      </c>
      <c r="AG383" s="28">
        <f ca="1">IF(AND(Y383=1,AB383=1),ROUND(AA383*AE383*IF(AF383&gt;1,SETTINGS!$B$16,1)*IF(W383&lt;=SETTINGS!$B$14,SETTINGS!$B$15,1)*IF(AU383=1,SETTINGS!$B$21,1),6),0)</f>
        <v>0</v>
      </c>
      <c r="AH383" s="28" t="str">
        <f ca="1">IF(AG383&gt;0,COUNTIFS($Z$2:$Z$601,Z383,$AG$2:$AG$601,"&gt;"&amp;AG383)+COUNTIFS($Z$2:Z383,Z383,$AG$2:AG383,AG383),"")</f>
        <v/>
      </c>
      <c r="AI383" s="28" t="str">
        <f t="shared" ca="1" si="60"/>
        <v/>
      </c>
      <c r="AJ383" s="28" t="str">
        <f t="shared" ca="1" si="61"/>
        <v/>
      </c>
      <c r="AK383" s="28">
        <f>IF(L383=1,IF(COUNTIFS($F$2:F383,F383,$L$2:L383,1)=1,1,0),0)</f>
        <v>0</v>
      </c>
      <c r="AL383" s="28" t="str">
        <f ca="1">IF(B383="","",IF(K383="DUPLICATE","Duplicate (removed)",IF(AO383=1,"Scheduled within 24h",IF(M383=1,"Scheduled late",IF(K383="BAD CONTACT","Bad contact details",IF(O383=1,"Stopped / wrong number",IF(N383=1,"Not interested",IF(P383=1,"Partner has no slots",IF(SETTINGS!$B$4&gt;=V383,IF(Q383=0,"Missed deadline: never tried","Missed deadline: tried, not booked"),IF(Q383&gt;=SETTINGS!$B$6,"No reply after max tries","Open"))))))))))</f>
        <v>Missed deadline: never tried</v>
      </c>
      <c r="AM383" s="46" t="str">
        <f>IF(M383=1,IF(_xlfn.MINIFS(LOG!$G$2:$G$2001,LOG!$C$2:$C$2001,F383,LOG!$E$2:$E$2001,B383,LOG!$D$2:$D$2001,"*BOOKED")=0,_xlfn.MINIFS(LOG!$G$2:$G$2001,LOG!$C$2:$C$2001,F383,LOG!$E$2:$E$2001,"",LOG!$D$2:$D$2001,"*BOOKED"),IF(_xlfn.MINIFS(LOG!$G$2:$G$2001,LOG!$C$2:$C$2001,F383,LOG!$E$2:$E$2001,"",LOG!$D$2:$D$2001,"*BOOKED")=0,_xlfn.MINIFS(LOG!$G$2:$G$2001,LOG!$C$2:$C$2001,F383,LOG!$E$2:$E$2001,B383,LOG!$D$2:$D$2001,"*BOOKED"),MIN(_xlfn.MINIFS(LOG!$G$2:$G$2001,LOG!$C$2:$C$2001,F383,LOG!$E$2:$E$2001,B383,LOG!$D$2:$D$2001,"*BOOKED"),_xlfn.MINIFS(LOG!$G$2:$G$2001,LOG!$C$2:$C$2001,F383,LOG!$E$2:$E$2001,"",LOG!$D$2:$D$2001,"*BOOKED")))),"")</f>
        <v/>
      </c>
      <c r="AN383" s="28" t="str">
        <f t="shared" si="62"/>
        <v/>
      </c>
      <c r="AO383" s="28">
        <f>IF(AND(M383=1,AN383&lt;&gt;""),IF(AN383&lt;=SETTINGS!$B$5,1,0),0)</f>
        <v>0</v>
      </c>
      <c r="AP383" s="28">
        <f>IF(M383=1,IF(COUNTIFS(LOG!$C$2:$C$2001,F383,LOG!$E$2:$E$2001,B383,LOG!$D$2:$D$2001,"BOOKED")+COUNTIFS(LOG!$C$2:$C$2001,F383,LOG!$E$2:$E$2001,"",LOG!$D$2:$D$2001,"BOOKED")&gt;0,1,0),0)</f>
        <v>0</v>
      </c>
      <c r="AQ383" s="28" t="str">
        <f t="shared" si="63"/>
        <v>Rohan</v>
      </c>
      <c r="AR383" s="28" t="str">
        <f>IF(AND(AK383=1,K383="OK"),COUNTIFS($AK$2:AK383,1,$K$2:K383,"OK"),"")</f>
        <v/>
      </c>
      <c r="AS383" s="28" t="str">
        <f>IF(L383=1,IFERROR(INDEX(MESSAGES!$J$9:$J$1008,MATCH(F383,MESSAGES!$M$9:$M$1008,0))&amp;"",""),"")</f>
        <v/>
      </c>
      <c r="AT383" s="28" t="str">
        <f>IF(L383=1,IFERROR(INDEX(MESSAGES!$K$9:$K$1008,MATCH(F383,MESSAGES!$M$9:$M$1008,0))&amp;"",""),"")</f>
        <v/>
      </c>
      <c r="AU383" s="28">
        <f t="shared" ca="1" si="64"/>
        <v>0</v>
      </c>
      <c r="AV383" s="28" t="str">
        <f t="shared" si="65"/>
        <v>HOLD</v>
      </c>
    </row>
    <row r="384" spans="1:48" x14ac:dyDescent="0.35">
      <c r="A384" s="28">
        <v>383</v>
      </c>
      <c r="B384" s="28" t="str">
        <f>IF(INPUT!A384="","",TRIM(INPUT!A384))</f>
        <v>Partner 006</v>
      </c>
      <c r="C384" s="28" t="str">
        <f>IF(B384="","",INPUT!C384)</f>
        <v>interviewer0@partner006.example.com</v>
      </c>
      <c r="D384" s="28" t="str">
        <f>IF(B384="","",INPUT!D384)</f>
        <v>Pooja K.</v>
      </c>
      <c r="E384" s="28" t="str">
        <f>IF(B384="","",INPUT!E384)</f>
        <v>pooja.k291@example.com</v>
      </c>
      <c r="F384" s="43" t="str">
        <f>IF(B384="","",TRIM(INPUT!F384&amp;""))</f>
        <v>9000003790</v>
      </c>
      <c r="G384" s="28" t="str">
        <f>IF(B384="","",INPUT!H384)</f>
        <v>Round1</v>
      </c>
      <c r="H384" s="46">
        <f>IF(B384="","",INPUT!I384)</f>
        <v>46308.82708333333</v>
      </c>
      <c r="I384" s="28" t="str">
        <f>IF(B384="","",IF(INPUT!J384="","None",INPUT!J384))</f>
        <v>Opened</v>
      </c>
      <c r="J384" s="28" t="str">
        <f t="shared" si="55"/>
        <v>pooja.k291@example.com|partner 006|Round1|interviewer0@partner006.example.com</v>
      </c>
      <c r="K384" s="28" t="str">
        <f>IF(B384="","",IF(SUMPRODUCT(($J$2:$J$601=J384)*($H$2:$H$601&lt;H384))+SUMPRODUCT(($J$2:J384=J384)*($H$2:H384=H384))-1&gt;0,"DUPLICATE",IF(AND(ISNUMBER(SEARCH("@",E384)),ISNUMBER(SEARCH(".",E384)),LEN(F384)=10,ISNUMBER(VALUE(F384))),"OK","BAD CONTACT")))</f>
        <v>OK</v>
      </c>
      <c r="L384" s="28">
        <f t="shared" si="56"/>
        <v>1</v>
      </c>
      <c r="M384" s="28">
        <f>IF(L384=1,IF(COUNTIFS(LOG!$C$2:$C$2001,F384,LOG!$E$2:$E$2001,B384,LOG!$D$2:$D$2001,"*BOOKED")+COUNTIFS(LOG!$C$2:$C$2001,F384,LOG!$E$2:$E$2001,"",LOG!$D$2:$D$2001,"*BOOKED")&gt;0,1,0),0)</f>
        <v>0</v>
      </c>
      <c r="N384" s="28">
        <f>IF(L384=1,IF(COUNTIFS(LOG!$C$2:$C$2001,F384,LOG!$E$2:$E$2001,B384,LOG!$D$2:$D$2001,"NOT_INTERESTED")+COUNTIFS(LOG!$C$2:$C$2001,F384,LOG!$E$2:$E$2001,"",LOG!$D$2:$D$2001,"NOT_INTERESTED")&gt;0,1,0),0)</f>
        <v>0</v>
      </c>
      <c r="O384" s="28">
        <f>IF(L384=1,IF(COUNTIFS(LOG!$C$2:$C$2001,F384,LOG!$D$2:$D$2001,"STOP")+COUNTIFS(LOG!$C$2:$C$2001,F384,LOG!$D$2:$D$2001,"WRONG_NUMBER")&gt;0,1,IF(ISNUMBER(SEARCH("STOP",AT384)),1,0)),0)</f>
        <v>0</v>
      </c>
      <c r="P384" s="28">
        <f>IF(L384=1,IF(IFERROR(INDEX(PARTNERS!$D$2:$D$88,MATCH(B384,PARTNERS!$A$2:$A$88,0)),"")="NO SLOTS",1,IF(AND(IFERROR(INDEX(PARTNERS!$D$2:$D$88,MATCH(B384,PARTNERS!$A$2:$A$88,0)),"")&lt;&gt;"REOPENED",COUNTIFS(LOG!$E$2:$E$2001,B384,LOG!$D$2:$D$2001,"NO_SLOTS")&gt;0),1,0)),0)</f>
        <v>0</v>
      </c>
      <c r="Q384" s="28">
        <f>IF(L384=1,COUNTIFS(LOG!$C$2:$C$2001,F384,LOG!$H$2:$H$2001,1),0)</f>
        <v>0</v>
      </c>
      <c r="R384" s="46">
        <f>IF(Q384&gt;0,_xlfn.MAXIFS(LOG!$G$2:$G$2001,LOG!$C$2:$C$2001,F384,LOG!$H$2:$H$2001,1),0)</f>
        <v>0</v>
      </c>
      <c r="S384" s="28" t="str">
        <f>IF(Q384&gt;0,IFERROR(INDEX(LOG!$D$2:$D$2001,MATCH(F384&amp;"|"&amp;Q384,LOG!$I$2:$I$2001,0)),""),"")</f>
        <v/>
      </c>
      <c r="T384" s="28">
        <f>IF(S384="",0,IFERROR(VLOOKUP(S384,LISTS!$A$2:$E$10,4,FALSE),0))</f>
        <v>0</v>
      </c>
      <c r="U384" s="46">
        <f t="shared" si="57"/>
        <v>0</v>
      </c>
      <c r="V384" s="46">
        <f>IF(L384=1,H384+SETTINGS!$B$5/24,"")</f>
        <v>46309.82708333333</v>
      </c>
      <c r="W384" s="28">
        <f ca="1">IF(L384=1,(V384-SETTINGS!$B$4)*24,"")</f>
        <v>-1.6666666720993817E-2</v>
      </c>
      <c r="X384" s="28">
        <f ca="1">IF(AND(L384=1,K384="OK",M384=0,N384=0,O384=0,P384=0,SETTINGS!$B$4&lt;V384,Q384&lt;SETTINGS!$B$6),1,0)</f>
        <v>0</v>
      </c>
      <c r="Y384" s="28">
        <f ca="1">IF(AND(X384=1,SETTINGS!$B$4&gt;=H384,SETTINGS!$B$4&gt;=U384,ROUND(MOD(SETTINGS!$B$4,1)*1440,0)&gt;=ROUND(SETTINGS!$B$7*1440,0),ROUND(MOD(SETTINGS!$B$4,1)*1440,0)&lt;ROUND(SETTINGS!$B$8*1440,0)),1,0)</f>
        <v>0</v>
      </c>
      <c r="Z384" s="28" t="str">
        <f ca="1">IF(B384="","",IF(ROUND(MOD(SETTINGS!$B$4,1)*1440,0)&lt;ROUND(SETTINGS!$B$11*1440,0),"Ram",IF(ROUND(MOD(SETTINGS!$B$4,1)*1440,0)&gt;=ROUND(SETTINGS!$B$10*1440,0),"Shyam",IF(MOD(IFERROR(VALUE(RIGHT(F384,2)),0),2)=0,"Ram","Shyam"))))</f>
        <v>Shyam</v>
      </c>
      <c r="AA384" s="28">
        <f t="shared" ca="1" si="58"/>
        <v>0</v>
      </c>
      <c r="AB384" s="28">
        <f ca="1">IF(X384=1,COUNTIFS($F$2:F384,F384,$X$2:X384,1),0)</f>
        <v>0</v>
      </c>
      <c r="AC384" s="28" t="str">
        <f>IF(L384=1,IF(IFERROR(INDEX(PARTNERS!$C$2:$C$88,MATCH(B384,PARTNERS!$A$2:$A$88,0)),"")="YES","YES","NO"),"")</f>
        <v>YES</v>
      </c>
      <c r="AD384" s="28" t="str">
        <f>IF(L384=1,IFERROR(INDEX(PARTNERS!$B$2:$B$88,MATCH(B384,PARTNERS!$A$2:$A$88,0)),""),"")</f>
        <v>https://calendly.com/partner006/interview</v>
      </c>
      <c r="AE384" s="28">
        <f ca="1">IF(X384=1,IFERROR(INDEX(SETTINGS!$B$34:$D$36,MATCH(I384,SETTINGS!$A$34:$A$36,0),MIN(Q384,2)+1),SETTINGS!$B$36),0)</f>
        <v>0</v>
      </c>
      <c r="AF384" s="28">
        <f t="shared" si="59"/>
        <v>1</v>
      </c>
      <c r="AG384" s="28">
        <f ca="1">IF(AND(Y384=1,AB384=1),ROUND(AA384*AE384*IF(AF384&gt;1,SETTINGS!$B$16,1)*IF(W384&lt;=SETTINGS!$B$14,SETTINGS!$B$15,1)*IF(AU384=1,SETTINGS!$B$21,1),6),0)</f>
        <v>0</v>
      </c>
      <c r="AH384" s="28" t="str">
        <f ca="1">IF(AG384&gt;0,COUNTIFS($Z$2:$Z$601,Z384,$AG$2:$AG$601,"&gt;"&amp;AG384)+COUNTIFS($Z$2:Z384,Z384,$AG$2:AG384,AG384),"")</f>
        <v/>
      </c>
      <c r="AI384" s="28" t="str">
        <f t="shared" ca="1" si="60"/>
        <v/>
      </c>
      <c r="AJ384" s="28" t="str">
        <f t="shared" ca="1" si="61"/>
        <v/>
      </c>
      <c r="AK384" s="28">
        <f>IF(L384=1,IF(COUNTIFS($F$2:F384,F384,$L$2:L384,1)=1,1,0),0)</f>
        <v>1</v>
      </c>
      <c r="AL384" s="28" t="str">
        <f ca="1">IF(B384="","",IF(K384="DUPLICATE","Duplicate (removed)",IF(AO384=1,"Scheduled within 24h",IF(M384=1,"Scheduled late",IF(K384="BAD CONTACT","Bad contact details",IF(O384=1,"Stopped / wrong number",IF(N384=1,"Not interested",IF(P384=1,"Partner has no slots",IF(SETTINGS!$B$4&gt;=V384,IF(Q384=0,"Missed deadline: never tried","Missed deadline: tried, not booked"),IF(Q384&gt;=SETTINGS!$B$6,"No reply after max tries","Open"))))))))))</f>
        <v>Missed deadline: never tried</v>
      </c>
      <c r="AM384" s="46" t="str">
        <f>IF(M384=1,IF(_xlfn.MINIFS(LOG!$G$2:$G$2001,LOG!$C$2:$C$2001,F384,LOG!$E$2:$E$2001,B384,LOG!$D$2:$D$2001,"*BOOKED")=0,_xlfn.MINIFS(LOG!$G$2:$G$2001,LOG!$C$2:$C$2001,F384,LOG!$E$2:$E$2001,"",LOG!$D$2:$D$2001,"*BOOKED"),IF(_xlfn.MINIFS(LOG!$G$2:$G$2001,LOG!$C$2:$C$2001,F384,LOG!$E$2:$E$2001,"",LOG!$D$2:$D$2001,"*BOOKED")=0,_xlfn.MINIFS(LOG!$G$2:$G$2001,LOG!$C$2:$C$2001,F384,LOG!$E$2:$E$2001,B384,LOG!$D$2:$D$2001,"*BOOKED"),MIN(_xlfn.MINIFS(LOG!$G$2:$G$2001,LOG!$C$2:$C$2001,F384,LOG!$E$2:$E$2001,B384,LOG!$D$2:$D$2001,"*BOOKED"),_xlfn.MINIFS(LOG!$G$2:$G$2001,LOG!$C$2:$C$2001,F384,LOG!$E$2:$E$2001,"",LOG!$D$2:$D$2001,"*BOOKED")))),"")</f>
        <v/>
      </c>
      <c r="AN384" s="28" t="str">
        <f t="shared" si="62"/>
        <v/>
      </c>
      <c r="AO384" s="28">
        <f>IF(AND(M384=1,AN384&lt;&gt;""),IF(AN384&lt;=SETTINGS!$B$5,1,0),0)</f>
        <v>0</v>
      </c>
      <c r="AP384" s="28">
        <f>IF(M384=1,IF(COUNTIFS(LOG!$C$2:$C$2001,F384,LOG!$E$2:$E$2001,B384,LOG!$D$2:$D$2001,"BOOKED")+COUNTIFS(LOG!$C$2:$C$2001,F384,LOG!$E$2:$E$2001,"",LOG!$D$2:$D$2001,"BOOKED")&gt;0,1,0),0)</f>
        <v>0</v>
      </c>
      <c r="AQ384" s="28" t="str">
        <f t="shared" si="63"/>
        <v>Pooja</v>
      </c>
      <c r="AR384" s="28">
        <f>IF(AND(AK384=1,K384="OK"),COUNTIFS($AK$2:AK384,1,$K$2:K384,"OK"),"")</f>
        <v>320</v>
      </c>
      <c r="AS384" s="28" t="str">
        <f>IF(L384=1,IFERROR(INDEX(MESSAGES!$J$9:$J$1008,MATCH(F384,MESSAGES!$M$9:$M$1008,0))&amp;"",""),"")</f>
        <v/>
      </c>
      <c r="AT384" s="28" t="str">
        <f>IF(L384=1,IFERROR(INDEX(MESSAGES!$K$9:$K$1008,MATCH(F384,MESSAGES!$M$9:$M$1008,0))&amp;"",""),"")</f>
        <v/>
      </c>
      <c r="AU384" s="28">
        <f t="shared" ca="1" si="64"/>
        <v>0</v>
      </c>
      <c r="AV384" s="28" t="str">
        <f t="shared" si="65"/>
        <v>HOLD</v>
      </c>
    </row>
    <row r="385" spans="1:48" x14ac:dyDescent="0.35">
      <c r="A385" s="28">
        <v>384</v>
      </c>
      <c r="B385" s="28" t="str">
        <f>IF(INPUT!A385="","",TRIM(INPUT!A385))</f>
        <v>Partner 016</v>
      </c>
      <c r="C385" s="28" t="str">
        <f>IF(B385="","",INPUT!C385)</f>
        <v>interviewer2@partner016.example.com</v>
      </c>
      <c r="D385" s="28" t="str">
        <f>IF(B385="","",INPUT!D385)</f>
        <v>Navya E.</v>
      </c>
      <c r="E385" s="28" t="str">
        <f>IF(B385="","",INPUT!E385)</f>
        <v>navya.e133@example.com</v>
      </c>
      <c r="F385" s="43" t="str">
        <f>IF(B385="","",TRIM(INPUT!F385&amp;""))</f>
        <v>9000001736</v>
      </c>
      <c r="G385" s="28" t="str">
        <f>IF(B385="","",INPUT!H385)</f>
        <v>Round1</v>
      </c>
      <c r="H385" s="46">
        <f>IF(B385="","",INPUT!I385)</f>
        <v>46308.82708333333</v>
      </c>
      <c r="I385" s="28" t="str">
        <f>IF(B385="","",IF(INPUT!J385="","None",INPUT!J385))</f>
        <v>Clicked</v>
      </c>
      <c r="J385" s="28" t="str">
        <f t="shared" si="55"/>
        <v>navya.e133@example.com|partner 016|Round1|interviewer2@partner016.example.com</v>
      </c>
      <c r="K385" s="28" t="str">
        <f>IF(B385="","",IF(SUMPRODUCT(($J$2:$J$601=J385)*($H$2:$H$601&lt;H385))+SUMPRODUCT(($J$2:J385=J385)*($H$2:H385=H385))-1&gt;0,"DUPLICATE",IF(AND(ISNUMBER(SEARCH("@",E385)),ISNUMBER(SEARCH(".",E385)),LEN(F385)=10,ISNUMBER(VALUE(F385))),"OK","BAD CONTACT")))</f>
        <v>OK</v>
      </c>
      <c r="L385" s="28">
        <f t="shared" si="56"/>
        <v>1</v>
      </c>
      <c r="M385" s="28">
        <f>IF(L385=1,IF(COUNTIFS(LOG!$C$2:$C$2001,F385,LOG!$E$2:$E$2001,B385,LOG!$D$2:$D$2001,"*BOOKED")+COUNTIFS(LOG!$C$2:$C$2001,F385,LOG!$E$2:$E$2001,"",LOG!$D$2:$D$2001,"*BOOKED")&gt;0,1,0),0)</f>
        <v>1</v>
      </c>
      <c r="N385" s="28">
        <f>IF(L385=1,IF(COUNTIFS(LOG!$C$2:$C$2001,F385,LOG!$E$2:$E$2001,B385,LOG!$D$2:$D$2001,"NOT_INTERESTED")+COUNTIFS(LOG!$C$2:$C$2001,F385,LOG!$E$2:$E$2001,"",LOG!$D$2:$D$2001,"NOT_INTERESTED")&gt;0,1,0),0)</f>
        <v>0</v>
      </c>
      <c r="O385" s="28">
        <f>IF(L385=1,IF(COUNTIFS(LOG!$C$2:$C$2001,F385,LOG!$D$2:$D$2001,"STOP")+COUNTIFS(LOG!$C$2:$C$2001,F385,LOG!$D$2:$D$2001,"WRONG_NUMBER")&gt;0,1,IF(ISNUMBER(SEARCH("STOP",AT385)),1,0)),0)</f>
        <v>0</v>
      </c>
      <c r="P385" s="28">
        <f>IF(L385=1,IF(IFERROR(INDEX(PARTNERS!$D$2:$D$88,MATCH(B385,PARTNERS!$A$2:$A$88,0)),"")="NO SLOTS",1,IF(AND(IFERROR(INDEX(PARTNERS!$D$2:$D$88,MATCH(B385,PARTNERS!$A$2:$A$88,0)),"")&lt;&gt;"REOPENED",COUNTIFS(LOG!$E$2:$E$2001,B385,LOG!$D$2:$D$2001,"NO_SLOTS")&gt;0),1,0)),0)</f>
        <v>0</v>
      </c>
      <c r="Q385" s="28">
        <f>IF(L385=1,COUNTIFS(LOG!$C$2:$C$2001,F385,LOG!$H$2:$H$2001,1),0)</f>
        <v>0</v>
      </c>
      <c r="R385" s="46">
        <f>IF(Q385&gt;0,_xlfn.MAXIFS(LOG!$G$2:$G$2001,LOG!$C$2:$C$2001,F385,LOG!$H$2:$H$2001,1),0)</f>
        <v>0</v>
      </c>
      <c r="S385" s="28" t="str">
        <f>IF(Q385&gt;0,IFERROR(INDEX(LOG!$D$2:$D$2001,MATCH(F385&amp;"|"&amp;Q385,LOG!$I$2:$I$2001,0)),""),"")</f>
        <v/>
      </c>
      <c r="T385" s="28">
        <f>IF(S385="",0,IFERROR(VLOOKUP(S385,LISTS!$A$2:$E$10,4,FALSE),0))</f>
        <v>0</v>
      </c>
      <c r="U385" s="46">
        <f t="shared" si="57"/>
        <v>0</v>
      </c>
      <c r="V385" s="46">
        <f>IF(L385=1,H385+SETTINGS!$B$5/24,"")</f>
        <v>46309.82708333333</v>
      </c>
      <c r="W385" s="28">
        <f ca="1">IF(L385=1,(V385-SETTINGS!$B$4)*24,"")</f>
        <v>-1.6666666720993817E-2</v>
      </c>
      <c r="X385" s="28">
        <f ca="1">IF(AND(L385=1,K385="OK",M385=0,N385=0,O385=0,P385=0,SETTINGS!$B$4&lt;V385,Q385&lt;SETTINGS!$B$6),1,0)</f>
        <v>0</v>
      </c>
      <c r="Y385" s="28">
        <f ca="1">IF(AND(X385=1,SETTINGS!$B$4&gt;=H385,SETTINGS!$B$4&gt;=U385,ROUND(MOD(SETTINGS!$B$4,1)*1440,0)&gt;=ROUND(SETTINGS!$B$7*1440,0),ROUND(MOD(SETTINGS!$B$4,1)*1440,0)&lt;ROUND(SETTINGS!$B$8*1440,0)),1,0)</f>
        <v>0</v>
      </c>
      <c r="Z385" s="28" t="str">
        <f ca="1">IF(B385="","",IF(ROUND(MOD(SETTINGS!$B$4,1)*1440,0)&lt;ROUND(SETTINGS!$B$11*1440,0),"Ram",IF(ROUND(MOD(SETTINGS!$B$4,1)*1440,0)&gt;=ROUND(SETTINGS!$B$10*1440,0),"Shyam",IF(MOD(IFERROR(VALUE(RIGHT(F385,2)),0),2)=0,"Ram","Shyam"))))</f>
        <v>Shyam</v>
      </c>
      <c r="AA385" s="28">
        <f t="shared" ca="1" si="58"/>
        <v>0</v>
      </c>
      <c r="AB385" s="28">
        <f ca="1">IF(X385=1,COUNTIFS($F$2:F385,F385,$X$2:X385,1),0)</f>
        <v>0</v>
      </c>
      <c r="AC385" s="28" t="str">
        <f>IF(L385=1,IF(IFERROR(INDEX(PARTNERS!$C$2:$C$88,MATCH(B385,PARTNERS!$A$2:$A$88,0)),"")="YES","YES","NO"),"")</f>
        <v>NO</v>
      </c>
      <c r="AD385" s="28" t="str">
        <f>IF(L385=1,IFERROR(INDEX(PARTNERS!$B$2:$B$88,MATCH(B385,PARTNERS!$A$2:$A$88,0)),""),"")</f>
        <v>https://calendly.com/partner016/interview</v>
      </c>
      <c r="AE385" s="28">
        <f ca="1">IF(X385=1,IFERROR(INDEX(SETTINGS!$B$34:$D$36,MATCH(I385,SETTINGS!$A$34:$A$36,0),MIN(Q385,2)+1),SETTINGS!$B$36),0)</f>
        <v>0</v>
      </c>
      <c r="AF385" s="28">
        <f t="shared" si="59"/>
        <v>1</v>
      </c>
      <c r="AG385" s="28">
        <f ca="1">IF(AND(Y385=1,AB385=1),ROUND(AA385*AE385*IF(AF385&gt;1,SETTINGS!$B$16,1)*IF(W385&lt;=SETTINGS!$B$14,SETTINGS!$B$15,1)*IF(AU385=1,SETTINGS!$B$21,1),6),0)</f>
        <v>0</v>
      </c>
      <c r="AH385" s="28" t="str">
        <f ca="1">IF(AG385&gt;0,COUNTIFS($Z$2:$Z$601,Z385,$AG$2:$AG$601,"&gt;"&amp;AG385)+COUNTIFS($Z$2:Z385,Z385,$AG$2:AG385,AG385),"")</f>
        <v/>
      </c>
      <c r="AI385" s="28" t="str">
        <f t="shared" ca="1" si="60"/>
        <v/>
      </c>
      <c r="AJ385" s="28" t="str">
        <f t="shared" ca="1" si="61"/>
        <v/>
      </c>
      <c r="AK385" s="28">
        <f>IF(L385=1,IF(COUNTIFS($F$2:F385,F385,$L$2:L385,1)=1,1,0),0)</f>
        <v>0</v>
      </c>
      <c r="AL385" s="28" t="str">
        <f>IF(B385="","",IF(K385="DUPLICATE","Duplicate (removed)",IF(AO385=1,"Scheduled within 24h",IF(M385=1,"Scheduled late",IF(K385="BAD CONTACT","Bad contact details",IF(O385=1,"Stopped / wrong number",IF(N385=1,"Not interested",IF(P385=1,"Partner has no slots",IF(SETTINGS!$B$4&gt;=V385,IF(Q385=0,"Missed deadline: never tried","Missed deadline: tried, not booked"),IF(Q385&gt;=SETTINGS!$B$6,"No reply after max tries","Open"))))))))))</f>
        <v>Scheduled within 24h</v>
      </c>
      <c r="AM385" s="46">
        <f>IF(M385=1,IF(_xlfn.MINIFS(LOG!$G$2:$G$2001,LOG!$C$2:$C$2001,F385,LOG!$E$2:$E$2001,B385,LOG!$D$2:$D$2001,"*BOOKED")=0,_xlfn.MINIFS(LOG!$G$2:$G$2001,LOG!$C$2:$C$2001,F385,LOG!$E$2:$E$2001,"",LOG!$D$2:$D$2001,"*BOOKED"),IF(_xlfn.MINIFS(LOG!$G$2:$G$2001,LOG!$C$2:$C$2001,F385,LOG!$E$2:$E$2001,"",LOG!$D$2:$D$2001,"*BOOKED")=0,_xlfn.MINIFS(LOG!$G$2:$G$2001,LOG!$C$2:$C$2001,F385,LOG!$E$2:$E$2001,B385,LOG!$D$2:$D$2001,"*BOOKED"),MIN(_xlfn.MINIFS(LOG!$G$2:$G$2001,LOG!$C$2:$C$2001,F385,LOG!$E$2:$E$2001,B385,LOG!$D$2:$D$2001,"*BOOKED"),_xlfn.MINIFS(LOG!$G$2:$G$2001,LOG!$C$2:$C$2001,F385,LOG!$E$2:$E$2001,"",LOG!$D$2:$D$2001,"*BOOKED")))),"")</f>
        <v>46309.451773741122</v>
      </c>
      <c r="AN385" s="28">
        <f t="shared" si="62"/>
        <v>14.992569787020329</v>
      </c>
      <c r="AO385" s="28">
        <f>IF(AND(M385=1,AN385&lt;&gt;""),IF(AN385&lt;=SETTINGS!$B$5,1,0),0)</f>
        <v>1</v>
      </c>
      <c r="AP385" s="28">
        <f>IF(M385=1,IF(COUNTIFS(LOG!$C$2:$C$2001,F385,LOG!$E$2:$E$2001,B385,LOG!$D$2:$D$2001,"BOOKED")+COUNTIFS(LOG!$C$2:$C$2001,F385,LOG!$E$2:$E$2001,"",LOG!$D$2:$D$2001,"BOOKED")&gt;0,1,0),0)</f>
        <v>0</v>
      </c>
      <c r="AQ385" s="28" t="str">
        <f t="shared" si="63"/>
        <v>Navya</v>
      </c>
      <c r="AR385" s="28" t="str">
        <f>IF(AND(AK385=1,K385="OK"),COUNTIFS($AK$2:AK385,1,$K$2:K385,"OK"),"")</f>
        <v/>
      </c>
      <c r="AS385" s="28" t="str">
        <f>IF(L385=1,IFERROR(INDEX(MESSAGES!$J$9:$J$1008,MATCH(F385,MESSAGES!$M$9:$M$1008,0))&amp;"",""),"")</f>
        <v/>
      </c>
      <c r="AT385" s="28" t="str">
        <f>IF(L385=1,IFERROR(INDEX(MESSAGES!$K$9:$K$1008,MATCH(F385,MESSAGES!$M$9:$M$1008,0))&amp;"",""),"")</f>
        <v/>
      </c>
      <c r="AU385" s="28">
        <f t="shared" ca="1" si="64"/>
        <v>0</v>
      </c>
      <c r="AV385" s="28" t="str">
        <f t="shared" si="65"/>
        <v>HOLD</v>
      </c>
    </row>
    <row r="386" spans="1:48" x14ac:dyDescent="0.35">
      <c r="A386" s="28">
        <v>385</v>
      </c>
      <c r="B386" s="28" t="str">
        <f>IF(INPUT!A386="","",TRIM(INPUT!A386))</f>
        <v>Partner 000</v>
      </c>
      <c r="C386" s="28" t="str">
        <f>IF(B386="","",INPUT!C386)</f>
        <v>interviewer2@partner000.example.com</v>
      </c>
      <c r="D386" s="28" t="str">
        <f>IF(B386="","",INPUT!D386)</f>
        <v>Ira D.</v>
      </c>
      <c r="E386" s="28" t="str">
        <f>IF(B386="","",INPUT!E386)</f>
        <v>ira.d095@example.com</v>
      </c>
      <c r="F386" s="43" t="str">
        <f>IF(B386="","",TRIM(INPUT!F386&amp;""))</f>
        <v>9000001242</v>
      </c>
      <c r="G386" s="28" t="str">
        <f>IF(B386="","",INPUT!H386)</f>
        <v>Round1</v>
      </c>
      <c r="H386" s="46">
        <f>IF(B386="","",INPUT!I386)</f>
        <v>46308.829861111109</v>
      </c>
      <c r="I386" s="28" t="str">
        <f>IF(B386="","",IF(INPUT!J386="","None",INPUT!J386))</f>
        <v>Clicked</v>
      </c>
      <c r="J386" s="28" t="str">
        <f t="shared" ref="J386:J449" si="66">IF(B386="","",LOWER(E386)&amp;"|"&amp;LOWER(B386)&amp;"|"&amp;G386&amp;"|"&amp;LOWER(C386))</f>
        <v>ira.d095@example.com|partner 000|Round1|interviewer2@partner000.example.com</v>
      </c>
      <c r="K386" s="28" t="str">
        <f>IF(B386="","",IF(SUMPRODUCT(($J$2:$J$601=J386)*($H$2:$H$601&lt;H386))+SUMPRODUCT(($J$2:J386=J386)*($H$2:H386=H386))-1&gt;0,"DUPLICATE",IF(AND(ISNUMBER(SEARCH("@",E386)),ISNUMBER(SEARCH(".",E386)),LEN(F386)=10,ISNUMBER(VALUE(F386))),"OK","BAD CONTACT")))</f>
        <v>DUPLICATE</v>
      </c>
      <c r="L386" s="28">
        <f t="shared" ref="L386:L449" si="67">IF(B386="",0,IF(K386="DUPLICATE",0,1))</f>
        <v>0</v>
      </c>
      <c r="M386" s="28">
        <f>IF(L386=1,IF(COUNTIFS(LOG!$C$2:$C$2001,F386,LOG!$E$2:$E$2001,B386,LOG!$D$2:$D$2001,"*BOOKED")+COUNTIFS(LOG!$C$2:$C$2001,F386,LOG!$E$2:$E$2001,"",LOG!$D$2:$D$2001,"*BOOKED")&gt;0,1,0),0)</f>
        <v>0</v>
      </c>
      <c r="N386" s="28">
        <f>IF(L386=1,IF(COUNTIFS(LOG!$C$2:$C$2001,F386,LOG!$E$2:$E$2001,B386,LOG!$D$2:$D$2001,"NOT_INTERESTED")+COUNTIFS(LOG!$C$2:$C$2001,F386,LOG!$E$2:$E$2001,"",LOG!$D$2:$D$2001,"NOT_INTERESTED")&gt;0,1,0),0)</f>
        <v>0</v>
      </c>
      <c r="O386" s="28">
        <f>IF(L386=1,IF(COUNTIFS(LOG!$C$2:$C$2001,F386,LOG!$D$2:$D$2001,"STOP")+COUNTIFS(LOG!$C$2:$C$2001,F386,LOG!$D$2:$D$2001,"WRONG_NUMBER")&gt;0,1,IF(ISNUMBER(SEARCH("STOP",AT386)),1,0)),0)</f>
        <v>0</v>
      </c>
      <c r="P386" s="28">
        <f>IF(L386=1,IF(IFERROR(INDEX(PARTNERS!$D$2:$D$88,MATCH(B386,PARTNERS!$A$2:$A$88,0)),"")="NO SLOTS",1,IF(AND(IFERROR(INDEX(PARTNERS!$D$2:$D$88,MATCH(B386,PARTNERS!$A$2:$A$88,0)),"")&lt;&gt;"REOPENED",COUNTIFS(LOG!$E$2:$E$2001,B386,LOG!$D$2:$D$2001,"NO_SLOTS")&gt;0),1,0)),0)</f>
        <v>0</v>
      </c>
      <c r="Q386" s="28">
        <f>IF(L386=1,COUNTIFS(LOG!$C$2:$C$2001,F386,LOG!$H$2:$H$2001,1),0)</f>
        <v>0</v>
      </c>
      <c r="R386" s="46">
        <f>IF(Q386&gt;0,_xlfn.MAXIFS(LOG!$G$2:$G$2001,LOG!$C$2:$C$2001,F386,LOG!$H$2:$H$2001,1),0)</f>
        <v>0</v>
      </c>
      <c r="S386" s="28" t="str">
        <f>IF(Q386&gt;0,IFERROR(INDEX(LOG!$D$2:$D$2001,MATCH(F386&amp;"|"&amp;Q386,LOG!$I$2:$I$2001,0)),""),"")</f>
        <v/>
      </c>
      <c r="T386" s="28">
        <f>IF(S386="",0,IFERROR(VLOOKUP(S386,LISTS!$A$2:$E$10,4,FALSE),0))</f>
        <v>0</v>
      </c>
      <c r="U386" s="46">
        <f t="shared" ref="U386:U449" si="68">IF(Q386=0,0,R386+T386/1440)</f>
        <v>0</v>
      </c>
      <c r="V386" s="46" t="str">
        <f>IF(L386=1,H386+SETTINGS!$B$5/24,"")</f>
        <v/>
      </c>
      <c r="W386" s="28" t="str">
        <f>IF(L386=1,(V386-SETTINGS!$B$4)*24,"")</f>
        <v/>
      </c>
      <c r="X386" s="28">
        <f ca="1">IF(AND(L386=1,K386="OK",M386=0,N386=0,O386=0,P386=0,SETTINGS!$B$4&lt;V386,Q386&lt;SETTINGS!$B$6),1,0)</f>
        <v>0</v>
      </c>
      <c r="Y386" s="28">
        <f ca="1">IF(AND(X386=1,SETTINGS!$B$4&gt;=H386,SETTINGS!$B$4&gt;=U386,ROUND(MOD(SETTINGS!$B$4,1)*1440,0)&gt;=ROUND(SETTINGS!$B$7*1440,0),ROUND(MOD(SETTINGS!$B$4,1)*1440,0)&lt;ROUND(SETTINGS!$B$8*1440,0)),1,0)</f>
        <v>0</v>
      </c>
      <c r="Z386" s="28" t="str">
        <f ca="1">IF(B386="","",IF(ROUND(MOD(SETTINGS!$B$4,1)*1440,0)&lt;ROUND(SETTINGS!$B$11*1440,0),"Ram",IF(ROUND(MOD(SETTINGS!$B$4,1)*1440,0)&gt;=ROUND(SETTINGS!$B$10*1440,0),"Shyam",IF(MOD(IFERROR(VALUE(RIGHT(F386,2)),0),2)=0,"Ram","Shyam"))))</f>
        <v>Shyam</v>
      </c>
      <c r="AA386" s="28">
        <f t="shared" ref="AA386:AA449" ca="1" si="69">IF(X386=1,COUNTIFS($F$2:$F$601,F386,$X$2:$X$601,1),0)</f>
        <v>0</v>
      </c>
      <c r="AB386" s="28">
        <f ca="1">IF(X386=1,COUNTIFS($F$2:F386,F386,$X$2:X386,1),0)</f>
        <v>0</v>
      </c>
      <c r="AC386" s="28" t="str">
        <f>IF(L386=1,IF(IFERROR(INDEX(PARTNERS!$C$2:$C$88,MATCH(B386,PARTNERS!$A$2:$A$88,0)),"")="YES","YES","NO"),"")</f>
        <v/>
      </c>
      <c r="AD386" s="28" t="str">
        <f>IF(L386=1,IFERROR(INDEX(PARTNERS!$B$2:$B$88,MATCH(B386,PARTNERS!$A$2:$A$88,0)),""),"")</f>
        <v/>
      </c>
      <c r="AE386" s="28">
        <f ca="1">IF(X386=1,IFERROR(INDEX(SETTINGS!$B$34:$D$36,MATCH(I386,SETTINGS!$A$34:$A$36,0),MIN(Q386,2)+1),SETTINGS!$B$36),0)</f>
        <v>0</v>
      </c>
      <c r="AF386" s="28">
        <f t="shared" ref="AF386:AF449" si="70">IF(L386=1,IFERROR(VALUE(RIGHT(G386,1)),1),0)</f>
        <v>0</v>
      </c>
      <c r="AG386" s="28">
        <f ca="1">IF(AND(Y386=1,AB386=1),ROUND(AA386*AE386*IF(AF386&gt;1,SETTINGS!$B$16,1)*IF(W386&lt;=SETTINGS!$B$14,SETTINGS!$B$15,1)*IF(AU386=1,SETTINGS!$B$21,1),6),0)</f>
        <v>0</v>
      </c>
      <c r="AH386" s="28" t="str">
        <f ca="1">IF(AG386&gt;0,COUNTIFS($Z$2:$Z$601,Z386,$AG$2:$AG$601,"&gt;"&amp;AG386)+COUNTIFS($Z$2:Z386,Z386,$AG$2:AG386,AG386),"")</f>
        <v/>
      </c>
      <c r="AI386" s="28" t="str">
        <f t="shared" ref="AI386:AI449" ca="1" si="71">IF(AH386&lt;&gt;"",Z386&amp;"|"&amp;AH386,"")</f>
        <v/>
      </c>
      <c r="AJ386" s="28" t="str">
        <f t="shared" ref="AJ386:AJ449" ca="1" si="72">IF(X386=1,F386&amp;"|"&amp;AB386,"")</f>
        <v/>
      </c>
      <c r="AK386" s="28">
        <f>IF(L386=1,IF(COUNTIFS($F$2:F386,F386,$L$2:L386,1)=1,1,0),0)</f>
        <v>0</v>
      </c>
      <c r="AL386" s="28" t="str">
        <f>IF(B386="","",IF(K386="DUPLICATE","Duplicate (removed)",IF(AO386=1,"Scheduled within 24h",IF(M386=1,"Scheduled late",IF(K386="BAD CONTACT","Bad contact details",IF(O386=1,"Stopped / wrong number",IF(N386=1,"Not interested",IF(P386=1,"Partner has no slots",IF(SETTINGS!$B$4&gt;=V386,IF(Q386=0,"Missed deadline: never tried","Missed deadline: tried, not booked"),IF(Q386&gt;=SETTINGS!$B$6,"No reply after max tries","Open"))))))))))</f>
        <v>Duplicate (removed)</v>
      </c>
      <c r="AM386" s="46" t="str">
        <f>IF(M386=1,IF(_xlfn.MINIFS(LOG!$G$2:$G$2001,LOG!$C$2:$C$2001,F386,LOG!$E$2:$E$2001,B386,LOG!$D$2:$D$2001,"*BOOKED")=0,_xlfn.MINIFS(LOG!$G$2:$G$2001,LOG!$C$2:$C$2001,F386,LOG!$E$2:$E$2001,"",LOG!$D$2:$D$2001,"*BOOKED"),IF(_xlfn.MINIFS(LOG!$G$2:$G$2001,LOG!$C$2:$C$2001,F386,LOG!$E$2:$E$2001,"",LOG!$D$2:$D$2001,"*BOOKED")=0,_xlfn.MINIFS(LOG!$G$2:$G$2001,LOG!$C$2:$C$2001,F386,LOG!$E$2:$E$2001,B386,LOG!$D$2:$D$2001,"*BOOKED"),MIN(_xlfn.MINIFS(LOG!$G$2:$G$2001,LOG!$C$2:$C$2001,F386,LOG!$E$2:$E$2001,B386,LOG!$D$2:$D$2001,"*BOOKED"),_xlfn.MINIFS(LOG!$G$2:$G$2001,LOG!$C$2:$C$2001,F386,LOG!$E$2:$E$2001,"",LOG!$D$2:$D$2001,"*BOOKED")))),"")</f>
        <v/>
      </c>
      <c r="AN386" s="28" t="str">
        <f t="shared" ref="AN386:AN449" si="73">IF(M386=1,(AM386-H386)*24,"")</f>
        <v/>
      </c>
      <c r="AO386" s="28">
        <f>IF(AND(M386=1,AN386&lt;&gt;""),IF(AN386&lt;=SETTINGS!$B$5,1,0),0)</f>
        <v>0</v>
      </c>
      <c r="AP386" s="28">
        <f>IF(M386=1,IF(COUNTIFS(LOG!$C$2:$C$2001,F386,LOG!$E$2:$E$2001,B386,LOG!$D$2:$D$2001,"BOOKED")+COUNTIFS(LOG!$C$2:$C$2001,F386,LOG!$E$2:$E$2001,"",LOG!$D$2:$D$2001,"BOOKED")&gt;0,1,0),0)</f>
        <v>0</v>
      </c>
      <c r="AQ386" s="28" t="str">
        <f t="shared" ref="AQ386:AQ449" si="74">IF(B386="","",LEFT(D386,FIND(" ",D386&amp;" ")-1))</f>
        <v>Ira</v>
      </c>
      <c r="AR386" s="28" t="str">
        <f>IF(AND(AK386=1,K386="OK"),COUNTIFS($AK$2:AK386,1,$K$2:K386,"OK"),"")</f>
        <v/>
      </c>
      <c r="AS386" s="28" t="str">
        <f>IF(L386=1,IFERROR(INDEX(MESSAGES!$J$9:$J$1008,MATCH(F386,MESSAGES!$M$9:$M$1008,0))&amp;"",""),"")</f>
        <v/>
      </c>
      <c r="AT386" s="28" t="str">
        <f>IF(L386=1,IFERROR(INDEX(MESSAGES!$K$9:$K$1008,MATCH(F386,MESSAGES!$M$9:$M$1008,0))&amp;"",""),"")</f>
        <v/>
      </c>
      <c r="AU386" s="28">
        <f t="shared" ref="AU386:AU449" ca="1" si="75">IF(AND(X386=1,ISNUMBER(SEARCH("YES",AT386))),1,0)</f>
        <v>0</v>
      </c>
      <c r="AV386" s="28" t="str">
        <f t="shared" ref="AV386:AV449" si="76">IF(L386=1,IF(MOD(IFERROR(VALUE(MID(F386,9,1)),0),2)=0,"SEND","HOLD"),"")</f>
        <v/>
      </c>
    </row>
    <row r="387" spans="1:48" x14ac:dyDescent="0.35">
      <c r="A387" s="28">
        <v>386</v>
      </c>
      <c r="B387" s="28" t="str">
        <f>IF(INPUT!A387="","",TRIM(INPUT!A387))</f>
        <v>Partner 055</v>
      </c>
      <c r="C387" s="28" t="str">
        <f>IF(B387="","",INPUT!C387)</f>
        <v>interviewer2@partner055.example.com</v>
      </c>
      <c r="D387" s="28" t="str">
        <f>IF(B387="","",INPUT!D387)</f>
        <v>Aditya C.</v>
      </c>
      <c r="E387" s="28" t="str">
        <f>IF(B387="","",INPUT!E387)</f>
        <v>aditya.c082@example.com</v>
      </c>
      <c r="F387" s="43" t="str">
        <f>IF(B387="","",TRIM(INPUT!F387&amp;""))</f>
        <v>9000001073</v>
      </c>
      <c r="G387" s="28" t="str">
        <f>IF(B387="","",INPUT!H387)</f>
        <v>Round1</v>
      </c>
      <c r="H387" s="46">
        <f>IF(B387="","",INPUT!I387)</f>
        <v>46308.82708333333</v>
      </c>
      <c r="I387" s="28" t="str">
        <f>IF(B387="","",IF(INPUT!J387="","None",INPUT!J387))</f>
        <v>None</v>
      </c>
      <c r="J387" s="28" t="str">
        <f t="shared" si="66"/>
        <v>aditya.c082@example.com|partner 055|Round1|interviewer2@partner055.example.com</v>
      </c>
      <c r="K387" s="28" t="str">
        <f>IF(B387="","",IF(SUMPRODUCT(($J$2:$J$601=J387)*($H$2:$H$601&lt;H387))+SUMPRODUCT(($J$2:J387=J387)*($H$2:H387=H387))-1&gt;0,"DUPLICATE",IF(AND(ISNUMBER(SEARCH("@",E387)),ISNUMBER(SEARCH(".",E387)),LEN(F387)=10,ISNUMBER(VALUE(F387))),"OK","BAD CONTACT")))</f>
        <v>OK</v>
      </c>
      <c r="L387" s="28">
        <f t="shared" si="67"/>
        <v>1</v>
      </c>
      <c r="M387" s="28">
        <f>IF(L387=1,IF(COUNTIFS(LOG!$C$2:$C$2001,F387,LOG!$E$2:$E$2001,B387,LOG!$D$2:$D$2001,"*BOOKED")+COUNTIFS(LOG!$C$2:$C$2001,F387,LOG!$E$2:$E$2001,"",LOG!$D$2:$D$2001,"*BOOKED")&gt;0,1,0),0)</f>
        <v>1</v>
      </c>
      <c r="N387" s="28">
        <f>IF(L387=1,IF(COUNTIFS(LOG!$C$2:$C$2001,F387,LOG!$E$2:$E$2001,B387,LOG!$D$2:$D$2001,"NOT_INTERESTED")+COUNTIFS(LOG!$C$2:$C$2001,F387,LOG!$E$2:$E$2001,"",LOG!$D$2:$D$2001,"NOT_INTERESTED")&gt;0,1,0),0)</f>
        <v>0</v>
      </c>
      <c r="O387" s="28">
        <f>IF(L387=1,IF(COUNTIFS(LOG!$C$2:$C$2001,F387,LOG!$D$2:$D$2001,"STOP")+COUNTIFS(LOG!$C$2:$C$2001,F387,LOG!$D$2:$D$2001,"WRONG_NUMBER")&gt;0,1,IF(ISNUMBER(SEARCH("STOP",AT387)),1,0)),0)</f>
        <v>0</v>
      </c>
      <c r="P387" s="28">
        <f>IF(L387=1,IF(IFERROR(INDEX(PARTNERS!$D$2:$D$88,MATCH(B387,PARTNERS!$A$2:$A$88,0)),"")="NO SLOTS",1,IF(AND(IFERROR(INDEX(PARTNERS!$D$2:$D$88,MATCH(B387,PARTNERS!$A$2:$A$88,0)),"")&lt;&gt;"REOPENED",COUNTIFS(LOG!$E$2:$E$2001,B387,LOG!$D$2:$D$2001,"NO_SLOTS")&gt;0),1,0)),0)</f>
        <v>0</v>
      </c>
      <c r="Q387" s="28">
        <f>IF(L387=1,COUNTIFS(LOG!$C$2:$C$2001,F387,LOG!$H$2:$H$2001,1),0)</f>
        <v>0</v>
      </c>
      <c r="R387" s="46">
        <f>IF(Q387&gt;0,_xlfn.MAXIFS(LOG!$G$2:$G$2001,LOG!$C$2:$C$2001,F387,LOG!$H$2:$H$2001,1),0)</f>
        <v>0</v>
      </c>
      <c r="S387" s="28" t="str">
        <f>IF(Q387&gt;0,IFERROR(INDEX(LOG!$D$2:$D$2001,MATCH(F387&amp;"|"&amp;Q387,LOG!$I$2:$I$2001,0)),""),"")</f>
        <v/>
      </c>
      <c r="T387" s="28">
        <f>IF(S387="",0,IFERROR(VLOOKUP(S387,LISTS!$A$2:$E$10,4,FALSE),0))</f>
        <v>0</v>
      </c>
      <c r="U387" s="46">
        <f t="shared" si="68"/>
        <v>0</v>
      </c>
      <c r="V387" s="46">
        <f>IF(L387=1,H387+SETTINGS!$B$5/24,"")</f>
        <v>46309.82708333333</v>
      </c>
      <c r="W387" s="28">
        <f ca="1">IF(L387=1,(V387-SETTINGS!$B$4)*24,"")</f>
        <v>-1.6666666720993817E-2</v>
      </c>
      <c r="X387" s="28">
        <f ca="1">IF(AND(L387=1,K387="OK",M387=0,N387=0,O387=0,P387=0,SETTINGS!$B$4&lt;V387,Q387&lt;SETTINGS!$B$6),1,0)</f>
        <v>0</v>
      </c>
      <c r="Y387" s="28">
        <f ca="1">IF(AND(X387=1,SETTINGS!$B$4&gt;=H387,SETTINGS!$B$4&gt;=U387,ROUND(MOD(SETTINGS!$B$4,1)*1440,0)&gt;=ROUND(SETTINGS!$B$7*1440,0),ROUND(MOD(SETTINGS!$B$4,1)*1440,0)&lt;ROUND(SETTINGS!$B$8*1440,0)),1,0)</f>
        <v>0</v>
      </c>
      <c r="Z387" s="28" t="str">
        <f ca="1">IF(B387="","",IF(ROUND(MOD(SETTINGS!$B$4,1)*1440,0)&lt;ROUND(SETTINGS!$B$11*1440,0),"Ram",IF(ROUND(MOD(SETTINGS!$B$4,1)*1440,0)&gt;=ROUND(SETTINGS!$B$10*1440,0),"Shyam",IF(MOD(IFERROR(VALUE(RIGHT(F387,2)),0),2)=0,"Ram","Shyam"))))</f>
        <v>Shyam</v>
      </c>
      <c r="AA387" s="28">
        <f t="shared" ca="1" si="69"/>
        <v>0</v>
      </c>
      <c r="AB387" s="28">
        <f ca="1">IF(X387=1,COUNTIFS($F$2:F387,F387,$X$2:X387,1),0)</f>
        <v>0</v>
      </c>
      <c r="AC387" s="28" t="str">
        <f>IF(L387=1,IF(IFERROR(INDEX(PARTNERS!$C$2:$C$88,MATCH(B387,PARTNERS!$A$2:$A$88,0)),"")="YES","YES","NO"),"")</f>
        <v>YES</v>
      </c>
      <c r="AD387" s="28" t="str">
        <f>IF(L387=1,IFERROR(INDEX(PARTNERS!$B$2:$B$88,MATCH(B387,PARTNERS!$A$2:$A$88,0)),""),"")</f>
        <v>https://calendly.com/partner055/interview</v>
      </c>
      <c r="AE387" s="28">
        <f ca="1">IF(X387=1,IFERROR(INDEX(SETTINGS!$B$34:$D$36,MATCH(I387,SETTINGS!$A$34:$A$36,0),MIN(Q387,2)+1),SETTINGS!$B$36),0)</f>
        <v>0</v>
      </c>
      <c r="AF387" s="28">
        <f t="shared" si="70"/>
        <v>1</v>
      </c>
      <c r="AG387" s="28">
        <f ca="1">IF(AND(Y387=1,AB387=1),ROUND(AA387*AE387*IF(AF387&gt;1,SETTINGS!$B$16,1)*IF(W387&lt;=SETTINGS!$B$14,SETTINGS!$B$15,1)*IF(AU387=1,SETTINGS!$B$21,1),6),0)</f>
        <v>0</v>
      </c>
      <c r="AH387" s="28" t="str">
        <f ca="1">IF(AG387&gt;0,COUNTIFS($Z$2:$Z$601,Z387,$AG$2:$AG$601,"&gt;"&amp;AG387)+COUNTIFS($Z$2:Z387,Z387,$AG$2:AG387,AG387),"")</f>
        <v/>
      </c>
      <c r="AI387" s="28" t="str">
        <f t="shared" ca="1" si="71"/>
        <v/>
      </c>
      <c r="AJ387" s="28" t="str">
        <f t="shared" ca="1" si="72"/>
        <v/>
      </c>
      <c r="AK387" s="28">
        <f>IF(L387=1,IF(COUNTIFS($F$2:F387,F387,$L$2:L387,1)=1,1,0),0)</f>
        <v>1</v>
      </c>
      <c r="AL387" s="28" t="str">
        <f>IF(B387="","",IF(K387="DUPLICATE","Duplicate (removed)",IF(AO387=1,"Scheduled within 24h",IF(M387=1,"Scheduled late",IF(K387="BAD CONTACT","Bad contact details",IF(O387=1,"Stopped / wrong number",IF(N387=1,"Not interested",IF(P387=1,"Partner has no slots",IF(SETTINGS!$B$4&gt;=V387,IF(Q387=0,"Missed deadline: never tried","Missed deadline: tried, not booked"),IF(Q387&gt;=SETTINGS!$B$6,"No reply after max tries","Open"))))))))))</f>
        <v>Scheduled within 24h</v>
      </c>
      <c r="AM387" s="46">
        <f>IF(M387=1,IF(_xlfn.MINIFS(LOG!$G$2:$G$2001,LOG!$C$2:$C$2001,F387,LOG!$E$2:$E$2001,B387,LOG!$D$2:$D$2001,"*BOOKED")=0,_xlfn.MINIFS(LOG!$G$2:$G$2001,LOG!$C$2:$C$2001,F387,LOG!$E$2:$E$2001,"",LOG!$D$2:$D$2001,"*BOOKED"),IF(_xlfn.MINIFS(LOG!$G$2:$G$2001,LOG!$C$2:$C$2001,F387,LOG!$E$2:$E$2001,"",LOG!$D$2:$D$2001,"*BOOKED")=0,_xlfn.MINIFS(LOG!$G$2:$G$2001,LOG!$C$2:$C$2001,F387,LOG!$E$2:$E$2001,B387,LOG!$D$2:$D$2001,"*BOOKED"),MIN(_xlfn.MINIFS(LOG!$G$2:$G$2001,LOG!$C$2:$C$2001,F387,LOG!$E$2:$E$2001,B387,LOG!$D$2:$D$2001,"*BOOKED"),_xlfn.MINIFS(LOG!$G$2:$G$2001,LOG!$C$2:$C$2001,F387,LOG!$E$2:$E$2001,"",LOG!$D$2:$D$2001,"*BOOKED")))),"")</f>
        <v>46309.696853406123</v>
      </c>
      <c r="AN387" s="28">
        <f t="shared" si="73"/>
        <v>20.874481747043319</v>
      </c>
      <c r="AO387" s="28">
        <f>IF(AND(M387=1,AN387&lt;&gt;""),IF(AN387&lt;=SETTINGS!$B$5,1,0),0)</f>
        <v>1</v>
      </c>
      <c r="AP387" s="28">
        <f>IF(M387=1,IF(COUNTIFS(LOG!$C$2:$C$2001,F387,LOG!$E$2:$E$2001,B387,LOG!$D$2:$D$2001,"BOOKED")+COUNTIFS(LOG!$C$2:$C$2001,F387,LOG!$E$2:$E$2001,"",LOG!$D$2:$D$2001,"BOOKED")&gt;0,1,0),0)</f>
        <v>0</v>
      </c>
      <c r="AQ387" s="28" t="str">
        <f t="shared" si="74"/>
        <v>Aditya</v>
      </c>
      <c r="AR387" s="28">
        <f>IF(AND(AK387=1,K387="OK"),COUNTIFS($AK$2:AK387,1,$K$2:K387,"OK"),"")</f>
        <v>321</v>
      </c>
      <c r="AS387" s="28" t="str">
        <f>IF(L387=1,IFERROR(INDEX(MESSAGES!$J$9:$J$1008,MATCH(F387,MESSAGES!$M$9:$M$1008,0))&amp;"",""),"")</f>
        <v/>
      </c>
      <c r="AT387" s="28" t="str">
        <f>IF(L387=1,IFERROR(INDEX(MESSAGES!$K$9:$K$1008,MATCH(F387,MESSAGES!$M$9:$M$1008,0))&amp;"",""),"")</f>
        <v/>
      </c>
      <c r="AU387" s="28">
        <f t="shared" ca="1" si="75"/>
        <v>0</v>
      </c>
      <c r="AV387" s="28" t="str">
        <f t="shared" si="76"/>
        <v>HOLD</v>
      </c>
    </row>
    <row r="388" spans="1:48" x14ac:dyDescent="0.35">
      <c r="A388" s="28">
        <v>387</v>
      </c>
      <c r="B388" s="28" t="str">
        <f>IF(INPUT!A388="","",TRIM(INPUT!A388))</f>
        <v>Partner 025</v>
      </c>
      <c r="C388" s="28" t="str">
        <f>IF(B388="","",INPUT!C388)</f>
        <v>interviewer1@partner025.example.com</v>
      </c>
      <c r="D388" s="28" t="str">
        <f>IF(B388="","",INPUT!D388)</f>
        <v>Manav P.</v>
      </c>
      <c r="E388" s="28" t="str">
        <f>IF(B388="","",INPUT!E388)</f>
        <v>manav.p414@example.com</v>
      </c>
      <c r="F388" s="43" t="str">
        <f>IF(B388="","",TRIM(INPUT!F388&amp;""))</f>
        <v>9000005389</v>
      </c>
      <c r="G388" s="28" t="str">
        <f>IF(B388="","",INPUT!H388)</f>
        <v>Round1</v>
      </c>
      <c r="H388" s="46">
        <f>IF(B388="","",INPUT!I388)</f>
        <v>46308.82708333333</v>
      </c>
      <c r="I388" s="28" t="str">
        <f>IF(B388="","",IF(INPUT!J388="","None",INPUT!J388))</f>
        <v>Clicked</v>
      </c>
      <c r="J388" s="28" t="str">
        <f t="shared" si="66"/>
        <v>manav.p414@example.com|partner 025|Round1|interviewer1@partner025.example.com</v>
      </c>
      <c r="K388" s="28" t="str">
        <f>IF(B388="","",IF(SUMPRODUCT(($J$2:$J$601=J388)*($H$2:$H$601&lt;H388))+SUMPRODUCT(($J$2:J388=J388)*($H$2:H388=H388))-1&gt;0,"DUPLICATE",IF(AND(ISNUMBER(SEARCH("@",E388)),ISNUMBER(SEARCH(".",E388)),LEN(F388)=10,ISNUMBER(VALUE(F388))),"OK","BAD CONTACT")))</f>
        <v>OK</v>
      </c>
      <c r="L388" s="28">
        <f t="shared" si="67"/>
        <v>1</v>
      </c>
      <c r="M388" s="28">
        <f>IF(L388=1,IF(COUNTIFS(LOG!$C$2:$C$2001,F388,LOG!$E$2:$E$2001,B388,LOG!$D$2:$D$2001,"*BOOKED")+COUNTIFS(LOG!$C$2:$C$2001,F388,LOG!$E$2:$E$2001,"",LOG!$D$2:$D$2001,"*BOOKED")&gt;0,1,0),0)</f>
        <v>1</v>
      </c>
      <c r="N388" s="28">
        <f>IF(L388=1,IF(COUNTIFS(LOG!$C$2:$C$2001,F388,LOG!$E$2:$E$2001,B388,LOG!$D$2:$D$2001,"NOT_INTERESTED")+COUNTIFS(LOG!$C$2:$C$2001,F388,LOG!$E$2:$E$2001,"",LOG!$D$2:$D$2001,"NOT_INTERESTED")&gt;0,1,0),0)</f>
        <v>0</v>
      </c>
      <c r="O388" s="28">
        <f>IF(L388=1,IF(COUNTIFS(LOG!$C$2:$C$2001,F388,LOG!$D$2:$D$2001,"STOP")+COUNTIFS(LOG!$C$2:$C$2001,F388,LOG!$D$2:$D$2001,"WRONG_NUMBER")&gt;0,1,IF(ISNUMBER(SEARCH("STOP",AT388)),1,0)),0)</f>
        <v>0</v>
      </c>
      <c r="P388" s="28">
        <f>IF(L388=1,IF(IFERROR(INDEX(PARTNERS!$D$2:$D$88,MATCH(B388,PARTNERS!$A$2:$A$88,0)),"")="NO SLOTS",1,IF(AND(IFERROR(INDEX(PARTNERS!$D$2:$D$88,MATCH(B388,PARTNERS!$A$2:$A$88,0)),"")&lt;&gt;"REOPENED",COUNTIFS(LOG!$E$2:$E$2001,B388,LOG!$D$2:$D$2001,"NO_SLOTS")&gt;0),1,0)),0)</f>
        <v>0</v>
      </c>
      <c r="Q388" s="28">
        <f>IF(L388=1,COUNTIFS(LOG!$C$2:$C$2001,F388,LOG!$H$2:$H$2001,1),0)</f>
        <v>0</v>
      </c>
      <c r="R388" s="46">
        <f>IF(Q388&gt;0,_xlfn.MAXIFS(LOG!$G$2:$G$2001,LOG!$C$2:$C$2001,F388,LOG!$H$2:$H$2001,1),0)</f>
        <v>0</v>
      </c>
      <c r="S388" s="28" t="str">
        <f>IF(Q388&gt;0,IFERROR(INDEX(LOG!$D$2:$D$2001,MATCH(F388&amp;"|"&amp;Q388,LOG!$I$2:$I$2001,0)),""),"")</f>
        <v/>
      </c>
      <c r="T388" s="28">
        <f>IF(S388="",0,IFERROR(VLOOKUP(S388,LISTS!$A$2:$E$10,4,FALSE),0))</f>
        <v>0</v>
      </c>
      <c r="U388" s="46">
        <f t="shared" si="68"/>
        <v>0</v>
      </c>
      <c r="V388" s="46">
        <f>IF(L388=1,H388+SETTINGS!$B$5/24,"")</f>
        <v>46309.82708333333</v>
      </c>
      <c r="W388" s="28">
        <f ca="1">IF(L388=1,(V388-SETTINGS!$B$4)*24,"")</f>
        <v>-1.6666666720993817E-2</v>
      </c>
      <c r="X388" s="28">
        <f ca="1">IF(AND(L388=1,K388="OK",M388=0,N388=0,O388=0,P388=0,SETTINGS!$B$4&lt;V388,Q388&lt;SETTINGS!$B$6),1,0)</f>
        <v>0</v>
      </c>
      <c r="Y388" s="28">
        <f ca="1">IF(AND(X388=1,SETTINGS!$B$4&gt;=H388,SETTINGS!$B$4&gt;=U388,ROUND(MOD(SETTINGS!$B$4,1)*1440,0)&gt;=ROUND(SETTINGS!$B$7*1440,0),ROUND(MOD(SETTINGS!$B$4,1)*1440,0)&lt;ROUND(SETTINGS!$B$8*1440,0)),1,0)</f>
        <v>0</v>
      </c>
      <c r="Z388" s="28" t="str">
        <f ca="1">IF(B388="","",IF(ROUND(MOD(SETTINGS!$B$4,1)*1440,0)&lt;ROUND(SETTINGS!$B$11*1440,0),"Ram",IF(ROUND(MOD(SETTINGS!$B$4,1)*1440,0)&gt;=ROUND(SETTINGS!$B$10*1440,0),"Shyam",IF(MOD(IFERROR(VALUE(RIGHT(F388,2)),0),2)=0,"Ram","Shyam"))))</f>
        <v>Shyam</v>
      </c>
      <c r="AA388" s="28">
        <f t="shared" ca="1" si="69"/>
        <v>0</v>
      </c>
      <c r="AB388" s="28">
        <f ca="1">IF(X388=1,COUNTIFS($F$2:F388,F388,$X$2:X388,1),0)</f>
        <v>0</v>
      </c>
      <c r="AC388" s="28" t="str">
        <f>IF(L388=1,IF(IFERROR(INDEX(PARTNERS!$C$2:$C$88,MATCH(B388,PARTNERS!$A$2:$A$88,0)),"")="YES","YES","NO"),"")</f>
        <v>NO</v>
      </c>
      <c r="AD388" s="28" t="str">
        <f>IF(L388=1,IFERROR(INDEX(PARTNERS!$B$2:$B$88,MATCH(B388,PARTNERS!$A$2:$A$88,0)),""),"")</f>
        <v>https://calendly.com/partner025/interview</v>
      </c>
      <c r="AE388" s="28">
        <f ca="1">IF(X388=1,IFERROR(INDEX(SETTINGS!$B$34:$D$36,MATCH(I388,SETTINGS!$A$34:$A$36,0),MIN(Q388,2)+1),SETTINGS!$B$36),0)</f>
        <v>0</v>
      </c>
      <c r="AF388" s="28">
        <f t="shared" si="70"/>
        <v>1</v>
      </c>
      <c r="AG388" s="28">
        <f ca="1">IF(AND(Y388=1,AB388=1),ROUND(AA388*AE388*IF(AF388&gt;1,SETTINGS!$B$16,1)*IF(W388&lt;=SETTINGS!$B$14,SETTINGS!$B$15,1)*IF(AU388=1,SETTINGS!$B$21,1),6),0)</f>
        <v>0</v>
      </c>
      <c r="AH388" s="28" t="str">
        <f ca="1">IF(AG388&gt;0,COUNTIFS($Z$2:$Z$601,Z388,$AG$2:$AG$601,"&gt;"&amp;AG388)+COUNTIFS($Z$2:Z388,Z388,$AG$2:AG388,AG388),"")</f>
        <v/>
      </c>
      <c r="AI388" s="28" t="str">
        <f t="shared" ca="1" si="71"/>
        <v/>
      </c>
      <c r="AJ388" s="28" t="str">
        <f t="shared" ca="1" si="72"/>
        <v/>
      </c>
      <c r="AK388" s="28">
        <f>IF(L388=1,IF(COUNTIFS($F$2:F388,F388,$L$2:L388,1)=1,1,0),0)</f>
        <v>1</v>
      </c>
      <c r="AL388" s="28" t="str">
        <f>IF(B388="","",IF(K388="DUPLICATE","Duplicate (removed)",IF(AO388=1,"Scheduled within 24h",IF(M388=1,"Scheduled late",IF(K388="BAD CONTACT","Bad contact details",IF(O388=1,"Stopped / wrong number",IF(N388=1,"Not interested",IF(P388=1,"Partner has no slots",IF(SETTINGS!$B$4&gt;=V388,IF(Q388=0,"Missed deadline: never tried","Missed deadline: tried, not booked"),IF(Q388&gt;=SETTINGS!$B$6,"No reply after max tries","Open"))))))))))</f>
        <v>Scheduled within 24h</v>
      </c>
      <c r="AM388" s="46">
        <f>IF(M388=1,IF(_xlfn.MINIFS(LOG!$G$2:$G$2001,LOG!$C$2:$C$2001,F388,LOG!$E$2:$E$2001,B388,LOG!$D$2:$D$2001,"*BOOKED")=0,_xlfn.MINIFS(LOG!$G$2:$G$2001,LOG!$C$2:$C$2001,F388,LOG!$E$2:$E$2001,"",LOG!$D$2:$D$2001,"*BOOKED"),IF(_xlfn.MINIFS(LOG!$G$2:$G$2001,LOG!$C$2:$C$2001,F388,LOG!$E$2:$E$2001,"",LOG!$D$2:$D$2001,"*BOOKED")=0,_xlfn.MINIFS(LOG!$G$2:$G$2001,LOG!$C$2:$C$2001,F388,LOG!$E$2:$E$2001,B388,LOG!$D$2:$D$2001,"*BOOKED"),MIN(_xlfn.MINIFS(LOG!$G$2:$G$2001,LOG!$C$2:$C$2001,F388,LOG!$E$2:$E$2001,B388,LOG!$D$2:$D$2001,"*BOOKED"),_xlfn.MINIFS(LOG!$G$2:$G$2001,LOG!$C$2:$C$2001,F388,LOG!$E$2:$E$2001,"",LOG!$D$2:$D$2001,"*BOOKED")))),"")</f>
        <v>46309.420269158116</v>
      </c>
      <c r="AN388" s="28">
        <f t="shared" si="73"/>
        <v>14.23645979486173</v>
      </c>
      <c r="AO388" s="28">
        <f>IF(AND(M388=1,AN388&lt;&gt;""),IF(AN388&lt;=SETTINGS!$B$5,1,0),0)</f>
        <v>1</v>
      </c>
      <c r="AP388" s="28">
        <f>IF(M388=1,IF(COUNTIFS(LOG!$C$2:$C$2001,F388,LOG!$E$2:$E$2001,B388,LOG!$D$2:$D$2001,"BOOKED")+COUNTIFS(LOG!$C$2:$C$2001,F388,LOG!$E$2:$E$2001,"",LOG!$D$2:$D$2001,"BOOKED")&gt;0,1,0),0)</f>
        <v>0</v>
      </c>
      <c r="AQ388" s="28" t="str">
        <f t="shared" si="74"/>
        <v>Manav</v>
      </c>
      <c r="AR388" s="28">
        <f>IF(AND(AK388=1,K388="OK"),COUNTIFS($AK$2:AK388,1,$K$2:K388,"OK"),"")</f>
        <v>322</v>
      </c>
      <c r="AS388" s="28" t="str">
        <f>IF(L388=1,IFERROR(INDEX(MESSAGES!$J$9:$J$1008,MATCH(F388,MESSAGES!$M$9:$M$1008,0))&amp;"",""),"")</f>
        <v/>
      </c>
      <c r="AT388" s="28" t="str">
        <f>IF(L388=1,IFERROR(INDEX(MESSAGES!$K$9:$K$1008,MATCH(F388,MESSAGES!$M$9:$M$1008,0))&amp;"",""),"")</f>
        <v/>
      </c>
      <c r="AU388" s="28">
        <f t="shared" ca="1" si="75"/>
        <v>0</v>
      </c>
      <c r="AV388" s="28" t="str">
        <f t="shared" si="76"/>
        <v>SEND</v>
      </c>
    </row>
    <row r="389" spans="1:48" x14ac:dyDescent="0.35">
      <c r="A389" s="28">
        <v>388</v>
      </c>
      <c r="B389" s="28" t="str">
        <f>IF(INPUT!A389="","",TRIM(INPUT!A389))</f>
        <v>Partner 013</v>
      </c>
      <c r="C389" s="28" t="str">
        <f>IF(B389="","",INPUT!C389)</f>
        <v>interviewer1@partner013.example.com</v>
      </c>
      <c r="D389" s="28" t="str">
        <f>IF(B389="","",INPUT!D389)</f>
        <v>Pooja J.</v>
      </c>
      <c r="E389" s="28" t="str">
        <f>IF(B389="","",INPUT!E389)</f>
        <v>pooja.j261@example.com</v>
      </c>
      <c r="F389" s="43" t="str">
        <f>IF(B389="","",TRIM(INPUT!F389&amp;""))</f>
        <v>9000003400</v>
      </c>
      <c r="G389" s="28" t="str">
        <f>IF(B389="","",INPUT!H389)</f>
        <v>Round1</v>
      </c>
      <c r="H389" s="46">
        <f>IF(B389="","",INPUT!I389)</f>
        <v>46308.82708333333</v>
      </c>
      <c r="I389" s="28" t="str">
        <f>IF(B389="","",IF(INPUT!J389="","None",INPUT!J389))</f>
        <v>Opened</v>
      </c>
      <c r="J389" s="28" t="str">
        <f t="shared" si="66"/>
        <v>pooja.j261@example.com|partner 013|Round1|interviewer1@partner013.example.com</v>
      </c>
      <c r="K389" s="28" t="str">
        <f>IF(B389="","",IF(SUMPRODUCT(($J$2:$J$601=J389)*($H$2:$H$601&lt;H389))+SUMPRODUCT(($J$2:J389=J389)*($H$2:H389=H389))-1&gt;0,"DUPLICATE",IF(AND(ISNUMBER(SEARCH("@",E389)),ISNUMBER(SEARCH(".",E389)),LEN(F389)=10,ISNUMBER(VALUE(F389))),"OK","BAD CONTACT")))</f>
        <v>OK</v>
      </c>
      <c r="L389" s="28">
        <f t="shared" si="67"/>
        <v>1</v>
      </c>
      <c r="M389" s="28">
        <f>IF(L389=1,IF(COUNTIFS(LOG!$C$2:$C$2001,F389,LOG!$E$2:$E$2001,B389,LOG!$D$2:$D$2001,"*BOOKED")+COUNTIFS(LOG!$C$2:$C$2001,F389,LOG!$E$2:$E$2001,"",LOG!$D$2:$D$2001,"*BOOKED")&gt;0,1,0),0)</f>
        <v>0</v>
      </c>
      <c r="N389" s="28">
        <f>IF(L389=1,IF(COUNTIFS(LOG!$C$2:$C$2001,F389,LOG!$E$2:$E$2001,B389,LOG!$D$2:$D$2001,"NOT_INTERESTED")+COUNTIFS(LOG!$C$2:$C$2001,F389,LOG!$E$2:$E$2001,"",LOG!$D$2:$D$2001,"NOT_INTERESTED")&gt;0,1,0),0)</f>
        <v>0</v>
      </c>
      <c r="O389" s="28">
        <f>IF(L389=1,IF(COUNTIFS(LOG!$C$2:$C$2001,F389,LOG!$D$2:$D$2001,"STOP")+COUNTIFS(LOG!$C$2:$C$2001,F389,LOG!$D$2:$D$2001,"WRONG_NUMBER")&gt;0,1,IF(ISNUMBER(SEARCH("STOP",AT389)),1,0)),0)</f>
        <v>0</v>
      </c>
      <c r="P389" s="28">
        <f>IF(L389=1,IF(IFERROR(INDEX(PARTNERS!$D$2:$D$88,MATCH(B389,PARTNERS!$A$2:$A$88,0)),"")="NO SLOTS",1,IF(AND(IFERROR(INDEX(PARTNERS!$D$2:$D$88,MATCH(B389,PARTNERS!$A$2:$A$88,0)),"")&lt;&gt;"REOPENED",COUNTIFS(LOG!$E$2:$E$2001,B389,LOG!$D$2:$D$2001,"NO_SLOTS")&gt;0),1,0)),0)</f>
        <v>0</v>
      </c>
      <c r="Q389" s="28">
        <f>IF(L389=1,COUNTIFS(LOG!$C$2:$C$2001,F389,LOG!$H$2:$H$2001,1),0)</f>
        <v>0</v>
      </c>
      <c r="R389" s="46">
        <f>IF(Q389&gt;0,_xlfn.MAXIFS(LOG!$G$2:$G$2001,LOG!$C$2:$C$2001,F389,LOG!$H$2:$H$2001,1),0)</f>
        <v>0</v>
      </c>
      <c r="S389" s="28" t="str">
        <f>IF(Q389&gt;0,IFERROR(INDEX(LOG!$D$2:$D$2001,MATCH(F389&amp;"|"&amp;Q389,LOG!$I$2:$I$2001,0)),""),"")</f>
        <v/>
      </c>
      <c r="T389" s="28">
        <f>IF(S389="",0,IFERROR(VLOOKUP(S389,LISTS!$A$2:$E$10,4,FALSE),0))</f>
        <v>0</v>
      </c>
      <c r="U389" s="46">
        <f t="shared" si="68"/>
        <v>0</v>
      </c>
      <c r="V389" s="46">
        <f>IF(L389=1,H389+SETTINGS!$B$5/24,"")</f>
        <v>46309.82708333333</v>
      </c>
      <c r="W389" s="28">
        <f ca="1">IF(L389=1,(V389-SETTINGS!$B$4)*24,"")</f>
        <v>-1.6666666720993817E-2</v>
      </c>
      <c r="X389" s="28">
        <f ca="1">IF(AND(L389=1,K389="OK",M389=0,N389=0,O389=0,P389=0,SETTINGS!$B$4&lt;V389,Q389&lt;SETTINGS!$B$6),1,0)</f>
        <v>0</v>
      </c>
      <c r="Y389" s="28">
        <f ca="1">IF(AND(X389=1,SETTINGS!$B$4&gt;=H389,SETTINGS!$B$4&gt;=U389,ROUND(MOD(SETTINGS!$B$4,1)*1440,0)&gt;=ROUND(SETTINGS!$B$7*1440,0),ROUND(MOD(SETTINGS!$B$4,1)*1440,0)&lt;ROUND(SETTINGS!$B$8*1440,0)),1,0)</f>
        <v>0</v>
      </c>
      <c r="Z389" s="28" t="str">
        <f ca="1">IF(B389="","",IF(ROUND(MOD(SETTINGS!$B$4,1)*1440,0)&lt;ROUND(SETTINGS!$B$11*1440,0),"Ram",IF(ROUND(MOD(SETTINGS!$B$4,1)*1440,0)&gt;=ROUND(SETTINGS!$B$10*1440,0),"Shyam",IF(MOD(IFERROR(VALUE(RIGHT(F389,2)),0),2)=0,"Ram","Shyam"))))</f>
        <v>Shyam</v>
      </c>
      <c r="AA389" s="28">
        <f t="shared" ca="1" si="69"/>
        <v>0</v>
      </c>
      <c r="AB389" s="28">
        <f ca="1">IF(X389=1,COUNTIFS($F$2:F389,F389,$X$2:X389,1),0)</f>
        <v>0</v>
      </c>
      <c r="AC389" s="28" t="str">
        <f>IF(L389=1,IF(IFERROR(INDEX(PARTNERS!$C$2:$C$88,MATCH(B389,PARTNERS!$A$2:$A$88,0)),"")="YES","YES","NO"),"")</f>
        <v>YES</v>
      </c>
      <c r="AD389" s="28" t="str">
        <f>IF(L389=1,IFERROR(INDEX(PARTNERS!$B$2:$B$88,MATCH(B389,PARTNERS!$A$2:$A$88,0)),""),"")</f>
        <v>https://calendly.com/partner013/interview</v>
      </c>
      <c r="AE389" s="28">
        <f ca="1">IF(X389=1,IFERROR(INDEX(SETTINGS!$B$34:$D$36,MATCH(I389,SETTINGS!$A$34:$A$36,0),MIN(Q389,2)+1),SETTINGS!$B$36),0)</f>
        <v>0</v>
      </c>
      <c r="AF389" s="28">
        <f t="shared" si="70"/>
        <v>1</v>
      </c>
      <c r="AG389" s="28">
        <f ca="1">IF(AND(Y389=1,AB389=1),ROUND(AA389*AE389*IF(AF389&gt;1,SETTINGS!$B$16,1)*IF(W389&lt;=SETTINGS!$B$14,SETTINGS!$B$15,1)*IF(AU389=1,SETTINGS!$B$21,1),6),0)</f>
        <v>0</v>
      </c>
      <c r="AH389" s="28" t="str">
        <f ca="1">IF(AG389&gt;0,COUNTIFS($Z$2:$Z$601,Z389,$AG$2:$AG$601,"&gt;"&amp;AG389)+COUNTIFS($Z$2:Z389,Z389,$AG$2:AG389,AG389),"")</f>
        <v/>
      </c>
      <c r="AI389" s="28" t="str">
        <f t="shared" ca="1" si="71"/>
        <v/>
      </c>
      <c r="AJ389" s="28" t="str">
        <f t="shared" ca="1" si="72"/>
        <v/>
      </c>
      <c r="AK389" s="28">
        <f>IF(L389=1,IF(COUNTIFS($F$2:F389,F389,$L$2:L389,1)=1,1,0),0)</f>
        <v>1</v>
      </c>
      <c r="AL389" s="28" t="str">
        <f ca="1">IF(B389="","",IF(K389="DUPLICATE","Duplicate (removed)",IF(AO389=1,"Scheduled within 24h",IF(M389=1,"Scheduled late",IF(K389="BAD CONTACT","Bad contact details",IF(O389=1,"Stopped / wrong number",IF(N389=1,"Not interested",IF(P389=1,"Partner has no slots",IF(SETTINGS!$B$4&gt;=V389,IF(Q389=0,"Missed deadline: never tried","Missed deadline: tried, not booked"),IF(Q389&gt;=SETTINGS!$B$6,"No reply after max tries","Open"))))))))))</f>
        <v>Missed deadline: never tried</v>
      </c>
      <c r="AM389" s="46" t="str">
        <f>IF(M389=1,IF(_xlfn.MINIFS(LOG!$G$2:$G$2001,LOG!$C$2:$C$2001,F389,LOG!$E$2:$E$2001,B389,LOG!$D$2:$D$2001,"*BOOKED")=0,_xlfn.MINIFS(LOG!$G$2:$G$2001,LOG!$C$2:$C$2001,F389,LOG!$E$2:$E$2001,"",LOG!$D$2:$D$2001,"*BOOKED"),IF(_xlfn.MINIFS(LOG!$G$2:$G$2001,LOG!$C$2:$C$2001,F389,LOG!$E$2:$E$2001,"",LOG!$D$2:$D$2001,"*BOOKED")=0,_xlfn.MINIFS(LOG!$G$2:$G$2001,LOG!$C$2:$C$2001,F389,LOG!$E$2:$E$2001,B389,LOG!$D$2:$D$2001,"*BOOKED"),MIN(_xlfn.MINIFS(LOG!$G$2:$G$2001,LOG!$C$2:$C$2001,F389,LOG!$E$2:$E$2001,B389,LOG!$D$2:$D$2001,"*BOOKED"),_xlfn.MINIFS(LOG!$G$2:$G$2001,LOG!$C$2:$C$2001,F389,LOG!$E$2:$E$2001,"",LOG!$D$2:$D$2001,"*BOOKED")))),"")</f>
        <v/>
      </c>
      <c r="AN389" s="28" t="str">
        <f t="shared" si="73"/>
        <v/>
      </c>
      <c r="AO389" s="28">
        <f>IF(AND(M389=1,AN389&lt;&gt;""),IF(AN389&lt;=SETTINGS!$B$5,1,0),0)</f>
        <v>0</v>
      </c>
      <c r="AP389" s="28">
        <f>IF(M389=1,IF(COUNTIFS(LOG!$C$2:$C$2001,F389,LOG!$E$2:$E$2001,B389,LOG!$D$2:$D$2001,"BOOKED")+COUNTIFS(LOG!$C$2:$C$2001,F389,LOG!$E$2:$E$2001,"",LOG!$D$2:$D$2001,"BOOKED")&gt;0,1,0),0)</f>
        <v>0</v>
      </c>
      <c r="AQ389" s="28" t="str">
        <f t="shared" si="74"/>
        <v>Pooja</v>
      </c>
      <c r="AR389" s="28">
        <f>IF(AND(AK389=1,K389="OK"),COUNTIFS($AK$2:AK389,1,$K$2:K389,"OK"),"")</f>
        <v>323</v>
      </c>
      <c r="AS389" s="28" t="str">
        <f>IF(L389=1,IFERROR(INDEX(MESSAGES!$J$9:$J$1008,MATCH(F389,MESSAGES!$M$9:$M$1008,0))&amp;"",""),"")</f>
        <v/>
      </c>
      <c r="AT389" s="28" t="str">
        <f>IF(L389=1,IFERROR(INDEX(MESSAGES!$K$9:$K$1008,MATCH(F389,MESSAGES!$M$9:$M$1008,0))&amp;"",""),"")</f>
        <v/>
      </c>
      <c r="AU389" s="28">
        <f t="shared" ca="1" si="75"/>
        <v>0</v>
      </c>
      <c r="AV389" s="28" t="str">
        <f t="shared" si="76"/>
        <v>SEND</v>
      </c>
    </row>
    <row r="390" spans="1:48" x14ac:dyDescent="0.35">
      <c r="A390" s="28">
        <v>389</v>
      </c>
      <c r="B390" s="28" t="str">
        <f>IF(INPUT!A390="","",TRIM(INPUT!A390))</f>
        <v>Partner 008</v>
      </c>
      <c r="C390" s="28" t="str">
        <f>IF(B390="","",INPUT!C390)</f>
        <v>interviewer1@partner008.example.com</v>
      </c>
      <c r="D390" s="28" t="str">
        <f>IF(B390="","",INPUT!D390)</f>
        <v>Arjun E.</v>
      </c>
      <c r="E390" s="28" t="str">
        <f>IF(B390="","",INPUT!E390)</f>
        <v>arjun.e128@example.com</v>
      </c>
      <c r="F390" s="43" t="str">
        <f>IF(B390="","",TRIM(INPUT!F390&amp;""))</f>
        <v>9000001671</v>
      </c>
      <c r="G390" s="28" t="str">
        <f>IF(B390="","",INPUT!H390)</f>
        <v>Round1</v>
      </c>
      <c r="H390" s="46">
        <f>IF(B390="","",INPUT!I390)</f>
        <v>46308.82708333333</v>
      </c>
      <c r="I390" s="28" t="str">
        <f>IF(B390="","",IF(INPUT!J390="","None",INPUT!J390))</f>
        <v>None</v>
      </c>
      <c r="J390" s="28" t="str">
        <f t="shared" si="66"/>
        <v>arjun.e128@example.com|partner 008|Round1|interviewer1@partner008.example.com</v>
      </c>
      <c r="K390" s="28" t="str">
        <f>IF(B390="","",IF(SUMPRODUCT(($J$2:$J$601=J390)*($H$2:$H$601&lt;H390))+SUMPRODUCT(($J$2:J390=J390)*($H$2:H390=H390))-1&gt;0,"DUPLICATE",IF(AND(ISNUMBER(SEARCH("@",E390)),ISNUMBER(SEARCH(".",E390)),LEN(F390)=10,ISNUMBER(VALUE(F390))),"OK","BAD CONTACT")))</f>
        <v>OK</v>
      </c>
      <c r="L390" s="28">
        <f t="shared" si="67"/>
        <v>1</v>
      </c>
      <c r="M390" s="28">
        <f>IF(L390=1,IF(COUNTIFS(LOG!$C$2:$C$2001,F390,LOG!$E$2:$E$2001,B390,LOG!$D$2:$D$2001,"*BOOKED")+COUNTIFS(LOG!$C$2:$C$2001,F390,LOG!$E$2:$E$2001,"",LOG!$D$2:$D$2001,"*BOOKED")&gt;0,1,0),0)</f>
        <v>0</v>
      </c>
      <c r="N390" s="28">
        <f>IF(L390=1,IF(COUNTIFS(LOG!$C$2:$C$2001,F390,LOG!$E$2:$E$2001,B390,LOG!$D$2:$D$2001,"NOT_INTERESTED")+COUNTIFS(LOG!$C$2:$C$2001,F390,LOG!$E$2:$E$2001,"",LOG!$D$2:$D$2001,"NOT_INTERESTED")&gt;0,1,0),0)</f>
        <v>0</v>
      </c>
      <c r="O390" s="28">
        <f>IF(L390=1,IF(COUNTIFS(LOG!$C$2:$C$2001,F390,LOG!$D$2:$D$2001,"STOP")+COUNTIFS(LOG!$C$2:$C$2001,F390,LOG!$D$2:$D$2001,"WRONG_NUMBER")&gt;0,1,IF(ISNUMBER(SEARCH("STOP",AT390)),1,0)),0)</f>
        <v>0</v>
      </c>
      <c r="P390" s="28">
        <f>IF(L390=1,IF(IFERROR(INDEX(PARTNERS!$D$2:$D$88,MATCH(B390,PARTNERS!$A$2:$A$88,0)),"")="NO SLOTS",1,IF(AND(IFERROR(INDEX(PARTNERS!$D$2:$D$88,MATCH(B390,PARTNERS!$A$2:$A$88,0)),"")&lt;&gt;"REOPENED",COUNTIFS(LOG!$E$2:$E$2001,B390,LOG!$D$2:$D$2001,"NO_SLOTS")&gt;0),1,0)),0)</f>
        <v>0</v>
      </c>
      <c r="Q390" s="28">
        <f>IF(L390=1,COUNTIFS(LOG!$C$2:$C$2001,F390,LOG!$H$2:$H$2001,1),0)</f>
        <v>0</v>
      </c>
      <c r="R390" s="46">
        <f>IF(Q390&gt;0,_xlfn.MAXIFS(LOG!$G$2:$G$2001,LOG!$C$2:$C$2001,F390,LOG!$H$2:$H$2001,1),0)</f>
        <v>0</v>
      </c>
      <c r="S390" s="28" t="str">
        <f>IF(Q390&gt;0,IFERROR(INDEX(LOG!$D$2:$D$2001,MATCH(F390&amp;"|"&amp;Q390,LOG!$I$2:$I$2001,0)),""),"")</f>
        <v/>
      </c>
      <c r="T390" s="28">
        <f>IF(S390="",0,IFERROR(VLOOKUP(S390,LISTS!$A$2:$E$10,4,FALSE),0))</f>
        <v>0</v>
      </c>
      <c r="U390" s="46">
        <f t="shared" si="68"/>
        <v>0</v>
      </c>
      <c r="V390" s="46">
        <f>IF(L390=1,H390+SETTINGS!$B$5/24,"")</f>
        <v>46309.82708333333</v>
      </c>
      <c r="W390" s="28">
        <f ca="1">IF(L390=1,(V390-SETTINGS!$B$4)*24,"")</f>
        <v>-1.6666666720993817E-2</v>
      </c>
      <c r="X390" s="28">
        <f ca="1">IF(AND(L390=1,K390="OK",M390=0,N390=0,O390=0,P390=0,SETTINGS!$B$4&lt;V390,Q390&lt;SETTINGS!$B$6),1,0)</f>
        <v>0</v>
      </c>
      <c r="Y390" s="28">
        <f ca="1">IF(AND(X390=1,SETTINGS!$B$4&gt;=H390,SETTINGS!$B$4&gt;=U390,ROUND(MOD(SETTINGS!$B$4,1)*1440,0)&gt;=ROUND(SETTINGS!$B$7*1440,0),ROUND(MOD(SETTINGS!$B$4,1)*1440,0)&lt;ROUND(SETTINGS!$B$8*1440,0)),1,0)</f>
        <v>0</v>
      </c>
      <c r="Z390" s="28" t="str">
        <f ca="1">IF(B390="","",IF(ROUND(MOD(SETTINGS!$B$4,1)*1440,0)&lt;ROUND(SETTINGS!$B$11*1440,0),"Ram",IF(ROUND(MOD(SETTINGS!$B$4,1)*1440,0)&gt;=ROUND(SETTINGS!$B$10*1440,0),"Shyam",IF(MOD(IFERROR(VALUE(RIGHT(F390,2)),0),2)=0,"Ram","Shyam"))))</f>
        <v>Shyam</v>
      </c>
      <c r="AA390" s="28">
        <f t="shared" ca="1" si="69"/>
        <v>0</v>
      </c>
      <c r="AB390" s="28">
        <f ca="1">IF(X390=1,COUNTIFS($F$2:F390,F390,$X$2:X390,1),0)</f>
        <v>0</v>
      </c>
      <c r="AC390" s="28" t="str">
        <f>IF(L390=1,IF(IFERROR(INDEX(PARTNERS!$C$2:$C$88,MATCH(B390,PARTNERS!$A$2:$A$88,0)),"")="YES","YES","NO"),"")</f>
        <v>YES</v>
      </c>
      <c r="AD390" s="28" t="str">
        <f>IF(L390=1,IFERROR(INDEX(PARTNERS!$B$2:$B$88,MATCH(B390,PARTNERS!$A$2:$A$88,0)),""),"")</f>
        <v>https://calendly.com/partner008/interview</v>
      </c>
      <c r="AE390" s="28">
        <f ca="1">IF(X390=1,IFERROR(INDEX(SETTINGS!$B$34:$D$36,MATCH(I390,SETTINGS!$A$34:$A$36,0),MIN(Q390,2)+1),SETTINGS!$B$36),0)</f>
        <v>0</v>
      </c>
      <c r="AF390" s="28">
        <f t="shared" si="70"/>
        <v>1</v>
      </c>
      <c r="AG390" s="28">
        <f ca="1">IF(AND(Y390=1,AB390=1),ROUND(AA390*AE390*IF(AF390&gt;1,SETTINGS!$B$16,1)*IF(W390&lt;=SETTINGS!$B$14,SETTINGS!$B$15,1)*IF(AU390=1,SETTINGS!$B$21,1),6),0)</f>
        <v>0</v>
      </c>
      <c r="AH390" s="28" t="str">
        <f ca="1">IF(AG390&gt;0,COUNTIFS($Z$2:$Z$601,Z390,$AG$2:$AG$601,"&gt;"&amp;AG390)+COUNTIFS($Z$2:Z390,Z390,$AG$2:AG390,AG390),"")</f>
        <v/>
      </c>
      <c r="AI390" s="28" t="str">
        <f t="shared" ca="1" si="71"/>
        <v/>
      </c>
      <c r="AJ390" s="28" t="str">
        <f t="shared" ca="1" si="72"/>
        <v/>
      </c>
      <c r="AK390" s="28">
        <f>IF(L390=1,IF(COUNTIFS($F$2:F390,F390,$L$2:L390,1)=1,1,0),0)</f>
        <v>1</v>
      </c>
      <c r="AL390" s="28" t="str">
        <f ca="1">IF(B390="","",IF(K390="DUPLICATE","Duplicate (removed)",IF(AO390=1,"Scheduled within 24h",IF(M390=1,"Scheduled late",IF(K390="BAD CONTACT","Bad contact details",IF(O390=1,"Stopped / wrong number",IF(N390=1,"Not interested",IF(P390=1,"Partner has no slots",IF(SETTINGS!$B$4&gt;=V390,IF(Q390=0,"Missed deadline: never tried","Missed deadline: tried, not booked"),IF(Q390&gt;=SETTINGS!$B$6,"No reply after max tries","Open"))))))))))</f>
        <v>Missed deadline: never tried</v>
      </c>
      <c r="AM390" s="46" t="str">
        <f>IF(M390=1,IF(_xlfn.MINIFS(LOG!$G$2:$G$2001,LOG!$C$2:$C$2001,F390,LOG!$E$2:$E$2001,B390,LOG!$D$2:$D$2001,"*BOOKED")=0,_xlfn.MINIFS(LOG!$G$2:$G$2001,LOG!$C$2:$C$2001,F390,LOG!$E$2:$E$2001,"",LOG!$D$2:$D$2001,"*BOOKED"),IF(_xlfn.MINIFS(LOG!$G$2:$G$2001,LOG!$C$2:$C$2001,F390,LOG!$E$2:$E$2001,"",LOG!$D$2:$D$2001,"*BOOKED")=0,_xlfn.MINIFS(LOG!$G$2:$G$2001,LOG!$C$2:$C$2001,F390,LOG!$E$2:$E$2001,B390,LOG!$D$2:$D$2001,"*BOOKED"),MIN(_xlfn.MINIFS(LOG!$G$2:$G$2001,LOG!$C$2:$C$2001,F390,LOG!$E$2:$E$2001,B390,LOG!$D$2:$D$2001,"*BOOKED"),_xlfn.MINIFS(LOG!$G$2:$G$2001,LOG!$C$2:$C$2001,F390,LOG!$E$2:$E$2001,"",LOG!$D$2:$D$2001,"*BOOKED")))),"")</f>
        <v/>
      </c>
      <c r="AN390" s="28" t="str">
        <f t="shared" si="73"/>
        <v/>
      </c>
      <c r="AO390" s="28">
        <f>IF(AND(M390=1,AN390&lt;&gt;""),IF(AN390&lt;=SETTINGS!$B$5,1,0),0)</f>
        <v>0</v>
      </c>
      <c r="AP390" s="28">
        <f>IF(M390=1,IF(COUNTIFS(LOG!$C$2:$C$2001,F390,LOG!$E$2:$E$2001,B390,LOG!$D$2:$D$2001,"BOOKED")+COUNTIFS(LOG!$C$2:$C$2001,F390,LOG!$E$2:$E$2001,"",LOG!$D$2:$D$2001,"BOOKED")&gt;0,1,0),0)</f>
        <v>0</v>
      </c>
      <c r="AQ390" s="28" t="str">
        <f t="shared" si="74"/>
        <v>Arjun</v>
      </c>
      <c r="AR390" s="28">
        <f>IF(AND(AK390=1,K390="OK"),COUNTIFS($AK$2:AK390,1,$K$2:K390,"OK"),"")</f>
        <v>324</v>
      </c>
      <c r="AS390" s="28" t="str">
        <f>IF(L390=1,IFERROR(INDEX(MESSAGES!$J$9:$J$1008,MATCH(F390,MESSAGES!$M$9:$M$1008,0))&amp;"",""),"")</f>
        <v/>
      </c>
      <c r="AT390" s="28" t="str">
        <f>IF(L390=1,IFERROR(INDEX(MESSAGES!$K$9:$K$1008,MATCH(F390,MESSAGES!$M$9:$M$1008,0))&amp;"",""),"")</f>
        <v/>
      </c>
      <c r="AU390" s="28">
        <f t="shared" ca="1" si="75"/>
        <v>0</v>
      </c>
      <c r="AV390" s="28" t="str">
        <f t="shared" si="76"/>
        <v>HOLD</v>
      </c>
    </row>
    <row r="391" spans="1:48" x14ac:dyDescent="0.35">
      <c r="A391" s="28">
        <v>390</v>
      </c>
      <c r="B391" s="28" t="str">
        <f>IF(INPUT!A391="","",TRIM(INPUT!A391))</f>
        <v>Partner 025</v>
      </c>
      <c r="C391" s="28" t="str">
        <f>IF(B391="","",INPUT!C391)</f>
        <v>interviewer0@partner025.example.com</v>
      </c>
      <c r="D391" s="28" t="str">
        <f>IF(B391="","",INPUT!D391)</f>
        <v>Ishaan L.</v>
      </c>
      <c r="E391" s="28" t="str">
        <f>IF(B391="","",INPUT!E391)</f>
        <v>ishaan.l314@example.com</v>
      </c>
      <c r="F391" s="43" t="str">
        <f>IF(B391="","",TRIM(INPUT!F391&amp;""))</f>
        <v>9000004089</v>
      </c>
      <c r="G391" s="28" t="str">
        <f>IF(B391="","",INPUT!H391)</f>
        <v>Round1</v>
      </c>
      <c r="H391" s="46">
        <f>IF(B391="","",INPUT!I391)</f>
        <v>46308.82708333333</v>
      </c>
      <c r="I391" s="28" t="str">
        <f>IF(B391="","",IF(INPUT!J391="","None",INPUT!J391))</f>
        <v>Opened</v>
      </c>
      <c r="J391" s="28" t="str">
        <f t="shared" si="66"/>
        <v>ishaan.l314@example.com|partner 025|Round1|interviewer0@partner025.example.com</v>
      </c>
      <c r="K391" s="28" t="str">
        <f>IF(B391="","",IF(SUMPRODUCT(($J$2:$J$601=J391)*($H$2:$H$601&lt;H391))+SUMPRODUCT(($J$2:J391=J391)*($H$2:H391=H391))-1&gt;0,"DUPLICATE",IF(AND(ISNUMBER(SEARCH("@",E391)),ISNUMBER(SEARCH(".",E391)),LEN(F391)=10,ISNUMBER(VALUE(F391))),"OK","BAD CONTACT")))</f>
        <v>OK</v>
      </c>
      <c r="L391" s="28">
        <f t="shared" si="67"/>
        <v>1</v>
      </c>
      <c r="M391" s="28">
        <f>IF(L391=1,IF(COUNTIFS(LOG!$C$2:$C$2001,F391,LOG!$E$2:$E$2001,B391,LOG!$D$2:$D$2001,"*BOOKED")+COUNTIFS(LOG!$C$2:$C$2001,F391,LOG!$E$2:$E$2001,"",LOG!$D$2:$D$2001,"*BOOKED")&gt;0,1,0),0)</f>
        <v>0</v>
      </c>
      <c r="N391" s="28">
        <f>IF(L391=1,IF(COUNTIFS(LOG!$C$2:$C$2001,F391,LOG!$E$2:$E$2001,B391,LOG!$D$2:$D$2001,"NOT_INTERESTED")+COUNTIFS(LOG!$C$2:$C$2001,F391,LOG!$E$2:$E$2001,"",LOG!$D$2:$D$2001,"NOT_INTERESTED")&gt;0,1,0),0)</f>
        <v>0</v>
      </c>
      <c r="O391" s="28">
        <f>IF(L391=1,IF(COUNTIFS(LOG!$C$2:$C$2001,F391,LOG!$D$2:$D$2001,"STOP")+COUNTIFS(LOG!$C$2:$C$2001,F391,LOG!$D$2:$D$2001,"WRONG_NUMBER")&gt;0,1,IF(ISNUMBER(SEARCH("STOP",AT391)),1,0)),0)</f>
        <v>0</v>
      </c>
      <c r="P391" s="28">
        <f>IF(L391=1,IF(IFERROR(INDEX(PARTNERS!$D$2:$D$88,MATCH(B391,PARTNERS!$A$2:$A$88,0)),"")="NO SLOTS",1,IF(AND(IFERROR(INDEX(PARTNERS!$D$2:$D$88,MATCH(B391,PARTNERS!$A$2:$A$88,0)),"")&lt;&gt;"REOPENED",COUNTIFS(LOG!$E$2:$E$2001,B391,LOG!$D$2:$D$2001,"NO_SLOTS")&gt;0),1,0)),0)</f>
        <v>0</v>
      </c>
      <c r="Q391" s="28">
        <f>IF(L391=1,COUNTIFS(LOG!$C$2:$C$2001,F391,LOG!$H$2:$H$2001,1),0)</f>
        <v>3</v>
      </c>
      <c r="R391" s="46">
        <f>IF(Q391&gt;0,_xlfn.MAXIFS(LOG!$G$2:$G$2001,LOG!$C$2:$C$2001,F391,LOG!$H$2:$H$2001,1),0)</f>
        <v>46309.71586280824</v>
      </c>
      <c r="S391" s="28" t="str">
        <f>IF(Q391&gt;0,IFERROR(INDEX(LOG!$D$2:$D$2001,MATCH(F391&amp;"|"&amp;Q391,LOG!$I$2:$I$2001,0)),""),"")</f>
        <v>SENT_LINK</v>
      </c>
      <c r="T391" s="28">
        <f>IF(S391="",0,IFERROR(VLOOKUP(S391,LISTS!$A$2:$E$10,4,FALSE),0))</f>
        <v>180</v>
      </c>
      <c r="U391" s="46">
        <f t="shared" si="68"/>
        <v>46309.84086280824</v>
      </c>
      <c r="V391" s="46">
        <f>IF(L391=1,H391+SETTINGS!$B$5/24,"")</f>
        <v>46309.82708333333</v>
      </c>
      <c r="W391" s="28">
        <f ca="1">IF(L391=1,(V391-SETTINGS!$B$4)*24,"")</f>
        <v>-1.6666666720993817E-2</v>
      </c>
      <c r="X391" s="28">
        <f ca="1">IF(AND(L391=1,K391="OK",M391=0,N391=0,O391=0,P391=0,SETTINGS!$B$4&lt;V391,Q391&lt;SETTINGS!$B$6),1,0)</f>
        <v>0</v>
      </c>
      <c r="Y391" s="28">
        <f ca="1">IF(AND(X391=1,SETTINGS!$B$4&gt;=H391,SETTINGS!$B$4&gt;=U391,ROUND(MOD(SETTINGS!$B$4,1)*1440,0)&gt;=ROUND(SETTINGS!$B$7*1440,0),ROUND(MOD(SETTINGS!$B$4,1)*1440,0)&lt;ROUND(SETTINGS!$B$8*1440,0)),1,0)</f>
        <v>0</v>
      </c>
      <c r="Z391" s="28" t="str">
        <f ca="1">IF(B391="","",IF(ROUND(MOD(SETTINGS!$B$4,1)*1440,0)&lt;ROUND(SETTINGS!$B$11*1440,0),"Ram",IF(ROUND(MOD(SETTINGS!$B$4,1)*1440,0)&gt;=ROUND(SETTINGS!$B$10*1440,0),"Shyam",IF(MOD(IFERROR(VALUE(RIGHT(F391,2)),0),2)=0,"Ram","Shyam"))))</f>
        <v>Shyam</v>
      </c>
      <c r="AA391" s="28">
        <f t="shared" ca="1" si="69"/>
        <v>0</v>
      </c>
      <c r="AB391" s="28">
        <f ca="1">IF(X391=1,COUNTIFS($F$2:F391,F391,$X$2:X391,1),0)</f>
        <v>0</v>
      </c>
      <c r="AC391" s="28" t="str">
        <f>IF(L391=1,IF(IFERROR(INDEX(PARTNERS!$C$2:$C$88,MATCH(B391,PARTNERS!$A$2:$A$88,0)),"")="YES","YES","NO"),"")</f>
        <v>NO</v>
      </c>
      <c r="AD391" s="28" t="str">
        <f>IF(L391=1,IFERROR(INDEX(PARTNERS!$B$2:$B$88,MATCH(B391,PARTNERS!$A$2:$A$88,0)),""),"")</f>
        <v>https://calendly.com/partner025/interview</v>
      </c>
      <c r="AE391" s="28">
        <f ca="1">IF(X391=1,IFERROR(INDEX(SETTINGS!$B$34:$D$36,MATCH(I391,SETTINGS!$A$34:$A$36,0),MIN(Q391,2)+1),SETTINGS!$B$36),0)</f>
        <v>0</v>
      </c>
      <c r="AF391" s="28">
        <f t="shared" si="70"/>
        <v>1</v>
      </c>
      <c r="AG391" s="28">
        <f ca="1">IF(AND(Y391=1,AB391=1),ROUND(AA391*AE391*IF(AF391&gt;1,SETTINGS!$B$16,1)*IF(W391&lt;=SETTINGS!$B$14,SETTINGS!$B$15,1)*IF(AU391=1,SETTINGS!$B$21,1),6),0)</f>
        <v>0</v>
      </c>
      <c r="AH391" s="28" t="str">
        <f ca="1">IF(AG391&gt;0,COUNTIFS($Z$2:$Z$601,Z391,$AG$2:$AG$601,"&gt;"&amp;AG391)+COUNTIFS($Z$2:Z391,Z391,$AG$2:AG391,AG391),"")</f>
        <v/>
      </c>
      <c r="AI391" s="28" t="str">
        <f t="shared" ca="1" si="71"/>
        <v/>
      </c>
      <c r="AJ391" s="28" t="str">
        <f t="shared" ca="1" si="72"/>
        <v/>
      </c>
      <c r="AK391" s="28">
        <f>IF(L391=1,IF(COUNTIFS($F$2:F391,F391,$L$2:L391,1)=1,1,0),0)</f>
        <v>1</v>
      </c>
      <c r="AL391" s="28" t="str">
        <f ca="1">IF(B391="","",IF(K391="DUPLICATE","Duplicate (removed)",IF(AO391=1,"Scheduled within 24h",IF(M391=1,"Scheduled late",IF(K391="BAD CONTACT","Bad contact details",IF(O391=1,"Stopped / wrong number",IF(N391=1,"Not interested",IF(P391=1,"Partner has no slots",IF(SETTINGS!$B$4&gt;=V391,IF(Q391=0,"Missed deadline: never tried","Missed deadline: tried, not booked"),IF(Q391&gt;=SETTINGS!$B$6,"No reply after max tries","Open"))))))))))</f>
        <v>Missed deadline: tried, not booked</v>
      </c>
      <c r="AM391" s="46" t="str">
        <f>IF(M391=1,IF(_xlfn.MINIFS(LOG!$G$2:$G$2001,LOG!$C$2:$C$2001,F391,LOG!$E$2:$E$2001,B391,LOG!$D$2:$D$2001,"*BOOKED")=0,_xlfn.MINIFS(LOG!$G$2:$G$2001,LOG!$C$2:$C$2001,F391,LOG!$E$2:$E$2001,"",LOG!$D$2:$D$2001,"*BOOKED"),IF(_xlfn.MINIFS(LOG!$G$2:$G$2001,LOG!$C$2:$C$2001,F391,LOG!$E$2:$E$2001,"",LOG!$D$2:$D$2001,"*BOOKED")=0,_xlfn.MINIFS(LOG!$G$2:$G$2001,LOG!$C$2:$C$2001,F391,LOG!$E$2:$E$2001,B391,LOG!$D$2:$D$2001,"*BOOKED"),MIN(_xlfn.MINIFS(LOG!$G$2:$G$2001,LOG!$C$2:$C$2001,F391,LOG!$E$2:$E$2001,B391,LOG!$D$2:$D$2001,"*BOOKED"),_xlfn.MINIFS(LOG!$G$2:$G$2001,LOG!$C$2:$C$2001,F391,LOG!$E$2:$E$2001,"",LOG!$D$2:$D$2001,"*BOOKED")))),"")</f>
        <v/>
      </c>
      <c r="AN391" s="28" t="str">
        <f t="shared" si="73"/>
        <v/>
      </c>
      <c r="AO391" s="28">
        <f>IF(AND(M391=1,AN391&lt;&gt;""),IF(AN391&lt;=SETTINGS!$B$5,1,0),0)</f>
        <v>0</v>
      </c>
      <c r="AP391" s="28">
        <f>IF(M391=1,IF(COUNTIFS(LOG!$C$2:$C$2001,F391,LOG!$E$2:$E$2001,B391,LOG!$D$2:$D$2001,"BOOKED")+COUNTIFS(LOG!$C$2:$C$2001,F391,LOG!$E$2:$E$2001,"",LOG!$D$2:$D$2001,"BOOKED")&gt;0,1,0),0)</f>
        <v>0</v>
      </c>
      <c r="AQ391" s="28" t="str">
        <f t="shared" si="74"/>
        <v>Ishaan</v>
      </c>
      <c r="AR391" s="28">
        <f>IF(AND(AK391=1,K391="OK"),COUNTIFS($AK$2:AK391,1,$K$2:K391,"OK"),"")</f>
        <v>325</v>
      </c>
      <c r="AS391" s="28" t="str">
        <f>IF(L391=1,IFERROR(INDEX(MESSAGES!$J$9:$J$1008,MATCH(F391,MESSAGES!$M$9:$M$1008,0))&amp;"",""),"")</f>
        <v/>
      </c>
      <c r="AT391" s="28" t="str">
        <f>IF(L391=1,IFERROR(INDEX(MESSAGES!$K$9:$K$1008,MATCH(F391,MESSAGES!$M$9:$M$1008,0))&amp;"",""),"")</f>
        <v/>
      </c>
      <c r="AU391" s="28">
        <f t="shared" ca="1" si="75"/>
        <v>0</v>
      </c>
      <c r="AV391" s="28" t="str">
        <f t="shared" si="76"/>
        <v>SEND</v>
      </c>
    </row>
    <row r="392" spans="1:48" x14ac:dyDescent="0.35">
      <c r="A392" s="28">
        <v>391</v>
      </c>
      <c r="B392" s="28" t="str">
        <f>IF(INPUT!A392="","",TRIM(INPUT!A392))</f>
        <v>Partner 000</v>
      </c>
      <c r="C392" s="28" t="str">
        <f>IF(B392="","",INPUT!C392)</f>
        <v>interviewer1@partner000.example.com</v>
      </c>
      <c r="D392" s="28" t="str">
        <f>IF(B392="","",INPUT!D392)</f>
        <v>Aditya P.</v>
      </c>
      <c r="E392" s="28" t="str">
        <f>IF(B392="","",INPUT!E392)</f>
        <v>aditya.p412@example.com</v>
      </c>
      <c r="F392" s="43" t="str">
        <f>IF(B392="","",TRIM(INPUT!F392&amp;""))</f>
        <v>9000005363</v>
      </c>
      <c r="G392" s="28" t="str">
        <f>IF(B392="","",INPUT!H392)</f>
        <v>Round1</v>
      </c>
      <c r="H392" s="46">
        <f>IF(B392="","",INPUT!I392)</f>
        <v>46308.82708333333</v>
      </c>
      <c r="I392" s="28" t="str">
        <f>IF(B392="","",IF(INPUT!J392="","None",INPUT!J392))</f>
        <v>Clicked</v>
      </c>
      <c r="J392" s="28" t="str">
        <f t="shared" si="66"/>
        <v>aditya.p412@example.com|partner 000|Round1|interviewer1@partner000.example.com</v>
      </c>
      <c r="K392" s="28" t="str">
        <f>IF(B392="","",IF(SUMPRODUCT(($J$2:$J$601=J392)*($H$2:$H$601&lt;H392))+SUMPRODUCT(($J$2:J392=J392)*($H$2:H392=H392))-1&gt;0,"DUPLICATE",IF(AND(ISNUMBER(SEARCH("@",E392)),ISNUMBER(SEARCH(".",E392)),LEN(F392)=10,ISNUMBER(VALUE(F392))),"OK","BAD CONTACT")))</f>
        <v>OK</v>
      </c>
      <c r="L392" s="28">
        <f t="shared" si="67"/>
        <v>1</v>
      </c>
      <c r="M392" s="28">
        <f>IF(L392=1,IF(COUNTIFS(LOG!$C$2:$C$2001,F392,LOG!$E$2:$E$2001,B392,LOG!$D$2:$D$2001,"*BOOKED")+COUNTIFS(LOG!$C$2:$C$2001,F392,LOG!$E$2:$E$2001,"",LOG!$D$2:$D$2001,"*BOOKED")&gt;0,1,0),0)</f>
        <v>1</v>
      </c>
      <c r="N392" s="28">
        <f>IF(L392=1,IF(COUNTIFS(LOG!$C$2:$C$2001,F392,LOG!$E$2:$E$2001,B392,LOG!$D$2:$D$2001,"NOT_INTERESTED")+COUNTIFS(LOG!$C$2:$C$2001,F392,LOG!$E$2:$E$2001,"",LOG!$D$2:$D$2001,"NOT_INTERESTED")&gt;0,1,0),0)</f>
        <v>0</v>
      </c>
      <c r="O392" s="28">
        <f>IF(L392=1,IF(COUNTIFS(LOG!$C$2:$C$2001,F392,LOG!$D$2:$D$2001,"STOP")+COUNTIFS(LOG!$C$2:$C$2001,F392,LOG!$D$2:$D$2001,"WRONG_NUMBER")&gt;0,1,IF(ISNUMBER(SEARCH("STOP",AT392)),1,0)),0)</f>
        <v>0</v>
      </c>
      <c r="P392" s="28">
        <f>IF(L392=1,IF(IFERROR(INDEX(PARTNERS!$D$2:$D$88,MATCH(B392,PARTNERS!$A$2:$A$88,0)),"")="NO SLOTS",1,IF(AND(IFERROR(INDEX(PARTNERS!$D$2:$D$88,MATCH(B392,PARTNERS!$A$2:$A$88,0)),"")&lt;&gt;"REOPENED",COUNTIFS(LOG!$E$2:$E$2001,B392,LOG!$D$2:$D$2001,"NO_SLOTS")&gt;0),1,0)),0)</f>
        <v>0</v>
      </c>
      <c r="Q392" s="28">
        <f>IF(L392=1,COUNTIFS(LOG!$C$2:$C$2001,F392,LOG!$H$2:$H$2001,1),0)</f>
        <v>1</v>
      </c>
      <c r="R392" s="46">
        <f>IF(Q392&gt;0,_xlfn.MAXIFS(LOG!$G$2:$G$2001,LOG!$C$2:$C$2001,F392,LOG!$H$2:$H$2001,1),0)</f>
        <v>46309.436012346196</v>
      </c>
      <c r="S392" s="28" t="str">
        <f>IF(Q392&gt;0,IFERROR(INDEX(LOG!$D$2:$D$2001,MATCH(F392&amp;"|"&amp;Q392,LOG!$I$2:$I$2001,0)),""),"")</f>
        <v>SENT_LINK</v>
      </c>
      <c r="T392" s="28">
        <f>IF(S392="",0,IFERROR(VLOOKUP(S392,LISTS!$A$2:$E$10,4,FALSE),0))</f>
        <v>180</v>
      </c>
      <c r="U392" s="46">
        <f t="shared" si="68"/>
        <v>46309.561012346196</v>
      </c>
      <c r="V392" s="46">
        <f>IF(L392=1,H392+SETTINGS!$B$5/24,"")</f>
        <v>46309.82708333333</v>
      </c>
      <c r="W392" s="28">
        <f ca="1">IF(L392=1,(V392-SETTINGS!$B$4)*24,"")</f>
        <v>-1.6666666720993817E-2</v>
      </c>
      <c r="X392" s="28">
        <f ca="1">IF(AND(L392=1,K392="OK",M392=0,N392=0,O392=0,P392=0,SETTINGS!$B$4&lt;V392,Q392&lt;SETTINGS!$B$6),1,0)</f>
        <v>0</v>
      </c>
      <c r="Y392" s="28">
        <f ca="1">IF(AND(X392=1,SETTINGS!$B$4&gt;=H392,SETTINGS!$B$4&gt;=U392,ROUND(MOD(SETTINGS!$B$4,1)*1440,0)&gt;=ROUND(SETTINGS!$B$7*1440,0),ROUND(MOD(SETTINGS!$B$4,1)*1440,0)&lt;ROUND(SETTINGS!$B$8*1440,0)),1,0)</f>
        <v>0</v>
      </c>
      <c r="Z392" s="28" t="str">
        <f ca="1">IF(B392="","",IF(ROUND(MOD(SETTINGS!$B$4,1)*1440,0)&lt;ROUND(SETTINGS!$B$11*1440,0),"Ram",IF(ROUND(MOD(SETTINGS!$B$4,1)*1440,0)&gt;=ROUND(SETTINGS!$B$10*1440,0),"Shyam",IF(MOD(IFERROR(VALUE(RIGHT(F392,2)),0),2)=0,"Ram","Shyam"))))</f>
        <v>Shyam</v>
      </c>
      <c r="AA392" s="28">
        <f t="shared" ca="1" si="69"/>
        <v>0</v>
      </c>
      <c r="AB392" s="28">
        <f ca="1">IF(X392=1,COUNTIFS($F$2:F392,F392,$X$2:X392,1),0)</f>
        <v>0</v>
      </c>
      <c r="AC392" s="28" t="str">
        <f>IF(L392=1,IF(IFERROR(INDEX(PARTNERS!$C$2:$C$88,MATCH(B392,PARTNERS!$A$2:$A$88,0)),"")="YES","YES","NO"),"")</f>
        <v>NO</v>
      </c>
      <c r="AD392" s="28" t="str">
        <f>IF(L392=1,IFERROR(INDEX(PARTNERS!$B$2:$B$88,MATCH(B392,PARTNERS!$A$2:$A$88,0)),""),"")</f>
        <v>https://calendly.com/partner000/interview</v>
      </c>
      <c r="AE392" s="28">
        <f ca="1">IF(X392=1,IFERROR(INDEX(SETTINGS!$B$34:$D$36,MATCH(I392,SETTINGS!$A$34:$A$36,0),MIN(Q392,2)+1),SETTINGS!$B$36),0)</f>
        <v>0</v>
      </c>
      <c r="AF392" s="28">
        <f t="shared" si="70"/>
        <v>1</v>
      </c>
      <c r="AG392" s="28">
        <f ca="1">IF(AND(Y392=1,AB392=1),ROUND(AA392*AE392*IF(AF392&gt;1,SETTINGS!$B$16,1)*IF(W392&lt;=SETTINGS!$B$14,SETTINGS!$B$15,1)*IF(AU392=1,SETTINGS!$B$21,1),6),0)</f>
        <v>0</v>
      </c>
      <c r="AH392" s="28" t="str">
        <f ca="1">IF(AG392&gt;0,COUNTIFS($Z$2:$Z$601,Z392,$AG$2:$AG$601,"&gt;"&amp;AG392)+COUNTIFS($Z$2:Z392,Z392,$AG$2:AG392,AG392),"")</f>
        <v/>
      </c>
      <c r="AI392" s="28" t="str">
        <f t="shared" ca="1" si="71"/>
        <v/>
      </c>
      <c r="AJ392" s="28" t="str">
        <f t="shared" ca="1" si="72"/>
        <v/>
      </c>
      <c r="AK392" s="28">
        <f>IF(L392=1,IF(COUNTIFS($F$2:F392,F392,$L$2:L392,1)=1,1,0),0)</f>
        <v>0</v>
      </c>
      <c r="AL392" s="28" t="str">
        <f>IF(B392="","",IF(K392="DUPLICATE","Duplicate (removed)",IF(AO392=1,"Scheduled within 24h",IF(M392=1,"Scheduled late",IF(K392="BAD CONTACT","Bad contact details",IF(O392=1,"Stopped / wrong number",IF(N392=1,"Not interested",IF(P392=1,"Partner has no slots",IF(SETTINGS!$B$4&gt;=V392,IF(Q392=0,"Missed deadline: never tried","Missed deadline: tried, not booked"),IF(Q392&gt;=SETTINGS!$B$6,"No reply after max tries","Open"))))))))))</f>
        <v>Scheduled within 24h</v>
      </c>
      <c r="AM392" s="46">
        <f>IF(M392=1,IF(_xlfn.MINIFS(LOG!$G$2:$G$2001,LOG!$C$2:$C$2001,F392,LOG!$E$2:$E$2001,B392,LOG!$D$2:$D$2001,"*BOOKED")=0,_xlfn.MINIFS(LOG!$G$2:$G$2001,LOG!$C$2:$C$2001,F392,LOG!$E$2:$E$2001,"",LOG!$D$2:$D$2001,"*BOOKED"),IF(_xlfn.MINIFS(LOG!$G$2:$G$2001,LOG!$C$2:$C$2001,F392,LOG!$E$2:$E$2001,"",LOG!$D$2:$D$2001,"*BOOKED")=0,_xlfn.MINIFS(LOG!$G$2:$G$2001,LOG!$C$2:$C$2001,F392,LOG!$E$2:$E$2001,B392,LOG!$D$2:$D$2001,"*BOOKED"),MIN(_xlfn.MINIFS(LOG!$G$2:$G$2001,LOG!$C$2:$C$2001,F392,LOG!$E$2:$E$2001,B392,LOG!$D$2:$D$2001,"*BOOKED"),_xlfn.MINIFS(LOG!$G$2:$G$2001,LOG!$C$2:$C$2001,F392,LOG!$E$2:$E$2001,"",LOG!$D$2:$D$2001,"*BOOKED")))),"")</f>
        <v>46309.453737891483</v>
      </c>
      <c r="AN392" s="28">
        <f t="shared" si="73"/>
        <v>15.039709395670798</v>
      </c>
      <c r="AO392" s="28">
        <f>IF(AND(M392=1,AN392&lt;&gt;""),IF(AN392&lt;=SETTINGS!$B$5,1,0),0)</f>
        <v>1</v>
      </c>
      <c r="AP392" s="28">
        <f>IF(M392=1,IF(COUNTIFS(LOG!$C$2:$C$2001,F392,LOG!$E$2:$E$2001,B392,LOG!$D$2:$D$2001,"BOOKED")+COUNTIFS(LOG!$C$2:$C$2001,F392,LOG!$E$2:$E$2001,"",LOG!$D$2:$D$2001,"BOOKED")&gt;0,1,0),0)</f>
        <v>0</v>
      </c>
      <c r="AQ392" s="28" t="str">
        <f t="shared" si="74"/>
        <v>Aditya</v>
      </c>
      <c r="AR392" s="28" t="str">
        <f>IF(AND(AK392=1,K392="OK"),COUNTIFS($AK$2:AK392,1,$K$2:K392,"OK"),"")</f>
        <v/>
      </c>
      <c r="AS392" s="28" t="str">
        <f>IF(L392=1,IFERROR(INDEX(MESSAGES!$J$9:$J$1008,MATCH(F392,MESSAGES!$M$9:$M$1008,0))&amp;"",""),"")</f>
        <v/>
      </c>
      <c r="AT392" s="28" t="str">
        <f>IF(L392=1,IFERROR(INDEX(MESSAGES!$K$9:$K$1008,MATCH(F392,MESSAGES!$M$9:$M$1008,0))&amp;"",""),"")</f>
        <v/>
      </c>
      <c r="AU392" s="28">
        <f t="shared" ca="1" si="75"/>
        <v>0</v>
      </c>
      <c r="AV392" s="28" t="str">
        <f t="shared" si="76"/>
        <v>SEND</v>
      </c>
    </row>
    <row r="393" spans="1:48" x14ac:dyDescent="0.35">
      <c r="A393" s="28">
        <v>392</v>
      </c>
      <c r="B393" s="28" t="str">
        <f>IF(INPUT!A393="","",TRIM(INPUT!A393))</f>
        <v>Partner 000</v>
      </c>
      <c r="C393" s="28" t="str">
        <f>IF(B393="","",INPUT!C393)</f>
        <v>interviewer2@partner000.example.com</v>
      </c>
      <c r="D393" s="28" t="str">
        <f>IF(B393="","",INPUT!D393)</f>
        <v>Arjun H.</v>
      </c>
      <c r="E393" s="28" t="str">
        <f>IF(B393="","",INPUT!E393)</f>
        <v>arjun.h218@example.com</v>
      </c>
      <c r="F393" s="43" t="str">
        <f>IF(B393="","",TRIM(INPUT!F393&amp;""))</f>
        <v>9000002841</v>
      </c>
      <c r="G393" s="28" t="str">
        <f>IF(B393="","",INPUT!H393)</f>
        <v>Round1</v>
      </c>
      <c r="H393" s="46">
        <f>IF(B393="","",INPUT!I393)</f>
        <v>46308.82708333333</v>
      </c>
      <c r="I393" s="28" t="str">
        <f>IF(B393="","",IF(INPUT!J393="","None",INPUT!J393))</f>
        <v>None</v>
      </c>
      <c r="J393" s="28" t="str">
        <f t="shared" si="66"/>
        <v>arjun.h218@example.com|partner 000|Round1|interviewer2@partner000.example.com</v>
      </c>
      <c r="K393" s="28" t="str">
        <f>IF(B393="","",IF(SUMPRODUCT(($J$2:$J$601=J393)*($H$2:$H$601&lt;H393))+SUMPRODUCT(($J$2:J393=J393)*($H$2:H393=H393))-1&gt;0,"DUPLICATE",IF(AND(ISNUMBER(SEARCH("@",E393)),ISNUMBER(SEARCH(".",E393)),LEN(F393)=10,ISNUMBER(VALUE(F393))),"OK","BAD CONTACT")))</f>
        <v>OK</v>
      </c>
      <c r="L393" s="28">
        <f t="shared" si="67"/>
        <v>1</v>
      </c>
      <c r="M393" s="28">
        <f>IF(L393=1,IF(COUNTIFS(LOG!$C$2:$C$2001,F393,LOG!$E$2:$E$2001,B393,LOG!$D$2:$D$2001,"*BOOKED")+COUNTIFS(LOG!$C$2:$C$2001,F393,LOG!$E$2:$E$2001,"",LOG!$D$2:$D$2001,"*BOOKED")&gt;0,1,0),0)</f>
        <v>0</v>
      </c>
      <c r="N393" s="28">
        <f>IF(L393=1,IF(COUNTIFS(LOG!$C$2:$C$2001,F393,LOG!$E$2:$E$2001,B393,LOG!$D$2:$D$2001,"NOT_INTERESTED")+COUNTIFS(LOG!$C$2:$C$2001,F393,LOG!$E$2:$E$2001,"",LOG!$D$2:$D$2001,"NOT_INTERESTED")&gt;0,1,0),0)</f>
        <v>0</v>
      </c>
      <c r="O393" s="28">
        <f>IF(L393=1,IF(COUNTIFS(LOG!$C$2:$C$2001,F393,LOG!$D$2:$D$2001,"STOP")+COUNTIFS(LOG!$C$2:$C$2001,F393,LOG!$D$2:$D$2001,"WRONG_NUMBER")&gt;0,1,IF(ISNUMBER(SEARCH("STOP",AT393)),1,0)),0)</f>
        <v>0</v>
      </c>
      <c r="P393" s="28">
        <f>IF(L393=1,IF(IFERROR(INDEX(PARTNERS!$D$2:$D$88,MATCH(B393,PARTNERS!$A$2:$A$88,0)),"")="NO SLOTS",1,IF(AND(IFERROR(INDEX(PARTNERS!$D$2:$D$88,MATCH(B393,PARTNERS!$A$2:$A$88,0)),"")&lt;&gt;"REOPENED",COUNTIFS(LOG!$E$2:$E$2001,B393,LOG!$D$2:$D$2001,"NO_SLOTS")&gt;0),1,0)),0)</f>
        <v>0</v>
      </c>
      <c r="Q393" s="28">
        <f>IF(L393=1,COUNTIFS(LOG!$C$2:$C$2001,F393,LOG!$H$2:$H$2001,1),0)</f>
        <v>0</v>
      </c>
      <c r="R393" s="46">
        <f>IF(Q393&gt;0,_xlfn.MAXIFS(LOG!$G$2:$G$2001,LOG!$C$2:$C$2001,F393,LOG!$H$2:$H$2001,1),0)</f>
        <v>0</v>
      </c>
      <c r="S393" s="28" t="str">
        <f>IF(Q393&gt;0,IFERROR(INDEX(LOG!$D$2:$D$2001,MATCH(F393&amp;"|"&amp;Q393,LOG!$I$2:$I$2001,0)),""),"")</f>
        <v/>
      </c>
      <c r="T393" s="28">
        <f>IF(S393="",0,IFERROR(VLOOKUP(S393,LISTS!$A$2:$E$10,4,FALSE),0))</f>
        <v>0</v>
      </c>
      <c r="U393" s="46">
        <f t="shared" si="68"/>
        <v>0</v>
      </c>
      <c r="V393" s="46">
        <f>IF(L393=1,H393+SETTINGS!$B$5/24,"")</f>
        <v>46309.82708333333</v>
      </c>
      <c r="W393" s="28">
        <f ca="1">IF(L393=1,(V393-SETTINGS!$B$4)*24,"")</f>
        <v>-1.6666666720993817E-2</v>
      </c>
      <c r="X393" s="28">
        <f ca="1">IF(AND(L393=1,K393="OK",M393=0,N393=0,O393=0,P393=0,SETTINGS!$B$4&lt;V393,Q393&lt;SETTINGS!$B$6),1,0)</f>
        <v>0</v>
      </c>
      <c r="Y393" s="28">
        <f ca="1">IF(AND(X393=1,SETTINGS!$B$4&gt;=H393,SETTINGS!$B$4&gt;=U393,ROUND(MOD(SETTINGS!$B$4,1)*1440,0)&gt;=ROUND(SETTINGS!$B$7*1440,0),ROUND(MOD(SETTINGS!$B$4,1)*1440,0)&lt;ROUND(SETTINGS!$B$8*1440,0)),1,0)</f>
        <v>0</v>
      </c>
      <c r="Z393" s="28" t="str">
        <f ca="1">IF(B393="","",IF(ROUND(MOD(SETTINGS!$B$4,1)*1440,0)&lt;ROUND(SETTINGS!$B$11*1440,0),"Ram",IF(ROUND(MOD(SETTINGS!$B$4,1)*1440,0)&gt;=ROUND(SETTINGS!$B$10*1440,0),"Shyam",IF(MOD(IFERROR(VALUE(RIGHT(F393,2)),0),2)=0,"Ram","Shyam"))))</f>
        <v>Shyam</v>
      </c>
      <c r="AA393" s="28">
        <f t="shared" ca="1" si="69"/>
        <v>0</v>
      </c>
      <c r="AB393" s="28">
        <f ca="1">IF(X393=1,COUNTIFS($F$2:F393,F393,$X$2:X393,1),0)</f>
        <v>0</v>
      </c>
      <c r="AC393" s="28" t="str">
        <f>IF(L393=1,IF(IFERROR(INDEX(PARTNERS!$C$2:$C$88,MATCH(B393,PARTNERS!$A$2:$A$88,0)),"")="YES","YES","NO"),"")</f>
        <v>NO</v>
      </c>
      <c r="AD393" s="28" t="str">
        <f>IF(L393=1,IFERROR(INDEX(PARTNERS!$B$2:$B$88,MATCH(B393,PARTNERS!$A$2:$A$88,0)),""),"")</f>
        <v>https://calendly.com/partner000/interview</v>
      </c>
      <c r="AE393" s="28">
        <f ca="1">IF(X393=1,IFERROR(INDEX(SETTINGS!$B$34:$D$36,MATCH(I393,SETTINGS!$A$34:$A$36,0),MIN(Q393,2)+1),SETTINGS!$B$36),0)</f>
        <v>0</v>
      </c>
      <c r="AF393" s="28">
        <f t="shared" si="70"/>
        <v>1</v>
      </c>
      <c r="AG393" s="28">
        <f ca="1">IF(AND(Y393=1,AB393=1),ROUND(AA393*AE393*IF(AF393&gt;1,SETTINGS!$B$16,1)*IF(W393&lt;=SETTINGS!$B$14,SETTINGS!$B$15,1)*IF(AU393=1,SETTINGS!$B$21,1),6),0)</f>
        <v>0</v>
      </c>
      <c r="AH393" s="28" t="str">
        <f ca="1">IF(AG393&gt;0,COUNTIFS($Z$2:$Z$601,Z393,$AG$2:$AG$601,"&gt;"&amp;AG393)+COUNTIFS($Z$2:Z393,Z393,$AG$2:AG393,AG393),"")</f>
        <v/>
      </c>
      <c r="AI393" s="28" t="str">
        <f t="shared" ca="1" si="71"/>
        <v/>
      </c>
      <c r="AJ393" s="28" t="str">
        <f t="shared" ca="1" si="72"/>
        <v/>
      </c>
      <c r="AK393" s="28">
        <f>IF(L393=1,IF(COUNTIFS($F$2:F393,F393,$L$2:L393,1)=1,1,0),0)</f>
        <v>1</v>
      </c>
      <c r="AL393" s="28" t="str">
        <f ca="1">IF(B393="","",IF(K393="DUPLICATE","Duplicate (removed)",IF(AO393=1,"Scheduled within 24h",IF(M393=1,"Scheduled late",IF(K393="BAD CONTACT","Bad contact details",IF(O393=1,"Stopped / wrong number",IF(N393=1,"Not interested",IF(P393=1,"Partner has no slots",IF(SETTINGS!$B$4&gt;=V393,IF(Q393=0,"Missed deadline: never tried","Missed deadline: tried, not booked"),IF(Q393&gt;=SETTINGS!$B$6,"No reply after max tries","Open"))))))))))</f>
        <v>Missed deadline: never tried</v>
      </c>
      <c r="AM393" s="46" t="str">
        <f>IF(M393=1,IF(_xlfn.MINIFS(LOG!$G$2:$G$2001,LOG!$C$2:$C$2001,F393,LOG!$E$2:$E$2001,B393,LOG!$D$2:$D$2001,"*BOOKED")=0,_xlfn.MINIFS(LOG!$G$2:$G$2001,LOG!$C$2:$C$2001,F393,LOG!$E$2:$E$2001,"",LOG!$D$2:$D$2001,"*BOOKED"),IF(_xlfn.MINIFS(LOG!$G$2:$G$2001,LOG!$C$2:$C$2001,F393,LOG!$E$2:$E$2001,"",LOG!$D$2:$D$2001,"*BOOKED")=0,_xlfn.MINIFS(LOG!$G$2:$G$2001,LOG!$C$2:$C$2001,F393,LOG!$E$2:$E$2001,B393,LOG!$D$2:$D$2001,"*BOOKED"),MIN(_xlfn.MINIFS(LOG!$G$2:$G$2001,LOG!$C$2:$C$2001,F393,LOG!$E$2:$E$2001,B393,LOG!$D$2:$D$2001,"*BOOKED"),_xlfn.MINIFS(LOG!$G$2:$G$2001,LOG!$C$2:$C$2001,F393,LOG!$E$2:$E$2001,"",LOG!$D$2:$D$2001,"*BOOKED")))),"")</f>
        <v/>
      </c>
      <c r="AN393" s="28" t="str">
        <f t="shared" si="73"/>
        <v/>
      </c>
      <c r="AO393" s="28">
        <f>IF(AND(M393=1,AN393&lt;&gt;""),IF(AN393&lt;=SETTINGS!$B$5,1,0),0)</f>
        <v>0</v>
      </c>
      <c r="AP393" s="28">
        <f>IF(M393=1,IF(COUNTIFS(LOG!$C$2:$C$2001,F393,LOG!$E$2:$E$2001,B393,LOG!$D$2:$D$2001,"BOOKED")+COUNTIFS(LOG!$C$2:$C$2001,F393,LOG!$E$2:$E$2001,"",LOG!$D$2:$D$2001,"BOOKED")&gt;0,1,0),0)</f>
        <v>0</v>
      </c>
      <c r="AQ393" s="28" t="str">
        <f t="shared" si="74"/>
        <v>Arjun</v>
      </c>
      <c r="AR393" s="28">
        <f>IF(AND(AK393=1,K393="OK"),COUNTIFS($AK$2:AK393,1,$K$2:K393,"OK"),"")</f>
        <v>326</v>
      </c>
      <c r="AS393" s="28" t="str">
        <f>IF(L393=1,IFERROR(INDEX(MESSAGES!$J$9:$J$1008,MATCH(F393,MESSAGES!$M$9:$M$1008,0))&amp;"",""),"")</f>
        <v/>
      </c>
      <c r="AT393" s="28" t="str">
        <f>IF(L393=1,IFERROR(INDEX(MESSAGES!$K$9:$K$1008,MATCH(F393,MESSAGES!$M$9:$M$1008,0))&amp;"",""),"")</f>
        <v/>
      </c>
      <c r="AU393" s="28">
        <f t="shared" ca="1" si="75"/>
        <v>0</v>
      </c>
      <c r="AV393" s="28" t="str">
        <f t="shared" si="76"/>
        <v>SEND</v>
      </c>
    </row>
    <row r="394" spans="1:48" x14ac:dyDescent="0.35">
      <c r="A394" s="28">
        <v>393</v>
      </c>
      <c r="B394" s="28" t="str">
        <f>IF(INPUT!A394="","",TRIM(INPUT!A394))</f>
        <v>Partner 021</v>
      </c>
      <c r="C394" s="28" t="str">
        <f>IF(B394="","",INPUT!C394)</f>
        <v>interviewer2@partner021.example.com</v>
      </c>
      <c r="D394" s="28" t="str">
        <f>IF(B394="","",INPUT!D394)</f>
        <v>Zoya A.</v>
      </c>
      <c r="E394" s="28" t="str">
        <f>IF(B394="","",INPUT!E394)</f>
        <v>zoya.a017@example.com</v>
      </c>
      <c r="F394" s="43" t="str">
        <f>IF(B394="","",TRIM(INPUT!F394&amp;""))</f>
        <v>9000000228</v>
      </c>
      <c r="G394" s="28" t="str">
        <f>IF(B394="","",INPUT!H394)</f>
        <v>Round1</v>
      </c>
      <c r="H394" s="46">
        <f>IF(B394="","",INPUT!I394)</f>
        <v>46308.82708333333</v>
      </c>
      <c r="I394" s="28" t="str">
        <f>IF(B394="","",IF(INPUT!J394="","None",INPUT!J394))</f>
        <v>Opened</v>
      </c>
      <c r="J394" s="28" t="str">
        <f t="shared" si="66"/>
        <v>zoya.a017@example.com|partner 021|Round1|interviewer2@partner021.example.com</v>
      </c>
      <c r="K394" s="28" t="str">
        <f>IF(B394="","",IF(SUMPRODUCT(($J$2:$J$601=J394)*($H$2:$H$601&lt;H394))+SUMPRODUCT(($J$2:J394=J394)*($H$2:H394=H394))-1&gt;0,"DUPLICATE",IF(AND(ISNUMBER(SEARCH("@",E394)),ISNUMBER(SEARCH(".",E394)),LEN(F394)=10,ISNUMBER(VALUE(F394))),"OK","BAD CONTACT")))</f>
        <v>OK</v>
      </c>
      <c r="L394" s="28">
        <f t="shared" si="67"/>
        <v>1</v>
      </c>
      <c r="M394" s="28">
        <f>IF(L394=1,IF(COUNTIFS(LOG!$C$2:$C$2001,F394,LOG!$E$2:$E$2001,B394,LOG!$D$2:$D$2001,"*BOOKED")+COUNTIFS(LOG!$C$2:$C$2001,F394,LOG!$E$2:$E$2001,"",LOG!$D$2:$D$2001,"*BOOKED")&gt;0,1,0),0)</f>
        <v>0</v>
      </c>
      <c r="N394" s="28">
        <f>IF(L394=1,IF(COUNTIFS(LOG!$C$2:$C$2001,F394,LOG!$E$2:$E$2001,B394,LOG!$D$2:$D$2001,"NOT_INTERESTED")+COUNTIFS(LOG!$C$2:$C$2001,F394,LOG!$E$2:$E$2001,"",LOG!$D$2:$D$2001,"NOT_INTERESTED")&gt;0,1,0),0)</f>
        <v>0</v>
      </c>
      <c r="O394" s="28">
        <f>IF(L394=1,IF(COUNTIFS(LOG!$C$2:$C$2001,F394,LOG!$D$2:$D$2001,"STOP")+COUNTIFS(LOG!$C$2:$C$2001,F394,LOG!$D$2:$D$2001,"WRONG_NUMBER")&gt;0,1,IF(ISNUMBER(SEARCH("STOP",AT394)),1,0)),0)</f>
        <v>0</v>
      </c>
      <c r="P394" s="28">
        <f>IF(L394=1,IF(IFERROR(INDEX(PARTNERS!$D$2:$D$88,MATCH(B394,PARTNERS!$A$2:$A$88,0)),"")="NO SLOTS",1,IF(AND(IFERROR(INDEX(PARTNERS!$D$2:$D$88,MATCH(B394,PARTNERS!$A$2:$A$88,0)),"")&lt;&gt;"REOPENED",COUNTIFS(LOG!$E$2:$E$2001,B394,LOG!$D$2:$D$2001,"NO_SLOTS")&gt;0),1,0)),0)</f>
        <v>0</v>
      </c>
      <c r="Q394" s="28">
        <f>IF(L394=1,COUNTIFS(LOG!$C$2:$C$2001,F394,LOG!$H$2:$H$2001,1),0)</f>
        <v>0</v>
      </c>
      <c r="R394" s="46">
        <f>IF(Q394&gt;0,_xlfn.MAXIFS(LOG!$G$2:$G$2001,LOG!$C$2:$C$2001,F394,LOG!$H$2:$H$2001,1),0)</f>
        <v>0</v>
      </c>
      <c r="S394" s="28" t="str">
        <f>IF(Q394&gt;0,IFERROR(INDEX(LOG!$D$2:$D$2001,MATCH(F394&amp;"|"&amp;Q394,LOG!$I$2:$I$2001,0)),""),"")</f>
        <v/>
      </c>
      <c r="T394" s="28">
        <f>IF(S394="",0,IFERROR(VLOOKUP(S394,LISTS!$A$2:$E$10,4,FALSE),0))</f>
        <v>0</v>
      </c>
      <c r="U394" s="46">
        <f t="shared" si="68"/>
        <v>0</v>
      </c>
      <c r="V394" s="46">
        <f>IF(L394=1,H394+SETTINGS!$B$5/24,"")</f>
        <v>46309.82708333333</v>
      </c>
      <c r="W394" s="28">
        <f ca="1">IF(L394=1,(V394-SETTINGS!$B$4)*24,"")</f>
        <v>-1.6666666720993817E-2</v>
      </c>
      <c r="X394" s="28">
        <f ca="1">IF(AND(L394=1,K394="OK",M394=0,N394=0,O394=0,P394=0,SETTINGS!$B$4&lt;V394,Q394&lt;SETTINGS!$B$6),1,0)</f>
        <v>0</v>
      </c>
      <c r="Y394" s="28">
        <f ca="1">IF(AND(X394=1,SETTINGS!$B$4&gt;=H394,SETTINGS!$B$4&gt;=U394,ROUND(MOD(SETTINGS!$B$4,1)*1440,0)&gt;=ROUND(SETTINGS!$B$7*1440,0),ROUND(MOD(SETTINGS!$B$4,1)*1440,0)&lt;ROUND(SETTINGS!$B$8*1440,0)),1,0)</f>
        <v>0</v>
      </c>
      <c r="Z394" s="28" t="str">
        <f ca="1">IF(B394="","",IF(ROUND(MOD(SETTINGS!$B$4,1)*1440,0)&lt;ROUND(SETTINGS!$B$11*1440,0),"Ram",IF(ROUND(MOD(SETTINGS!$B$4,1)*1440,0)&gt;=ROUND(SETTINGS!$B$10*1440,0),"Shyam",IF(MOD(IFERROR(VALUE(RIGHT(F394,2)),0),2)=0,"Ram","Shyam"))))</f>
        <v>Shyam</v>
      </c>
      <c r="AA394" s="28">
        <f t="shared" ca="1" si="69"/>
        <v>0</v>
      </c>
      <c r="AB394" s="28">
        <f ca="1">IF(X394=1,COUNTIFS($F$2:F394,F394,$X$2:X394,1),0)</f>
        <v>0</v>
      </c>
      <c r="AC394" s="28" t="str">
        <f>IF(L394=1,IF(IFERROR(INDEX(PARTNERS!$C$2:$C$88,MATCH(B394,PARTNERS!$A$2:$A$88,0)),"")="YES","YES","NO"),"")</f>
        <v>NO</v>
      </c>
      <c r="AD394" s="28" t="str">
        <f>IF(L394=1,IFERROR(INDEX(PARTNERS!$B$2:$B$88,MATCH(B394,PARTNERS!$A$2:$A$88,0)),""),"")</f>
        <v>https://calendly.com/partner021/interview</v>
      </c>
      <c r="AE394" s="28">
        <f ca="1">IF(X394=1,IFERROR(INDEX(SETTINGS!$B$34:$D$36,MATCH(I394,SETTINGS!$A$34:$A$36,0),MIN(Q394,2)+1),SETTINGS!$B$36),0)</f>
        <v>0</v>
      </c>
      <c r="AF394" s="28">
        <f t="shared" si="70"/>
        <v>1</v>
      </c>
      <c r="AG394" s="28">
        <f ca="1">IF(AND(Y394=1,AB394=1),ROUND(AA394*AE394*IF(AF394&gt;1,SETTINGS!$B$16,1)*IF(W394&lt;=SETTINGS!$B$14,SETTINGS!$B$15,1)*IF(AU394=1,SETTINGS!$B$21,1),6),0)</f>
        <v>0</v>
      </c>
      <c r="AH394" s="28" t="str">
        <f ca="1">IF(AG394&gt;0,COUNTIFS($Z$2:$Z$601,Z394,$AG$2:$AG$601,"&gt;"&amp;AG394)+COUNTIFS($Z$2:Z394,Z394,$AG$2:AG394,AG394),"")</f>
        <v/>
      </c>
      <c r="AI394" s="28" t="str">
        <f t="shared" ca="1" si="71"/>
        <v/>
      </c>
      <c r="AJ394" s="28" t="str">
        <f t="shared" ca="1" si="72"/>
        <v/>
      </c>
      <c r="AK394" s="28">
        <f>IF(L394=1,IF(COUNTIFS($F$2:F394,F394,$L$2:L394,1)=1,1,0),0)</f>
        <v>1</v>
      </c>
      <c r="AL394" s="28" t="str">
        <f ca="1">IF(B394="","",IF(K394="DUPLICATE","Duplicate (removed)",IF(AO394=1,"Scheduled within 24h",IF(M394=1,"Scheduled late",IF(K394="BAD CONTACT","Bad contact details",IF(O394=1,"Stopped / wrong number",IF(N394=1,"Not interested",IF(P394=1,"Partner has no slots",IF(SETTINGS!$B$4&gt;=V394,IF(Q394=0,"Missed deadline: never tried","Missed deadline: tried, not booked"),IF(Q394&gt;=SETTINGS!$B$6,"No reply after max tries","Open"))))))))))</f>
        <v>Missed deadline: never tried</v>
      </c>
      <c r="AM394" s="46" t="str">
        <f>IF(M394=1,IF(_xlfn.MINIFS(LOG!$G$2:$G$2001,LOG!$C$2:$C$2001,F394,LOG!$E$2:$E$2001,B394,LOG!$D$2:$D$2001,"*BOOKED")=0,_xlfn.MINIFS(LOG!$G$2:$G$2001,LOG!$C$2:$C$2001,F394,LOG!$E$2:$E$2001,"",LOG!$D$2:$D$2001,"*BOOKED"),IF(_xlfn.MINIFS(LOG!$G$2:$G$2001,LOG!$C$2:$C$2001,F394,LOG!$E$2:$E$2001,"",LOG!$D$2:$D$2001,"*BOOKED")=0,_xlfn.MINIFS(LOG!$G$2:$G$2001,LOG!$C$2:$C$2001,F394,LOG!$E$2:$E$2001,B394,LOG!$D$2:$D$2001,"*BOOKED"),MIN(_xlfn.MINIFS(LOG!$G$2:$G$2001,LOG!$C$2:$C$2001,F394,LOG!$E$2:$E$2001,B394,LOG!$D$2:$D$2001,"*BOOKED"),_xlfn.MINIFS(LOG!$G$2:$G$2001,LOG!$C$2:$C$2001,F394,LOG!$E$2:$E$2001,"",LOG!$D$2:$D$2001,"*BOOKED")))),"")</f>
        <v/>
      </c>
      <c r="AN394" s="28" t="str">
        <f t="shared" si="73"/>
        <v/>
      </c>
      <c r="AO394" s="28">
        <f>IF(AND(M394=1,AN394&lt;&gt;""),IF(AN394&lt;=SETTINGS!$B$5,1,0),0)</f>
        <v>0</v>
      </c>
      <c r="AP394" s="28">
        <f>IF(M394=1,IF(COUNTIFS(LOG!$C$2:$C$2001,F394,LOG!$E$2:$E$2001,B394,LOG!$D$2:$D$2001,"BOOKED")+COUNTIFS(LOG!$C$2:$C$2001,F394,LOG!$E$2:$E$2001,"",LOG!$D$2:$D$2001,"BOOKED")&gt;0,1,0),0)</f>
        <v>0</v>
      </c>
      <c r="AQ394" s="28" t="str">
        <f t="shared" si="74"/>
        <v>Zoya</v>
      </c>
      <c r="AR394" s="28">
        <f>IF(AND(AK394=1,K394="OK"),COUNTIFS($AK$2:AK394,1,$K$2:K394,"OK"),"")</f>
        <v>327</v>
      </c>
      <c r="AS394" s="28" t="str">
        <f>IF(L394=1,IFERROR(INDEX(MESSAGES!$J$9:$J$1008,MATCH(F394,MESSAGES!$M$9:$M$1008,0))&amp;"",""),"")</f>
        <v/>
      </c>
      <c r="AT394" s="28" t="str">
        <f>IF(L394=1,IFERROR(INDEX(MESSAGES!$K$9:$K$1008,MATCH(F394,MESSAGES!$M$9:$M$1008,0))&amp;"",""),"")</f>
        <v/>
      </c>
      <c r="AU394" s="28">
        <f t="shared" ca="1" si="75"/>
        <v>0</v>
      </c>
      <c r="AV394" s="28" t="str">
        <f t="shared" si="76"/>
        <v>SEND</v>
      </c>
    </row>
    <row r="395" spans="1:48" x14ac:dyDescent="0.35">
      <c r="A395" s="28">
        <v>394</v>
      </c>
      <c r="B395" s="28" t="str">
        <f>IF(INPUT!A395="","",TRIM(INPUT!A395))</f>
        <v>Partner 085</v>
      </c>
      <c r="C395" s="28" t="str">
        <f>IF(B395="","",INPUT!C395)</f>
        <v>interviewer0@partner085.example.com</v>
      </c>
      <c r="D395" s="28" t="str">
        <f>IF(B395="","",INPUT!D395)</f>
        <v>Kabir D.</v>
      </c>
      <c r="E395" s="28" t="str">
        <f>IF(B395="","",INPUT!E395)</f>
        <v>kabir.d092@example.com</v>
      </c>
      <c r="F395" s="43" t="str">
        <f>IF(B395="","",TRIM(INPUT!F395&amp;""))</f>
        <v>9000001203</v>
      </c>
      <c r="G395" s="28" t="str">
        <f>IF(B395="","",INPUT!H395)</f>
        <v>Round1</v>
      </c>
      <c r="H395" s="46">
        <f>IF(B395="","",INPUT!I395)</f>
        <v>46308.82708333333</v>
      </c>
      <c r="I395" s="28" t="str">
        <f>IF(B395="","",IF(INPUT!J395="","None",INPUT!J395))</f>
        <v>None</v>
      </c>
      <c r="J395" s="28" t="str">
        <f t="shared" si="66"/>
        <v>kabir.d092@example.com|partner 085|Round1|interviewer0@partner085.example.com</v>
      </c>
      <c r="K395" s="28" t="str">
        <f>IF(B395="","",IF(SUMPRODUCT(($J$2:$J$601=J395)*($H$2:$H$601&lt;H395))+SUMPRODUCT(($J$2:J395=J395)*($H$2:H395=H395))-1&gt;0,"DUPLICATE",IF(AND(ISNUMBER(SEARCH("@",E395)),ISNUMBER(SEARCH(".",E395)),LEN(F395)=10,ISNUMBER(VALUE(F395))),"OK","BAD CONTACT")))</f>
        <v>OK</v>
      </c>
      <c r="L395" s="28">
        <f t="shared" si="67"/>
        <v>1</v>
      </c>
      <c r="M395" s="28">
        <f>IF(L395=1,IF(COUNTIFS(LOG!$C$2:$C$2001,F395,LOG!$E$2:$E$2001,B395,LOG!$D$2:$D$2001,"*BOOKED")+COUNTIFS(LOG!$C$2:$C$2001,F395,LOG!$E$2:$E$2001,"",LOG!$D$2:$D$2001,"*BOOKED")&gt;0,1,0),0)</f>
        <v>1</v>
      </c>
      <c r="N395" s="28">
        <f>IF(L395=1,IF(COUNTIFS(LOG!$C$2:$C$2001,F395,LOG!$E$2:$E$2001,B395,LOG!$D$2:$D$2001,"NOT_INTERESTED")+COUNTIFS(LOG!$C$2:$C$2001,F395,LOG!$E$2:$E$2001,"",LOG!$D$2:$D$2001,"NOT_INTERESTED")&gt;0,1,0),0)</f>
        <v>0</v>
      </c>
      <c r="O395" s="28">
        <f>IF(L395=1,IF(COUNTIFS(LOG!$C$2:$C$2001,F395,LOG!$D$2:$D$2001,"STOP")+COUNTIFS(LOG!$C$2:$C$2001,F395,LOG!$D$2:$D$2001,"WRONG_NUMBER")&gt;0,1,IF(ISNUMBER(SEARCH("STOP",AT395)),1,0)),0)</f>
        <v>0</v>
      </c>
      <c r="P395" s="28">
        <f>IF(L395=1,IF(IFERROR(INDEX(PARTNERS!$D$2:$D$88,MATCH(B395,PARTNERS!$A$2:$A$88,0)),"")="NO SLOTS",1,IF(AND(IFERROR(INDEX(PARTNERS!$D$2:$D$88,MATCH(B395,PARTNERS!$A$2:$A$88,0)),"")&lt;&gt;"REOPENED",COUNTIFS(LOG!$E$2:$E$2001,B395,LOG!$D$2:$D$2001,"NO_SLOTS")&gt;0),1,0)),0)</f>
        <v>0</v>
      </c>
      <c r="Q395" s="28">
        <f>IF(L395=1,COUNTIFS(LOG!$C$2:$C$2001,F395,LOG!$H$2:$H$2001,1),0)</f>
        <v>1</v>
      </c>
      <c r="R395" s="46">
        <f>IF(Q395&gt;0,_xlfn.MAXIFS(LOG!$G$2:$G$2001,LOG!$C$2:$C$2001,F395,LOG!$H$2:$H$2001,1),0)</f>
        <v>46309.811310640842</v>
      </c>
      <c r="S395" s="28" t="str">
        <f>IF(Q395&gt;0,IFERROR(INDEX(LOG!$D$2:$D$2001,MATCH(F395&amp;"|"&amp;Q395,LOG!$I$2:$I$2001,0)),""),"")</f>
        <v>BOOKED</v>
      </c>
      <c r="T395" s="28">
        <f>IF(S395="",0,IFERROR(VLOOKUP(S395,LISTS!$A$2:$E$10,4,FALSE),0))</f>
        <v>0</v>
      </c>
      <c r="U395" s="46">
        <f t="shared" si="68"/>
        <v>46309.811310640842</v>
      </c>
      <c r="V395" s="46">
        <f>IF(L395=1,H395+SETTINGS!$B$5/24,"")</f>
        <v>46309.82708333333</v>
      </c>
      <c r="W395" s="28">
        <f ca="1">IF(L395=1,(V395-SETTINGS!$B$4)*24,"")</f>
        <v>-1.6666666720993817E-2</v>
      </c>
      <c r="X395" s="28">
        <f ca="1">IF(AND(L395=1,K395="OK",M395=0,N395=0,O395=0,P395=0,SETTINGS!$B$4&lt;V395,Q395&lt;SETTINGS!$B$6),1,0)</f>
        <v>0</v>
      </c>
      <c r="Y395" s="28">
        <f ca="1">IF(AND(X395=1,SETTINGS!$B$4&gt;=H395,SETTINGS!$B$4&gt;=U395,ROUND(MOD(SETTINGS!$B$4,1)*1440,0)&gt;=ROUND(SETTINGS!$B$7*1440,0),ROUND(MOD(SETTINGS!$B$4,1)*1440,0)&lt;ROUND(SETTINGS!$B$8*1440,0)),1,0)</f>
        <v>0</v>
      </c>
      <c r="Z395" s="28" t="str">
        <f ca="1">IF(B395="","",IF(ROUND(MOD(SETTINGS!$B$4,1)*1440,0)&lt;ROUND(SETTINGS!$B$11*1440,0),"Ram",IF(ROUND(MOD(SETTINGS!$B$4,1)*1440,0)&gt;=ROUND(SETTINGS!$B$10*1440,0),"Shyam",IF(MOD(IFERROR(VALUE(RIGHT(F395,2)),0),2)=0,"Ram","Shyam"))))</f>
        <v>Shyam</v>
      </c>
      <c r="AA395" s="28">
        <f t="shared" ca="1" si="69"/>
        <v>0</v>
      </c>
      <c r="AB395" s="28">
        <f ca="1">IF(X395=1,COUNTIFS($F$2:F395,F395,$X$2:X395,1),0)</f>
        <v>0</v>
      </c>
      <c r="AC395" s="28" t="str">
        <f>IF(L395=1,IF(IFERROR(INDEX(PARTNERS!$C$2:$C$88,MATCH(B395,PARTNERS!$A$2:$A$88,0)),"")="YES","YES","NO"),"")</f>
        <v>YES</v>
      </c>
      <c r="AD395" s="28" t="str">
        <f>IF(L395=1,IFERROR(INDEX(PARTNERS!$B$2:$B$88,MATCH(B395,PARTNERS!$A$2:$A$88,0)),""),"")</f>
        <v>https://calendly.com/partner085/interview</v>
      </c>
      <c r="AE395" s="28">
        <f ca="1">IF(X395=1,IFERROR(INDEX(SETTINGS!$B$34:$D$36,MATCH(I395,SETTINGS!$A$34:$A$36,0),MIN(Q395,2)+1),SETTINGS!$B$36),0)</f>
        <v>0</v>
      </c>
      <c r="AF395" s="28">
        <f t="shared" si="70"/>
        <v>1</v>
      </c>
      <c r="AG395" s="28">
        <f ca="1">IF(AND(Y395=1,AB395=1),ROUND(AA395*AE395*IF(AF395&gt;1,SETTINGS!$B$16,1)*IF(W395&lt;=SETTINGS!$B$14,SETTINGS!$B$15,1)*IF(AU395=1,SETTINGS!$B$21,1),6),0)</f>
        <v>0</v>
      </c>
      <c r="AH395" s="28" t="str">
        <f ca="1">IF(AG395&gt;0,COUNTIFS($Z$2:$Z$601,Z395,$AG$2:$AG$601,"&gt;"&amp;AG395)+COUNTIFS($Z$2:Z395,Z395,$AG$2:AG395,AG395),"")</f>
        <v/>
      </c>
      <c r="AI395" s="28" t="str">
        <f t="shared" ca="1" si="71"/>
        <v/>
      </c>
      <c r="AJ395" s="28" t="str">
        <f t="shared" ca="1" si="72"/>
        <v/>
      </c>
      <c r="AK395" s="28">
        <f>IF(L395=1,IF(COUNTIFS($F$2:F395,F395,$L$2:L395,1)=1,1,0),0)</f>
        <v>0</v>
      </c>
      <c r="AL395" s="28" t="str">
        <f>IF(B395="","",IF(K395="DUPLICATE","Duplicate (removed)",IF(AO395=1,"Scheduled within 24h",IF(M395=1,"Scheduled late",IF(K395="BAD CONTACT","Bad contact details",IF(O395=1,"Stopped / wrong number",IF(N395=1,"Not interested",IF(P395=1,"Partner has no slots",IF(SETTINGS!$B$4&gt;=V395,IF(Q395=0,"Missed deadline: never tried","Missed deadline: tried, not booked"),IF(Q395&gt;=SETTINGS!$B$6,"No reply after max tries","Open"))))))))))</f>
        <v>Scheduled within 24h</v>
      </c>
      <c r="AM395" s="46">
        <f>IF(M395=1,IF(_xlfn.MINIFS(LOG!$G$2:$G$2001,LOG!$C$2:$C$2001,F395,LOG!$E$2:$E$2001,B395,LOG!$D$2:$D$2001,"*BOOKED")=0,_xlfn.MINIFS(LOG!$G$2:$G$2001,LOG!$C$2:$C$2001,F395,LOG!$E$2:$E$2001,"",LOG!$D$2:$D$2001,"*BOOKED"),IF(_xlfn.MINIFS(LOG!$G$2:$G$2001,LOG!$C$2:$C$2001,F395,LOG!$E$2:$E$2001,"",LOG!$D$2:$D$2001,"*BOOKED")=0,_xlfn.MINIFS(LOG!$G$2:$G$2001,LOG!$C$2:$C$2001,F395,LOG!$E$2:$E$2001,B395,LOG!$D$2:$D$2001,"*BOOKED"),MIN(_xlfn.MINIFS(LOG!$G$2:$G$2001,LOG!$C$2:$C$2001,F395,LOG!$E$2:$E$2001,B395,LOG!$D$2:$D$2001,"*BOOKED"),_xlfn.MINIFS(LOG!$G$2:$G$2001,LOG!$C$2:$C$2001,F395,LOG!$E$2:$E$2001,"",LOG!$D$2:$D$2001,"*BOOKED")))),"")</f>
        <v>46309.811310640842</v>
      </c>
      <c r="AN395" s="28">
        <f t="shared" si="73"/>
        <v>23.621455380285624</v>
      </c>
      <c r="AO395" s="28">
        <f>IF(AND(M395=1,AN395&lt;&gt;""),IF(AN395&lt;=SETTINGS!$B$5,1,0),0)</f>
        <v>1</v>
      </c>
      <c r="AP395" s="28">
        <f>IF(M395=1,IF(COUNTIFS(LOG!$C$2:$C$2001,F395,LOG!$E$2:$E$2001,B395,LOG!$D$2:$D$2001,"BOOKED")+COUNTIFS(LOG!$C$2:$C$2001,F395,LOG!$E$2:$E$2001,"",LOG!$D$2:$D$2001,"BOOKED")&gt;0,1,0),0)</f>
        <v>1</v>
      </c>
      <c r="AQ395" s="28" t="str">
        <f t="shared" si="74"/>
        <v>Kabir</v>
      </c>
      <c r="AR395" s="28" t="str">
        <f>IF(AND(AK395=1,K395="OK"),COUNTIFS($AK$2:AK395,1,$K$2:K395,"OK"),"")</f>
        <v/>
      </c>
      <c r="AS395" s="28" t="str">
        <f>IF(L395=1,IFERROR(INDEX(MESSAGES!$J$9:$J$1008,MATCH(F395,MESSAGES!$M$9:$M$1008,0))&amp;"",""),"")</f>
        <v/>
      </c>
      <c r="AT395" s="28" t="str">
        <f>IF(L395=1,IFERROR(INDEX(MESSAGES!$K$9:$K$1008,MATCH(F395,MESSAGES!$M$9:$M$1008,0))&amp;"",""),"")</f>
        <v/>
      </c>
      <c r="AU395" s="28">
        <f t="shared" ca="1" si="75"/>
        <v>0</v>
      </c>
      <c r="AV395" s="28" t="str">
        <f t="shared" si="76"/>
        <v>SEND</v>
      </c>
    </row>
    <row r="396" spans="1:48" x14ac:dyDescent="0.35">
      <c r="A396" s="28">
        <v>395</v>
      </c>
      <c r="B396" s="28" t="str">
        <f>IF(INPUT!A396="","",TRIM(INPUT!A396))</f>
        <v>Partner 015</v>
      </c>
      <c r="C396" s="28" t="str">
        <f>IF(B396="","",INPUT!C396)</f>
        <v>interviewer2@partner015.example.com</v>
      </c>
      <c r="D396" s="28" t="str">
        <f>IF(B396="","",INPUT!D396)</f>
        <v>Rahul K.</v>
      </c>
      <c r="E396" s="28" t="str">
        <f>IF(B396="","",INPUT!E396)</f>
        <v>rahul.k296@example.com</v>
      </c>
      <c r="F396" s="43" t="str">
        <f>IF(B396="","",TRIM(INPUT!F396&amp;""))</f>
        <v>9000003855</v>
      </c>
      <c r="G396" s="28" t="str">
        <f>IF(B396="","",INPUT!H396)</f>
        <v>Round1</v>
      </c>
      <c r="H396" s="46">
        <f>IF(B396="","",INPUT!I396)</f>
        <v>46308.82708333333</v>
      </c>
      <c r="I396" s="28" t="str">
        <f>IF(B396="","",IF(INPUT!J396="","None",INPUT!J396))</f>
        <v>Opened</v>
      </c>
      <c r="J396" s="28" t="str">
        <f t="shared" si="66"/>
        <v>rahul.k296@example.com|partner 015|Round1|interviewer2@partner015.example.com</v>
      </c>
      <c r="K396" s="28" t="str">
        <f>IF(B396="","",IF(SUMPRODUCT(($J$2:$J$601=J396)*($H$2:$H$601&lt;H396))+SUMPRODUCT(($J$2:J396=J396)*($H$2:H396=H396))-1&gt;0,"DUPLICATE",IF(AND(ISNUMBER(SEARCH("@",E396)),ISNUMBER(SEARCH(".",E396)),LEN(F396)=10,ISNUMBER(VALUE(F396))),"OK","BAD CONTACT")))</f>
        <v>OK</v>
      </c>
      <c r="L396" s="28">
        <f t="shared" si="67"/>
        <v>1</v>
      </c>
      <c r="M396" s="28">
        <f>IF(L396=1,IF(COUNTIFS(LOG!$C$2:$C$2001,F396,LOG!$E$2:$E$2001,B396,LOG!$D$2:$D$2001,"*BOOKED")+COUNTIFS(LOG!$C$2:$C$2001,F396,LOG!$E$2:$E$2001,"",LOG!$D$2:$D$2001,"*BOOKED")&gt;0,1,0),0)</f>
        <v>1</v>
      </c>
      <c r="N396" s="28">
        <f>IF(L396=1,IF(COUNTIFS(LOG!$C$2:$C$2001,F396,LOG!$E$2:$E$2001,B396,LOG!$D$2:$D$2001,"NOT_INTERESTED")+COUNTIFS(LOG!$C$2:$C$2001,F396,LOG!$E$2:$E$2001,"",LOG!$D$2:$D$2001,"NOT_INTERESTED")&gt;0,1,0),0)</f>
        <v>0</v>
      </c>
      <c r="O396" s="28">
        <f>IF(L396=1,IF(COUNTIFS(LOG!$C$2:$C$2001,F396,LOG!$D$2:$D$2001,"STOP")+COUNTIFS(LOG!$C$2:$C$2001,F396,LOG!$D$2:$D$2001,"WRONG_NUMBER")&gt;0,1,IF(ISNUMBER(SEARCH("STOP",AT396)),1,0)),0)</f>
        <v>0</v>
      </c>
      <c r="P396" s="28">
        <f>IF(L396=1,IF(IFERROR(INDEX(PARTNERS!$D$2:$D$88,MATCH(B396,PARTNERS!$A$2:$A$88,0)),"")="NO SLOTS",1,IF(AND(IFERROR(INDEX(PARTNERS!$D$2:$D$88,MATCH(B396,PARTNERS!$A$2:$A$88,0)),"")&lt;&gt;"REOPENED",COUNTIFS(LOG!$E$2:$E$2001,B396,LOG!$D$2:$D$2001,"NO_SLOTS")&gt;0),1,0)),0)</f>
        <v>0</v>
      </c>
      <c r="Q396" s="28">
        <f>IF(L396=1,COUNTIFS(LOG!$C$2:$C$2001,F396,LOG!$H$2:$H$2001,1),0)</f>
        <v>0</v>
      </c>
      <c r="R396" s="46">
        <f>IF(Q396&gt;0,_xlfn.MAXIFS(LOG!$G$2:$G$2001,LOG!$C$2:$C$2001,F396,LOG!$H$2:$H$2001,1),0)</f>
        <v>0</v>
      </c>
      <c r="S396" s="28" t="str">
        <f>IF(Q396&gt;0,IFERROR(INDEX(LOG!$D$2:$D$2001,MATCH(F396&amp;"|"&amp;Q396,LOG!$I$2:$I$2001,0)),""),"")</f>
        <v/>
      </c>
      <c r="T396" s="28">
        <f>IF(S396="",0,IFERROR(VLOOKUP(S396,LISTS!$A$2:$E$10,4,FALSE),0))</f>
        <v>0</v>
      </c>
      <c r="U396" s="46">
        <f t="shared" si="68"/>
        <v>0</v>
      </c>
      <c r="V396" s="46">
        <f>IF(L396=1,H396+SETTINGS!$B$5/24,"")</f>
        <v>46309.82708333333</v>
      </c>
      <c r="W396" s="28">
        <f ca="1">IF(L396=1,(V396-SETTINGS!$B$4)*24,"")</f>
        <v>-1.6666666720993817E-2</v>
      </c>
      <c r="X396" s="28">
        <f ca="1">IF(AND(L396=1,K396="OK",M396=0,N396=0,O396=0,P396=0,SETTINGS!$B$4&lt;V396,Q396&lt;SETTINGS!$B$6),1,0)</f>
        <v>0</v>
      </c>
      <c r="Y396" s="28">
        <f ca="1">IF(AND(X396=1,SETTINGS!$B$4&gt;=H396,SETTINGS!$B$4&gt;=U396,ROUND(MOD(SETTINGS!$B$4,1)*1440,0)&gt;=ROUND(SETTINGS!$B$7*1440,0),ROUND(MOD(SETTINGS!$B$4,1)*1440,0)&lt;ROUND(SETTINGS!$B$8*1440,0)),1,0)</f>
        <v>0</v>
      </c>
      <c r="Z396" s="28" t="str">
        <f ca="1">IF(B396="","",IF(ROUND(MOD(SETTINGS!$B$4,1)*1440,0)&lt;ROUND(SETTINGS!$B$11*1440,0),"Ram",IF(ROUND(MOD(SETTINGS!$B$4,1)*1440,0)&gt;=ROUND(SETTINGS!$B$10*1440,0),"Shyam",IF(MOD(IFERROR(VALUE(RIGHT(F396,2)),0),2)=0,"Ram","Shyam"))))</f>
        <v>Shyam</v>
      </c>
      <c r="AA396" s="28">
        <f t="shared" ca="1" si="69"/>
        <v>0</v>
      </c>
      <c r="AB396" s="28">
        <f ca="1">IF(X396=1,COUNTIFS($F$2:F396,F396,$X$2:X396,1),0)</f>
        <v>0</v>
      </c>
      <c r="AC396" s="28" t="str">
        <f>IF(L396=1,IF(IFERROR(INDEX(PARTNERS!$C$2:$C$88,MATCH(B396,PARTNERS!$A$2:$A$88,0)),"")="YES","YES","NO"),"")</f>
        <v>YES</v>
      </c>
      <c r="AD396" s="28" t="str">
        <f>IF(L396=1,IFERROR(INDEX(PARTNERS!$B$2:$B$88,MATCH(B396,PARTNERS!$A$2:$A$88,0)),""),"")</f>
        <v>https://calendly.com/partner015/interview</v>
      </c>
      <c r="AE396" s="28">
        <f ca="1">IF(X396=1,IFERROR(INDEX(SETTINGS!$B$34:$D$36,MATCH(I396,SETTINGS!$A$34:$A$36,0),MIN(Q396,2)+1),SETTINGS!$B$36),0)</f>
        <v>0</v>
      </c>
      <c r="AF396" s="28">
        <f t="shared" si="70"/>
        <v>1</v>
      </c>
      <c r="AG396" s="28">
        <f ca="1">IF(AND(Y396=1,AB396=1),ROUND(AA396*AE396*IF(AF396&gt;1,SETTINGS!$B$16,1)*IF(W396&lt;=SETTINGS!$B$14,SETTINGS!$B$15,1)*IF(AU396=1,SETTINGS!$B$21,1),6),0)</f>
        <v>0</v>
      </c>
      <c r="AH396" s="28" t="str">
        <f ca="1">IF(AG396&gt;0,COUNTIFS($Z$2:$Z$601,Z396,$AG$2:$AG$601,"&gt;"&amp;AG396)+COUNTIFS($Z$2:Z396,Z396,$AG$2:AG396,AG396),"")</f>
        <v/>
      </c>
      <c r="AI396" s="28" t="str">
        <f t="shared" ca="1" si="71"/>
        <v/>
      </c>
      <c r="AJ396" s="28" t="str">
        <f t="shared" ca="1" si="72"/>
        <v/>
      </c>
      <c r="AK396" s="28">
        <f>IF(L396=1,IF(COUNTIFS($F$2:F396,F396,$L$2:L396,1)=1,1,0),0)</f>
        <v>1</v>
      </c>
      <c r="AL396" s="28" t="str">
        <f>IF(B396="","",IF(K396="DUPLICATE","Duplicate (removed)",IF(AO396=1,"Scheduled within 24h",IF(M396=1,"Scheduled late",IF(K396="BAD CONTACT","Bad contact details",IF(O396=1,"Stopped / wrong number",IF(N396=1,"Not interested",IF(P396=1,"Partner has no slots",IF(SETTINGS!$B$4&gt;=V396,IF(Q396=0,"Missed deadline: never tried","Missed deadline: tried, not booked"),IF(Q396&gt;=SETTINGS!$B$6,"No reply after max tries","Open"))))))))))</f>
        <v>Scheduled within 24h</v>
      </c>
      <c r="AM396" s="46">
        <f>IF(M396=1,IF(_xlfn.MINIFS(LOG!$G$2:$G$2001,LOG!$C$2:$C$2001,F396,LOG!$E$2:$E$2001,B396,LOG!$D$2:$D$2001,"*BOOKED")=0,_xlfn.MINIFS(LOG!$G$2:$G$2001,LOG!$C$2:$C$2001,F396,LOG!$E$2:$E$2001,"",LOG!$D$2:$D$2001,"*BOOKED"),IF(_xlfn.MINIFS(LOG!$G$2:$G$2001,LOG!$C$2:$C$2001,F396,LOG!$E$2:$E$2001,"",LOG!$D$2:$D$2001,"*BOOKED")=0,_xlfn.MINIFS(LOG!$G$2:$G$2001,LOG!$C$2:$C$2001,F396,LOG!$E$2:$E$2001,B396,LOG!$D$2:$D$2001,"*BOOKED"),MIN(_xlfn.MINIFS(LOG!$G$2:$G$2001,LOG!$C$2:$C$2001,F396,LOG!$E$2:$E$2001,B396,LOG!$D$2:$D$2001,"*BOOKED"),_xlfn.MINIFS(LOG!$G$2:$G$2001,LOG!$C$2:$C$2001,F396,LOG!$E$2:$E$2001,"",LOG!$D$2:$D$2001,"*BOOKED")))),"")</f>
        <v>46308.864701465987</v>
      </c>
      <c r="AN396" s="28">
        <f t="shared" si="73"/>
        <v>0.90283518377691507</v>
      </c>
      <c r="AO396" s="28">
        <f>IF(AND(M396=1,AN396&lt;&gt;""),IF(AN396&lt;=SETTINGS!$B$5,1,0),0)</f>
        <v>1</v>
      </c>
      <c r="AP396" s="28">
        <f>IF(M396=1,IF(COUNTIFS(LOG!$C$2:$C$2001,F396,LOG!$E$2:$E$2001,B396,LOG!$D$2:$D$2001,"BOOKED")+COUNTIFS(LOG!$C$2:$C$2001,F396,LOG!$E$2:$E$2001,"",LOG!$D$2:$D$2001,"BOOKED")&gt;0,1,0),0)</f>
        <v>0</v>
      </c>
      <c r="AQ396" s="28" t="str">
        <f t="shared" si="74"/>
        <v>Rahul</v>
      </c>
      <c r="AR396" s="28">
        <f>IF(AND(AK396=1,K396="OK"),COUNTIFS($AK$2:AK396,1,$K$2:K396,"OK"),"")</f>
        <v>328</v>
      </c>
      <c r="AS396" s="28" t="str">
        <f>IF(L396=1,IFERROR(INDEX(MESSAGES!$J$9:$J$1008,MATCH(F396,MESSAGES!$M$9:$M$1008,0))&amp;"",""),"")</f>
        <v/>
      </c>
      <c r="AT396" s="28" t="str">
        <f>IF(L396=1,IFERROR(INDEX(MESSAGES!$K$9:$K$1008,MATCH(F396,MESSAGES!$M$9:$M$1008,0))&amp;"",""),"")</f>
        <v/>
      </c>
      <c r="AU396" s="28">
        <f t="shared" ca="1" si="75"/>
        <v>0</v>
      </c>
      <c r="AV396" s="28" t="str">
        <f t="shared" si="76"/>
        <v>HOLD</v>
      </c>
    </row>
    <row r="397" spans="1:48" x14ac:dyDescent="0.35">
      <c r="A397" s="28">
        <v>396</v>
      </c>
      <c r="B397" s="28" t="str">
        <f>IF(INPUT!A397="","",TRIM(INPUT!A397))</f>
        <v>Partner 093</v>
      </c>
      <c r="C397" s="28" t="str">
        <f>IF(B397="","",INPUT!C397)</f>
        <v>interviewer0@partner093.example.com</v>
      </c>
      <c r="D397" s="28" t="str">
        <f>IF(B397="","",INPUT!D397)</f>
        <v>Nisha G.</v>
      </c>
      <c r="E397" s="28" t="str">
        <f>IF(B397="","",INPUT!E397)</f>
        <v>nisha.g207@example.com</v>
      </c>
      <c r="F397" s="43" t="str">
        <f>IF(B397="","",TRIM(INPUT!F397&amp;""))</f>
        <v>9000002698</v>
      </c>
      <c r="G397" s="28" t="str">
        <f>IF(B397="","",INPUT!H397)</f>
        <v>Round1</v>
      </c>
      <c r="H397" s="46">
        <f>IF(B397="","",INPUT!I397)</f>
        <v>46308.82708333333</v>
      </c>
      <c r="I397" s="28" t="str">
        <f>IF(B397="","",IF(INPUT!J397="","None",INPUT!J397))</f>
        <v>Opened</v>
      </c>
      <c r="J397" s="28" t="str">
        <f t="shared" si="66"/>
        <v>nisha.g207@example.com|partner 093|Round1|interviewer0@partner093.example.com</v>
      </c>
      <c r="K397" s="28" t="str">
        <f>IF(B397="","",IF(SUMPRODUCT(($J$2:$J$601=J397)*($H$2:$H$601&lt;H397))+SUMPRODUCT(($J$2:J397=J397)*($H$2:H397=H397))-1&gt;0,"DUPLICATE",IF(AND(ISNUMBER(SEARCH("@",E397)),ISNUMBER(SEARCH(".",E397)),LEN(F397)=10,ISNUMBER(VALUE(F397))),"OK","BAD CONTACT")))</f>
        <v>OK</v>
      </c>
      <c r="L397" s="28">
        <f t="shared" si="67"/>
        <v>1</v>
      </c>
      <c r="M397" s="28">
        <f>IF(L397=1,IF(COUNTIFS(LOG!$C$2:$C$2001,F397,LOG!$E$2:$E$2001,B397,LOG!$D$2:$D$2001,"*BOOKED")+COUNTIFS(LOG!$C$2:$C$2001,F397,LOG!$E$2:$E$2001,"",LOG!$D$2:$D$2001,"*BOOKED")&gt;0,1,0),0)</f>
        <v>0</v>
      </c>
      <c r="N397" s="28">
        <f>IF(L397=1,IF(COUNTIFS(LOG!$C$2:$C$2001,F397,LOG!$E$2:$E$2001,B397,LOG!$D$2:$D$2001,"NOT_INTERESTED")+COUNTIFS(LOG!$C$2:$C$2001,F397,LOG!$E$2:$E$2001,"",LOG!$D$2:$D$2001,"NOT_INTERESTED")&gt;0,1,0),0)</f>
        <v>0</v>
      </c>
      <c r="O397" s="28">
        <f>IF(L397=1,IF(COUNTIFS(LOG!$C$2:$C$2001,F397,LOG!$D$2:$D$2001,"STOP")+COUNTIFS(LOG!$C$2:$C$2001,F397,LOG!$D$2:$D$2001,"WRONG_NUMBER")&gt;0,1,IF(ISNUMBER(SEARCH("STOP",AT397)),1,0)),0)</f>
        <v>0</v>
      </c>
      <c r="P397" s="28">
        <f>IF(L397=1,IF(IFERROR(INDEX(PARTNERS!$D$2:$D$88,MATCH(B397,PARTNERS!$A$2:$A$88,0)),"")="NO SLOTS",1,IF(AND(IFERROR(INDEX(PARTNERS!$D$2:$D$88,MATCH(B397,PARTNERS!$A$2:$A$88,0)),"")&lt;&gt;"REOPENED",COUNTIFS(LOG!$E$2:$E$2001,B397,LOG!$D$2:$D$2001,"NO_SLOTS")&gt;0),1,0)),0)</f>
        <v>0</v>
      </c>
      <c r="Q397" s="28">
        <f>IF(L397=1,COUNTIFS(LOG!$C$2:$C$2001,F397,LOG!$H$2:$H$2001,1),0)</f>
        <v>0</v>
      </c>
      <c r="R397" s="46">
        <f>IF(Q397&gt;0,_xlfn.MAXIFS(LOG!$G$2:$G$2001,LOG!$C$2:$C$2001,F397,LOG!$H$2:$H$2001,1),0)</f>
        <v>0</v>
      </c>
      <c r="S397" s="28" t="str">
        <f>IF(Q397&gt;0,IFERROR(INDEX(LOG!$D$2:$D$2001,MATCH(F397&amp;"|"&amp;Q397,LOG!$I$2:$I$2001,0)),""),"")</f>
        <v/>
      </c>
      <c r="T397" s="28">
        <f>IF(S397="",0,IFERROR(VLOOKUP(S397,LISTS!$A$2:$E$10,4,FALSE),0))</f>
        <v>0</v>
      </c>
      <c r="U397" s="46">
        <f t="shared" si="68"/>
        <v>0</v>
      </c>
      <c r="V397" s="46">
        <f>IF(L397=1,H397+SETTINGS!$B$5/24,"")</f>
        <v>46309.82708333333</v>
      </c>
      <c r="W397" s="28">
        <f ca="1">IF(L397=1,(V397-SETTINGS!$B$4)*24,"")</f>
        <v>-1.6666666720993817E-2</v>
      </c>
      <c r="X397" s="28">
        <f ca="1">IF(AND(L397=1,K397="OK",M397=0,N397=0,O397=0,P397=0,SETTINGS!$B$4&lt;V397,Q397&lt;SETTINGS!$B$6),1,0)</f>
        <v>0</v>
      </c>
      <c r="Y397" s="28">
        <f ca="1">IF(AND(X397=1,SETTINGS!$B$4&gt;=H397,SETTINGS!$B$4&gt;=U397,ROUND(MOD(SETTINGS!$B$4,1)*1440,0)&gt;=ROUND(SETTINGS!$B$7*1440,0),ROUND(MOD(SETTINGS!$B$4,1)*1440,0)&lt;ROUND(SETTINGS!$B$8*1440,0)),1,0)</f>
        <v>0</v>
      </c>
      <c r="Z397" s="28" t="str">
        <f ca="1">IF(B397="","",IF(ROUND(MOD(SETTINGS!$B$4,1)*1440,0)&lt;ROUND(SETTINGS!$B$11*1440,0),"Ram",IF(ROUND(MOD(SETTINGS!$B$4,1)*1440,0)&gt;=ROUND(SETTINGS!$B$10*1440,0),"Shyam",IF(MOD(IFERROR(VALUE(RIGHT(F397,2)),0),2)=0,"Ram","Shyam"))))</f>
        <v>Shyam</v>
      </c>
      <c r="AA397" s="28">
        <f t="shared" ca="1" si="69"/>
        <v>0</v>
      </c>
      <c r="AB397" s="28">
        <f ca="1">IF(X397=1,COUNTIFS($F$2:F397,F397,$X$2:X397,1),0)</f>
        <v>0</v>
      </c>
      <c r="AC397" s="28" t="str">
        <f>IF(L397=1,IF(IFERROR(INDEX(PARTNERS!$C$2:$C$88,MATCH(B397,PARTNERS!$A$2:$A$88,0)),"")="YES","YES","NO"),"")</f>
        <v>YES</v>
      </c>
      <c r="AD397" s="28" t="str">
        <f>IF(L397=1,IFERROR(INDEX(PARTNERS!$B$2:$B$88,MATCH(B397,PARTNERS!$A$2:$A$88,0)),""),"")</f>
        <v>https://calendly.com/partner093/interview</v>
      </c>
      <c r="AE397" s="28">
        <f ca="1">IF(X397=1,IFERROR(INDEX(SETTINGS!$B$34:$D$36,MATCH(I397,SETTINGS!$A$34:$A$36,0),MIN(Q397,2)+1),SETTINGS!$B$36),0)</f>
        <v>0</v>
      </c>
      <c r="AF397" s="28">
        <f t="shared" si="70"/>
        <v>1</v>
      </c>
      <c r="AG397" s="28">
        <f ca="1">IF(AND(Y397=1,AB397=1),ROUND(AA397*AE397*IF(AF397&gt;1,SETTINGS!$B$16,1)*IF(W397&lt;=SETTINGS!$B$14,SETTINGS!$B$15,1)*IF(AU397=1,SETTINGS!$B$21,1),6),0)</f>
        <v>0</v>
      </c>
      <c r="AH397" s="28" t="str">
        <f ca="1">IF(AG397&gt;0,COUNTIFS($Z$2:$Z$601,Z397,$AG$2:$AG$601,"&gt;"&amp;AG397)+COUNTIFS($Z$2:Z397,Z397,$AG$2:AG397,AG397),"")</f>
        <v/>
      </c>
      <c r="AI397" s="28" t="str">
        <f t="shared" ca="1" si="71"/>
        <v/>
      </c>
      <c r="AJ397" s="28" t="str">
        <f t="shared" ca="1" si="72"/>
        <v/>
      </c>
      <c r="AK397" s="28">
        <f>IF(L397=1,IF(COUNTIFS($F$2:F397,F397,$L$2:L397,1)=1,1,0),0)</f>
        <v>1</v>
      </c>
      <c r="AL397" s="28" t="str">
        <f ca="1">IF(B397="","",IF(K397="DUPLICATE","Duplicate (removed)",IF(AO397=1,"Scheduled within 24h",IF(M397=1,"Scheduled late",IF(K397="BAD CONTACT","Bad contact details",IF(O397=1,"Stopped / wrong number",IF(N397=1,"Not interested",IF(P397=1,"Partner has no slots",IF(SETTINGS!$B$4&gt;=V397,IF(Q397=0,"Missed deadline: never tried","Missed deadline: tried, not booked"),IF(Q397&gt;=SETTINGS!$B$6,"No reply after max tries","Open"))))))))))</f>
        <v>Missed deadline: never tried</v>
      </c>
      <c r="AM397" s="46" t="str">
        <f>IF(M397=1,IF(_xlfn.MINIFS(LOG!$G$2:$G$2001,LOG!$C$2:$C$2001,F397,LOG!$E$2:$E$2001,B397,LOG!$D$2:$D$2001,"*BOOKED")=0,_xlfn.MINIFS(LOG!$G$2:$G$2001,LOG!$C$2:$C$2001,F397,LOG!$E$2:$E$2001,"",LOG!$D$2:$D$2001,"*BOOKED"),IF(_xlfn.MINIFS(LOG!$G$2:$G$2001,LOG!$C$2:$C$2001,F397,LOG!$E$2:$E$2001,"",LOG!$D$2:$D$2001,"*BOOKED")=0,_xlfn.MINIFS(LOG!$G$2:$G$2001,LOG!$C$2:$C$2001,F397,LOG!$E$2:$E$2001,B397,LOG!$D$2:$D$2001,"*BOOKED"),MIN(_xlfn.MINIFS(LOG!$G$2:$G$2001,LOG!$C$2:$C$2001,F397,LOG!$E$2:$E$2001,B397,LOG!$D$2:$D$2001,"*BOOKED"),_xlfn.MINIFS(LOG!$G$2:$G$2001,LOG!$C$2:$C$2001,F397,LOG!$E$2:$E$2001,"",LOG!$D$2:$D$2001,"*BOOKED")))),"")</f>
        <v/>
      </c>
      <c r="AN397" s="28" t="str">
        <f t="shared" si="73"/>
        <v/>
      </c>
      <c r="AO397" s="28">
        <f>IF(AND(M397=1,AN397&lt;&gt;""),IF(AN397&lt;=SETTINGS!$B$5,1,0),0)</f>
        <v>0</v>
      </c>
      <c r="AP397" s="28">
        <f>IF(M397=1,IF(COUNTIFS(LOG!$C$2:$C$2001,F397,LOG!$E$2:$E$2001,B397,LOG!$D$2:$D$2001,"BOOKED")+COUNTIFS(LOG!$C$2:$C$2001,F397,LOG!$E$2:$E$2001,"",LOG!$D$2:$D$2001,"BOOKED")&gt;0,1,0),0)</f>
        <v>0</v>
      </c>
      <c r="AQ397" s="28" t="str">
        <f t="shared" si="74"/>
        <v>Nisha</v>
      </c>
      <c r="AR397" s="28">
        <f>IF(AND(AK397=1,K397="OK"),COUNTIFS($AK$2:AK397,1,$K$2:K397,"OK"),"")</f>
        <v>329</v>
      </c>
      <c r="AS397" s="28" t="str">
        <f>IF(L397=1,IFERROR(INDEX(MESSAGES!$J$9:$J$1008,MATCH(F397,MESSAGES!$M$9:$M$1008,0))&amp;"",""),"")</f>
        <v/>
      </c>
      <c r="AT397" s="28" t="str">
        <f>IF(L397=1,IFERROR(INDEX(MESSAGES!$K$9:$K$1008,MATCH(F397,MESSAGES!$M$9:$M$1008,0))&amp;"",""),"")</f>
        <v/>
      </c>
      <c r="AU397" s="28">
        <f t="shared" ca="1" si="75"/>
        <v>0</v>
      </c>
      <c r="AV397" s="28" t="str">
        <f t="shared" si="76"/>
        <v>HOLD</v>
      </c>
    </row>
    <row r="398" spans="1:48" x14ac:dyDescent="0.35">
      <c r="A398" s="28">
        <v>397</v>
      </c>
      <c r="B398" s="28" t="str">
        <f>IF(INPUT!A398="","",TRIM(INPUT!A398))</f>
        <v>Partner 002</v>
      </c>
      <c r="C398" s="28" t="str">
        <f>IF(B398="","",INPUT!C398)</f>
        <v>interviewer0@partner002.example.com</v>
      </c>
      <c r="D398" s="28" t="str">
        <f>IF(B398="","",INPUT!D398)</f>
        <v>Isha J.</v>
      </c>
      <c r="E398" s="28" t="str">
        <f>IF(B398="","",INPUT!E398)</f>
        <v>isha.j265@example.com</v>
      </c>
      <c r="F398" s="43" t="str">
        <f>IF(B398="","",TRIM(INPUT!F398&amp;""))</f>
        <v>9000003452</v>
      </c>
      <c r="G398" s="28" t="str">
        <f>IF(B398="","",INPUT!H398)</f>
        <v>Round1</v>
      </c>
      <c r="H398" s="46">
        <f>IF(B398="","",INPUT!I398)</f>
        <v>46308.82708333333</v>
      </c>
      <c r="I398" s="28" t="str">
        <f>IF(B398="","",IF(INPUT!J398="","None",INPUT!J398))</f>
        <v>Opened</v>
      </c>
      <c r="J398" s="28" t="str">
        <f t="shared" si="66"/>
        <v>isha.j265@example.com|partner 002|Round1|interviewer0@partner002.example.com</v>
      </c>
      <c r="K398" s="28" t="str">
        <f>IF(B398="","",IF(SUMPRODUCT(($J$2:$J$601=J398)*($H$2:$H$601&lt;H398))+SUMPRODUCT(($J$2:J398=J398)*($H$2:H398=H398))-1&gt;0,"DUPLICATE",IF(AND(ISNUMBER(SEARCH("@",E398)),ISNUMBER(SEARCH(".",E398)),LEN(F398)=10,ISNUMBER(VALUE(F398))),"OK","BAD CONTACT")))</f>
        <v>OK</v>
      </c>
      <c r="L398" s="28">
        <f t="shared" si="67"/>
        <v>1</v>
      </c>
      <c r="M398" s="28">
        <f>IF(L398=1,IF(COUNTIFS(LOG!$C$2:$C$2001,F398,LOG!$E$2:$E$2001,B398,LOG!$D$2:$D$2001,"*BOOKED")+COUNTIFS(LOG!$C$2:$C$2001,F398,LOG!$E$2:$E$2001,"",LOG!$D$2:$D$2001,"*BOOKED")&gt;0,1,0),0)</f>
        <v>0</v>
      </c>
      <c r="N398" s="28">
        <f>IF(L398=1,IF(COUNTIFS(LOG!$C$2:$C$2001,F398,LOG!$E$2:$E$2001,B398,LOG!$D$2:$D$2001,"NOT_INTERESTED")+COUNTIFS(LOG!$C$2:$C$2001,F398,LOG!$E$2:$E$2001,"",LOG!$D$2:$D$2001,"NOT_INTERESTED")&gt;0,1,0),0)</f>
        <v>0</v>
      </c>
      <c r="O398" s="28">
        <f>IF(L398=1,IF(COUNTIFS(LOG!$C$2:$C$2001,F398,LOG!$D$2:$D$2001,"STOP")+COUNTIFS(LOG!$C$2:$C$2001,F398,LOG!$D$2:$D$2001,"WRONG_NUMBER")&gt;0,1,IF(ISNUMBER(SEARCH("STOP",AT398)),1,0)),0)</f>
        <v>0</v>
      </c>
      <c r="P398" s="28">
        <f>IF(L398=1,IF(IFERROR(INDEX(PARTNERS!$D$2:$D$88,MATCH(B398,PARTNERS!$A$2:$A$88,0)),"")="NO SLOTS",1,IF(AND(IFERROR(INDEX(PARTNERS!$D$2:$D$88,MATCH(B398,PARTNERS!$A$2:$A$88,0)),"")&lt;&gt;"REOPENED",COUNTIFS(LOG!$E$2:$E$2001,B398,LOG!$D$2:$D$2001,"NO_SLOTS")&gt;0),1,0)),0)</f>
        <v>0</v>
      </c>
      <c r="Q398" s="28">
        <f>IF(L398=1,COUNTIFS(LOG!$C$2:$C$2001,F398,LOG!$H$2:$H$2001,1),0)</f>
        <v>0</v>
      </c>
      <c r="R398" s="46">
        <f>IF(Q398&gt;0,_xlfn.MAXIFS(LOG!$G$2:$G$2001,LOG!$C$2:$C$2001,F398,LOG!$H$2:$H$2001,1),0)</f>
        <v>0</v>
      </c>
      <c r="S398" s="28" t="str">
        <f>IF(Q398&gt;0,IFERROR(INDEX(LOG!$D$2:$D$2001,MATCH(F398&amp;"|"&amp;Q398,LOG!$I$2:$I$2001,0)),""),"")</f>
        <v/>
      </c>
      <c r="T398" s="28">
        <f>IF(S398="",0,IFERROR(VLOOKUP(S398,LISTS!$A$2:$E$10,4,FALSE),0))</f>
        <v>0</v>
      </c>
      <c r="U398" s="46">
        <f t="shared" si="68"/>
        <v>0</v>
      </c>
      <c r="V398" s="46">
        <f>IF(L398=1,H398+SETTINGS!$B$5/24,"")</f>
        <v>46309.82708333333</v>
      </c>
      <c r="W398" s="28">
        <f ca="1">IF(L398=1,(V398-SETTINGS!$B$4)*24,"")</f>
        <v>-1.6666666720993817E-2</v>
      </c>
      <c r="X398" s="28">
        <f ca="1">IF(AND(L398=1,K398="OK",M398=0,N398=0,O398=0,P398=0,SETTINGS!$B$4&lt;V398,Q398&lt;SETTINGS!$B$6),1,0)</f>
        <v>0</v>
      </c>
      <c r="Y398" s="28">
        <f ca="1">IF(AND(X398=1,SETTINGS!$B$4&gt;=H398,SETTINGS!$B$4&gt;=U398,ROUND(MOD(SETTINGS!$B$4,1)*1440,0)&gt;=ROUND(SETTINGS!$B$7*1440,0),ROUND(MOD(SETTINGS!$B$4,1)*1440,0)&lt;ROUND(SETTINGS!$B$8*1440,0)),1,0)</f>
        <v>0</v>
      </c>
      <c r="Z398" s="28" t="str">
        <f ca="1">IF(B398="","",IF(ROUND(MOD(SETTINGS!$B$4,1)*1440,0)&lt;ROUND(SETTINGS!$B$11*1440,0),"Ram",IF(ROUND(MOD(SETTINGS!$B$4,1)*1440,0)&gt;=ROUND(SETTINGS!$B$10*1440,0),"Shyam",IF(MOD(IFERROR(VALUE(RIGHT(F398,2)),0),2)=0,"Ram","Shyam"))))</f>
        <v>Shyam</v>
      </c>
      <c r="AA398" s="28">
        <f t="shared" ca="1" si="69"/>
        <v>0</v>
      </c>
      <c r="AB398" s="28">
        <f ca="1">IF(X398=1,COUNTIFS($F$2:F398,F398,$X$2:X398,1),0)</f>
        <v>0</v>
      </c>
      <c r="AC398" s="28" t="str">
        <f>IF(L398=1,IF(IFERROR(INDEX(PARTNERS!$C$2:$C$88,MATCH(B398,PARTNERS!$A$2:$A$88,0)),"")="YES","YES","NO"),"")</f>
        <v>YES</v>
      </c>
      <c r="AD398" s="28" t="str">
        <f>IF(L398=1,IFERROR(INDEX(PARTNERS!$B$2:$B$88,MATCH(B398,PARTNERS!$A$2:$A$88,0)),""),"")</f>
        <v>https://calendly.com/partner002/interview</v>
      </c>
      <c r="AE398" s="28">
        <f ca="1">IF(X398=1,IFERROR(INDEX(SETTINGS!$B$34:$D$36,MATCH(I398,SETTINGS!$A$34:$A$36,0),MIN(Q398,2)+1),SETTINGS!$B$36),0)</f>
        <v>0</v>
      </c>
      <c r="AF398" s="28">
        <f t="shared" si="70"/>
        <v>1</v>
      </c>
      <c r="AG398" s="28">
        <f ca="1">IF(AND(Y398=1,AB398=1),ROUND(AA398*AE398*IF(AF398&gt;1,SETTINGS!$B$16,1)*IF(W398&lt;=SETTINGS!$B$14,SETTINGS!$B$15,1)*IF(AU398=1,SETTINGS!$B$21,1),6),0)</f>
        <v>0</v>
      </c>
      <c r="AH398" s="28" t="str">
        <f ca="1">IF(AG398&gt;0,COUNTIFS($Z$2:$Z$601,Z398,$AG$2:$AG$601,"&gt;"&amp;AG398)+COUNTIFS($Z$2:Z398,Z398,$AG$2:AG398,AG398),"")</f>
        <v/>
      </c>
      <c r="AI398" s="28" t="str">
        <f t="shared" ca="1" si="71"/>
        <v/>
      </c>
      <c r="AJ398" s="28" t="str">
        <f t="shared" ca="1" si="72"/>
        <v/>
      </c>
      <c r="AK398" s="28">
        <f>IF(L398=1,IF(COUNTIFS($F$2:F398,F398,$L$2:L398,1)=1,1,0),0)</f>
        <v>1</v>
      </c>
      <c r="AL398" s="28" t="str">
        <f ca="1">IF(B398="","",IF(K398="DUPLICATE","Duplicate (removed)",IF(AO398=1,"Scheduled within 24h",IF(M398=1,"Scheduled late",IF(K398="BAD CONTACT","Bad contact details",IF(O398=1,"Stopped / wrong number",IF(N398=1,"Not interested",IF(P398=1,"Partner has no slots",IF(SETTINGS!$B$4&gt;=V398,IF(Q398=0,"Missed deadline: never tried","Missed deadline: tried, not booked"),IF(Q398&gt;=SETTINGS!$B$6,"No reply after max tries","Open"))))))))))</f>
        <v>Missed deadline: never tried</v>
      </c>
      <c r="AM398" s="46" t="str">
        <f>IF(M398=1,IF(_xlfn.MINIFS(LOG!$G$2:$G$2001,LOG!$C$2:$C$2001,F398,LOG!$E$2:$E$2001,B398,LOG!$D$2:$D$2001,"*BOOKED")=0,_xlfn.MINIFS(LOG!$G$2:$G$2001,LOG!$C$2:$C$2001,F398,LOG!$E$2:$E$2001,"",LOG!$D$2:$D$2001,"*BOOKED"),IF(_xlfn.MINIFS(LOG!$G$2:$G$2001,LOG!$C$2:$C$2001,F398,LOG!$E$2:$E$2001,"",LOG!$D$2:$D$2001,"*BOOKED")=0,_xlfn.MINIFS(LOG!$G$2:$G$2001,LOG!$C$2:$C$2001,F398,LOG!$E$2:$E$2001,B398,LOG!$D$2:$D$2001,"*BOOKED"),MIN(_xlfn.MINIFS(LOG!$G$2:$G$2001,LOG!$C$2:$C$2001,F398,LOG!$E$2:$E$2001,B398,LOG!$D$2:$D$2001,"*BOOKED"),_xlfn.MINIFS(LOG!$G$2:$G$2001,LOG!$C$2:$C$2001,F398,LOG!$E$2:$E$2001,"",LOG!$D$2:$D$2001,"*BOOKED")))),"")</f>
        <v/>
      </c>
      <c r="AN398" s="28" t="str">
        <f t="shared" si="73"/>
        <v/>
      </c>
      <c r="AO398" s="28">
        <f>IF(AND(M398=1,AN398&lt;&gt;""),IF(AN398&lt;=SETTINGS!$B$5,1,0),0)</f>
        <v>0</v>
      </c>
      <c r="AP398" s="28">
        <f>IF(M398=1,IF(COUNTIFS(LOG!$C$2:$C$2001,F398,LOG!$E$2:$E$2001,B398,LOG!$D$2:$D$2001,"BOOKED")+COUNTIFS(LOG!$C$2:$C$2001,F398,LOG!$E$2:$E$2001,"",LOG!$D$2:$D$2001,"BOOKED")&gt;0,1,0),0)</f>
        <v>0</v>
      </c>
      <c r="AQ398" s="28" t="str">
        <f t="shared" si="74"/>
        <v>Isha</v>
      </c>
      <c r="AR398" s="28">
        <f>IF(AND(AK398=1,K398="OK"),COUNTIFS($AK$2:AK398,1,$K$2:K398,"OK"),"")</f>
        <v>330</v>
      </c>
      <c r="AS398" s="28" t="str">
        <f>IF(L398=1,IFERROR(INDEX(MESSAGES!$J$9:$J$1008,MATCH(F398,MESSAGES!$M$9:$M$1008,0))&amp;"",""),"")</f>
        <v/>
      </c>
      <c r="AT398" s="28" t="str">
        <f>IF(L398=1,IFERROR(INDEX(MESSAGES!$K$9:$K$1008,MATCH(F398,MESSAGES!$M$9:$M$1008,0))&amp;"",""),"")</f>
        <v/>
      </c>
      <c r="AU398" s="28">
        <f t="shared" ca="1" si="75"/>
        <v>0</v>
      </c>
      <c r="AV398" s="28" t="str">
        <f t="shared" si="76"/>
        <v>HOLD</v>
      </c>
    </row>
    <row r="399" spans="1:48" x14ac:dyDescent="0.35">
      <c r="A399" s="28">
        <v>398</v>
      </c>
      <c r="B399" s="28" t="str">
        <f>IF(INPUT!A399="","",TRIM(INPUT!A399))</f>
        <v>Partner 023</v>
      </c>
      <c r="C399" s="28" t="str">
        <f>IF(B399="","",INPUT!C399)</f>
        <v>interviewer0@partner023.example.com</v>
      </c>
      <c r="D399" s="28" t="str">
        <f>IF(B399="","",INPUT!D399)</f>
        <v>Varun E.</v>
      </c>
      <c r="E399" s="28" t="str">
        <f>IF(B399="","",INPUT!E399)</f>
        <v>varun.e148@example.com</v>
      </c>
      <c r="F399" s="43" t="str">
        <f>IF(B399="","",TRIM(INPUT!F399&amp;""))</f>
        <v>9000001931</v>
      </c>
      <c r="G399" s="28" t="str">
        <f>IF(B399="","",INPUT!H399)</f>
        <v>Round1</v>
      </c>
      <c r="H399" s="46">
        <f>IF(B399="","",INPUT!I399)</f>
        <v>46308.82708333333</v>
      </c>
      <c r="I399" s="28" t="str">
        <f>IF(B399="","",IF(INPUT!J399="","None",INPUT!J399))</f>
        <v>Clicked</v>
      </c>
      <c r="J399" s="28" t="str">
        <f t="shared" si="66"/>
        <v>varun.e148@example.com|partner 023|Round1|interviewer0@partner023.example.com</v>
      </c>
      <c r="K399" s="28" t="str">
        <f>IF(B399="","",IF(SUMPRODUCT(($J$2:$J$601=J399)*($H$2:$H$601&lt;H399))+SUMPRODUCT(($J$2:J399=J399)*($H$2:H399=H399))-1&gt;0,"DUPLICATE",IF(AND(ISNUMBER(SEARCH("@",E399)),ISNUMBER(SEARCH(".",E399)),LEN(F399)=10,ISNUMBER(VALUE(F399))),"OK","BAD CONTACT")))</f>
        <v>OK</v>
      </c>
      <c r="L399" s="28">
        <f t="shared" si="67"/>
        <v>1</v>
      </c>
      <c r="M399" s="28">
        <f>IF(L399=1,IF(COUNTIFS(LOG!$C$2:$C$2001,F399,LOG!$E$2:$E$2001,B399,LOG!$D$2:$D$2001,"*BOOKED")+COUNTIFS(LOG!$C$2:$C$2001,F399,LOG!$E$2:$E$2001,"",LOG!$D$2:$D$2001,"*BOOKED")&gt;0,1,0),0)</f>
        <v>1</v>
      </c>
      <c r="N399" s="28">
        <f>IF(L399=1,IF(COUNTIFS(LOG!$C$2:$C$2001,F399,LOG!$E$2:$E$2001,B399,LOG!$D$2:$D$2001,"NOT_INTERESTED")+COUNTIFS(LOG!$C$2:$C$2001,F399,LOG!$E$2:$E$2001,"",LOG!$D$2:$D$2001,"NOT_INTERESTED")&gt;0,1,0),0)</f>
        <v>0</v>
      </c>
      <c r="O399" s="28">
        <f>IF(L399=1,IF(COUNTIFS(LOG!$C$2:$C$2001,F399,LOG!$D$2:$D$2001,"STOP")+COUNTIFS(LOG!$C$2:$C$2001,F399,LOG!$D$2:$D$2001,"WRONG_NUMBER")&gt;0,1,IF(ISNUMBER(SEARCH("STOP",AT399)),1,0)),0)</f>
        <v>0</v>
      </c>
      <c r="P399" s="28">
        <f>IF(L399=1,IF(IFERROR(INDEX(PARTNERS!$D$2:$D$88,MATCH(B399,PARTNERS!$A$2:$A$88,0)),"")="NO SLOTS",1,IF(AND(IFERROR(INDEX(PARTNERS!$D$2:$D$88,MATCH(B399,PARTNERS!$A$2:$A$88,0)),"")&lt;&gt;"REOPENED",COUNTIFS(LOG!$E$2:$E$2001,B399,LOG!$D$2:$D$2001,"NO_SLOTS")&gt;0),1,0)),0)</f>
        <v>0</v>
      </c>
      <c r="Q399" s="28">
        <f>IF(L399=1,COUNTIFS(LOG!$C$2:$C$2001,F399,LOG!$H$2:$H$2001,1),0)</f>
        <v>1</v>
      </c>
      <c r="R399" s="46">
        <f>IF(Q399&gt;0,_xlfn.MAXIFS(LOG!$G$2:$G$2001,LOG!$C$2:$C$2001,F399,LOG!$H$2:$H$2001,1),0)</f>
        <v>46309.679126640556</v>
      </c>
      <c r="S399" s="28" t="str">
        <f>IF(Q399&gt;0,IFERROR(INDEX(LOG!$D$2:$D$2001,MATCH(F399&amp;"|"&amp;Q399,LOG!$I$2:$I$2001,0)),""),"")</f>
        <v>BOOKED</v>
      </c>
      <c r="T399" s="28">
        <f>IF(S399="",0,IFERROR(VLOOKUP(S399,LISTS!$A$2:$E$10,4,FALSE),0))</f>
        <v>0</v>
      </c>
      <c r="U399" s="46">
        <f t="shared" si="68"/>
        <v>46309.679126640556</v>
      </c>
      <c r="V399" s="46">
        <f>IF(L399=1,H399+SETTINGS!$B$5/24,"")</f>
        <v>46309.82708333333</v>
      </c>
      <c r="W399" s="28">
        <f ca="1">IF(L399=1,(V399-SETTINGS!$B$4)*24,"")</f>
        <v>-1.6666666720993817E-2</v>
      </c>
      <c r="X399" s="28">
        <f ca="1">IF(AND(L399=1,K399="OK",M399=0,N399=0,O399=0,P399=0,SETTINGS!$B$4&lt;V399,Q399&lt;SETTINGS!$B$6),1,0)</f>
        <v>0</v>
      </c>
      <c r="Y399" s="28">
        <f ca="1">IF(AND(X399=1,SETTINGS!$B$4&gt;=H399,SETTINGS!$B$4&gt;=U399,ROUND(MOD(SETTINGS!$B$4,1)*1440,0)&gt;=ROUND(SETTINGS!$B$7*1440,0),ROUND(MOD(SETTINGS!$B$4,1)*1440,0)&lt;ROUND(SETTINGS!$B$8*1440,0)),1,0)</f>
        <v>0</v>
      </c>
      <c r="Z399" s="28" t="str">
        <f ca="1">IF(B399="","",IF(ROUND(MOD(SETTINGS!$B$4,1)*1440,0)&lt;ROUND(SETTINGS!$B$11*1440,0),"Ram",IF(ROUND(MOD(SETTINGS!$B$4,1)*1440,0)&gt;=ROUND(SETTINGS!$B$10*1440,0),"Shyam",IF(MOD(IFERROR(VALUE(RIGHT(F399,2)),0),2)=0,"Ram","Shyam"))))</f>
        <v>Shyam</v>
      </c>
      <c r="AA399" s="28">
        <f t="shared" ca="1" si="69"/>
        <v>0</v>
      </c>
      <c r="AB399" s="28">
        <f ca="1">IF(X399=1,COUNTIFS($F$2:F399,F399,$X$2:X399,1),0)</f>
        <v>0</v>
      </c>
      <c r="AC399" s="28" t="str">
        <f>IF(L399=1,IF(IFERROR(INDEX(PARTNERS!$C$2:$C$88,MATCH(B399,PARTNERS!$A$2:$A$88,0)),"")="YES","YES","NO"),"")</f>
        <v>YES</v>
      </c>
      <c r="AD399" s="28" t="str">
        <f>IF(L399=1,IFERROR(INDEX(PARTNERS!$B$2:$B$88,MATCH(B399,PARTNERS!$A$2:$A$88,0)),""),"")</f>
        <v>https://calendly.com/partner023/interview</v>
      </c>
      <c r="AE399" s="28">
        <f ca="1">IF(X399=1,IFERROR(INDEX(SETTINGS!$B$34:$D$36,MATCH(I399,SETTINGS!$A$34:$A$36,0),MIN(Q399,2)+1),SETTINGS!$B$36),0)</f>
        <v>0</v>
      </c>
      <c r="AF399" s="28">
        <f t="shared" si="70"/>
        <v>1</v>
      </c>
      <c r="AG399" s="28">
        <f ca="1">IF(AND(Y399=1,AB399=1),ROUND(AA399*AE399*IF(AF399&gt;1,SETTINGS!$B$16,1)*IF(W399&lt;=SETTINGS!$B$14,SETTINGS!$B$15,1)*IF(AU399=1,SETTINGS!$B$21,1),6),0)</f>
        <v>0</v>
      </c>
      <c r="AH399" s="28" t="str">
        <f ca="1">IF(AG399&gt;0,COUNTIFS($Z$2:$Z$601,Z399,$AG$2:$AG$601,"&gt;"&amp;AG399)+COUNTIFS($Z$2:Z399,Z399,$AG$2:AG399,AG399),"")</f>
        <v/>
      </c>
      <c r="AI399" s="28" t="str">
        <f t="shared" ca="1" si="71"/>
        <v/>
      </c>
      <c r="AJ399" s="28" t="str">
        <f t="shared" ca="1" si="72"/>
        <v/>
      </c>
      <c r="AK399" s="28">
        <f>IF(L399=1,IF(COUNTIFS($F$2:F399,F399,$L$2:L399,1)=1,1,0),0)</f>
        <v>1</v>
      </c>
      <c r="AL399" s="28" t="str">
        <f>IF(B399="","",IF(K399="DUPLICATE","Duplicate (removed)",IF(AO399=1,"Scheduled within 24h",IF(M399=1,"Scheduled late",IF(K399="BAD CONTACT","Bad contact details",IF(O399=1,"Stopped / wrong number",IF(N399=1,"Not interested",IF(P399=1,"Partner has no slots",IF(SETTINGS!$B$4&gt;=V399,IF(Q399=0,"Missed deadline: never tried","Missed deadline: tried, not booked"),IF(Q399&gt;=SETTINGS!$B$6,"No reply after max tries","Open"))))))))))</f>
        <v>Scheduled within 24h</v>
      </c>
      <c r="AM399" s="46">
        <f>IF(M399=1,IF(_xlfn.MINIFS(LOG!$G$2:$G$2001,LOG!$C$2:$C$2001,F399,LOG!$E$2:$E$2001,B399,LOG!$D$2:$D$2001,"*BOOKED")=0,_xlfn.MINIFS(LOG!$G$2:$G$2001,LOG!$C$2:$C$2001,F399,LOG!$E$2:$E$2001,"",LOG!$D$2:$D$2001,"*BOOKED"),IF(_xlfn.MINIFS(LOG!$G$2:$G$2001,LOG!$C$2:$C$2001,F399,LOG!$E$2:$E$2001,"",LOG!$D$2:$D$2001,"*BOOKED")=0,_xlfn.MINIFS(LOG!$G$2:$G$2001,LOG!$C$2:$C$2001,F399,LOG!$E$2:$E$2001,B399,LOG!$D$2:$D$2001,"*BOOKED"),MIN(_xlfn.MINIFS(LOG!$G$2:$G$2001,LOG!$C$2:$C$2001,F399,LOG!$E$2:$E$2001,B399,LOG!$D$2:$D$2001,"*BOOKED"),_xlfn.MINIFS(LOG!$G$2:$G$2001,LOG!$C$2:$C$2001,F399,LOG!$E$2:$E$2001,"",LOG!$D$2:$D$2001,"*BOOKED")))),"")</f>
        <v>46309.679126640556</v>
      </c>
      <c r="AN399" s="28">
        <f t="shared" si="73"/>
        <v>20.449039373430423</v>
      </c>
      <c r="AO399" s="28">
        <f>IF(AND(M399=1,AN399&lt;&gt;""),IF(AN399&lt;=SETTINGS!$B$5,1,0),0)</f>
        <v>1</v>
      </c>
      <c r="AP399" s="28">
        <f>IF(M399=1,IF(COUNTIFS(LOG!$C$2:$C$2001,F399,LOG!$E$2:$E$2001,B399,LOG!$D$2:$D$2001,"BOOKED")+COUNTIFS(LOG!$C$2:$C$2001,F399,LOG!$E$2:$E$2001,"",LOG!$D$2:$D$2001,"BOOKED")&gt;0,1,0),0)</f>
        <v>1</v>
      </c>
      <c r="AQ399" s="28" t="str">
        <f t="shared" si="74"/>
        <v>Varun</v>
      </c>
      <c r="AR399" s="28">
        <f>IF(AND(AK399=1,K399="OK"),COUNTIFS($AK$2:AK399,1,$K$2:K399,"OK"),"")</f>
        <v>331</v>
      </c>
      <c r="AS399" s="28" t="str">
        <f>IF(L399=1,IFERROR(INDEX(MESSAGES!$J$9:$J$1008,MATCH(F399,MESSAGES!$M$9:$M$1008,0))&amp;"",""),"")</f>
        <v/>
      </c>
      <c r="AT399" s="28" t="str">
        <f>IF(L399=1,IFERROR(INDEX(MESSAGES!$K$9:$K$1008,MATCH(F399,MESSAGES!$M$9:$M$1008,0))&amp;"",""),"")</f>
        <v/>
      </c>
      <c r="AU399" s="28">
        <f t="shared" ca="1" si="75"/>
        <v>0</v>
      </c>
      <c r="AV399" s="28" t="str">
        <f t="shared" si="76"/>
        <v>HOLD</v>
      </c>
    </row>
    <row r="400" spans="1:48" x14ac:dyDescent="0.35">
      <c r="A400" s="28">
        <v>399</v>
      </c>
      <c r="B400" s="28" t="str">
        <f>IF(INPUT!A400="","",TRIM(INPUT!A400))</f>
        <v>Partner 000</v>
      </c>
      <c r="C400" s="28" t="str">
        <f>IF(B400="","",INPUT!C400)</f>
        <v>interviewer0@partner000.example.com</v>
      </c>
      <c r="D400" s="28" t="str">
        <f>IF(B400="","",INPUT!D400)</f>
        <v>Tara E.</v>
      </c>
      <c r="E400" s="28" t="str">
        <f>IF(B400="","",INPUT!E400)</f>
        <v>tara.e135@example.com</v>
      </c>
      <c r="F400" s="43" t="str">
        <f>IF(B400="","",TRIM(INPUT!F400&amp;""))</f>
        <v>9000001762</v>
      </c>
      <c r="G400" s="28" t="str">
        <f>IF(B400="","",INPUT!H400)</f>
        <v>Round1</v>
      </c>
      <c r="H400" s="46">
        <f>IF(B400="","",INPUT!I400)</f>
        <v>46308.82708333333</v>
      </c>
      <c r="I400" s="28" t="str">
        <f>IF(B400="","",IF(INPUT!J400="","None",INPUT!J400))</f>
        <v>Clicked</v>
      </c>
      <c r="J400" s="28" t="str">
        <f t="shared" si="66"/>
        <v>tara.e135@example.com|partner 000|Round1|interviewer0@partner000.example.com</v>
      </c>
      <c r="K400" s="28" t="str">
        <f>IF(B400="","",IF(SUMPRODUCT(($J$2:$J$601=J400)*($H$2:$H$601&lt;H400))+SUMPRODUCT(($J$2:J400=J400)*($H$2:H400=H400))-1&gt;0,"DUPLICATE",IF(AND(ISNUMBER(SEARCH("@",E400)),ISNUMBER(SEARCH(".",E400)),LEN(F400)=10,ISNUMBER(VALUE(F400))),"OK","BAD CONTACT")))</f>
        <v>OK</v>
      </c>
      <c r="L400" s="28">
        <f t="shared" si="67"/>
        <v>1</v>
      </c>
      <c r="M400" s="28">
        <f>IF(L400=1,IF(COUNTIFS(LOG!$C$2:$C$2001,F400,LOG!$E$2:$E$2001,B400,LOG!$D$2:$D$2001,"*BOOKED")+COUNTIFS(LOG!$C$2:$C$2001,F400,LOG!$E$2:$E$2001,"",LOG!$D$2:$D$2001,"*BOOKED")&gt;0,1,0),0)</f>
        <v>1</v>
      </c>
      <c r="N400" s="28">
        <f>IF(L400=1,IF(COUNTIFS(LOG!$C$2:$C$2001,F400,LOG!$E$2:$E$2001,B400,LOG!$D$2:$D$2001,"NOT_INTERESTED")+COUNTIFS(LOG!$C$2:$C$2001,F400,LOG!$E$2:$E$2001,"",LOG!$D$2:$D$2001,"NOT_INTERESTED")&gt;0,1,0),0)</f>
        <v>0</v>
      </c>
      <c r="O400" s="28">
        <f>IF(L400=1,IF(COUNTIFS(LOG!$C$2:$C$2001,F400,LOG!$D$2:$D$2001,"STOP")+COUNTIFS(LOG!$C$2:$C$2001,F400,LOG!$D$2:$D$2001,"WRONG_NUMBER")&gt;0,1,IF(ISNUMBER(SEARCH("STOP",AT400)),1,0)),0)</f>
        <v>0</v>
      </c>
      <c r="P400" s="28">
        <f>IF(L400=1,IF(IFERROR(INDEX(PARTNERS!$D$2:$D$88,MATCH(B400,PARTNERS!$A$2:$A$88,0)),"")="NO SLOTS",1,IF(AND(IFERROR(INDEX(PARTNERS!$D$2:$D$88,MATCH(B400,PARTNERS!$A$2:$A$88,0)),"")&lt;&gt;"REOPENED",COUNTIFS(LOG!$E$2:$E$2001,B400,LOG!$D$2:$D$2001,"NO_SLOTS")&gt;0),1,0)),0)</f>
        <v>0</v>
      </c>
      <c r="Q400" s="28">
        <f>IF(L400=1,COUNTIFS(LOG!$C$2:$C$2001,F400,LOG!$H$2:$H$2001,1),0)</f>
        <v>0</v>
      </c>
      <c r="R400" s="46">
        <f>IF(Q400&gt;0,_xlfn.MAXIFS(LOG!$G$2:$G$2001,LOG!$C$2:$C$2001,F400,LOG!$H$2:$H$2001,1),0)</f>
        <v>0</v>
      </c>
      <c r="S400" s="28" t="str">
        <f>IF(Q400&gt;0,IFERROR(INDEX(LOG!$D$2:$D$2001,MATCH(F400&amp;"|"&amp;Q400,LOG!$I$2:$I$2001,0)),""),"")</f>
        <v/>
      </c>
      <c r="T400" s="28">
        <f>IF(S400="",0,IFERROR(VLOOKUP(S400,LISTS!$A$2:$E$10,4,FALSE),0))</f>
        <v>0</v>
      </c>
      <c r="U400" s="46">
        <f t="shared" si="68"/>
        <v>0</v>
      </c>
      <c r="V400" s="46">
        <f>IF(L400=1,H400+SETTINGS!$B$5/24,"")</f>
        <v>46309.82708333333</v>
      </c>
      <c r="W400" s="28">
        <f ca="1">IF(L400=1,(V400-SETTINGS!$B$4)*24,"")</f>
        <v>-1.6666666720993817E-2</v>
      </c>
      <c r="X400" s="28">
        <f ca="1">IF(AND(L400=1,K400="OK",M400=0,N400=0,O400=0,P400=0,SETTINGS!$B$4&lt;V400,Q400&lt;SETTINGS!$B$6),1,0)</f>
        <v>0</v>
      </c>
      <c r="Y400" s="28">
        <f ca="1">IF(AND(X400=1,SETTINGS!$B$4&gt;=H400,SETTINGS!$B$4&gt;=U400,ROUND(MOD(SETTINGS!$B$4,1)*1440,0)&gt;=ROUND(SETTINGS!$B$7*1440,0),ROUND(MOD(SETTINGS!$B$4,1)*1440,0)&lt;ROUND(SETTINGS!$B$8*1440,0)),1,0)</f>
        <v>0</v>
      </c>
      <c r="Z400" s="28" t="str">
        <f ca="1">IF(B400="","",IF(ROUND(MOD(SETTINGS!$B$4,1)*1440,0)&lt;ROUND(SETTINGS!$B$11*1440,0),"Ram",IF(ROUND(MOD(SETTINGS!$B$4,1)*1440,0)&gt;=ROUND(SETTINGS!$B$10*1440,0),"Shyam",IF(MOD(IFERROR(VALUE(RIGHT(F400,2)),0),2)=0,"Ram","Shyam"))))</f>
        <v>Shyam</v>
      </c>
      <c r="AA400" s="28">
        <f t="shared" ca="1" si="69"/>
        <v>0</v>
      </c>
      <c r="AB400" s="28">
        <f ca="1">IF(X400=1,COUNTIFS($F$2:F400,F400,$X$2:X400,1),0)</f>
        <v>0</v>
      </c>
      <c r="AC400" s="28" t="str">
        <f>IF(L400=1,IF(IFERROR(INDEX(PARTNERS!$C$2:$C$88,MATCH(B400,PARTNERS!$A$2:$A$88,0)),"")="YES","YES","NO"),"")</f>
        <v>NO</v>
      </c>
      <c r="AD400" s="28" t="str">
        <f>IF(L400=1,IFERROR(INDEX(PARTNERS!$B$2:$B$88,MATCH(B400,PARTNERS!$A$2:$A$88,0)),""),"")</f>
        <v>https://calendly.com/partner000/interview</v>
      </c>
      <c r="AE400" s="28">
        <f ca="1">IF(X400=1,IFERROR(INDEX(SETTINGS!$B$34:$D$36,MATCH(I400,SETTINGS!$A$34:$A$36,0),MIN(Q400,2)+1),SETTINGS!$B$36),0)</f>
        <v>0</v>
      </c>
      <c r="AF400" s="28">
        <f t="shared" si="70"/>
        <v>1</v>
      </c>
      <c r="AG400" s="28">
        <f ca="1">IF(AND(Y400=1,AB400=1),ROUND(AA400*AE400*IF(AF400&gt;1,SETTINGS!$B$16,1)*IF(W400&lt;=SETTINGS!$B$14,SETTINGS!$B$15,1)*IF(AU400=1,SETTINGS!$B$21,1),6),0)</f>
        <v>0</v>
      </c>
      <c r="AH400" s="28" t="str">
        <f ca="1">IF(AG400&gt;0,COUNTIFS($Z$2:$Z$601,Z400,$AG$2:$AG$601,"&gt;"&amp;AG400)+COUNTIFS($Z$2:Z400,Z400,$AG$2:AG400,AG400),"")</f>
        <v/>
      </c>
      <c r="AI400" s="28" t="str">
        <f t="shared" ca="1" si="71"/>
        <v/>
      </c>
      <c r="AJ400" s="28" t="str">
        <f t="shared" ca="1" si="72"/>
        <v/>
      </c>
      <c r="AK400" s="28">
        <f>IF(L400=1,IF(COUNTIFS($F$2:F400,F400,$L$2:L400,1)=1,1,0),0)</f>
        <v>1</v>
      </c>
      <c r="AL400" s="28" t="str">
        <f>IF(B400="","",IF(K400="DUPLICATE","Duplicate (removed)",IF(AO400=1,"Scheduled within 24h",IF(M400=1,"Scheduled late",IF(K400="BAD CONTACT","Bad contact details",IF(O400=1,"Stopped / wrong number",IF(N400=1,"Not interested",IF(P400=1,"Partner has no slots",IF(SETTINGS!$B$4&gt;=V400,IF(Q400=0,"Missed deadline: never tried","Missed deadline: tried, not booked"),IF(Q400&gt;=SETTINGS!$B$6,"No reply after max tries","Open"))))))))))</f>
        <v>Scheduled within 24h</v>
      </c>
      <c r="AM400" s="46">
        <f>IF(M400=1,IF(_xlfn.MINIFS(LOG!$G$2:$G$2001,LOG!$C$2:$C$2001,F400,LOG!$E$2:$E$2001,B400,LOG!$D$2:$D$2001,"*BOOKED")=0,_xlfn.MINIFS(LOG!$G$2:$G$2001,LOG!$C$2:$C$2001,F400,LOG!$E$2:$E$2001,"",LOG!$D$2:$D$2001,"*BOOKED"),IF(_xlfn.MINIFS(LOG!$G$2:$G$2001,LOG!$C$2:$C$2001,F400,LOG!$E$2:$E$2001,"",LOG!$D$2:$D$2001,"*BOOKED")=0,_xlfn.MINIFS(LOG!$G$2:$G$2001,LOG!$C$2:$C$2001,F400,LOG!$E$2:$E$2001,B400,LOG!$D$2:$D$2001,"*BOOKED"),MIN(_xlfn.MINIFS(LOG!$G$2:$G$2001,LOG!$C$2:$C$2001,F400,LOG!$E$2:$E$2001,B400,LOG!$D$2:$D$2001,"*BOOKED"),_xlfn.MINIFS(LOG!$G$2:$G$2001,LOG!$C$2:$C$2001,F400,LOG!$E$2:$E$2001,"",LOG!$D$2:$D$2001,"*BOOKED")))),"")</f>
        <v>46309.314122757947</v>
      </c>
      <c r="AN400" s="28">
        <f t="shared" si="73"/>
        <v>11.688946190814022</v>
      </c>
      <c r="AO400" s="28">
        <f>IF(AND(M400=1,AN400&lt;&gt;""),IF(AN400&lt;=SETTINGS!$B$5,1,0),0)</f>
        <v>1</v>
      </c>
      <c r="AP400" s="28">
        <f>IF(M400=1,IF(COUNTIFS(LOG!$C$2:$C$2001,F400,LOG!$E$2:$E$2001,B400,LOG!$D$2:$D$2001,"BOOKED")+COUNTIFS(LOG!$C$2:$C$2001,F400,LOG!$E$2:$E$2001,"",LOG!$D$2:$D$2001,"BOOKED")&gt;0,1,0),0)</f>
        <v>0</v>
      </c>
      <c r="AQ400" s="28" t="str">
        <f t="shared" si="74"/>
        <v>Tara</v>
      </c>
      <c r="AR400" s="28">
        <f>IF(AND(AK400=1,K400="OK"),COUNTIFS($AK$2:AK400,1,$K$2:K400,"OK"),"")</f>
        <v>332</v>
      </c>
      <c r="AS400" s="28" t="str">
        <f>IF(L400=1,IFERROR(INDEX(MESSAGES!$J$9:$J$1008,MATCH(F400,MESSAGES!$M$9:$M$1008,0))&amp;"",""),"")</f>
        <v/>
      </c>
      <c r="AT400" s="28" t="str">
        <f>IF(L400=1,IFERROR(INDEX(MESSAGES!$K$9:$K$1008,MATCH(F400,MESSAGES!$M$9:$M$1008,0))&amp;"",""),"")</f>
        <v/>
      </c>
      <c r="AU400" s="28">
        <f t="shared" ca="1" si="75"/>
        <v>0</v>
      </c>
      <c r="AV400" s="28" t="str">
        <f t="shared" si="76"/>
        <v>SEND</v>
      </c>
    </row>
    <row r="401" spans="1:48" x14ac:dyDescent="0.35">
      <c r="A401" s="28">
        <v>400</v>
      </c>
      <c r="B401" s="28" t="str">
        <f>IF(INPUT!A401="","",TRIM(INPUT!A401))</f>
        <v>Partner 008</v>
      </c>
      <c r="C401" s="28" t="str">
        <f>IF(B401="","",INPUT!C401)</f>
        <v>interviewer0@partner008.example.com</v>
      </c>
      <c r="D401" s="28" t="str">
        <f>IF(B401="","",INPUT!D401)</f>
        <v>Meera D.</v>
      </c>
      <c r="E401" s="28" t="str">
        <f>IF(B401="","",INPUT!E401)</f>
        <v>meera.d097@example.com</v>
      </c>
      <c r="F401" s="43" t="str">
        <f>IF(B401="","",TRIM(INPUT!F401&amp;""))</f>
        <v>9000001268</v>
      </c>
      <c r="G401" s="28" t="str">
        <f>IF(B401="","",INPUT!H401)</f>
        <v>Round1</v>
      </c>
      <c r="H401" s="46">
        <f>IF(B401="","",INPUT!I401)</f>
        <v>46308.82708333333</v>
      </c>
      <c r="I401" s="28" t="str">
        <f>IF(B401="","",IF(INPUT!J401="","None",INPUT!J401))</f>
        <v>Opened</v>
      </c>
      <c r="J401" s="28" t="str">
        <f t="shared" si="66"/>
        <v>meera.d097@example.com|partner 008|Round1|interviewer0@partner008.example.com</v>
      </c>
      <c r="K401" s="28" t="str">
        <f>IF(B401="","",IF(SUMPRODUCT(($J$2:$J$601=J401)*($H$2:$H$601&lt;H401))+SUMPRODUCT(($J$2:J401=J401)*($H$2:H401=H401))-1&gt;0,"DUPLICATE",IF(AND(ISNUMBER(SEARCH("@",E401)),ISNUMBER(SEARCH(".",E401)),LEN(F401)=10,ISNUMBER(VALUE(F401))),"OK","BAD CONTACT")))</f>
        <v>OK</v>
      </c>
      <c r="L401" s="28">
        <f t="shared" si="67"/>
        <v>1</v>
      </c>
      <c r="M401" s="28">
        <f>IF(L401=1,IF(COUNTIFS(LOG!$C$2:$C$2001,F401,LOG!$E$2:$E$2001,B401,LOG!$D$2:$D$2001,"*BOOKED")+COUNTIFS(LOG!$C$2:$C$2001,F401,LOG!$E$2:$E$2001,"",LOG!$D$2:$D$2001,"*BOOKED")&gt;0,1,0),0)</f>
        <v>1</v>
      </c>
      <c r="N401" s="28">
        <f>IF(L401=1,IF(COUNTIFS(LOG!$C$2:$C$2001,F401,LOG!$E$2:$E$2001,B401,LOG!$D$2:$D$2001,"NOT_INTERESTED")+COUNTIFS(LOG!$C$2:$C$2001,F401,LOG!$E$2:$E$2001,"",LOG!$D$2:$D$2001,"NOT_INTERESTED")&gt;0,1,0),0)</f>
        <v>0</v>
      </c>
      <c r="O401" s="28">
        <f>IF(L401=1,IF(COUNTIFS(LOG!$C$2:$C$2001,F401,LOG!$D$2:$D$2001,"STOP")+COUNTIFS(LOG!$C$2:$C$2001,F401,LOG!$D$2:$D$2001,"WRONG_NUMBER")&gt;0,1,IF(ISNUMBER(SEARCH("STOP",AT401)),1,0)),0)</f>
        <v>0</v>
      </c>
      <c r="P401" s="28">
        <f>IF(L401=1,IF(IFERROR(INDEX(PARTNERS!$D$2:$D$88,MATCH(B401,PARTNERS!$A$2:$A$88,0)),"")="NO SLOTS",1,IF(AND(IFERROR(INDEX(PARTNERS!$D$2:$D$88,MATCH(B401,PARTNERS!$A$2:$A$88,0)),"")&lt;&gt;"REOPENED",COUNTIFS(LOG!$E$2:$E$2001,B401,LOG!$D$2:$D$2001,"NO_SLOTS")&gt;0),1,0)),0)</f>
        <v>0</v>
      </c>
      <c r="Q401" s="28">
        <f>IF(L401=1,COUNTIFS(LOG!$C$2:$C$2001,F401,LOG!$H$2:$H$2001,1),0)</f>
        <v>2</v>
      </c>
      <c r="R401" s="46">
        <f>IF(Q401&gt;0,_xlfn.MAXIFS(LOG!$G$2:$G$2001,LOG!$C$2:$C$2001,F401,LOG!$H$2:$H$2001,1),0)</f>
        <v>46309.614530894469</v>
      </c>
      <c r="S401" s="28" t="str">
        <f>IF(Q401&gt;0,IFERROR(INDEX(LOG!$D$2:$D$2001,MATCH(F401&amp;"|"&amp;Q401,LOG!$I$2:$I$2001,0)),""),"")</f>
        <v>SENT_LINK</v>
      </c>
      <c r="T401" s="28">
        <f>IF(S401="",0,IFERROR(VLOOKUP(S401,LISTS!$A$2:$E$10,4,FALSE),0))</f>
        <v>180</v>
      </c>
      <c r="U401" s="46">
        <f t="shared" si="68"/>
        <v>46309.739530894469</v>
      </c>
      <c r="V401" s="46">
        <f>IF(L401=1,H401+SETTINGS!$B$5/24,"")</f>
        <v>46309.82708333333</v>
      </c>
      <c r="W401" s="28">
        <f ca="1">IF(L401=1,(V401-SETTINGS!$B$4)*24,"")</f>
        <v>-1.6666666720993817E-2</v>
      </c>
      <c r="X401" s="28">
        <f ca="1">IF(AND(L401=1,K401="OK",M401=0,N401=0,O401=0,P401=0,SETTINGS!$B$4&lt;V401,Q401&lt;SETTINGS!$B$6),1,0)</f>
        <v>0</v>
      </c>
      <c r="Y401" s="28">
        <f ca="1">IF(AND(X401=1,SETTINGS!$B$4&gt;=H401,SETTINGS!$B$4&gt;=U401,ROUND(MOD(SETTINGS!$B$4,1)*1440,0)&gt;=ROUND(SETTINGS!$B$7*1440,0),ROUND(MOD(SETTINGS!$B$4,1)*1440,0)&lt;ROUND(SETTINGS!$B$8*1440,0)),1,0)</f>
        <v>0</v>
      </c>
      <c r="Z401" s="28" t="str">
        <f ca="1">IF(B401="","",IF(ROUND(MOD(SETTINGS!$B$4,1)*1440,0)&lt;ROUND(SETTINGS!$B$11*1440,0),"Ram",IF(ROUND(MOD(SETTINGS!$B$4,1)*1440,0)&gt;=ROUND(SETTINGS!$B$10*1440,0),"Shyam",IF(MOD(IFERROR(VALUE(RIGHT(F401,2)),0),2)=0,"Ram","Shyam"))))</f>
        <v>Shyam</v>
      </c>
      <c r="AA401" s="28">
        <f t="shared" ca="1" si="69"/>
        <v>0</v>
      </c>
      <c r="AB401" s="28">
        <f ca="1">IF(X401=1,COUNTIFS($F$2:F401,F401,$X$2:X401,1),0)</f>
        <v>0</v>
      </c>
      <c r="AC401" s="28" t="str">
        <f>IF(L401=1,IF(IFERROR(INDEX(PARTNERS!$C$2:$C$88,MATCH(B401,PARTNERS!$A$2:$A$88,0)),"")="YES","YES","NO"),"")</f>
        <v>YES</v>
      </c>
      <c r="AD401" s="28" t="str">
        <f>IF(L401=1,IFERROR(INDEX(PARTNERS!$B$2:$B$88,MATCH(B401,PARTNERS!$A$2:$A$88,0)),""),"")</f>
        <v>https://calendly.com/partner008/interview</v>
      </c>
      <c r="AE401" s="28">
        <f ca="1">IF(X401=1,IFERROR(INDEX(SETTINGS!$B$34:$D$36,MATCH(I401,SETTINGS!$A$34:$A$36,0),MIN(Q401,2)+1),SETTINGS!$B$36),0)</f>
        <v>0</v>
      </c>
      <c r="AF401" s="28">
        <f t="shared" si="70"/>
        <v>1</v>
      </c>
      <c r="AG401" s="28">
        <f ca="1">IF(AND(Y401=1,AB401=1),ROUND(AA401*AE401*IF(AF401&gt;1,SETTINGS!$B$16,1)*IF(W401&lt;=SETTINGS!$B$14,SETTINGS!$B$15,1)*IF(AU401=1,SETTINGS!$B$21,1),6),0)</f>
        <v>0</v>
      </c>
      <c r="AH401" s="28" t="str">
        <f ca="1">IF(AG401&gt;0,COUNTIFS($Z$2:$Z$601,Z401,$AG$2:$AG$601,"&gt;"&amp;AG401)+COUNTIFS($Z$2:Z401,Z401,$AG$2:AG401,AG401),"")</f>
        <v/>
      </c>
      <c r="AI401" s="28" t="str">
        <f t="shared" ca="1" si="71"/>
        <v/>
      </c>
      <c r="AJ401" s="28" t="str">
        <f t="shared" ca="1" si="72"/>
        <v/>
      </c>
      <c r="AK401" s="28">
        <f>IF(L401=1,IF(COUNTIFS($F$2:F401,F401,$L$2:L401,1)=1,1,0),0)</f>
        <v>0</v>
      </c>
      <c r="AL401" s="28" t="str">
        <f>IF(B401="","",IF(K401="DUPLICATE","Duplicate (removed)",IF(AO401=1,"Scheduled within 24h",IF(M401=1,"Scheduled late",IF(K401="BAD CONTACT","Bad contact details",IF(O401=1,"Stopped / wrong number",IF(N401=1,"Not interested",IF(P401=1,"Partner has no slots",IF(SETTINGS!$B$4&gt;=V401,IF(Q401=0,"Missed deadline: never tried","Missed deadline: tried, not booked"),IF(Q401&gt;=SETTINGS!$B$6,"No reply after max tries","Open"))))))))))</f>
        <v>Scheduled within 24h</v>
      </c>
      <c r="AM401" s="46">
        <f>IF(M401=1,IF(_xlfn.MINIFS(LOG!$G$2:$G$2001,LOG!$C$2:$C$2001,F401,LOG!$E$2:$E$2001,B401,LOG!$D$2:$D$2001,"*BOOKED")=0,_xlfn.MINIFS(LOG!$G$2:$G$2001,LOG!$C$2:$C$2001,F401,LOG!$E$2:$E$2001,"",LOG!$D$2:$D$2001,"*BOOKED"),IF(_xlfn.MINIFS(LOG!$G$2:$G$2001,LOG!$C$2:$C$2001,F401,LOG!$E$2:$E$2001,"",LOG!$D$2:$D$2001,"*BOOKED")=0,_xlfn.MINIFS(LOG!$G$2:$G$2001,LOG!$C$2:$C$2001,F401,LOG!$E$2:$E$2001,B401,LOG!$D$2:$D$2001,"*BOOKED"),MIN(_xlfn.MINIFS(LOG!$G$2:$G$2001,LOG!$C$2:$C$2001,F401,LOG!$E$2:$E$2001,B401,LOG!$D$2:$D$2001,"*BOOKED"),_xlfn.MINIFS(LOG!$G$2:$G$2001,LOG!$C$2:$C$2001,F401,LOG!$E$2:$E$2001,"",LOG!$D$2:$D$2001,"*BOOKED")))),"")</f>
        <v>46309.614762375953</v>
      </c>
      <c r="AN401" s="28">
        <f t="shared" si="73"/>
        <v>18.904297022963874</v>
      </c>
      <c r="AO401" s="28">
        <f>IF(AND(M401=1,AN401&lt;&gt;""),IF(AN401&lt;=SETTINGS!$B$5,1,0),0)</f>
        <v>1</v>
      </c>
      <c r="AP401" s="28">
        <f>IF(M401=1,IF(COUNTIFS(LOG!$C$2:$C$2001,F401,LOG!$E$2:$E$2001,B401,LOG!$D$2:$D$2001,"BOOKED")+COUNTIFS(LOG!$C$2:$C$2001,F401,LOG!$E$2:$E$2001,"",LOG!$D$2:$D$2001,"BOOKED")&gt;0,1,0),0)</f>
        <v>1</v>
      </c>
      <c r="AQ401" s="28" t="str">
        <f t="shared" si="74"/>
        <v>Meera</v>
      </c>
      <c r="AR401" s="28" t="str">
        <f>IF(AND(AK401=1,K401="OK"),COUNTIFS($AK$2:AK401,1,$K$2:K401,"OK"),"")</f>
        <v/>
      </c>
      <c r="AS401" s="28" t="str">
        <f>IF(L401=1,IFERROR(INDEX(MESSAGES!$J$9:$J$1008,MATCH(F401,MESSAGES!$M$9:$M$1008,0))&amp;"",""),"")</f>
        <v/>
      </c>
      <c r="AT401" s="28" t="str">
        <f>IF(L401=1,IFERROR(INDEX(MESSAGES!$K$9:$K$1008,MATCH(F401,MESSAGES!$M$9:$M$1008,0))&amp;"",""),"")</f>
        <v/>
      </c>
      <c r="AU401" s="28">
        <f t="shared" ca="1" si="75"/>
        <v>0</v>
      </c>
      <c r="AV401" s="28" t="str">
        <f t="shared" si="76"/>
        <v>SEND</v>
      </c>
    </row>
    <row r="402" spans="1:48" x14ac:dyDescent="0.35">
      <c r="A402" s="28">
        <v>401</v>
      </c>
      <c r="B402" s="28" t="str">
        <f>IF(INPUT!A402="","",TRIM(INPUT!A402))</f>
        <v>Partner 001</v>
      </c>
      <c r="C402" s="28" t="str">
        <f>IF(B402="","",INPUT!C402)</f>
        <v>interviewer2@partner001.example.com</v>
      </c>
      <c r="D402" s="28" t="str">
        <f>IF(B402="","",INPUT!D402)</f>
        <v>Isha A.</v>
      </c>
      <c r="E402" s="28" t="str">
        <f>IF(B402="","",INPUT!E402)</f>
        <v>isha.a025@example.com</v>
      </c>
      <c r="F402" s="43" t="str">
        <f>IF(B402="","",TRIM(INPUT!F402&amp;""))</f>
        <v>9000000332</v>
      </c>
      <c r="G402" s="28" t="str">
        <f>IF(B402="","",INPUT!H402)</f>
        <v>Round1</v>
      </c>
      <c r="H402" s="46">
        <f>IF(B402="","",INPUT!I402)</f>
        <v>46308.82708333333</v>
      </c>
      <c r="I402" s="28" t="str">
        <f>IF(B402="","",IF(INPUT!J402="","None",INPUT!J402))</f>
        <v>Opened</v>
      </c>
      <c r="J402" s="28" t="str">
        <f t="shared" si="66"/>
        <v>isha.a025@example.com|partner 001|Round1|interviewer2@partner001.example.com</v>
      </c>
      <c r="K402" s="28" t="str">
        <f>IF(B402="","",IF(SUMPRODUCT(($J$2:$J$601=J402)*($H$2:$H$601&lt;H402))+SUMPRODUCT(($J$2:J402=J402)*($H$2:H402=H402))-1&gt;0,"DUPLICATE",IF(AND(ISNUMBER(SEARCH("@",E402)),ISNUMBER(SEARCH(".",E402)),LEN(F402)=10,ISNUMBER(VALUE(F402))),"OK","BAD CONTACT")))</f>
        <v>OK</v>
      </c>
      <c r="L402" s="28">
        <f t="shared" si="67"/>
        <v>1</v>
      </c>
      <c r="M402" s="28">
        <f>IF(L402=1,IF(COUNTIFS(LOG!$C$2:$C$2001,F402,LOG!$E$2:$E$2001,B402,LOG!$D$2:$D$2001,"*BOOKED")+COUNTIFS(LOG!$C$2:$C$2001,F402,LOG!$E$2:$E$2001,"",LOG!$D$2:$D$2001,"*BOOKED")&gt;0,1,0),0)</f>
        <v>1</v>
      </c>
      <c r="N402" s="28">
        <f>IF(L402=1,IF(COUNTIFS(LOG!$C$2:$C$2001,F402,LOG!$E$2:$E$2001,B402,LOG!$D$2:$D$2001,"NOT_INTERESTED")+COUNTIFS(LOG!$C$2:$C$2001,F402,LOG!$E$2:$E$2001,"",LOG!$D$2:$D$2001,"NOT_INTERESTED")&gt;0,1,0),0)</f>
        <v>0</v>
      </c>
      <c r="O402" s="28">
        <f>IF(L402=1,IF(COUNTIFS(LOG!$C$2:$C$2001,F402,LOG!$D$2:$D$2001,"STOP")+COUNTIFS(LOG!$C$2:$C$2001,F402,LOG!$D$2:$D$2001,"WRONG_NUMBER")&gt;0,1,IF(ISNUMBER(SEARCH("STOP",AT402)),1,0)),0)</f>
        <v>0</v>
      </c>
      <c r="P402" s="28">
        <f>IF(L402=1,IF(IFERROR(INDEX(PARTNERS!$D$2:$D$88,MATCH(B402,PARTNERS!$A$2:$A$88,0)),"")="NO SLOTS",1,IF(AND(IFERROR(INDEX(PARTNERS!$D$2:$D$88,MATCH(B402,PARTNERS!$A$2:$A$88,0)),"")&lt;&gt;"REOPENED",COUNTIFS(LOG!$E$2:$E$2001,B402,LOG!$D$2:$D$2001,"NO_SLOTS")&gt;0),1,0)),0)</f>
        <v>0</v>
      </c>
      <c r="Q402" s="28">
        <f>IF(L402=1,COUNTIFS(LOG!$C$2:$C$2001,F402,LOG!$H$2:$H$2001,1),0)</f>
        <v>0</v>
      </c>
      <c r="R402" s="46">
        <f>IF(Q402&gt;0,_xlfn.MAXIFS(LOG!$G$2:$G$2001,LOG!$C$2:$C$2001,F402,LOG!$H$2:$H$2001,1),0)</f>
        <v>0</v>
      </c>
      <c r="S402" s="28" t="str">
        <f>IF(Q402&gt;0,IFERROR(INDEX(LOG!$D$2:$D$2001,MATCH(F402&amp;"|"&amp;Q402,LOG!$I$2:$I$2001,0)),""),"")</f>
        <v/>
      </c>
      <c r="T402" s="28">
        <f>IF(S402="",0,IFERROR(VLOOKUP(S402,LISTS!$A$2:$E$10,4,FALSE),0))</f>
        <v>0</v>
      </c>
      <c r="U402" s="46">
        <f t="shared" si="68"/>
        <v>0</v>
      </c>
      <c r="V402" s="46">
        <f>IF(L402=1,H402+SETTINGS!$B$5/24,"")</f>
        <v>46309.82708333333</v>
      </c>
      <c r="W402" s="28">
        <f ca="1">IF(L402=1,(V402-SETTINGS!$B$4)*24,"")</f>
        <v>-1.6666666720993817E-2</v>
      </c>
      <c r="X402" s="28">
        <f ca="1">IF(AND(L402=1,K402="OK",M402=0,N402=0,O402=0,P402=0,SETTINGS!$B$4&lt;V402,Q402&lt;SETTINGS!$B$6),1,0)</f>
        <v>0</v>
      </c>
      <c r="Y402" s="28">
        <f ca="1">IF(AND(X402=1,SETTINGS!$B$4&gt;=H402,SETTINGS!$B$4&gt;=U402,ROUND(MOD(SETTINGS!$B$4,1)*1440,0)&gt;=ROUND(SETTINGS!$B$7*1440,0),ROUND(MOD(SETTINGS!$B$4,1)*1440,0)&lt;ROUND(SETTINGS!$B$8*1440,0)),1,0)</f>
        <v>0</v>
      </c>
      <c r="Z402" s="28" t="str">
        <f ca="1">IF(B402="","",IF(ROUND(MOD(SETTINGS!$B$4,1)*1440,0)&lt;ROUND(SETTINGS!$B$11*1440,0),"Ram",IF(ROUND(MOD(SETTINGS!$B$4,1)*1440,0)&gt;=ROUND(SETTINGS!$B$10*1440,0),"Shyam",IF(MOD(IFERROR(VALUE(RIGHT(F402,2)),0),2)=0,"Ram","Shyam"))))</f>
        <v>Shyam</v>
      </c>
      <c r="AA402" s="28">
        <f t="shared" ca="1" si="69"/>
        <v>0</v>
      </c>
      <c r="AB402" s="28">
        <f ca="1">IF(X402=1,COUNTIFS($F$2:F402,F402,$X$2:X402,1),0)</f>
        <v>0</v>
      </c>
      <c r="AC402" s="28" t="str">
        <f>IF(L402=1,IF(IFERROR(INDEX(PARTNERS!$C$2:$C$88,MATCH(B402,PARTNERS!$A$2:$A$88,0)),"")="YES","YES","NO"),"")</f>
        <v>NO</v>
      </c>
      <c r="AD402" s="28" t="str">
        <f>IF(L402=1,IFERROR(INDEX(PARTNERS!$B$2:$B$88,MATCH(B402,PARTNERS!$A$2:$A$88,0)),""),"")</f>
        <v>https://calendly.com/partner001/interview</v>
      </c>
      <c r="AE402" s="28">
        <f ca="1">IF(X402=1,IFERROR(INDEX(SETTINGS!$B$34:$D$36,MATCH(I402,SETTINGS!$A$34:$A$36,0),MIN(Q402,2)+1),SETTINGS!$B$36),0)</f>
        <v>0</v>
      </c>
      <c r="AF402" s="28">
        <f t="shared" si="70"/>
        <v>1</v>
      </c>
      <c r="AG402" s="28">
        <f ca="1">IF(AND(Y402=1,AB402=1),ROUND(AA402*AE402*IF(AF402&gt;1,SETTINGS!$B$16,1)*IF(W402&lt;=SETTINGS!$B$14,SETTINGS!$B$15,1)*IF(AU402=1,SETTINGS!$B$21,1),6),0)</f>
        <v>0</v>
      </c>
      <c r="AH402" s="28" t="str">
        <f ca="1">IF(AG402&gt;0,COUNTIFS($Z$2:$Z$601,Z402,$AG$2:$AG$601,"&gt;"&amp;AG402)+COUNTIFS($Z$2:Z402,Z402,$AG$2:AG402,AG402),"")</f>
        <v/>
      </c>
      <c r="AI402" s="28" t="str">
        <f t="shared" ca="1" si="71"/>
        <v/>
      </c>
      <c r="AJ402" s="28" t="str">
        <f t="shared" ca="1" si="72"/>
        <v/>
      </c>
      <c r="AK402" s="28">
        <f>IF(L402=1,IF(COUNTIFS($F$2:F402,F402,$L$2:L402,1)=1,1,0),0)</f>
        <v>1</v>
      </c>
      <c r="AL402" s="28" t="str">
        <f>IF(B402="","",IF(K402="DUPLICATE","Duplicate (removed)",IF(AO402=1,"Scheduled within 24h",IF(M402=1,"Scheduled late",IF(K402="BAD CONTACT","Bad contact details",IF(O402=1,"Stopped / wrong number",IF(N402=1,"Not interested",IF(P402=1,"Partner has no slots",IF(SETTINGS!$B$4&gt;=V402,IF(Q402=0,"Missed deadline: never tried","Missed deadline: tried, not booked"),IF(Q402&gt;=SETTINGS!$B$6,"No reply after max tries","Open"))))))))))</f>
        <v>Scheduled within 24h</v>
      </c>
      <c r="AM402" s="46">
        <f>IF(M402=1,IF(_xlfn.MINIFS(LOG!$G$2:$G$2001,LOG!$C$2:$C$2001,F402,LOG!$E$2:$E$2001,B402,LOG!$D$2:$D$2001,"*BOOKED")=0,_xlfn.MINIFS(LOG!$G$2:$G$2001,LOG!$C$2:$C$2001,F402,LOG!$E$2:$E$2001,"",LOG!$D$2:$D$2001,"*BOOKED"),IF(_xlfn.MINIFS(LOG!$G$2:$G$2001,LOG!$C$2:$C$2001,F402,LOG!$E$2:$E$2001,"",LOG!$D$2:$D$2001,"*BOOKED")=0,_xlfn.MINIFS(LOG!$G$2:$G$2001,LOG!$C$2:$C$2001,F402,LOG!$E$2:$E$2001,B402,LOG!$D$2:$D$2001,"*BOOKED"),MIN(_xlfn.MINIFS(LOG!$G$2:$G$2001,LOG!$C$2:$C$2001,F402,LOG!$E$2:$E$2001,B402,LOG!$D$2:$D$2001,"*BOOKED"),_xlfn.MINIFS(LOG!$G$2:$G$2001,LOG!$C$2:$C$2001,F402,LOG!$E$2:$E$2001,"",LOG!$D$2:$D$2001,"*BOOKED")))),"")</f>
        <v>46309.371788765544</v>
      </c>
      <c r="AN402" s="28">
        <f t="shared" si="73"/>
        <v>13.072930373135023</v>
      </c>
      <c r="AO402" s="28">
        <f>IF(AND(M402=1,AN402&lt;&gt;""),IF(AN402&lt;=SETTINGS!$B$5,1,0),0)</f>
        <v>1</v>
      </c>
      <c r="AP402" s="28">
        <f>IF(M402=1,IF(COUNTIFS(LOG!$C$2:$C$2001,F402,LOG!$E$2:$E$2001,B402,LOG!$D$2:$D$2001,"BOOKED")+COUNTIFS(LOG!$C$2:$C$2001,F402,LOG!$E$2:$E$2001,"",LOG!$D$2:$D$2001,"BOOKED")&gt;0,1,0),0)</f>
        <v>0</v>
      </c>
      <c r="AQ402" s="28" t="str">
        <f t="shared" si="74"/>
        <v>Isha</v>
      </c>
      <c r="AR402" s="28">
        <f>IF(AND(AK402=1,K402="OK"),COUNTIFS($AK$2:AK402,1,$K$2:K402,"OK"),"")</f>
        <v>333</v>
      </c>
      <c r="AS402" s="28" t="str">
        <f>IF(L402=1,IFERROR(INDEX(MESSAGES!$J$9:$J$1008,MATCH(F402,MESSAGES!$M$9:$M$1008,0))&amp;"",""),"")</f>
        <v/>
      </c>
      <c r="AT402" s="28" t="str">
        <f>IF(L402=1,IFERROR(INDEX(MESSAGES!$K$9:$K$1008,MATCH(F402,MESSAGES!$M$9:$M$1008,0))&amp;"",""),"")</f>
        <v/>
      </c>
      <c r="AU402" s="28">
        <f t="shared" ca="1" si="75"/>
        <v>0</v>
      </c>
      <c r="AV402" s="28" t="str">
        <f t="shared" si="76"/>
        <v>HOLD</v>
      </c>
    </row>
    <row r="403" spans="1:48" x14ac:dyDescent="0.35">
      <c r="A403" s="28">
        <v>402</v>
      </c>
      <c r="B403" s="28" t="str">
        <f>IF(INPUT!A403="","",TRIM(INPUT!A403))</f>
        <v>Partner 000</v>
      </c>
      <c r="C403" s="28" t="str">
        <f>IF(B403="","",INPUT!C403)</f>
        <v>interviewer0@partner000.example.com</v>
      </c>
      <c r="D403" s="28" t="str">
        <f>IF(B403="","",INPUT!D403)</f>
        <v>Aarav F.</v>
      </c>
      <c r="E403" s="28" t="str">
        <f>IF(B403="","",INPUT!E403)</f>
        <v>aarav.f150@example.com</v>
      </c>
      <c r="F403" s="43" t="str">
        <f>IF(B403="","",TRIM(INPUT!F403&amp;""))</f>
        <v>9000001957</v>
      </c>
      <c r="G403" s="28" t="str">
        <f>IF(B403="","",INPUT!H403)</f>
        <v>Round1</v>
      </c>
      <c r="H403" s="46">
        <f>IF(B403="","",INPUT!I403)</f>
        <v>46308.82708333333</v>
      </c>
      <c r="I403" s="28" t="str">
        <f>IF(B403="","",IF(INPUT!J403="","None",INPUT!J403))</f>
        <v>None</v>
      </c>
      <c r="J403" s="28" t="str">
        <f t="shared" si="66"/>
        <v>aarav.f150@example.com|partner 000|Round1|interviewer0@partner000.example.com</v>
      </c>
      <c r="K403" s="28" t="str">
        <f>IF(B403="","",IF(SUMPRODUCT(($J$2:$J$601=J403)*($H$2:$H$601&lt;H403))+SUMPRODUCT(($J$2:J403=J403)*($H$2:H403=H403))-1&gt;0,"DUPLICATE",IF(AND(ISNUMBER(SEARCH("@",E403)),ISNUMBER(SEARCH(".",E403)),LEN(F403)=10,ISNUMBER(VALUE(F403))),"OK","BAD CONTACT")))</f>
        <v>OK</v>
      </c>
      <c r="L403" s="28">
        <f t="shared" si="67"/>
        <v>1</v>
      </c>
      <c r="M403" s="28">
        <f>IF(L403=1,IF(COUNTIFS(LOG!$C$2:$C$2001,F403,LOG!$E$2:$E$2001,B403,LOG!$D$2:$D$2001,"*BOOKED")+COUNTIFS(LOG!$C$2:$C$2001,F403,LOG!$E$2:$E$2001,"",LOG!$D$2:$D$2001,"*BOOKED")&gt;0,1,0),0)</f>
        <v>0</v>
      </c>
      <c r="N403" s="28">
        <f>IF(L403=1,IF(COUNTIFS(LOG!$C$2:$C$2001,F403,LOG!$E$2:$E$2001,B403,LOG!$D$2:$D$2001,"NOT_INTERESTED")+COUNTIFS(LOG!$C$2:$C$2001,F403,LOG!$E$2:$E$2001,"",LOG!$D$2:$D$2001,"NOT_INTERESTED")&gt;0,1,0),0)</f>
        <v>0</v>
      </c>
      <c r="O403" s="28">
        <f>IF(L403=1,IF(COUNTIFS(LOG!$C$2:$C$2001,F403,LOG!$D$2:$D$2001,"STOP")+COUNTIFS(LOG!$C$2:$C$2001,F403,LOG!$D$2:$D$2001,"WRONG_NUMBER")&gt;0,1,IF(ISNUMBER(SEARCH("STOP",AT403)),1,0)),0)</f>
        <v>0</v>
      </c>
      <c r="P403" s="28">
        <f>IF(L403=1,IF(IFERROR(INDEX(PARTNERS!$D$2:$D$88,MATCH(B403,PARTNERS!$A$2:$A$88,0)),"")="NO SLOTS",1,IF(AND(IFERROR(INDEX(PARTNERS!$D$2:$D$88,MATCH(B403,PARTNERS!$A$2:$A$88,0)),"")&lt;&gt;"REOPENED",COUNTIFS(LOG!$E$2:$E$2001,B403,LOG!$D$2:$D$2001,"NO_SLOTS")&gt;0),1,0)),0)</f>
        <v>0</v>
      </c>
      <c r="Q403" s="28">
        <f>IF(L403=1,COUNTIFS(LOG!$C$2:$C$2001,F403,LOG!$H$2:$H$2001,1),0)</f>
        <v>1</v>
      </c>
      <c r="R403" s="46">
        <f>IF(Q403&gt;0,_xlfn.MAXIFS(LOG!$G$2:$G$2001,LOG!$C$2:$C$2001,F403,LOG!$H$2:$H$2001,1),0)</f>
        <v>46309.826559237546</v>
      </c>
      <c r="S403" s="28" t="str">
        <f>IF(Q403&gt;0,IFERROR(INDEX(LOG!$D$2:$D$2001,MATCH(F403&amp;"|"&amp;Q403,LOG!$I$2:$I$2001,0)),""),"")</f>
        <v>SENT_LINK</v>
      </c>
      <c r="T403" s="28">
        <f>IF(S403="",0,IFERROR(VLOOKUP(S403,LISTS!$A$2:$E$10,4,FALSE),0))</f>
        <v>180</v>
      </c>
      <c r="U403" s="46">
        <f t="shared" si="68"/>
        <v>46309.951559237546</v>
      </c>
      <c r="V403" s="46">
        <f>IF(L403=1,H403+SETTINGS!$B$5/24,"")</f>
        <v>46309.82708333333</v>
      </c>
      <c r="W403" s="28">
        <f ca="1">IF(L403=1,(V403-SETTINGS!$B$4)*24,"")</f>
        <v>-1.6666666720993817E-2</v>
      </c>
      <c r="X403" s="28">
        <f ca="1">IF(AND(L403=1,K403="OK",M403=0,N403=0,O403=0,P403=0,SETTINGS!$B$4&lt;V403,Q403&lt;SETTINGS!$B$6),1,0)</f>
        <v>0</v>
      </c>
      <c r="Y403" s="28">
        <f ca="1">IF(AND(X403=1,SETTINGS!$B$4&gt;=H403,SETTINGS!$B$4&gt;=U403,ROUND(MOD(SETTINGS!$B$4,1)*1440,0)&gt;=ROUND(SETTINGS!$B$7*1440,0),ROUND(MOD(SETTINGS!$B$4,1)*1440,0)&lt;ROUND(SETTINGS!$B$8*1440,0)),1,0)</f>
        <v>0</v>
      </c>
      <c r="Z403" s="28" t="str">
        <f ca="1">IF(B403="","",IF(ROUND(MOD(SETTINGS!$B$4,1)*1440,0)&lt;ROUND(SETTINGS!$B$11*1440,0),"Ram",IF(ROUND(MOD(SETTINGS!$B$4,1)*1440,0)&gt;=ROUND(SETTINGS!$B$10*1440,0),"Shyam",IF(MOD(IFERROR(VALUE(RIGHT(F403,2)),0),2)=0,"Ram","Shyam"))))</f>
        <v>Shyam</v>
      </c>
      <c r="AA403" s="28">
        <f t="shared" ca="1" si="69"/>
        <v>0</v>
      </c>
      <c r="AB403" s="28">
        <f ca="1">IF(X403=1,COUNTIFS($F$2:F403,F403,$X$2:X403,1),0)</f>
        <v>0</v>
      </c>
      <c r="AC403" s="28" t="str">
        <f>IF(L403=1,IF(IFERROR(INDEX(PARTNERS!$C$2:$C$88,MATCH(B403,PARTNERS!$A$2:$A$88,0)),"")="YES","YES","NO"),"")</f>
        <v>NO</v>
      </c>
      <c r="AD403" s="28" t="str">
        <f>IF(L403=1,IFERROR(INDEX(PARTNERS!$B$2:$B$88,MATCH(B403,PARTNERS!$A$2:$A$88,0)),""),"")</f>
        <v>https://calendly.com/partner000/interview</v>
      </c>
      <c r="AE403" s="28">
        <f ca="1">IF(X403=1,IFERROR(INDEX(SETTINGS!$B$34:$D$36,MATCH(I403,SETTINGS!$A$34:$A$36,0),MIN(Q403,2)+1),SETTINGS!$B$36),0)</f>
        <v>0</v>
      </c>
      <c r="AF403" s="28">
        <f t="shared" si="70"/>
        <v>1</v>
      </c>
      <c r="AG403" s="28">
        <f ca="1">IF(AND(Y403=1,AB403=1),ROUND(AA403*AE403*IF(AF403&gt;1,SETTINGS!$B$16,1)*IF(W403&lt;=SETTINGS!$B$14,SETTINGS!$B$15,1)*IF(AU403=1,SETTINGS!$B$21,1),6),0)</f>
        <v>0</v>
      </c>
      <c r="AH403" s="28" t="str">
        <f ca="1">IF(AG403&gt;0,COUNTIFS($Z$2:$Z$601,Z403,$AG$2:$AG$601,"&gt;"&amp;AG403)+COUNTIFS($Z$2:Z403,Z403,$AG$2:AG403,AG403),"")</f>
        <v/>
      </c>
      <c r="AI403" s="28" t="str">
        <f t="shared" ca="1" si="71"/>
        <v/>
      </c>
      <c r="AJ403" s="28" t="str">
        <f t="shared" ca="1" si="72"/>
        <v/>
      </c>
      <c r="AK403" s="28">
        <f>IF(L403=1,IF(COUNTIFS($F$2:F403,F403,$L$2:L403,1)=1,1,0),0)</f>
        <v>0</v>
      </c>
      <c r="AL403" s="28" t="str">
        <f ca="1">IF(B403="","",IF(K403="DUPLICATE","Duplicate (removed)",IF(AO403=1,"Scheduled within 24h",IF(M403=1,"Scheduled late",IF(K403="BAD CONTACT","Bad contact details",IF(O403=1,"Stopped / wrong number",IF(N403=1,"Not interested",IF(P403=1,"Partner has no slots",IF(SETTINGS!$B$4&gt;=V403,IF(Q403=0,"Missed deadline: never tried","Missed deadline: tried, not booked"),IF(Q403&gt;=SETTINGS!$B$6,"No reply after max tries","Open"))))))))))</f>
        <v>Missed deadline: tried, not booked</v>
      </c>
      <c r="AM403" s="46" t="str">
        <f>IF(M403=1,IF(_xlfn.MINIFS(LOG!$G$2:$G$2001,LOG!$C$2:$C$2001,F403,LOG!$E$2:$E$2001,B403,LOG!$D$2:$D$2001,"*BOOKED")=0,_xlfn.MINIFS(LOG!$G$2:$G$2001,LOG!$C$2:$C$2001,F403,LOG!$E$2:$E$2001,"",LOG!$D$2:$D$2001,"*BOOKED"),IF(_xlfn.MINIFS(LOG!$G$2:$G$2001,LOG!$C$2:$C$2001,F403,LOG!$E$2:$E$2001,"",LOG!$D$2:$D$2001,"*BOOKED")=0,_xlfn.MINIFS(LOG!$G$2:$G$2001,LOG!$C$2:$C$2001,F403,LOG!$E$2:$E$2001,B403,LOG!$D$2:$D$2001,"*BOOKED"),MIN(_xlfn.MINIFS(LOG!$G$2:$G$2001,LOG!$C$2:$C$2001,F403,LOG!$E$2:$E$2001,B403,LOG!$D$2:$D$2001,"*BOOKED"),_xlfn.MINIFS(LOG!$G$2:$G$2001,LOG!$C$2:$C$2001,F403,LOG!$E$2:$E$2001,"",LOG!$D$2:$D$2001,"*BOOKED")))),"")</f>
        <v/>
      </c>
      <c r="AN403" s="28" t="str">
        <f t="shared" si="73"/>
        <v/>
      </c>
      <c r="AO403" s="28">
        <f>IF(AND(M403=1,AN403&lt;&gt;""),IF(AN403&lt;=SETTINGS!$B$5,1,0),0)</f>
        <v>0</v>
      </c>
      <c r="AP403" s="28">
        <f>IF(M403=1,IF(COUNTIFS(LOG!$C$2:$C$2001,F403,LOG!$E$2:$E$2001,B403,LOG!$D$2:$D$2001,"BOOKED")+COUNTIFS(LOG!$C$2:$C$2001,F403,LOG!$E$2:$E$2001,"",LOG!$D$2:$D$2001,"BOOKED")&gt;0,1,0),0)</f>
        <v>0</v>
      </c>
      <c r="AQ403" s="28" t="str">
        <f t="shared" si="74"/>
        <v>Aarav</v>
      </c>
      <c r="AR403" s="28" t="str">
        <f>IF(AND(AK403=1,K403="OK"),COUNTIFS($AK$2:AK403,1,$K$2:K403,"OK"),"")</f>
        <v/>
      </c>
      <c r="AS403" s="28" t="str">
        <f>IF(L403=1,IFERROR(INDEX(MESSAGES!$J$9:$J$1008,MATCH(F403,MESSAGES!$M$9:$M$1008,0))&amp;"",""),"")</f>
        <v/>
      </c>
      <c r="AT403" s="28" t="str">
        <f>IF(L403=1,IFERROR(INDEX(MESSAGES!$K$9:$K$1008,MATCH(F403,MESSAGES!$M$9:$M$1008,0))&amp;"",""),"")</f>
        <v/>
      </c>
      <c r="AU403" s="28">
        <f t="shared" ca="1" si="75"/>
        <v>0</v>
      </c>
      <c r="AV403" s="28" t="str">
        <f t="shared" si="76"/>
        <v>HOLD</v>
      </c>
    </row>
    <row r="404" spans="1:48" x14ac:dyDescent="0.35">
      <c r="A404" s="28">
        <v>403</v>
      </c>
      <c r="B404" s="28" t="str">
        <f>IF(INPUT!A404="","",TRIM(INPUT!A404))</f>
        <v>Partner 093</v>
      </c>
      <c r="C404" s="28" t="str">
        <f>IF(B404="","",INPUT!C404)</f>
        <v>interviewer1@partner093.example.com</v>
      </c>
      <c r="D404" s="28" t="str">
        <f>IF(B404="","",INPUT!D404)</f>
        <v>Aditya J.</v>
      </c>
      <c r="E404" s="28" t="str">
        <f>IF(B404="","",INPUT!E404)</f>
        <v>aditya.j262@example.com</v>
      </c>
      <c r="F404" s="43" t="str">
        <f>IF(B404="","",TRIM(INPUT!F404&amp;""))</f>
        <v>9000003413</v>
      </c>
      <c r="G404" s="28" t="str">
        <f>IF(B404="","",INPUT!H404)</f>
        <v>Round1</v>
      </c>
      <c r="H404" s="46">
        <f>IF(B404="","",INPUT!I404)</f>
        <v>46308.82708333333</v>
      </c>
      <c r="I404" s="28" t="str">
        <f>IF(B404="","",IF(INPUT!J404="","None",INPUT!J404))</f>
        <v>Clicked</v>
      </c>
      <c r="J404" s="28" t="str">
        <f t="shared" si="66"/>
        <v>aditya.j262@example.com|partner 093|Round1|interviewer1@partner093.example.com</v>
      </c>
      <c r="K404" s="28" t="str">
        <f>IF(B404="","",IF(SUMPRODUCT(($J$2:$J$601=J404)*($H$2:$H$601&lt;H404))+SUMPRODUCT(($J$2:J404=J404)*($H$2:H404=H404))-1&gt;0,"DUPLICATE",IF(AND(ISNUMBER(SEARCH("@",E404)),ISNUMBER(SEARCH(".",E404)),LEN(F404)=10,ISNUMBER(VALUE(F404))),"OK","BAD CONTACT")))</f>
        <v>OK</v>
      </c>
      <c r="L404" s="28">
        <f t="shared" si="67"/>
        <v>1</v>
      </c>
      <c r="M404" s="28">
        <f>IF(L404=1,IF(COUNTIFS(LOG!$C$2:$C$2001,F404,LOG!$E$2:$E$2001,B404,LOG!$D$2:$D$2001,"*BOOKED")+COUNTIFS(LOG!$C$2:$C$2001,F404,LOG!$E$2:$E$2001,"",LOG!$D$2:$D$2001,"*BOOKED")&gt;0,1,0),0)</f>
        <v>1</v>
      </c>
      <c r="N404" s="28">
        <f>IF(L404=1,IF(COUNTIFS(LOG!$C$2:$C$2001,F404,LOG!$E$2:$E$2001,B404,LOG!$D$2:$D$2001,"NOT_INTERESTED")+COUNTIFS(LOG!$C$2:$C$2001,F404,LOG!$E$2:$E$2001,"",LOG!$D$2:$D$2001,"NOT_INTERESTED")&gt;0,1,0),0)</f>
        <v>0</v>
      </c>
      <c r="O404" s="28">
        <f>IF(L404=1,IF(COUNTIFS(LOG!$C$2:$C$2001,F404,LOG!$D$2:$D$2001,"STOP")+COUNTIFS(LOG!$C$2:$C$2001,F404,LOG!$D$2:$D$2001,"WRONG_NUMBER")&gt;0,1,IF(ISNUMBER(SEARCH("STOP",AT404)),1,0)),0)</f>
        <v>0</v>
      </c>
      <c r="P404" s="28">
        <f>IF(L404=1,IF(IFERROR(INDEX(PARTNERS!$D$2:$D$88,MATCH(B404,PARTNERS!$A$2:$A$88,0)),"")="NO SLOTS",1,IF(AND(IFERROR(INDEX(PARTNERS!$D$2:$D$88,MATCH(B404,PARTNERS!$A$2:$A$88,0)),"")&lt;&gt;"REOPENED",COUNTIFS(LOG!$E$2:$E$2001,B404,LOG!$D$2:$D$2001,"NO_SLOTS")&gt;0),1,0)),0)</f>
        <v>0</v>
      </c>
      <c r="Q404" s="28">
        <f>IF(L404=1,COUNTIFS(LOG!$C$2:$C$2001,F404,LOG!$H$2:$H$2001,1),0)</f>
        <v>1</v>
      </c>
      <c r="R404" s="46">
        <f>IF(Q404&gt;0,_xlfn.MAXIFS(LOG!$G$2:$G$2001,LOG!$C$2:$C$2001,F404,LOG!$H$2:$H$2001,1),0)</f>
        <v>46309.682732364978</v>
      </c>
      <c r="S404" s="28" t="str">
        <f>IF(Q404&gt;0,IFERROR(INDEX(LOG!$D$2:$D$2001,MATCH(F404&amp;"|"&amp;Q404,LOG!$I$2:$I$2001,0)),""),"")</f>
        <v>CALL_BACK</v>
      </c>
      <c r="T404" s="28">
        <f>IF(S404="",0,IFERROR(VLOOKUP(S404,LISTS!$A$2:$E$10,4,FALSE),0))</f>
        <v>120</v>
      </c>
      <c r="U404" s="46">
        <f t="shared" si="68"/>
        <v>46309.766065698313</v>
      </c>
      <c r="V404" s="46">
        <f>IF(L404=1,H404+SETTINGS!$B$5/24,"")</f>
        <v>46309.82708333333</v>
      </c>
      <c r="W404" s="28">
        <f ca="1">IF(L404=1,(V404-SETTINGS!$B$4)*24,"")</f>
        <v>-1.6666666720993817E-2</v>
      </c>
      <c r="X404" s="28">
        <f ca="1">IF(AND(L404=1,K404="OK",M404=0,N404=0,O404=0,P404=0,SETTINGS!$B$4&lt;V404,Q404&lt;SETTINGS!$B$6),1,0)</f>
        <v>0</v>
      </c>
      <c r="Y404" s="28">
        <f ca="1">IF(AND(X404=1,SETTINGS!$B$4&gt;=H404,SETTINGS!$B$4&gt;=U404,ROUND(MOD(SETTINGS!$B$4,1)*1440,0)&gt;=ROUND(SETTINGS!$B$7*1440,0),ROUND(MOD(SETTINGS!$B$4,1)*1440,0)&lt;ROUND(SETTINGS!$B$8*1440,0)),1,0)</f>
        <v>0</v>
      </c>
      <c r="Z404" s="28" t="str">
        <f ca="1">IF(B404="","",IF(ROUND(MOD(SETTINGS!$B$4,1)*1440,0)&lt;ROUND(SETTINGS!$B$11*1440,0),"Ram",IF(ROUND(MOD(SETTINGS!$B$4,1)*1440,0)&gt;=ROUND(SETTINGS!$B$10*1440,0),"Shyam",IF(MOD(IFERROR(VALUE(RIGHT(F404,2)),0),2)=0,"Ram","Shyam"))))</f>
        <v>Shyam</v>
      </c>
      <c r="AA404" s="28">
        <f t="shared" ca="1" si="69"/>
        <v>0</v>
      </c>
      <c r="AB404" s="28">
        <f ca="1">IF(X404=1,COUNTIFS($F$2:F404,F404,$X$2:X404,1),0)</f>
        <v>0</v>
      </c>
      <c r="AC404" s="28" t="str">
        <f>IF(L404=1,IF(IFERROR(INDEX(PARTNERS!$C$2:$C$88,MATCH(B404,PARTNERS!$A$2:$A$88,0)),"")="YES","YES","NO"),"")</f>
        <v>YES</v>
      </c>
      <c r="AD404" s="28" t="str">
        <f>IF(L404=1,IFERROR(INDEX(PARTNERS!$B$2:$B$88,MATCH(B404,PARTNERS!$A$2:$A$88,0)),""),"")</f>
        <v>https://calendly.com/partner093/interview</v>
      </c>
      <c r="AE404" s="28">
        <f ca="1">IF(X404=1,IFERROR(INDEX(SETTINGS!$B$34:$D$36,MATCH(I404,SETTINGS!$A$34:$A$36,0),MIN(Q404,2)+1),SETTINGS!$B$36),0)</f>
        <v>0</v>
      </c>
      <c r="AF404" s="28">
        <f t="shared" si="70"/>
        <v>1</v>
      </c>
      <c r="AG404" s="28">
        <f ca="1">IF(AND(Y404=1,AB404=1),ROUND(AA404*AE404*IF(AF404&gt;1,SETTINGS!$B$16,1)*IF(W404&lt;=SETTINGS!$B$14,SETTINGS!$B$15,1)*IF(AU404=1,SETTINGS!$B$21,1),6),0)</f>
        <v>0</v>
      </c>
      <c r="AH404" s="28" t="str">
        <f ca="1">IF(AG404&gt;0,COUNTIFS($Z$2:$Z$601,Z404,$AG$2:$AG$601,"&gt;"&amp;AG404)+COUNTIFS($Z$2:Z404,Z404,$AG$2:AG404,AG404),"")</f>
        <v/>
      </c>
      <c r="AI404" s="28" t="str">
        <f t="shared" ca="1" si="71"/>
        <v/>
      </c>
      <c r="AJ404" s="28" t="str">
        <f t="shared" ca="1" si="72"/>
        <v/>
      </c>
      <c r="AK404" s="28">
        <f>IF(L404=1,IF(COUNTIFS($F$2:F404,F404,$L$2:L404,1)=1,1,0),0)</f>
        <v>1</v>
      </c>
      <c r="AL404" s="28" t="str">
        <f>IF(B404="","",IF(K404="DUPLICATE","Duplicate (removed)",IF(AO404=1,"Scheduled within 24h",IF(M404=1,"Scheduled late",IF(K404="BAD CONTACT","Bad contact details",IF(O404=1,"Stopped / wrong number",IF(N404=1,"Not interested",IF(P404=1,"Partner has no slots",IF(SETTINGS!$B$4&gt;=V404,IF(Q404=0,"Missed deadline: never tried","Missed deadline: tried, not booked"),IF(Q404&gt;=SETTINGS!$B$6,"No reply after max tries","Open"))))))))))</f>
        <v>Scheduled within 24h</v>
      </c>
      <c r="AM404" s="46">
        <f>IF(M404=1,IF(_xlfn.MINIFS(LOG!$G$2:$G$2001,LOG!$C$2:$C$2001,F404,LOG!$E$2:$E$2001,B404,LOG!$D$2:$D$2001,"*BOOKED")=0,_xlfn.MINIFS(LOG!$G$2:$G$2001,LOG!$C$2:$C$2001,F404,LOG!$E$2:$E$2001,"",LOG!$D$2:$D$2001,"*BOOKED"),IF(_xlfn.MINIFS(LOG!$G$2:$G$2001,LOG!$C$2:$C$2001,F404,LOG!$E$2:$E$2001,"",LOG!$D$2:$D$2001,"*BOOKED")=0,_xlfn.MINIFS(LOG!$G$2:$G$2001,LOG!$C$2:$C$2001,F404,LOG!$E$2:$E$2001,B404,LOG!$D$2:$D$2001,"*BOOKED"),MIN(_xlfn.MINIFS(LOG!$G$2:$G$2001,LOG!$C$2:$C$2001,F404,LOG!$E$2:$E$2001,B404,LOG!$D$2:$D$2001,"*BOOKED"),_xlfn.MINIFS(LOG!$G$2:$G$2001,LOG!$C$2:$C$2001,F404,LOG!$E$2:$E$2001,"",LOG!$D$2:$D$2001,"*BOOKED")))),"")</f>
        <v>46309.697587938805</v>
      </c>
      <c r="AN404" s="28">
        <f t="shared" si="73"/>
        <v>20.892110531392973</v>
      </c>
      <c r="AO404" s="28">
        <f>IF(AND(M404=1,AN404&lt;&gt;""),IF(AN404&lt;=SETTINGS!$B$5,1,0),0)</f>
        <v>1</v>
      </c>
      <c r="AP404" s="28">
        <f>IF(M404=1,IF(COUNTIFS(LOG!$C$2:$C$2001,F404,LOG!$E$2:$E$2001,B404,LOG!$D$2:$D$2001,"BOOKED")+COUNTIFS(LOG!$C$2:$C$2001,F404,LOG!$E$2:$E$2001,"",LOG!$D$2:$D$2001,"BOOKED")&gt;0,1,0),0)</f>
        <v>0</v>
      </c>
      <c r="AQ404" s="28" t="str">
        <f t="shared" si="74"/>
        <v>Aditya</v>
      </c>
      <c r="AR404" s="28">
        <f>IF(AND(AK404=1,K404="OK"),COUNTIFS($AK$2:AK404,1,$K$2:K404,"OK"),"")</f>
        <v>334</v>
      </c>
      <c r="AS404" s="28" t="str">
        <f>IF(L404=1,IFERROR(INDEX(MESSAGES!$J$9:$J$1008,MATCH(F404,MESSAGES!$M$9:$M$1008,0))&amp;"",""),"")</f>
        <v/>
      </c>
      <c r="AT404" s="28" t="str">
        <f>IF(L404=1,IFERROR(INDEX(MESSAGES!$K$9:$K$1008,MATCH(F404,MESSAGES!$M$9:$M$1008,0))&amp;"",""),"")</f>
        <v/>
      </c>
      <c r="AU404" s="28">
        <f t="shared" ca="1" si="75"/>
        <v>0</v>
      </c>
      <c r="AV404" s="28" t="str">
        <f t="shared" si="76"/>
        <v>HOLD</v>
      </c>
    </row>
    <row r="405" spans="1:48" x14ac:dyDescent="0.35">
      <c r="A405" s="28">
        <v>404</v>
      </c>
      <c r="B405" s="28" t="str">
        <f>IF(INPUT!A405="","",TRIM(INPUT!A405))</f>
        <v>Partner 007</v>
      </c>
      <c r="C405" s="28" t="str">
        <f>IF(B405="","",INPUT!C405)</f>
        <v>interviewer1@partner007.example.com</v>
      </c>
      <c r="D405" s="28" t="str">
        <f>IF(B405="","",INPUT!D405)</f>
        <v>Ananya C.</v>
      </c>
      <c r="E405" s="28" t="str">
        <f>IF(B405="","",INPUT!E405)</f>
        <v>ananya.c063@example.com</v>
      </c>
      <c r="F405" s="43" t="str">
        <f>IF(B405="","",TRIM(INPUT!F405&amp;""))</f>
        <v>9000000826</v>
      </c>
      <c r="G405" s="28" t="str">
        <f>IF(B405="","",INPUT!H405)</f>
        <v>Round1</v>
      </c>
      <c r="H405" s="46">
        <f>IF(B405="","",INPUT!I405)</f>
        <v>46308.82708333333</v>
      </c>
      <c r="I405" s="28" t="str">
        <f>IF(B405="","",IF(INPUT!J405="","None",INPUT!J405))</f>
        <v>Opened</v>
      </c>
      <c r="J405" s="28" t="str">
        <f t="shared" si="66"/>
        <v>ananya.c063@example.com|partner 007|Round1|interviewer1@partner007.example.com</v>
      </c>
      <c r="K405" s="28" t="str">
        <f>IF(B405="","",IF(SUMPRODUCT(($J$2:$J$601=J405)*($H$2:$H$601&lt;H405))+SUMPRODUCT(($J$2:J405=J405)*($H$2:H405=H405))-1&gt;0,"DUPLICATE",IF(AND(ISNUMBER(SEARCH("@",E405)),ISNUMBER(SEARCH(".",E405)),LEN(F405)=10,ISNUMBER(VALUE(F405))),"OK","BAD CONTACT")))</f>
        <v>OK</v>
      </c>
      <c r="L405" s="28">
        <f t="shared" si="67"/>
        <v>1</v>
      </c>
      <c r="M405" s="28">
        <f>IF(L405=1,IF(COUNTIFS(LOG!$C$2:$C$2001,F405,LOG!$E$2:$E$2001,B405,LOG!$D$2:$D$2001,"*BOOKED")+COUNTIFS(LOG!$C$2:$C$2001,F405,LOG!$E$2:$E$2001,"",LOG!$D$2:$D$2001,"*BOOKED")&gt;0,1,0),0)</f>
        <v>0</v>
      </c>
      <c r="N405" s="28">
        <f>IF(L405=1,IF(COUNTIFS(LOG!$C$2:$C$2001,F405,LOG!$E$2:$E$2001,B405,LOG!$D$2:$D$2001,"NOT_INTERESTED")+COUNTIFS(LOG!$C$2:$C$2001,F405,LOG!$E$2:$E$2001,"",LOG!$D$2:$D$2001,"NOT_INTERESTED")&gt;0,1,0),0)</f>
        <v>0</v>
      </c>
      <c r="O405" s="28">
        <f>IF(L405=1,IF(COUNTIFS(LOG!$C$2:$C$2001,F405,LOG!$D$2:$D$2001,"STOP")+COUNTIFS(LOG!$C$2:$C$2001,F405,LOG!$D$2:$D$2001,"WRONG_NUMBER")&gt;0,1,IF(ISNUMBER(SEARCH("STOP",AT405)),1,0)),0)</f>
        <v>0</v>
      </c>
      <c r="P405" s="28">
        <f>IF(L405=1,IF(IFERROR(INDEX(PARTNERS!$D$2:$D$88,MATCH(B405,PARTNERS!$A$2:$A$88,0)),"")="NO SLOTS",1,IF(AND(IFERROR(INDEX(PARTNERS!$D$2:$D$88,MATCH(B405,PARTNERS!$A$2:$A$88,0)),"")&lt;&gt;"REOPENED",COUNTIFS(LOG!$E$2:$E$2001,B405,LOG!$D$2:$D$2001,"NO_SLOTS")&gt;0),1,0)),0)</f>
        <v>0</v>
      </c>
      <c r="Q405" s="28">
        <f>IF(L405=1,COUNTIFS(LOG!$C$2:$C$2001,F405,LOG!$H$2:$H$2001,1),0)</f>
        <v>0</v>
      </c>
      <c r="R405" s="46">
        <f>IF(Q405&gt;0,_xlfn.MAXIFS(LOG!$G$2:$G$2001,LOG!$C$2:$C$2001,F405,LOG!$H$2:$H$2001,1),0)</f>
        <v>0</v>
      </c>
      <c r="S405" s="28" t="str">
        <f>IF(Q405&gt;0,IFERROR(INDEX(LOG!$D$2:$D$2001,MATCH(F405&amp;"|"&amp;Q405,LOG!$I$2:$I$2001,0)),""),"")</f>
        <v/>
      </c>
      <c r="T405" s="28">
        <f>IF(S405="",0,IFERROR(VLOOKUP(S405,LISTS!$A$2:$E$10,4,FALSE),0))</f>
        <v>0</v>
      </c>
      <c r="U405" s="46">
        <f t="shared" si="68"/>
        <v>0</v>
      </c>
      <c r="V405" s="46">
        <f>IF(L405=1,H405+SETTINGS!$B$5/24,"")</f>
        <v>46309.82708333333</v>
      </c>
      <c r="W405" s="28">
        <f ca="1">IF(L405=1,(V405-SETTINGS!$B$4)*24,"")</f>
        <v>-1.6666666720993817E-2</v>
      </c>
      <c r="X405" s="28">
        <f ca="1">IF(AND(L405=1,K405="OK",M405=0,N405=0,O405=0,P405=0,SETTINGS!$B$4&lt;V405,Q405&lt;SETTINGS!$B$6),1,0)</f>
        <v>0</v>
      </c>
      <c r="Y405" s="28">
        <f ca="1">IF(AND(X405=1,SETTINGS!$B$4&gt;=H405,SETTINGS!$B$4&gt;=U405,ROUND(MOD(SETTINGS!$B$4,1)*1440,0)&gt;=ROUND(SETTINGS!$B$7*1440,0),ROUND(MOD(SETTINGS!$B$4,1)*1440,0)&lt;ROUND(SETTINGS!$B$8*1440,0)),1,0)</f>
        <v>0</v>
      </c>
      <c r="Z405" s="28" t="str">
        <f ca="1">IF(B405="","",IF(ROUND(MOD(SETTINGS!$B$4,1)*1440,0)&lt;ROUND(SETTINGS!$B$11*1440,0),"Ram",IF(ROUND(MOD(SETTINGS!$B$4,1)*1440,0)&gt;=ROUND(SETTINGS!$B$10*1440,0),"Shyam",IF(MOD(IFERROR(VALUE(RIGHT(F405,2)),0),2)=0,"Ram","Shyam"))))</f>
        <v>Shyam</v>
      </c>
      <c r="AA405" s="28">
        <f t="shared" ca="1" si="69"/>
        <v>0</v>
      </c>
      <c r="AB405" s="28">
        <f ca="1">IF(X405=1,COUNTIFS($F$2:F405,F405,$X$2:X405,1),0)</f>
        <v>0</v>
      </c>
      <c r="AC405" s="28" t="str">
        <f>IF(L405=1,IF(IFERROR(INDEX(PARTNERS!$C$2:$C$88,MATCH(B405,PARTNERS!$A$2:$A$88,0)),"")="YES","YES","NO"),"")</f>
        <v>NO</v>
      </c>
      <c r="AD405" s="28" t="str">
        <f>IF(L405=1,IFERROR(INDEX(PARTNERS!$B$2:$B$88,MATCH(B405,PARTNERS!$A$2:$A$88,0)),""),"")</f>
        <v>https://calendly.com/partner007/interview</v>
      </c>
      <c r="AE405" s="28">
        <f ca="1">IF(X405=1,IFERROR(INDEX(SETTINGS!$B$34:$D$36,MATCH(I405,SETTINGS!$A$34:$A$36,0),MIN(Q405,2)+1),SETTINGS!$B$36),0)</f>
        <v>0</v>
      </c>
      <c r="AF405" s="28">
        <f t="shared" si="70"/>
        <v>1</v>
      </c>
      <c r="AG405" s="28">
        <f ca="1">IF(AND(Y405=1,AB405=1),ROUND(AA405*AE405*IF(AF405&gt;1,SETTINGS!$B$16,1)*IF(W405&lt;=SETTINGS!$B$14,SETTINGS!$B$15,1)*IF(AU405=1,SETTINGS!$B$21,1),6),0)</f>
        <v>0</v>
      </c>
      <c r="AH405" s="28" t="str">
        <f ca="1">IF(AG405&gt;0,COUNTIFS($Z$2:$Z$601,Z405,$AG$2:$AG$601,"&gt;"&amp;AG405)+COUNTIFS($Z$2:Z405,Z405,$AG$2:AG405,AG405),"")</f>
        <v/>
      </c>
      <c r="AI405" s="28" t="str">
        <f t="shared" ca="1" si="71"/>
        <v/>
      </c>
      <c r="AJ405" s="28" t="str">
        <f t="shared" ca="1" si="72"/>
        <v/>
      </c>
      <c r="AK405" s="28">
        <f>IF(L405=1,IF(COUNTIFS($F$2:F405,F405,$L$2:L405,1)=1,1,0),0)</f>
        <v>1</v>
      </c>
      <c r="AL405" s="28" t="str">
        <f ca="1">IF(B405="","",IF(K405="DUPLICATE","Duplicate (removed)",IF(AO405=1,"Scheduled within 24h",IF(M405=1,"Scheduled late",IF(K405="BAD CONTACT","Bad contact details",IF(O405=1,"Stopped / wrong number",IF(N405=1,"Not interested",IF(P405=1,"Partner has no slots",IF(SETTINGS!$B$4&gt;=V405,IF(Q405=0,"Missed deadline: never tried","Missed deadline: tried, not booked"),IF(Q405&gt;=SETTINGS!$B$6,"No reply after max tries","Open"))))))))))</f>
        <v>Missed deadline: never tried</v>
      </c>
      <c r="AM405" s="46" t="str">
        <f>IF(M405=1,IF(_xlfn.MINIFS(LOG!$G$2:$G$2001,LOG!$C$2:$C$2001,F405,LOG!$E$2:$E$2001,B405,LOG!$D$2:$D$2001,"*BOOKED")=0,_xlfn.MINIFS(LOG!$G$2:$G$2001,LOG!$C$2:$C$2001,F405,LOG!$E$2:$E$2001,"",LOG!$D$2:$D$2001,"*BOOKED"),IF(_xlfn.MINIFS(LOG!$G$2:$G$2001,LOG!$C$2:$C$2001,F405,LOG!$E$2:$E$2001,"",LOG!$D$2:$D$2001,"*BOOKED")=0,_xlfn.MINIFS(LOG!$G$2:$G$2001,LOG!$C$2:$C$2001,F405,LOG!$E$2:$E$2001,B405,LOG!$D$2:$D$2001,"*BOOKED"),MIN(_xlfn.MINIFS(LOG!$G$2:$G$2001,LOG!$C$2:$C$2001,F405,LOG!$E$2:$E$2001,B405,LOG!$D$2:$D$2001,"*BOOKED"),_xlfn.MINIFS(LOG!$G$2:$G$2001,LOG!$C$2:$C$2001,F405,LOG!$E$2:$E$2001,"",LOG!$D$2:$D$2001,"*BOOKED")))),"")</f>
        <v/>
      </c>
      <c r="AN405" s="28" t="str">
        <f t="shared" si="73"/>
        <v/>
      </c>
      <c r="AO405" s="28">
        <f>IF(AND(M405=1,AN405&lt;&gt;""),IF(AN405&lt;=SETTINGS!$B$5,1,0),0)</f>
        <v>0</v>
      </c>
      <c r="AP405" s="28">
        <f>IF(M405=1,IF(COUNTIFS(LOG!$C$2:$C$2001,F405,LOG!$E$2:$E$2001,B405,LOG!$D$2:$D$2001,"BOOKED")+COUNTIFS(LOG!$C$2:$C$2001,F405,LOG!$E$2:$E$2001,"",LOG!$D$2:$D$2001,"BOOKED")&gt;0,1,0),0)</f>
        <v>0</v>
      </c>
      <c r="AQ405" s="28" t="str">
        <f t="shared" si="74"/>
        <v>Ananya</v>
      </c>
      <c r="AR405" s="28">
        <f>IF(AND(AK405=1,K405="OK"),COUNTIFS($AK$2:AK405,1,$K$2:K405,"OK"),"")</f>
        <v>335</v>
      </c>
      <c r="AS405" s="28" t="str">
        <f>IF(L405=1,IFERROR(INDEX(MESSAGES!$J$9:$J$1008,MATCH(F405,MESSAGES!$M$9:$M$1008,0))&amp;"",""),"")</f>
        <v/>
      </c>
      <c r="AT405" s="28" t="str">
        <f>IF(L405=1,IFERROR(INDEX(MESSAGES!$K$9:$K$1008,MATCH(F405,MESSAGES!$M$9:$M$1008,0))&amp;"",""),"")</f>
        <v/>
      </c>
      <c r="AU405" s="28">
        <f t="shared" ca="1" si="75"/>
        <v>0</v>
      </c>
      <c r="AV405" s="28" t="str">
        <f t="shared" si="76"/>
        <v>SEND</v>
      </c>
    </row>
    <row r="406" spans="1:48" x14ac:dyDescent="0.35">
      <c r="A406" s="28">
        <v>405</v>
      </c>
      <c r="B406" s="28" t="str">
        <f>IF(INPUT!A406="","",TRIM(INPUT!A406))</f>
        <v>Partner 027</v>
      </c>
      <c r="C406" s="28" t="str">
        <f>IF(B406="","",INPUT!C406)</f>
        <v>interviewer1@partner027.example.com</v>
      </c>
      <c r="D406" s="28" t="str">
        <f>IF(B406="","",INPUT!D406)</f>
        <v>Navya L.</v>
      </c>
      <c r="E406" s="28" t="str">
        <f>IF(B406="","",INPUT!E406)</f>
        <v>navya.l313@example.com</v>
      </c>
      <c r="F406" s="43" t="str">
        <f>IF(B406="","",TRIM(INPUT!F406&amp;""))</f>
        <v>9000004076</v>
      </c>
      <c r="G406" s="28" t="str">
        <f>IF(B406="","",INPUT!H406)</f>
        <v>Round1</v>
      </c>
      <c r="H406" s="46">
        <f>IF(B406="","",INPUT!I406)</f>
        <v>46308.82708333333</v>
      </c>
      <c r="I406" s="28" t="str">
        <f>IF(B406="","",IF(INPUT!J406="","None",INPUT!J406))</f>
        <v>Opened</v>
      </c>
      <c r="J406" s="28" t="str">
        <f t="shared" si="66"/>
        <v>navya.l313@example.com|partner 027|Round1|interviewer1@partner027.example.com</v>
      </c>
      <c r="K406" s="28" t="str">
        <f>IF(B406="","",IF(SUMPRODUCT(($J$2:$J$601=J406)*($H$2:$H$601&lt;H406))+SUMPRODUCT(($J$2:J406=J406)*($H$2:H406=H406))-1&gt;0,"DUPLICATE",IF(AND(ISNUMBER(SEARCH("@",E406)),ISNUMBER(SEARCH(".",E406)),LEN(F406)=10,ISNUMBER(VALUE(F406))),"OK","BAD CONTACT")))</f>
        <v>OK</v>
      </c>
      <c r="L406" s="28">
        <f t="shared" si="67"/>
        <v>1</v>
      </c>
      <c r="M406" s="28">
        <f>IF(L406=1,IF(COUNTIFS(LOG!$C$2:$C$2001,F406,LOG!$E$2:$E$2001,B406,LOG!$D$2:$D$2001,"*BOOKED")+COUNTIFS(LOG!$C$2:$C$2001,F406,LOG!$E$2:$E$2001,"",LOG!$D$2:$D$2001,"*BOOKED")&gt;0,1,0),0)</f>
        <v>0</v>
      </c>
      <c r="N406" s="28">
        <f>IF(L406=1,IF(COUNTIFS(LOG!$C$2:$C$2001,F406,LOG!$E$2:$E$2001,B406,LOG!$D$2:$D$2001,"NOT_INTERESTED")+COUNTIFS(LOG!$C$2:$C$2001,F406,LOG!$E$2:$E$2001,"",LOG!$D$2:$D$2001,"NOT_INTERESTED")&gt;0,1,0),0)</f>
        <v>0</v>
      </c>
      <c r="O406" s="28">
        <f>IF(L406=1,IF(COUNTIFS(LOG!$C$2:$C$2001,F406,LOG!$D$2:$D$2001,"STOP")+COUNTIFS(LOG!$C$2:$C$2001,F406,LOG!$D$2:$D$2001,"WRONG_NUMBER")&gt;0,1,IF(ISNUMBER(SEARCH("STOP",AT406)),1,0)),0)</f>
        <v>0</v>
      </c>
      <c r="P406" s="28">
        <f>IF(L406=1,IF(IFERROR(INDEX(PARTNERS!$D$2:$D$88,MATCH(B406,PARTNERS!$A$2:$A$88,0)),"")="NO SLOTS",1,IF(AND(IFERROR(INDEX(PARTNERS!$D$2:$D$88,MATCH(B406,PARTNERS!$A$2:$A$88,0)),"")&lt;&gt;"REOPENED",COUNTIFS(LOG!$E$2:$E$2001,B406,LOG!$D$2:$D$2001,"NO_SLOTS")&gt;0),1,0)),0)</f>
        <v>0</v>
      </c>
      <c r="Q406" s="28">
        <f>IF(L406=1,COUNTIFS(LOG!$C$2:$C$2001,F406,LOG!$H$2:$H$2001,1),0)</f>
        <v>3</v>
      </c>
      <c r="R406" s="46">
        <f>IF(Q406&gt;0,_xlfn.MAXIFS(LOG!$G$2:$G$2001,LOG!$C$2:$C$2001,F406,LOG!$H$2:$H$2001,1),0)</f>
        <v>46309.713070908059</v>
      </c>
      <c r="S406" s="28" t="str">
        <f>IF(Q406&gt;0,IFERROR(INDEX(LOG!$D$2:$D$2001,MATCH(F406&amp;"|"&amp;Q406,LOG!$I$2:$I$2001,0)),""),"")</f>
        <v>NO_ANSWER</v>
      </c>
      <c r="T406" s="28">
        <f>IF(S406="",0,IFERROR(VLOOKUP(S406,LISTS!$A$2:$E$10,4,FALSE),0))</f>
        <v>120</v>
      </c>
      <c r="U406" s="46">
        <f t="shared" si="68"/>
        <v>46309.796404241395</v>
      </c>
      <c r="V406" s="46">
        <f>IF(L406=1,H406+SETTINGS!$B$5/24,"")</f>
        <v>46309.82708333333</v>
      </c>
      <c r="W406" s="28">
        <f ca="1">IF(L406=1,(V406-SETTINGS!$B$4)*24,"")</f>
        <v>-1.6666666720993817E-2</v>
      </c>
      <c r="X406" s="28">
        <f ca="1">IF(AND(L406=1,K406="OK",M406=0,N406=0,O406=0,P406=0,SETTINGS!$B$4&lt;V406,Q406&lt;SETTINGS!$B$6),1,0)</f>
        <v>0</v>
      </c>
      <c r="Y406" s="28">
        <f ca="1">IF(AND(X406=1,SETTINGS!$B$4&gt;=H406,SETTINGS!$B$4&gt;=U406,ROUND(MOD(SETTINGS!$B$4,1)*1440,0)&gt;=ROUND(SETTINGS!$B$7*1440,0),ROUND(MOD(SETTINGS!$B$4,1)*1440,0)&lt;ROUND(SETTINGS!$B$8*1440,0)),1,0)</f>
        <v>0</v>
      </c>
      <c r="Z406" s="28" t="str">
        <f ca="1">IF(B406="","",IF(ROUND(MOD(SETTINGS!$B$4,1)*1440,0)&lt;ROUND(SETTINGS!$B$11*1440,0),"Ram",IF(ROUND(MOD(SETTINGS!$B$4,1)*1440,0)&gt;=ROUND(SETTINGS!$B$10*1440,0),"Shyam",IF(MOD(IFERROR(VALUE(RIGHT(F406,2)),0),2)=0,"Ram","Shyam"))))</f>
        <v>Shyam</v>
      </c>
      <c r="AA406" s="28">
        <f t="shared" ca="1" si="69"/>
        <v>0</v>
      </c>
      <c r="AB406" s="28">
        <f ca="1">IF(X406=1,COUNTIFS($F$2:F406,F406,$X$2:X406,1),0)</f>
        <v>0</v>
      </c>
      <c r="AC406" s="28" t="str">
        <f>IF(L406=1,IF(IFERROR(INDEX(PARTNERS!$C$2:$C$88,MATCH(B406,PARTNERS!$A$2:$A$88,0)),"")="YES","YES","NO"),"")</f>
        <v>YES</v>
      </c>
      <c r="AD406" s="28" t="str">
        <f>IF(L406=1,IFERROR(INDEX(PARTNERS!$B$2:$B$88,MATCH(B406,PARTNERS!$A$2:$A$88,0)),""),"")</f>
        <v>https://calendly.com/partner027/interview</v>
      </c>
      <c r="AE406" s="28">
        <f ca="1">IF(X406=1,IFERROR(INDEX(SETTINGS!$B$34:$D$36,MATCH(I406,SETTINGS!$A$34:$A$36,0),MIN(Q406,2)+1),SETTINGS!$B$36),0)</f>
        <v>0</v>
      </c>
      <c r="AF406" s="28">
        <f t="shared" si="70"/>
        <v>1</v>
      </c>
      <c r="AG406" s="28">
        <f ca="1">IF(AND(Y406=1,AB406=1),ROUND(AA406*AE406*IF(AF406&gt;1,SETTINGS!$B$16,1)*IF(W406&lt;=SETTINGS!$B$14,SETTINGS!$B$15,1)*IF(AU406=1,SETTINGS!$B$21,1),6),0)</f>
        <v>0</v>
      </c>
      <c r="AH406" s="28" t="str">
        <f ca="1">IF(AG406&gt;0,COUNTIFS($Z$2:$Z$601,Z406,$AG$2:$AG$601,"&gt;"&amp;AG406)+COUNTIFS($Z$2:Z406,Z406,$AG$2:AG406,AG406),"")</f>
        <v/>
      </c>
      <c r="AI406" s="28" t="str">
        <f t="shared" ca="1" si="71"/>
        <v/>
      </c>
      <c r="AJ406" s="28" t="str">
        <f t="shared" ca="1" si="72"/>
        <v/>
      </c>
      <c r="AK406" s="28">
        <f>IF(L406=1,IF(COUNTIFS($F$2:F406,F406,$L$2:L406,1)=1,1,0),0)</f>
        <v>0</v>
      </c>
      <c r="AL406" s="28" t="str">
        <f ca="1">IF(B406="","",IF(K406="DUPLICATE","Duplicate (removed)",IF(AO406=1,"Scheduled within 24h",IF(M406=1,"Scheduled late",IF(K406="BAD CONTACT","Bad contact details",IF(O406=1,"Stopped / wrong number",IF(N406=1,"Not interested",IF(P406=1,"Partner has no slots",IF(SETTINGS!$B$4&gt;=V406,IF(Q406=0,"Missed deadline: never tried","Missed deadline: tried, not booked"),IF(Q406&gt;=SETTINGS!$B$6,"No reply after max tries","Open"))))))))))</f>
        <v>Missed deadline: tried, not booked</v>
      </c>
      <c r="AM406" s="46" t="str">
        <f>IF(M406=1,IF(_xlfn.MINIFS(LOG!$G$2:$G$2001,LOG!$C$2:$C$2001,F406,LOG!$E$2:$E$2001,B406,LOG!$D$2:$D$2001,"*BOOKED")=0,_xlfn.MINIFS(LOG!$G$2:$G$2001,LOG!$C$2:$C$2001,F406,LOG!$E$2:$E$2001,"",LOG!$D$2:$D$2001,"*BOOKED"),IF(_xlfn.MINIFS(LOG!$G$2:$G$2001,LOG!$C$2:$C$2001,F406,LOG!$E$2:$E$2001,"",LOG!$D$2:$D$2001,"*BOOKED")=0,_xlfn.MINIFS(LOG!$G$2:$G$2001,LOG!$C$2:$C$2001,F406,LOG!$E$2:$E$2001,B406,LOG!$D$2:$D$2001,"*BOOKED"),MIN(_xlfn.MINIFS(LOG!$G$2:$G$2001,LOG!$C$2:$C$2001,F406,LOG!$E$2:$E$2001,B406,LOG!$D$2:$D$2001,"*BOOKED"),_xlfn.MINIFS(LOG!$G$2:$G$2001,LOG!$C$2:$C$2001,F406,LOG!$E$2:$E$2001,"",LOG!$D$2:$D$2001,"*BOOKED")))),"")</f>
        <v/>
      </c>
      <c r="AN406" s="28" t="str">
        <f t="shared" si="73"/>
        <v/>
      </c>
      <c r="AO406" s="28">
        <f>IF(AND(M406=1,AN406&lt;&gt;""),IF(AN406&lt;=SETTINGS!$B$5,1,0),0)</f>
        <v>0</v>
      </c>
      <c r="AP406" s="28">
        <f>IF(M406=1,IF(COUNTIFS(LOG!$C$2:$C$2001,F406,LOG!$E$2:$E$2001,B406,LOG!$D$2:$D$2001,"BOOKED")+COUNTIFS(LOG!$C$2:$C$2001,F406,LOG!$E$2:$E$2001,"",LOG!$D$2:$D$2001,"BOOKED")&gt;0,1,0),0)</f>
        <v>0</v>
      </c>
      <c r="AQ406" s="28" t="str">
        <f t="shared" si="74"/>
        <v>Navya</v>
      </c>
      <c r="AR406" s="28" t="str">
        <f>IF(AND(AK406=1,K406="OK"),COUNTIFS($AK$2:AK406,1,$K$2:K406,"OK"),"")</f>
        <v/>
      </c>
      <c r="AS406" s="28" t="str">
        <f>IF(L406=1,IFERROR(INDEX(MESSAGES!$J$9:$J$1008,MATCH(F406,MESSAGES!$M$9:$M$1008,0))&amp;"",""),"")</f>
        <v/>
      </c>
      <c r="AT406" s="28" t="str">
        <f>IF(L406=1,IFERROR(INDEX(MESSAGES!$K$9:$K$1008,MATCH(F406,MESSAGES!$M$9:$M$1008,0))&amp;"",""),"")</f>
        <v/>
      </c>
      <c r="AU406" s="28">
        <f t="shared" ca="1" si="75"/>
        <v>0</v>
      </c>
      <c r="AV406" s="28" t="str">
        <f t="shared" si="76"/>
        <v>HOLD</v>
      </c>
    </row>
    <row r="407" spans="1:48" x14ac:dyDescent="0.35">
      <c r="A407" s="28">
        <v>406</v>
      </c>
      <c r="B407" s="28" t="str">
        <f>IF(INPUT!A407="","",TRIM(INPUT!A407))</f>
        <v>Partner 005</v>
      </c>
      <c r="C407" s="28" t="str">
        <f>IF(B407="","",INPUT!C407)</f>
        <v>interviewer0@partner005.example.com</v>
      </c>
      <c r="D407" s="28" t="str">
        <f>IF(B407="","",INPUT!D407)</f>
        <v>Rohan E.</v>
      </c>
      <c r="E407" s="28" t="str">
        <f>IF(B407="","",INPUT!E407)</f>
        <v>rohan.e130@example.com</v>
      </c>
      <c r="F407" s="43" t="str">
        <f>IF(B407="","",TRIM(INPUT!F407&amp;""))</f>
        <v>9000001697</v>
      </c>
      <c r="G407" s="28" t="str">
        <f>IF(B407="","",INPUT!H407)</f>
        <v>Round1</v>
      </c>
      <c r="H407" s="46">
        <f>IF(B407="","",INPUT!I407)</f>
        <v>46308.82708333333</v>
      </c>
      <c r="I407" s="28" t="str">
        <f>IF(B407="","",IF(INPUT!J407="","None",INPUT!J407))</f>
        <v>Opened</v>
      </c>
      <c r="J407" s="28" t="str">
        <f t="shared" si="66"/>
        <v>rohan.e130@example.com|partner 005|Round1|interviewer0@partner005.example.com</v>
      </c>
      <c r="K407" s="28" t="str">
        <f>IF(B407="","",IF(SUMPRODUCT(($J$2:$J$601=J407)*($H$2:$H$601&lt;H407))+SUMPRODUCT(($J$2:J407=J407)*($H$2:H407=H407))-1&gt;0,"DUPLICATE",IF(AND(ISNUMBER(SEARCH("@",E407)),ISNUMBER(SEARCH(".",E407)),LEN(F407)=10,ISNUMBER(VALUE(F407))),"OK","BAD CONTACT")))</f>
        <v>OK</v>
      </c>
      <c r="L407" s="28">
        <f t="shared" si="67"/>
        <v>1</v>
      </c>
      <c r="M407" s="28">
        <f>IF(L407=1,IF(COUNTIFS(LOG!$C$2:$C$2001,F407,LOG!$E$2:$E$2001,B407,LOG!$D$2:$D$2001,"*BOOKED")+COUNTIFS(LOG!$C$2:$C$2001,F407,LOG!$E$2:$E$2001,"",LOG!$D$2:$D$2001,"*BOOKED")&gt;0,1,0),0)</f>
        <v>1</v>
      </c>
      <c r="N407" s="28">
        <f>IF(L407=1,IF(COUNTIFS(LOG!$C$2:$C$2001,F407,LOG!$E$2:$E$2001,B407,LOG!$D$2:$D$2001,"NOT_INTERESTED")+COUNTIFS(LOG!$C$2:$C$2001,F407,LOG!$E$2:$E$2001,"",LOG!$D$2:$D$2001,"NOT_INTERESTED")&gt;0,1,0),0)</f>
        <v>0</v>
      </c>
      <c r="O407" s="28">
        <f>IF(L407=1,IF(COUNTIFS(LOG!$C$2:$C$2001,F407,LOG!$D$2:$D$2001,"STOP")+COUNTIFS(LOG!$C$2:$C$2001,F407,LOG!$D$2:$D$2001,"WRONG_NUMBER")&gt;0,1,IF(ISNUMBER(SEARCH("STOP",AT407)),1,0)),0)</f>
        <v>0</v>
      </c>
      <c r="P407" s="28">
        <f>IF(L407=1,IF(IFERROR(INDEX(PARTNERS!$D$2:$D$88,MATCH(B407,PARTNERS!$A$2:$A$88,0)),"")="NO SLOTS",1,IF(AND(IFERROR(INDEX(PARTNERS!$D$2:$D$88,MATCH(B407,PARTNERS!$A$2:$A$88,0)),"")&lt;&gt;"REOPENED",COUNTIFS(LOG!$E$2:$E$2001,B407,LOG!$D$2:$D$2001,"NO_SLOTS")&gt;0),1,0)),0)</f>
        <v>0</v>
      </c>
      <c r="Q407" s="28">
        <f>IF(L407=1,COUNTIFS(LOG!$C$2:$C$2001,F407,LOG!$H$2:$H$2001,1),0)</f>
        <v>0</v>
      </c>
      <c r="R407" s="46">
        <f>IF(Q407&gt;0,_xlfn.MAXIFS(LOG!$G$2:$G$2001,LOG!$C$2:$C$2001,F407,LOG!$H$2:$H$2001,1),0)</f>
        <v>0</v>
      </c>
      <c r="S407" s="28" t="str">
        <f>IF(Q407&gt;0,IFERROR(INDEX(LOG!$D$2:$D$2001,MATCH(F407&amp;"|"&amp;Q407,LOG!$I$2:$I$2001,0)),""),"")</f>
        <v/>
      </c>
      <c r="T407" s="28">
        <f>IF(S407="",0,IFERROR(VLOOKUP(S407,LISTS!$A$2:$E$10,4,FALSE),0))</f>
        <v>0</v>
      </c>
      <c r="U407" s="46">
        <f t="shared" si="68"/>
        <v>0</v>
      </c>
      <c r="V407" s="46">
        <f>IF(L407=1,H407+SETTINGS!$B$5/24,"")</f>
        <v>46309.82708333333</v>
      </c>
      <c r="W407" s="28">
        <f ca="1">IF(L407=1,(V407-SETTINGS!$B$4)*24,"")</f>
        <v>-1.6666666720993817E-2</v>
      </c>
      <c r="X407" s="28">
        <f ca="1">IF(AND(L407=1,K407="OK",M407=0,N407=0,O407=0,P407=0,SETTINGS!$B$4&lt;V407,Q407&lt;SETTINGS!$B$6),1,0)</f>
        <v>0</v>
      </c>
      <c r="Y407" s="28">
        <f ca="1">IF(AND(X407=1,SETTINGS!$B$4&gt;=H407,SETTINGS!$B$4&gt;=U407,ROUND(MOD(SETTINGS!$B$4,1)*1440,0)&gt;=ROUND(SETTINGS!$B$7*1440,0),ROUND(MOD(SETTINGS!$B$4,1)*1440,0)&lt;ROUND(SETTINGS!$B$8*1440,0)),1,0)</f>
        <v>0</v>
      </c>
      <c r="Z407" s="28" t="str">
        <f ca="1">IF(B407="","",IF(ROUND(MOD(SETTINGS!$B$4,1)*1440,0)&lt;ROUND(SETTINGS!$B$11*1440,0),"Ram",IF(ROUND(MOD(SETTINGS!$B$4,1)*1440,0)&gt;=ROUND(SETTINGS!$B$10*1440,0),"Shyam",IF(MOD(IFERROR(VALUE(RIGHT(F407,2)),0),2)=0,"Ram","Shyam"))))</f>
        <v>Shyam</v>
      </c>
      <c r="AA407" s="28">
        <f t="shared" ca="1" si="69"/>
        <v>0</v>
      </c>
      <c r="AB407" s="28">
        <f ca="1">IF(X407=1,COUNTIFS($F$2:F407,F407,$X$2:X407,1),0)</f>
        <v>0</v>
      </c>
      <c r="AC407" s="28" t="str">
        <f>IF(L407=1,IF(IFERROR(INDEX(PARTNERS!$C$2:$C$88,MATCH(B407,PARTNERS!$A$2:$A$88,0)),"")="YES","YES","NO"),"")</f>
        <v>YES</v>
      </c>
      <c r="AD407" s="28" t="str">
        <f>IF(L407=1,IFERROR(INDEX(PARTNERS!$B$2:$B$88,MATCH(B407,PARTNERS!$A$2:$A$88,0)),""),"")</f>
        <v>https://calendly.com/partner005/interview</v>
      </c>
      <c r="AE407" s="28">
        <f ca="1">IF(X407=1,IFERROR(INDEX(SETTINGS!$B$34:$D$36,MATCH(I407,SETTINGS!$A$34:$A$36,0),MIN(Q407,2)+1),SETTINGS!$B$36),0)</f>
        <v>0</v>
      </c>
      <c r="AF407" s="28">
        <f t="shared" si="70"/>
        <v>1</v>
      </c>
      <c r="AG407" s="28">
        <f ca="1">IF(AND(Y407=1,AB407=1),ROUND(AA407*AE407*IF(AF407&gt;1,SETTINGS!$B$16,1)*IF(W407&lt;=SETTINGS!$B$14,SETTINGS!$B$15,1)*IF(AU407=1,SETTINGS!$B$21,1),6),0)</f>
        <v>0</v>
      </c>
      <c r="AH407" s="28" t="str">
        <f ca="1">IF(AG407&gt;0,COUNTIFS($Z$2:$Z$601,Z407,$AG$2:$AG$601,"&gt;"&amp;AG407)+COUNTIFS($Z$2:Z407,Z407,$AG$2:AG407,AG407),"")</f>
        <v/>
      </c>
      <c r="AI407" s="28" t="str">
        <f t="shared" ca="1" si="71"/>
        <v/>
      </c>
      <c r="AJ407" s="28" t="str">
        <f t="shared" ca="1" si="72"/>
        <v/>
      </c>
      <c r="AK407" s="28">
        <f>IF(L407=1,IF(COUNTIFS($F$2:F407,F407,$L$2:L407,1)=1,1,0),0)</f>
        <v>0</v>
      </c>
      <c r="AL407" s="28" t="str">
        <f>IF(B407="","",IF(K407="DUPLICATE","Duplicate (removed)",IF(AO407=1,"Scheduled within 24h",IF(M407=1,"Scheduled late",IF(K407="BAD CONTACT","Bad contact details",IF(O407=1,"Stopped / wrong number",IF(N407=1,"Not interested",IF(P407=1,"Partner has no slots",IF(SETTINGS!$B$4&gt;=V407,IF(Q407=0,"Missed deadline: never tried","Missed deadline: tried, not booked"),IF(Q407&gt;=SETTINGS!$B$6,"No reply after max tries","Open"))))))))))</f>
        <v>Scheduled within 24h</v>
      </c>
      <c r="AM407" s="46">
        <f>IF(M407=1,IF(_xlfn.MINIFS(LOG!$G$2:$G$2001,LOG!$C$2:$C$2001,F407,LOG!$E$2:$E$2001,B407,LOG!$D$2:$D$2001,"*BOOKED")=0,_xlfn.MINIFS(LOG!$G$2:$G$2001,LOG!$C$2:$C$2001,F407,LOG!$E$2:$E$2001,"",LOG!$D$2:$D$2001,"*BOOKED"),IF(_xlfn.MINIFS(LOG!$G$2:$G$2001,LOG!$C$2:$C$2001,F407,LOG!$E$2:$E$2001,"",LOG!$D$2:$D$2001,"*BOOKED")=0,_xlfn.MINIFS(LOG!$G$2:$G$2001,LOG!$C$2:$C$2001,F407,LOG!$E$2:$E$2001,B407,LOG!$D$2:$D$2001,"*BOOKED"),MIN(_xlfn.MINIFS(LOG!$G$2:$G$2001,LOG!$C$2:$C$2001,F407,LOG!$E$2:$E$2001,B407,LOG!$D$2:$D$2001,"*BOOKED"),_xlfn.MINIFS(LOG!$G$2:$G$2001,LOG!$C$2:$C$2001,F407,LOG!$E$2:$E$2001,"",LOG!$D$2:$D$2001,"*BOOKED")))),"")</f>
        <v>46309.396633832002</v>
      </c>
      <c r="AN407" s="28">
        <f t="shared" si="73"/>
        <v>13.66921196813928</v>
      </c>
      <c r="AO407" s="28">
        <f>IF(AND(M407=1,AN407&lt;&gt;""),IF(AN407&lt;=SETTINGS!$B$5,1,0),0)</f>
        <v>1</v>
      </c>
      <c r="AP407" s="28">
        <f>IF(M407=1,IF(COUNTIFS(LOG!$C$2:$C$2001,F407,LOG!$E$2:$E$2001,B407,LOG!$D$2:$D$2001,"BOOKED")+COUNTIFS(LOG!$C$2:$C$2001,F407,LOG!$E$2:$E$2001,"",LOG!$D$2:$D$2001,"BOOKED")&gt;0,1,0),0)</f>
        <v>0</v>
      </c>
      <c r="AQ407" s="28" t="str">
        <f t="shared" si="74"/>
        <v>Rohan</v>
      </c>
      <c r="AR407" s="28" t="str">
        <f>IF(AND(AK407=1,K407="OK"),COUNTIFS($AK$2:AK407,1,$K$2:K407,"OK"),"")</f>
        <v/>
      </c>
      <c r="AS407" s="28" t="str">
        <f>IF(L407=1,IFERROR(INDEX(MESSAGES!$J$9:$J$1008,MATCH(F407,MESSAGES!$M$9:$M$1008,0))&amp;"",""),"")</f>
        <v/>
      </c>
      <c r="AT407" s="28" t="str">
        <f>IF(L407=1,IFERROR(INDEX(MESSAGES!$K$9:$K$1008,MATCH(F407,MESSAGES!$M$9:$M$1008,0))&amp;"",""),"")</f>
        <v/>
      </c>
      <c r="AU407" s="28">
        <f t="shared" ca="1" si="75"/>
        <v>0</v>
      </c>
      <c r="AV407" s="28" t="str">
        <f t="shared" si="76"/>
        <v>HOLD</v>
      </c>
    </row>
    <row r="408" spans="1:48" x14ac:dyDescent="0.35">
      <c r="A408" s="28">
        <v>407</v>
      </c>
      <c r="B408" s="28" t="str">
        <f>IF(INPUT!A408="","",TRIM(INPUT!A408))</f>
        <v>Partner 047</v>
      </c>
      <c r="C408" s="28" t="str">
        <f>IF(B408="","",INPUT!C408)</f>
        <v>interviewer1@partner047.example.com</v>
      </c>
      <c r="D408" s="28" t="str">
        <f>IF(B408="","",INPUT!D408)</f>
        <v>Arjun M.</v>
      </c>
      <c r="E408" s="28" t="str">
        <f>IF(B408="","",INPUT!E408)</f>
        <v>arjun.m338@example.com</v>
      </c>
      <c r="F408" s="43" t="str">
        <f>IF(B408="","",TRIM(INPUT!F408&amp;""))</f>
        <v>9000004401</v>
      </c>
      <c r="G408" s="28" t="str">
        <f>IF(B408="","",INPUT!H408)</f>
        <v>Round1</v>
      </c>
      <c r="H408" s="46">
        <f>IF(B408="","",INPUT!I408)</f>
        <v>46308.82708333333</v>
      </c>
      <c r="I408" s="28" t="str">
        <f>IF(B408="","",IF(INPUT!J408="","None",INPUT!J408))</f>
        <v>None</v>
      </c>
      <c r="J408" s="28" t="str">
        <f t="shared" si="66"/>
        <v>arjun.m338@example.com|partner 047|Round1|interviewer1@partner047.example.com</v>
      </c>
      <c r="K408" s="28" t="str">
        <f>IF(B408="","",IF(SUMPRODUCT(($J$2:$J$601=J408)*($H$2:$H$601&lt;H408))+SUMPRODUCT(($J$2:J408=J408)*($H$2:H408=H408))-1&gt;0,"DUPLICATE",IF(AND(ISNUMBER(SEARCH("@",E408)),ISNUMBER(SEARCH(".",E408)),LEN(F408)=10,ISNUMBER(VALUE(F408))),"OK","BAD CONTACT")))</f>
        <v>OK</v>
      </c>
      <c r="L408" s="28">
        <f t="shared" si="67"/>
        <v>1</v>
      </c>
      <c r="M408" s="28">
        <f>IF(L408=1,IF(COUNTIFS(LOG!$C$2:$C$2001,F408,LOG!$E$2:$E$2001,B408,LOG!$D$2:$D$2001,"*BOOKED")+COUNTIFS(LOG!$C$2:$C$2001,F408,LOG!$E$2:$E$2001,"",LOG!$D$2:$D$2001,"*BOOKED")&gt;0,1,0),0)</f>
        <v>0</v>
      </c>
      <c r="N408" s="28">
        <f>IF(L408=1,IF(COUNTIFS(LOG!$C$2:$C$2001,F408,LOG!$E$2:$E$2001,B408,LOG!$D$2:$D$2001,"NOT_INTERESTED")+COUNTIFS(LOG!$C$2:$C$2001,F408,LOG!$E$2:$E$2001,"",LOG!$D$2:$D$2001,"NOT_INTERESTED")&gt;0,1,0),0)</f>
        <v>0</v>
      </c>
      <c r="O408" s="28">
        <f>IF(L408=1,IF(COUNTIFS(LOG!$C$2:$C$2001,F408,LOG!$D$2:$D$2001,"STOP")+COUNTIFS(LOG!$C$2:$C$2001,F408,LOG!$D$2:$D$2001,"WRONG_NUMBER")&gt;0,1,IF(ISNUMBER(SEARCH("STOP",AT408)),1,0)),0)</f>
        <v>0</v>
      </c>
      <c r="P408" s="28">
        <f>IF(L408=1,IF(IFERROR(INDEX(PARTNERS!$D$2:$D$88,MATCH(B408,PARTNERS!$A$2:$A$88,0)),"")="NO SLOTS",1,IF(AND(IFERROR(INDEX(PARTNERS!$D$2:$D$88,MATCH(B408,PARTNERS!$A$2:$A$88,0)),"")&lt;&gt;"REOPENED",COUNTIFS(LOG!$E$2:$E$2001,B408,LOG!$D$2:$D$2001,"NO_SLOTS")&gt;0),1,0)),0)</f>
        <v>0</v>
      </c>
      <c r="Q408" s="28">
        <f>IF(L408=1,COUNTIFS(LOG!$C$2:$C$2001,F408,LOG!$H$2:$H$2001,1),0)</f>
        <v>0</v>
      </c>
      <c r="R408" s="46">
        <f>IF(Q408&gt;0,_xlfn.MAXIFS(LOG!$G$2:$G$2001,LOG!$C$2:$C$2001,F408,LOG!$H$2:$H$2001,1),0)</f>
        <v>0</v>
      </c>
      <c r="S408" s="28" t="str">
        <f>IF(Q408&gt;0,IFERROR(INDEX(LOG!$D$2:$D$2001,MATCH(F408&amp;"|"&amp;Q408,LOG!$I$2:$I$2001,0)),""),"")</f>
        <v/>
      </c>
      <c r="T408" s="28">
        <f>IF(S408="",0,IFERROR(VLOOKUP(S408,LISTS!$A$2:$E$10,4,FALSE),0))</f>
        <v>0</v>
      </c>
      <c r="U408" s="46">
        <f t="shared" si="68"/>
        <v>0</v>
      </c>
      <c r="V408" s="46">
        <f>IF(L408=1,H408+SETTINGS!$B$5/24,"")</f>
        <v>46309.82708333333</v>
      </c>
      <c r="W408" s="28">
        <f ca="1">IF(L408=1,(V408-SETTINGS!$B$4)*24,"")</f>
        <v>-1.6666666720993817E-2</v>
      </c>
      <c r="X408" s="28">
        <f ca="1">IF(AND(L408=1,K408="OK",M408=0,N408=0,O408=0,P408=0,SETTINGS!$B$4&lt;V408,Q408&lt;SETTINGS!$B$6),1,0)</f>
        <v>0</v>
      </c>
      <c r="Y408" s="28">
        <f ca="1">IF(AND(X408=1,SETTINGS!$B$4&gt;=H408,SETTINGS!$B$4&gt;=U408,ROUND(MOD(SETTINGS!$B$4,1)*1440,0)&gt;=ROUND(SETTINGS!$B$7*1440,0),ROUND(MOD(SETTINGS!$B$4,1)*1440,0)&lt;ROUND(SETTINGS!$B$8*1440,0)),1,0)</f>
        <v>0</v>
      </c>
      <c r="Z408" s="28" t="str">
        <f ca="1">IF(B408="","",IF(ROUND(MOD(SETTINGS!$B$4,1)*1440,0)&lt;ROUND(SETTINGS!$B$11*1440,0),"Ram",IF(ROUND(MOD(SETTINGS!$B$4,1)*1440,0)&gt;=ROUND(SETTINGS!$B$10*1440,0),"Shyam",IF(MOD(IFERROR(VALUE(RIGHT(F408,2)),0),2)=0,"Ram","Shyam"))))</f>
        <v>Shyam</v>
      </c>
      <c r="AA408" s="28">
        <f t="shared" ca="1" si="69"/>
        <v>0</v>
      </c>
      <c r="AB408" s="28">
        <f ca="1">IF(X408=1,COUNTIFS($F$2:F408,F408,$X$2:X408,1),0)</f>
        <v>0</v>
      </c>
      <c r="AC408" s="28" t="str">
        <f>IF(L408=1,IF(IFERROR(INDEX(PARTNERS!$C$2:$C$88,MATCH(B408,PARTNERS!$A$2:$A$88,0)),"")="YES","YES","NO"),"")</f>
        <v>YES</v>
      </c>
      <c r="AD408" s="28" t="str">
        <f>IF(L408=1,IFERROR(INDEX(PARTNERS!$B$2:$B$88,MATCH(B408,PARTNERS!$A$2:$A$88,0)),""),"")</f>
        <v>https://calendly.com/partner047/interview</v>
      </c>
      <c r="AE408" s="28">
        <f ca="1">IF(X408=1,IFERROR(INDEX(SETTINGS!$B$34:$D$36,MATCH(I408,SETTINGS!$A$34:$A$36,0),MIN(Q408,2)+1),SETTINGS!$B$36),0)</f>
        <v>0</v>
      </c>
      <c r="AF408" s="28">
        <f t="shared" si="70"/>
        <v>1</v>
      </c>
      <c r="AG408" s="28">
        <f ca="1">IF(AND(Y408=1,AB408=1),ROUND(AA408*AE408*IF(AF408&gt;1,SETTINGS!$B$16,1)*IF(W408&lt;=SETTINGS!$B$14,SETTINGS!$B$15,1)*IF(AU408=1,SETTINGS!$B$21,1),6),0)</f>
        <v>0</v>
      </c>
      <c r="AH408" s="28" t="str">
        <f ca="1">IF(AG408&gt;0,COUNTIFS($Z$2:$Z$601,Z408,$AG$2:$AG$601,"&gt;"&amp;AG408)+COUNTIFS($Z$2:Z408,Z408,$AG$2:AG408,AG408),"")</f>
        <v/>
      </c>
      <c r="AI408" s="28" t="str">
        <f t="shared" ca="1" si="71"/>
        <v/>
      </c>
      <c r="AJ408" s="28" t="str">
        <f t="shared" ca="1" si="72"/>
        <v/>
      </c>
      <c r="AK408" s="28">
        <f>IF(L408=1,IF(COUNTIFS($F$2:F408,F408,$L$2:L408,1)=1,1,0),0)</f>
        <v>1</v>
      </c>
      <c r="AL408" s="28" t="str">
        <f ca="1">IF(B408="","",IF(K408="DUPLICATE","Duplicate (removed)",IF(AO408=1,"Scheduled within 24h",IF(M408=1,"Scheduled late",IF(K408="BAD CONTACT","Bad contact details",IF(O408=1,"Stopped / wrong number",IF(N408=1,"Not interested",IF(P408=1,"Partner has no slots",IF(SETTINGS!$B$4&gt;=V408,IF(Q408=0,"Missed deadline: never tried","Missed deadline: tried, not booked"),IF(Q408&gt;=SETTINGS!$B$6,"No reply after max tries","Open"))))))))))</f>
        <v>Missed deadline: never tried</v>
      </c>
      <c r="AM408" s="46" t="str">
        <f>IF(M408=1,IF(_xlfn.MINIFS(LOG!$G$2:$G$2001,LOG!$C$2:$C$2001,F408,LOG!$E$2:$E$2001,B408,LOG!$D$2:$D$2001,"*BOOKED")=0,_xlfn.MINIFS(LOG!$G$2:$G$2001,LOG!$C$2:$C$2001,F408,LOG!$E$2:$E$2001,"",LOG!$D$2:$D$2001,"*BOOKED"),IF(_xlfn.MINIFS(LOG!$G$2:$G$2001,LOG!$C$2:$C$2001,F408,LOG!$E$2:$E$2001,"",LOG!$D$2:$D$2001,"*BOOKED")=0,_xlfn.MINIFS(LOG!$G$2:$G$2001,LOG!$C$2:$C$2001,F408,LOG!$E$2:$E$2001,B408,LOG!$D$2:$D$2001,"*BOOKED"),MIN(_xlfn.MINIFS(LOG!$G$2:$G$2001,LOG!$C$2:$C$2001,F408,LOG!$E$2:$E$2001,B408,LOG!$D$2:$D$2001,"*BOOKED"),_xlfn.MINIFS(LOG!$G$2:$G$2001,LOG!$C$2:$C$2001,F408,LOG!$E$2:$E$2001,"",LOG!$D$2:$D$2001,"*BOOKED")))),"")</f>
        <v/>
      </c>
      <c r="AN408" s="28" t="str">
        <f t="shared" si="73"/>
        <v/>
      </c>
      <c r="AO408" s="28">
        <f>IF(AND(M408=1,AN408&lt;&gt;""),IF(AN408&lt;=SETTINGS!$B$5,1,0),0)</f>
        <v>0</v>
      </c>
      <c r="AP408" s="28">
        <f>IF(M408=1,IF(COUNTIFS(LOG!$C$2:$C$2001,F408,LOG!$E$2:$E$2001,B408,LOG!$D$2:$D$2001,"BOOKED")+COUNTIFS(LOG!$C$2:$C$2001,F408,LOG!$E$2:$E$2001,"",LOG!$D$2:$D$2001,"BOOKED")&gt;0,1,0),0)</f>
        <v>0</v>
      </c>
      <c r="AQ408" s="28" t="str">
        <f t="shared" si="74"/>
        <v>Arjun</v>
      </c>
      <c r="AR408" s="28">
        <f>IF(AND(AK408=1,K408="OK"),COUNTIFS($AK$2:AK408,1,$K$2:K408,"OK"),"")</f>
        <v>336</v>
      </c>
      <c r="AS408" s="28" t="str">
        <f>IF(L408=1,IFERROR(INDEX(MESSAGES!$J$9:$J$1008,MATCH(F408,MESSAGES!$M$9:$M$1008,0))&amp;"",""),"")</f>
        <v/>
      </c>
      <c r="AT408" s="28" t="str">
        <f>IF(L408=1,IFERROR(INDEX(MESSAGES!$K$9:$K$1008,MATCH(F408,MESSAGES!$M$9:$M$1008,0))&amp;"",""),"")</f>
        <v/>
      </c>
      <c r="AU408" s="28">
        <f t="shared" ca="1" si="75"/>
        <v>0</v>
      </c>
      <c r="AV408" s="28" t="str">
        <f t="shared" si="76"/>
        <v>SEND</v>
      </c>
    </row>
    <row r="409" spans="1:48" x14ac:dyDescent="0.35">
      <c r="A409" s="28">
        <v>408</v>
      </c>
      <c r="B409" s="28" t="str">
        <f>IF(INPUT!A409="","",TRIM(INPUT!A409))</f>
        <v>Partner 000</v>
      </c>
      <c r="C409" s="28" t="str">
        <f>IF(B409="","",INPUT!C409)</f>
        <v>interviewer0@partner000.example.com</v>
      </c>
      <c r="D409" s="28" t="str">
        <f>IF(B409="","",INPUT!D409)</f>
        <v>Pooja B.</v>
      </c>
      <c r="E409" s="28" t="str">
        <f>IF(B409="","",INPUT!E409)</f>
        <v>pooja.b051example.com</v>
      </c>
      <c r="F409" s="43" t="str">
        <f>IF(B409="","",TRIM(INPUT!F409&amp;""))</f>
        <v>9000000670</v>
      </c>
      <c r="G409" s="28" t="str">
        <f>IF(B409="","",INPUT!H409)</f>
        <v>Round1</v>
      </c>
      <c r="H409" s="46">
        <f>IF(B409="","",INPUT!I409)</f>
        <v>46308.82708333333</v>
      </c>
      <c r="I409" s="28" t="str">
        <f>IF(B409="","",IF(INPUT!J409="","None",INPUT!J409))</f>
        <v>Opened</v>
      </c>
      <c r="J409" s="28" t="str">
        <f t="shared" si="66"/>
        <v>pooja.b051example.com|partner 000|Round1|interviewer0@partner000.example.com</v>
      </c>
      <c r="K409" s="28" t="str">
        <f>IF(B409="","",IF(SUMPRODUCT(($J$2:$J$601=J409)*($H$2:$H$601&lt;H409))+SUMPRODUCT(($J$2:J409=J409)*($H$2:H409=H409))-1&gt;0,"DUPLICATE",IF(AND(ISNUMBER(SEARCH("@",E409)),ISNUMBER(SEARCH(".",E409)),LEN(F409)=10,ISNUMBER(VALUE(F409))),"OK","BAD CONTACT")))</f>
        <v>BAD CONTACT</v>
      </c>
      <c r="L409" s="28">
        <f t="shared" si="67"/>
        <v>1</v>
      </c>
      <c r="M409" s="28">
        <f>IF(L409=1,IF(COUNTIFS(LOG!$C$2:$C$2001,F409,LOG!$E$2:$E$2001,B409,LOG!$D$2:$D$2001,"*BOOKED")+COUNTIFS(LOG!$C$2:$C$2001,F409,LOG!$E$2:$E$2001,"",LOG!$D$2:$D$2001,"*BOOKED")&gt;0,1,0),0)</f>
        <v>0</v>
      </c>
      <c r="N409" s="28">
        <f>IF(L409=1,IF(COUNTIFS(LOG!$C$2:$C$2001,F409,LOG!$E$2:$E$2001,B409,LOG!$D$2:$D$2001,"NOT_INTERESTED")+COUNTIFS(LOG!$C$2:$C$2001,F409,LOG!$E$2:$E$2001,"",LOG!$D$2:$D$2001,"NOT_INTERESTED")&gt;0,1,0),0)</f>
        <v>0</v>
      </c>
      <c r="O409" s="28">
        <f>IF(L409=1,IF(COUNTIFS(LOG!$C$2:$C$2001,F409,LOG!$D$2:$D$2001,"STOP")+COUNTIFS(LOG!$C$2:$C$2001,F409,LOG!$D$2:$D$2001,"WRONG_NUMBER")&gt;0,1,IF(ISNUMBER(SEARCH("STOP",AT409)),1,0)),0)</f>
        <v>0</v>
      </c>
      <c r="P409" s="28">
        <f>IF(L409=1,IF(IFERROR(INDEX(PARTNERS!$D$2:$D$88,MATCH(B409,PARTNERS!$A$2:$A$88,0)),"")="NO SLOTS",1,IF(AND(IFERROR(INDEX(PARTNERS!$D$2:$D$88,MATCH(B409,PARTNERS!$A$2:$A$88,0)),"")&lt;&gt;"REOPENED",COUNTIFS(LOG!$E$2:$E$2001,B409,LOG!$D$2:$D$2001,"NO_SLOTS")&gt;0),1,0)),0)</f>
        <v>0</v>
      </c>
      <c r="Q409" s="28">
        <f>IF(L409=1,COUNTIFS(LOG!$C$2:$C$2001,F409,LOG!$H$2:$H$2001,1),0)</f>
        <v>0</v>
      </c>
      <c r="R409" s="46">
        <f>IF(Q409&gt;0,_xlfn.MAXIFS(LOG!$G$2:$G$2001,LOG!$C$2:$C$2001,F409,LOG!$H$2:$H$2001,1),0)</f>
        <v>0</v>
      </c>
      <c r="S409" s="28" t="str">
        <f>IF(Q409&gt;0,IFERROR(INDEX(LOG!$D$2:$D$2001,MATCH(F409&amp;"|"&amp;Q409,LOG!$I$2:$I$2001,0)),""),"")</f>
        <v/>
      </c>
      <c r="T409" s="28">
        <f>IF(S409="",0,IFERROR(VLOOKUP(S409,LISTS!$A$2:$E$10,4,FALSE),0))</f>
        <v>0</v>
      </c>
      <c r="U409" s="46">
        <f t="shared" si="68"/>
        <v>0</v>
      </c>
      <c r="V409" s="46">
        <f>IF(L409=1,H409+SETTINGS!$B$5/24,"")</f>
        <v>46309.82708333333</v>
      </c>
      <c r="W409" s="28">
        <f ca="1">IF(L409=1,(V409-SETTINGS!$B$4)*24,"")</f>
        <v>-1.6666666720993817E-2</v>
      </c>
      <c r="X409" s="28">
        <f ca="1">IF(AND(L409=1,K409="OK",M409=0,N409=0,O409=0,P409=0,SETTINGS!$B$4&lt;V409,Q409&lt;SETTINGS!$B$6),1,0)</f>
        <v>0</v>
      </c>
      <c r="Y409" s="28">
        <f ca="1">IF(AND(X409=1,SETTINGS!$B$4&gt;=H409,SETTINGS!$B$4&gt;=U409,ROUND(MOD(SETTINGS!$B$4,1)*1440,0)&gt;=ROUND(SETTINGS!$B$7*1440,0),ROUND(MOD(SETTINGS!$B$4,1)*1440,0)&lt;ROUND(SETTINGS!$B$8*1440,0)),1,0)</f>
        <v>0</v>
      </c>
      <c r="Z409" s="28" t="str">
        <f ca="1">IF(B409="","",IF(ROUND(MOD(SETTINGS!$B$4,1)*1440,0)&lt;ROUND(SETTINGS!$B$11*1440,0),"Ram",IF(ROUND(MOD(SETTINGS!$B$4,1)*1440,0)&gt;=ROUND(SETTINGS!$B$10*1440,0),"Shyam",IF(MOD(IFERROR(VALUE(RIGHT(F409,2)),0),2)=0,"Ram","Shyam"))))</f>
        <v>Shyam</v>
      </c>
      <c r="AA409" s="28">
        <f t="shared" ca="1" si="69"/>
        <v>0</v>
      </c>
      <c r="AB409" s="28">
        <f ca="1">IF(X409=1,COUNTIFS($F$2:F409,F409,$X$2:X409,1),0)</f>
        <v>0</v>
      </c>
      <c r="AC409" s="28" t="str">
        <f>IF(L409=1,IF(IFERROR(INDEX(PARTNERS!$C$2:$C$88,MATCH(B409,PARTNERS!$A$2:$A$88,0)),"")="YES","YES","NO"),"")</f>
        <v>NO</v>
      </c>
      <c r="AD409" s="28" t="str">
        <f>IF(L409=1,IFERROR(INDEX(PARTNERS!$B$2:$B$88,MATCH(B409,PARTNERS!$A$2:$A$88,0)),""),"")</f>
        <v>https://calendly.com/partner000/interview</v>
      </c>
      <c r="AE409" s="28">
        <f ca="1">IF(X409=1,IFERROR(INDEX(SETTINGS!$B$34:$D$36,MATCH(I409,SETTINGS!$A$34:$A$36,0),MIN(Q409,2)+1),SETTINGS!$B$36),0)</f>
        <v>0</v>
      </c>
      <c r="AF409" s="28">
        <f t="shared" si="70"/>
        <v>1</v>
      </c>
      <c r="AG409" s="28">
        <f ca="1">IF(AND(Y409=1,AB409=1),ROUND(AA409*AE409*IF(AF409&gt;1,SETTINGS!$B$16,1)*IF(W409&lt;=SETTINGS!$B$14,SETTINGS!$B$15,1)*IF(AU409=1,SETTINGS!$B$21,1),6),0)</f>
        <v>0</v>
      </c>
      <c r="AH409" s="28" t="str">
        <f ca="1">IF(AG409&gt;0,COUNTIFS($Z$2:$Z$601,Z409,$AG$2:$AG$601,"&gt;"&amp;AG409)+COUNTIFS($Z$2:Z409,Z409,$AG$2:AG409,AG409),"")</f>
        <v/>
      </c>
      <c r="AI409" s="28" t="str">
        <f t="shared" ca="1" si="71"/>
        <v/>
      </c>
      <c r="AJ409" s="28" t="str">
        <f t="shared" ca="1" si="72"/>
        <v/>
      </c>
      <c r="AK409" s="28">
        <f>IF(L409=1,IF(COUNTIFS($F$2:F409,F409,$L$2:L409,1)=1,1,0),0)</f>
        <v>1</v>
      </c>
      <c r="AL409" s="28" t="str">
        <f>IF(B409="","",IF(K409="DUPLICATE","Duplicate (removed)",IF(AO409=1,"Scheduled within 24h",IF(M409=1,"Scheduled late",IF(K409="BAD CONTACT","Bad contact details",IF(O409=1,"Stopped / wrong number",IF(N409=1,"Not interested",IF(P409=1,"Partner has no slots",IF(SETTINGS!$B$4&gt;=V409,IF(Q409=0,"Missed deadline: never tried","Missed deadline: tried, not booked"),IF(Q409&gt;=SETTINGS!$B$6,"No reply after max tries","Open"))))))))))</f>
        <v>Bad contact details</v>
      </c>
      <c r="AM409" s="46" t="str">
        <f>IF(M409=1,IF(_xlfn.MINIFS(LOG!$G$2:$G$2001,LOG!$C$2:$C$2001,F409,LOG!$E$2:$E$2001,B409,LOG!$D$2:$D$2001,"*BOOKED")=0,_xlfn.MINIFS(LOG!$G$2:$G$2001,LOG!$C$2:$C$2001,F409,LOG!$E$2:$E$2001,"",LOG!$D$2:$D$2001,"*BOOKED"),IF(_xlfn.MINIFS(LOG!$G$2:$G$2001,LOG!$C$2:$C$2001,F409,LOG!$E$2:$E$2001,"",LOG!$D$2:$D$2001,"*BOOKED")=0,_xlfn.MINIFS(LOG!$G$2:$G$2001,LOG!$C$2:$C$2001,F409,LOG!$E$2:$E$2001,B409,LOG!$D$2:$D$2001,"*BOOKED"),MIN(_xlfn.MINIFS(LOG!$G$2:$G$2001,LOG!$C$2:$C$2001,F409,LOG!$E$2:$E$2001,B409,LOG!$D$2:$D$2001,"*BOOKED"),_xlfn.MINIFS(LOG!$G$2:$G$2001,LOG!$C$2:$C$2001,F409,LOG!$E$2:$E$2001,"",LOG!$D$2:$D$2001,"*BOOKED")))),"")</f>
        <v/>
      </c>
      <c r="AN409" s="28" t="str">
        <f t="shared" si="73"/>
        <v/>
      </c>
      <c r="AO409" s="28">
        <f>IF(AND(M409=1,AN409&lt;&gt;""),IF(AN409&lt;=SETTINGS!$B$5,1,0),0)</f>
        <v>0</v>
      </c>
      <c r="AP409" s="28">
        <f>IF(M409=1,IF(COUNTIFS(LOG!$C$2:$C$2001,F409,LOG!$E$2:$E$2001,B409,LOG!$D$2:$D$2001,"BOOKED")+COUNTIFS(LOG!$C$2:$C$2001,F409,LOG!$E$2:$E$2001,"",LOG!$D$2:$D$2001,"BOOKED")&gt;0,1,0),0)</f>
        <v>0</v>
      </c>
      <c r="AQ409" s="28" t="str">
        <f t="shared" si="74"/>
        <v>Pooja</v>
      </c>
      <c r="AR409" s="28" t="str">
        <f>IF(AND(AK409=1,K409="OK"),COUNTIFS($AK$2:AK409,1,$K$2:K409,"OK"),"")</f>
        <v/>
      </c>
      <c r="AS409" s="28" t="str">
        <f>IF(L409=1,IFERROR(INDEX(MESSAGES!$J$9:$J$1008,MATCH(F409,MESSAGES!$M$9:$M$1008,0))&amp;"",""),"")</f>
        <v/>
      </c>
      <c r="AT409" s="28" t="str">
        <f>IF(L409=1,IFERROR(INDEX(MESSAGES!$K$9:$K$1008,MATCH(F409,MESSAGES!$M$9:$M$1008,0))&amp;"",""),"")</f>
        <v/>
      </c>
      <c r="AU409" s="28">
        <f t="shared" ca="1" si="75"/>
        <v>0</v>
      </c>
      <c r="AV409" s="28" t="str">
        <f t="shared" si="76"/>
        <v>HOLD</v>
      </c>
    </row>
    <row r="410" spans="1:48" x14ac:dyDescent="0.35">
      <c r="A410" s="28">
        <v>409</v>
      </c>
      <c r="B410" s="28" t="str">
        <f>IF(INPUT!A410="","",TRIM(INPUT!A410))</f>
        <v>Partner 008</v>
      </c>
      <c r="C410" s="28" t="str">
        <f>IF(B410="","",INPUT!C410)</f>
        <v>interviewer2@partner008.example.com</v>
      </c>
      <c r="D410" s="28" t="str">
        <f>IF(B410="","",INPUT!D410)</f>
        <v>Neil E.</v>
      </c>
      <c r="E410" s="28" t="str">
        <f>IF(B410="","",INPUT!E410)</f>
        <v>neil.e138@example.com</v>
      </c>
      <c r="F410" s="43" t="str">
        <f>IF(B410="","",TRIM(INPUT!F410&amp;""))</f>
        <v>9000001801</v>
      </c>
      <c r="G410" s="28" t="str">
        <f>IF(B410="","",INPUT!H410)</f>
        <v>Round1</v>
      </c>
      <c r="H410" s="46">
        <f>IF(B410="","",INPUT!I410)</f>
        <v>46308.82708333333</v>
      </c>
      <c r="I410" s="28" t="str">
        <f>IF(B410="","",IF(INPUT!J410="","None",INPUT!J410))</f>
        <v>Opened</v>
      </c>
      <c r="J410" s="28" t="str">
        <f t="shared" si="66"/>
        <v>neil.e138@example.com|partner 008|Round1|interviewer2@partner008.example.com</v>
      </c>
      <c r="K410" s="28" t="str">
        <f>IF(B410="","",IF(SUMPRODUCT(($J$2:$J$601=J410)*($H$2:$H$601&lt;H410))+SUMPRODUCT(($J$2:J410=J410)*($H$2:H410=H410))-1&gt;0,"DUPLICATE",IF(AND(ISNUMBER(SEARCH("@",E410)),ISNUMBER(SEARCH(".",E410)),LEN(F410)=10,ISNUMBER(VALUE(F410))),"OK","BAD CONTACT")))</f>
        <v>OK</v>
      </c>
      <c r="L410" s="28">
        <f t="shared" si="67"/>
        <v>1</v>
      </c>
      <c r="M410" s="28">
        <f>IF(L410=1,IF(COUNTIFS(LOG!$C$2:$C$2001,F410,LOG!$E$2:$E$2001,B410,LOG!$D$2:$D$2001,"*BOOKED")+COUNTIFS(LOG!$C$2:$C$2001,F410,LOG!$E$2:$E$2001,"",LOG!$D$2:$D$2001,"*BOOKED")&gt;0,1,0),0)</f>
        <v>0</v>
      </c>
      <c r="N410" s="28">
        <f>IF(L410=1,IF(COUNTIFS(LOG!$C$2:$C$2001,F410,LOG!$E$2:$E$2001,B410,LOG!$D$2:$D$2001,"NOT_INTERESTED")+COUNTIFS(LOG!$C$2:$C$2001,F410,LOG!$E$2:$E$2001,"",LOG!$D$2:$D$2001,"NOT_INTERESTED")&gt;0,1,0),0)</f>
        <v>0</v>
      </c>
      <c r="O410" s="28">
        <f>IF(L410=1,IF(COUNTIFS(LOG!$C$2:$C$2001,F410,LOG!$D$2:$D$2001,"STOP")+COUNTIFS(LOG!$C$2:$C$2001,F410,LOG!$D$2:$D$2001,"WRONG_NUMBER")&gt;0,1,IF(ISNUMBER(SEARCH("STOP",AT410)),1,0)),0)</f>
        <v>0</v>
      </c>
      <c r="P410" s="28">
        <f>IF(L410=1,IF(IFERROR(INDEX(PARTNERS!$D$2:$D$88,MATCH(B410,PARTNERS!$A$2:$A$88,0)),"")="NO SLOTS",1,IF(AND(IFERROR(INDEX(PARTNERS!$D$2:$D$88,MATCH(B410,PARTNERS!$A$2:$A$88,0)),"")&lt;&gt;"REOPENED",COUNTIFS(LOG!$E$2:$E$2001,B410,LOG!$D$2:$D$2001,"NO_SLOTS")&gt;0),1,0)),0)</f>
        <v>0</v>
      </c>
      <c r="Q410" s="28">
        <f>IF(L410=1,COUNTIFS(LOG!$C$2:$C$2001,F410,LOG!$H$2:$H$2001,1),0)</f>
        <v>0</v>
      </c>
      <c r="R410" s="46">
        <f>IF(Q410&gt;0,_xlfn.MAXIFS(LOG!$G$2:$G$2001,LOG!$C$2:$C$2001,F410,LOG!$H$2:$H$2001,1),0)</f>
        <v>0</v>
      </c>
      <c r="S410" s="28" t="str">
        <f>IF(Q410&gt;0,IFERROR(INDEX(LOG!$D$2:$D$2001,MATCH(F410&amp;"|"&amp;Q410,LOG!$I$2:$I$2001,0)),""),"")</f>
        <v/>
      </c>
      <c r="T410" s="28">
        <f>IF(S410="",0,IFERROR(VLOOKUP(S410,LISTS!$A$2:$E$10,4,FALSE),0))</f>
        <v>0</v>
      </c>
      <c r="U410" s="46">
        <f t="shared" si="68"/>
        <v>0</v>
      </c>
      <c r="V410" s="46">
        <f>IF(L410=1,H410+SETTINGS!$B$5/24,"")</f>
        <v>46309.82708333333</v>
      </c>
      <c r="W410" s="28">
        <f ca="1">IF(L410=1,(V410-SETTINGS!$B$4)*24,"")</f>
        <v>-1.6666666720993817E-2</v>
      </c>
      <c r="X410" s="28">
        <f ca="1">IF(AND(L410=1,K410="OK",M410=0,N410=0,O410=0,P410=0,SETTINGS!$B$4&lt;V410,Q410&lt;SETTINGS!$B$6),1,0)</f>
        <v>0</v>
      </c>
      <c r="Y410" s="28">
        <f ca="1">IF(AND(X410=1,SETTINGS!$B$4&gt;=H410,SETTINGS!$B$4&gt;=U410,ROUND(MOD(SETTINGS!$B$4,1)*1440,0)&gt;=ROUND(SETTINGS!$B$7*1440,0),ROUND(MOD(SETTINGS!$B$4,1)*1440,0)&lt;ROUND(SETTINGS!$B$8*1440,0)),1,0)</f>
        <v>0</v>
      </c>
      <c r="Z410" s="28" t="str">
        <f ca="1">IF(B410="","",IF(ROUND(MOD(SETTINGS!$B$4,1)*1440,0)&lt;ROUND(SETTINGS!$B$11*1440,0),"Ram",IF(ROUND(MOD(SETTINGS!$B$4,1)*1440,0)&gt;=ROUND(SETTINGS!$B$10*1440,0),"Shyam",IF(MOD(IFERROR(VALUE(RIGHT(F410,2)),0),2)=0,"Ram","Shyam"))))</f>
        <v>Shyam</v>
      </c>
      <c r="AA410" s="28">
        <f t="shared" ca="1" si="69"/>
        <v>0</v>
      </c>
      <c r="AB410" s="28">
        <f ca="1">IF(X410=1,COUNTIFS($F$2:F410,F410,$X$2:X410,1),0)</f>
        <v>0</v>
      </c>
      <c r="AC410" s="28" t="str">
        <f>IF(L410=1,IF(IFERROR(INDEX(PARTNERS!$C$2:$C$88,MATCH(B410,PARTNERS!$A$2:$A$88,0)),"")="YES","YES","NO"),"")</f>
        <v>YES</v>
      </c>
      <c r="AD410" s="28" t="str">
        <f>IF(L410=1,IFERROR(INDEX(PARTNERS!$B$2:$B$88,MATCH(B410,PARTNERS!$A$2:$A$88,0)),""),"")</f>
        <v>https://calendly.com/partner008/interview</v>
      </c>
      <c r="AE410" s="28">
        <f ca="1">IF(X410=1,IFERROR(INDEX(SETTINGS!$B$34:$D$36,MATCH(I410,SETTINGS!$A$34:$A$36,0),MIN(Q410,2)+1),SETTINGS!$B$36),0)</f>
        <v>0</v>
      </c>
      <c r="AF410" s="28">
        <f t="shared" si="70"/>
        <v>1</v>
      </c>
      <c r="AG410" s="28">
        <f ca="1">IF(AND(Y410=1,AB410=1),ROUND(AA410*AE410*IF(AF410&gt;1,SETTINGS!$B$16,1)*IF(W410&lt;=SETTINGS!$B$14,SETTINGS!$B$15,1)*IF(AU410=1,SETTINGS!$B$21,1),6),0)</f>
        <v>0</v>
      </c>
      <c r="AH410" s="28" t="str">
        <f ca="1">IF(AG410&gt;0,COUNTIFS($Z$2:$Z$601,Z410,$AG$2:$AG$601,"&gt;"&amp;AG410)+COUNTIFS($Z$2:Z410,Z410,$AG$2:AG410,AG410),"")</f>
        <v/>
      </c>
      <c r="AI410" s="28" t="str">
        <f t="shared" ca="1" si="71"/>
        <v/>
      </c>
      <c r="AJ410" s="28" t="str">
        <f t="shared" ca="1" si="72"/>
        <v/>
      </c>
      <c r="AK410" s="28">
        <f>IF(L410=1,IF(COUNTIFS($F$2:F410,F410,$L$2:L410,1)=1,1,0),0)</f>
        <v>1</v>
      </c>
      <c r="AL410" s="28" t="str">
        <f ca="1">IF(B410="","",IF(K410="DUPLICATE","Duplicate (removed)",IF(AO410=1,"Scheduled within 24h",IF(M410=1,"Scheduled late",IF(K410="BAD CONTACT","Bad contact details",IF(O410=1,"Stopped / wrong number",IF(N410=1,"Not interested",IF(P410=1,"Partner has no slots",IF(SETTINGS!$B$4&gt;=V410,IF(Q410=0,"Missed deadline: never tried","Missed deadline: tried, not booked"),IF(Q410&gt;=SETTINGS!$B$6,"No reply after max tries","Open"))))))))))</f>
        <v>Missed deadline: never tried</v>
      </c>
      <c r="AM410" s="46" t="str">
        <f>IF(M410=1,IF(_xlfn.MINIFS(LOG!$G$2:$G$2001,LOG!$C$2:$C$2001,F410,LOG!$E$2:$E$2001,B410,LOG!$D$2:$D$2001,"*BOOKED")=0,_xlfn.MINIFS(LOG!$G$2:$G$2001,LOG!$C$2:$C$2001,F410,LOG!$E$2:$E$2001,"",LOG!$D$2:$D$2001,"*BOOKED"),IF(_xlfn.MINIFS(LOG!$G$2:$G$2001,LOG!$C$2:$C$2001,F410,LOG!$E$2:$E$2001,"",LOG!$D$2:$D$2001,"*BOOKED")=0,_xlfn.MINIFS(LOG!$G$2:$G$2001,LOG!$C$2:$C$2001,F410,LOG!$E$2:$E$2001,B410,LOG!$D$2:$D$2001,"*BOOKED"),MIN(_xlfn.MINIFS(LOG!$G$2:$G$2001,LOG!$C$2:$C$2001,F410,LOG!$E$2:$E$2001,B410,LOG!$D$2:$D$2001,"*BOOKED"),_xlfn.MINIFS(LOG!$G$2:$G$2001,LOG!$C$2:$C$2001,F410,LOG!$E$2:$E$2001,"",LOG!$D$2:$D$2001,"*BOOKED")))),"")</f>
        <v/>
      </c>
      <c r="AN410" s="28" t="str">
        <f t="shared" si="73"/>
        <v/>
      </c>
      <c r="AO410" s="28">
        <f>IF(AND(M410=1,AN410&lt;&gt;""),IF(AN410&lt;=SETTINGS!$B$5,1,0),0)</f>
        <v>0</v>
      </c>
      <c r="AP410" s="28">
        <f>IF(M410=1,IF(COUNTIFS(LOG!$C$2:$C$2001,F410,LOG!$E$2:$E$2001,B410,LOG!$D$2:$D$2001,"BOOKED")+COUNTIFS(LOG!$C$2:$C$2001,F410,LOG!$E$2:$E$2001,"",LOG!$D$2:$D$2001,"BOOKED")&gt;0,1,0),0)</f>
        <v>0</v>
      </c>
      <c r="AQ410" s="28" t="str">
        <f t="shared" si="74"/>
        <v>Neil</v>
      </c>
      <c r="AR410" s="28">
        <f>IF(AND(AK410=1,K410="OK"),COUNTIFS($AK$2:AK410,1,$K$2:K410,"OK"),"")</f>
        <v>337</v>
      </c>
      <c r="AS410" s="28" t="str">
        <f>IF(L410=1,IFERROR(INDEX(MESSAGES!$J$9:$J$1008,MATCH(F410,MESSAGES!$M$9:$M$1008,0))&amp;"",""),"")</f>
        <v/>
      </c>
      <c r="AT410" s="28" t="str">
        <f>IF(L410=1,IFERROR(INDEX(MESSAGES!$K$9:$K$1008,MATCH(F410,MESSAGES!$M$9:$M$1008,0))&amp;"",""),"")</f>
        <v/>
      </c>
      <c r="AU410" s="28">
        <f t="shared" ca="1" si="75"/>
        <v>0</v>
      </c>
      <c r="AV410" s="28" t="str">
        <f t="shared" si="76"/>
        <v>SEND</v>
      </c>
    </row>
    <row r="411" spans="1:48" x14ac:dyDescent="0.35">
      <c r="A411" s="28">
        <v>410</v>
      </c>
      <c r="B411" s="28" t="str">
        <f>IF(INPUT!A411="","",TRIM(INPUT!A411))</f>
        <v>Partner 032</v>
      </c>
      <c r="C411" s="28" t="str">
        <f>IF(B411="","",INPUT!C411)</f>
        <v>interviewer0@partner032.example.com</v>
      </c>
      <c r="D411" s="28" t="str">
        <f>IF(B411="","",INPUT!D411)</f>
        <v>Aditya F.</v>
      </c>
      <c r="E411" s="28" t="str">
        <f>IF(B411="","",INPUT!E411)</f>
        <v>aditya.f172@example.com</v>
      </c>
      <c r="F411" s="43" t="str">
        <f>IF(B411="","",TRIM(INPUT!F411&amp;""))</f>
        <v>9000002243</v>
      </c>
      <c r="G411" s="28" t="str">
        <f>IF(B411="","",INPUT!H411)</f>
        <v>Round1</v>
      </c>
      <c r="H411" s="46">
        <f>IF(B411="","",INPUT!I411)</f>
        <v>46308.82708333333</v>
      </c>
      <c r="I411" s="28" t="str">
        <f>IF(B411="","",IF(INPUT!J411="","None",INPUT!J411))</f>
        <v>Opened</v>
      </c>
      <c r="J411" s="28" t="str">
        <f t="shared" si="66"/>
        <v>aditya.f172@example.com|partner 032|Round1|interviewer0@partner032.example.com</v>
      </c>
      <c r="K411" s="28" t="str">
        <f>IF(B411="","",IF(SUMPRODUCT(($J$2:$J$601=J411)*($H$2:$H$601&lt;H411))+SUMPRODUCT(($J$2:J411=J411)*($H$2:H411=H411))-1&gt;0,"DUPLICATE",IF(AND(ISNUMBER(SEARCH("@",E411)),ISNUMBER(SEARCH(".",E411)),LEN(F411)=10,ISNUMBER(VALUE(F411))),"OK","BAD CONTACT")))</f>
        <v>OK</v>
      </c>
      <c r="L411" s="28">
        <f t="shared" si="67"/>
        <v>1</v>
      </c>
      <c r="M411" s="28">
        <f>IF(L411=1,IF(COUNTIFS(LOG!$C$2:$C$2001,F411,LOG!$E$2:$E$2001,B411,LOG!$D$2:$D$2001,"*BOOKED")+COUNTIFS(LOG!$C$2:$C$2001,F411,LOG!$E$2:$E$2001,"",LOG!$D$2:$D$2001,"*BOOKED")&gt;0,1,0),0)</f>
        <v>0</v>
      </c>
      <c r="N411" s="28">
        <f>IF(L411=1,IF(COUNTIFS(LOG!$C$2:$C$2001,F411,LOG!$E$2:$E$2001,B411,LOG!$D$2:$D$2001,"NOT_INTERESTED")+COUNTIFS(LOG!$C$2:$C$2001,F411,LOG!$E$2:$E$2001,"",LOG!$D$2:$D$2001,"NOT_INTERESTED")&gt;0,1,0),0)</f>
        <v>0</v>
      </c>
      <c r="O411" s="28">
        <f>IF(L411=1,IF(COUNTIFS(LOG!$C$2:$C$2001,F411,LOG!$D$2:$D$2001,"STOP")+COUNTIFS(LOG!$C$2:$C$2001,F411,LOG!$D$2:$D$2001,"WRONG_NUMBER")&gt;0,1,IF(ISNUMBER(SEARCH("STOP",AT411)),1,0)),0)</f>
        <v>0</v>
      </c>
      <c r="P411" s="28">
        <f>IF(L411=1,IF(IFERROR(INDEX(PARTNERS!$D$2:$D$88,MATCH(B411,PARTNERS!$A$2:$A$88,0)),"")="NO SLOTS",1,IF(AND(IFERROR(INDEX(PARTNERS!$D$2:$D$88,MATCH(B411,PARTNERS!$A$2:$A$88,0)),"")&lt;&gt;"REOPENED",COUNTIFS(LOG!$E$2:$E$2001,B411,LOG!$D$2:$D$2001,"NO_SLOTS")&gt;0),1,0)),0)</f>
        <v>0</v>
      </c>
      <c r="Q411" s="28">
        <f>IF(L411=1,COUNTIFS(LOG!$C$2:$C$2001,F411,LOG!$H$2:$H$2001,1),0)</f>
        <v>0</v>
      </c>
      <c r="R411" s="46">
        <f>IF(Q411&gt;0,_xlfn.MAXIFS(LOG!$G$2:$G$2001,LOG!$C$2:$C$2001,F411,LOG!$H$2:$H$2001,1),0)</f>
        <v>0</v>
      </c>
      <c r="S411" s="28" t="str">
        <f>IF(Q411&gt;0,IFERROR(INDEX(LOG!$D$2:$D$2001,MATCH(F411&amp;"|"&amp;Q411,LOG!$I$2:$I$2001,0)),""),"")</f>
        <v/>
      </c>
      <c r="T411" s="28">
        <f>IF(S411="",0,IFERROR(VLOOKUP(S411,LISTS!$A$2:$E$10,4,FALSE),0))</f>
        <v>0</v>
      </c>
      <c r="U411" s="46">
        <f t="shared" si="68"/>
        <v>0</v>
      </c>
      <c r="V411" s="46">
        <f>IF(L411=1,H411+SETTINGS!$B$5/24,"")</f>
        <v>46309.82708333333</v>
      </c>
      <c r="W411" s="28">
        <f ca="1">IF(L411=1,(V411-SETTINGS!$B$4)*24,"")</f>
        <v>-1.6666666720993817E-2</v>
      </c>
      <c r="X411" s="28">
        <f ca="1">IF(AND(L411=1,K411="OK",M411=0,N411=0,O411=0,P411=0,SETTINGS!$B$4&lt;V411,Q411&lt;SETTINGS!$B$6),1,0)</f>
        <v>0</v>
      </c>
      <c r="Y411" s="28">
        <f ca="1">IF(AND(X411=1,SETTINGS!$B$4&gt;=H411,SETTINGS!$B$4&gt;=U411,ROUND(MOD(SETTINGS!$B$4,1)*1440,0)&gt;=ROUND(SETTINGS!$B$7*1440,0),ROUND(MOD(SETTINGS!$B$4,1)*1440,0)&lt;ROUND(SETTINGS!$B$8*1440,0)),1,0)</f>
        <v>0</v>
      </c>
      <c r="Z411" s="28" t="str">
        <f ca="1">IF(B411="","",IF(ROUND(MOD(SETTINGS!$B$4,1)*1440,0)&lt;ROUND(SETTINGS!$B$11*1440,0),"Ram",IF(ROUND(MOD(SETTINGS!$B$4,1)*1440,0)&gt;=ROUND(SETTINGS!$B$10*1440,0),"Shyam",IF(MOD(IFERROR(VALUE(RIGHT(F411,2)),0),2)=0,"Ram","Shyam"))))</f>
        <v>Shyam</v>
      </c>
      <c r="AA411" s="28">
        <f t="shared" ca="1" si="69"/>
        <v>0</v>
      </c>
      <c r="AB411" s="28">
        <f ca="1">IF(X411=1,COUNTIFS($F$2:F411,F411,$X$2:X411,1),0)</f>
        <v>0</v>
      </c>
      <c r="AC411" s="28" t="str">
        <f>IF(L411=1,IF(IFERROR(INDEX(PARTNERS!$C$2:$C$88,MATCH(B411,PARTNERS!$A$2:$A$88,0)),"")="YES","YES","NO"),"")</f>
        <v>YES</v>
      </c>
      <c r="AD411" s="28" t="str">
        <f>IF(L411=1,IFERROR(INDEX(PARTNERS!$B$2:$B$88,MATCH(B411,PARTNERS!$A$2:$A$88,0)),""),"")</f>
        <v>https://calendly.com/partner032/interview</v>
      </c>
      <c r="AE411" s="28">
        <f ca="1">IF(X411=1,IFERROR(INDEX(SETTINGS!$B$34:$D$36,MATCH(I411,SETTINGS!$A$34:$A$36,0),MIN(Q411,2)+1),SETTINGS!$B$36),0)</f>
        <v>0</v>
      </c>
      <c r="AF411" s="28">
        <f t="shared" si="70"/>
        <v>1</v>
      </c>
      <c r="AG411" s="28">
        <f ca="1">IF(AND(Y411=1,AB411=1),ROUND(AA411*AE411*IF(AF411&gt;1,SETTINGS!$B$16,1)*IF(W411&lt;=SETTINGS!$B$14,SETTINGS!$B$15,1)*IF(AU411=1,SETTINGS!$B$21,1),6),0)</f>
        <v>0</v>
      </c>
      <c r="AH411" s="28" t="str">
        <f ca="1">IF(AG411&gt;0,COUNTIFS($Z$2:$Z$601,Z411,$AG$2:$AG$601,"&gt;"&amp;AG411)+COUNTIFS($Z$2:Z411,Z411,$AG$2:AG411,AG411),"")</f>
        <v/>
      </c>
      <c r="AI411" s="28" t="str">
        <f t="shared" ca="1" si="71"/>
        <v/>
      </c>
      <c r="AJ411" s="28" t="str">
        <f t="shared" ca="1" si="72"/>
        <v/>
      </c>
      <c r="AK411" s="28">
        <f>IF(L411=1,IF(COUNTIFS($F$2:F411,F411,$L$2:L411,1)=1,1,0),0)</f>
        <v>1</v>
      </c>
      <c r="AL411" s="28" t="str">
        <f ca="1">IF(B411="","",IF(K411="DUPLICATE","Duplicate (removed)",IF(AO411=1,"Scheduled within 24h",IF(M411=1,"Scheduled late",IF(K411="BAD CONTACT","Bad contact details",IF(O411=1,"Stopped / wrong number",IF(N411=1,"Not interested",IF(P411=1,"Partner has no slots",IF(SETTINGS!$B$4&gt;=V411,IF(Q411=0,"Missed deadline: never tried","Missed deadline: tried, not booked"),IF(Q411&gt;=SETTINGS!$B$6,"No reply after max tries","Open"))))))))))</f>
        <v>Missed deadline: never tried</v>
      </c>
      <c r="AM411" s="46" t="str">
        <f>IF(M411=1,IF(_xlfn.MINIFS(LOG!$G$2:$G$2001,LOG!$C$2:$C$2001,F411,LOG!$E$2:$E$2001,B411,LOG!$D$2:$D$2001,"*BOOKED")=0,_xlfn.MINIFS(LOG!$G$2:$G$2001,LOG!$C$2:$C$2001,F411,LOG!$E$2:$E$2001,"",LOG!$D$2:$D$2001,"*BOOKED"),IF(_xlfn.MINIFS(LOG!$G$2:$G$2001,LOG!$C$2:$C$2001,F411,LOG!$E$2:$E$2001,"",LOG!$D$2:$D$2001,"*BOOKED")=0,_xlfn.MINIFS(LOG!$G$2:$G$2001,LOG!$C$2:$C$2001,F411,LOG!$E$2:$E$2001,B411,LOG!$D$2:$D$2001,"*BOOKED"),MIN(_xlfn.MINIFS(LOG!$G$2:$G$2001,LOG!$C$2:$C$2001,F411,LOG!$E$2:$E$2001,B411,LOG!$D$2:$D$2001,"*BOOKED"),_xlfn.MINIFS(LOG!$G$2:$G$2001,LOG!$C$2:$C$2001,F411,LOG!$E$2:$E$2001,"",LOG!$D$2:$D$2001,"*BOOKED")))),"")</f>
        <v/>
      </c>
      <c r="AN411" s="28" t="str">
        <f t="shared" si="73"/>
        <v/>
      </c>
      <c r="AO411" s="28">
        <f>IF(AND(M411=1,AN411&lt;&gt;""),IF(AN411&lt;=SETTINGS!$B$5,1,0),0)</f>
        <v>0</v>
      </c>
      <c r="AP411" s="28">
        <f>IF(M411=1,IF(COUNTIFS(LOG!$C$2:$C$2001,F411,LOG!$E$2:$E$2001,B411,LOG!$D$2:$D$2001,"BOOKED")+COUNTIFS(LOG!$C$2:$C$2001,F411,LOG!$E$2:$E$2001,"",LOG!$D$2:$D$2001,"BOOKED")&gt;0,1,0),0)</f>
        <v>0</v>
      </c>
      <c r="AQ411" s="28" t="str">
        <f t="shared" si="74"/>
        <v>Aditya</v>
      </c>
      <c r="AR411" s="28">
        <f>IF(AND(AK411=1,K411="OK"),COUNTIFS($AK$2:AK411,1,$K$2:K411,"OK"),"")</f>
        <v>338</v>
      </c>
      <c r="AS411" s="28" t="str">
        <f>IF(L411=1,IFERROR(INDEX(MESSAGES!$J$9:$J$1008,MATCH(F411,MESSAGES!$M$9:$M$1008,0))&amp;"",""),"")</f>
        <v/>
      </c>
      <c r="AT411" s="28" t="str">
        <f>IF(L411=1,IFERROR(INDEX(MESSAGES!$K$9:$K$1008,MATCH(F411,MESSAGES!$M$9:$M$1008,0))&amp;"",""),"")</f>
        <v/>
      </c>
      <c r="AU411" s="28">
        <f t="shared" ca="1" si="75"/>
        <v>0</v>
      </c>
      <c r="AV411" s="28" t="str">
        <f t="shared" si="76"/>
        <v>SEND</v>
      </c>
    </row>
    <row r="412" spans="1:48" x14ac:dyDescent="0.35">
      <c r="A412" s="28">
        <v>411</v>
      </c>
      <c r="B412" s="28" t="str">
        <f>IF(INPUT!A412="","",TRIM(INPUT!A412))</f>
        <v>Partner 014</v>
      </c>
      <c r="C412" s="28" t="str">
        <f>IF(B412="","",INPUT!C412)</f>
        <v>interviewer1@partner014.example.com</v>
      </c>
      <c r="D412" s="28" t="str">
        <f>IF(B412="","",INPUT!D412)</f>
        <v>Arjun B.</v>
      </c>
      <c r="E412" s="28" t="str">
        <f>IF(B412="","",INPUT!E412)</f>
        <v>arjun.b038@example.com</v>
      </c>
      <c r="F412" s="43" t="str">
        <f>IF(B412="","",TRIM(INPUT!F412&amp;""))</f>
        <v>9000000501</v>
      </c>
      <c r="G412" s="28" t="str">
        <f>IF(B412="","",INPUT!H412)</f>
        <v>Round1</v>
      </c>
      <c r="H412" s="46">
        <f>IF(B412="","",INPUT!I412)</f>
        <v>46308.82708333333</v>
      </c>
      <c r="I412" s="28" t="str">
        <f>IF(B412="","",IF(INPUT!J412="","None",INPUT!J412))</f>
        <v>None</v>
      </c>
      <c r="J412" s="28" t="str">
        <f t="shared" si="66"/>
        <v>arjun.b038@example.com|partner 014|Round1|interviewer1@partner014.example.com</v>
      </c>
      <c r="K412" s="28" t="str">
        <f>IF(B412="","",IF(SUMPRODUCT(($J$2:$J$601=J412)*($H$2:$H$601&lt;H412))+SUMPRODUCT(($J$2:J412=J412)*($H$2:H412=H412))-1&gt;0,"DUPLICATE",IF(AND(ISNUMBER(SEARCH("@",E412)),ISNUMBER(SEARCH(".",E412)),LEN(F412)=10,ISNUMBER(VALUE(F412))),"OK","BAD CONTACT")))</f>
        <v>OK</v>
      </c>
      <c r="L412" s="28">
        <f t="shared" si="67"/>
        <v>1</v>
      </c>
      <c r="M412" s="28">
        <f>IF(L412=1,IF(COUNTIFS(LOG!$C$2:$C$2001,F412,LOG!$E$2:$E$2001,B412,LOG!$D$2:$D$2001,"*BOOKED")+COUNTIFS(LOG!$C$2:$C$2001,F412,LOG!$E$2:$E$2001,"",LOG!$D$2:$D$2001,"*BOOKED")&gt;0,1,0),0)</f>
        <v>1</v>
      </c>
      <c r="N412" s="28">
        <f>IF(L412=1,IF(COUNTIFS(LOG!$C$2:$C$2001,F412,LOG!$E$2:$E$2001,B412,LOG!$D$2:$D$2001,"NOT_INTERESTED")+COUNTIFS(LOG!$C$2:$C$2001,F412,LOG!$E$2:$E$2001,"",LOG!$D$2:$D$2001,"NOT_INTERESTED")&gt;0,1,0),0)</f>
        <v>0</v>
      </c>
      <c r="O412" s="28">
        <f>IF(L412=1,IF(COUNTIFS(LOG!$C$2:$C$2001,F412,LOG!$D$2:$D$2001,"STOP")+COUNTIFS(LOG!$C$2:$C$2001,F412,LOG!$D$2:$D$2001,"WRONG_NUMBER")&gt;0,1,IF(ISNUMBER(SEARCH("STOP",AT412)),1,0)),0)</f>
        <v>0</v>
      </c>
      <c r="P412" s="28">
        <f>IF(L412=1,IF(IFERROR(INDEX(PARTNERS!$D$2:$D$88,MATCH(B412,PARTNERS!$A$2:$A$88,0)),"")="NO SLOTS",1,IF(AND(IFERROR(INDEX(PARTNERS!$D$2:$D$88,MATCH(B412,PARTNERS!$A$2:$A$88,0)),"")&lt;&gt;"REOPENED",COUNTIFS(LOG!$E$2:$E$2001,B412,LOG!$D$2:$D$2001,"NO_SLOTS")&gt;0),1,0)),0)</f>
        <v>0</v>
      </c>
      <c r="Q412" s="28">
        <f>IF(L412=1,COUNTIFS(LOG!$C$2:$C$2001,F412,LOG!$H$2:$H$2001,1),0)</f>
        <v>0</v>
      </c>
      <c r="R412" s="46">
        <f>IF(Q412&gt;0,_xlfn.MAXIFS(LOG!$G$2:$G$2001,LOG!$C$2:$C$2001,F412,LOG!$H$2:$H$2001,1),0)</f>
        <v>0</v>
      </c>
      <c r="S412" s="28" t="str">
        <f>IF(Q412&gt;0,IFERROR(INDEX(LOG!$D$2:$D$2001,MATCH(F412&amp;"|"&amp;Q412,LOG!$I$2:$I$2001,0)),""),"")</f>
        <v/>
      </c>
      <c r="T412" s="28">
        <f>IF(S412="",0,IFERROR(VLOOKUP(S412,LISTS!$A$2:$E$10,4,FALSE),0))</f>
        <v>0</v>
      </c>
      <c r="U412" s="46">
        <f t="shared" si="68"/>
        <v>0</v>
      </c>
      <c r="V412" s="46">
        <f>IF(L412=1,H412+SETTINGS!$B$5/24,"")</f>
        <v>46309.82708333333</v>
      </c>
      <c r="W412" s="28">
        <f ca="1">IF(L412=1,(V412-SETTINGS!$B$4)*24,"")</f>
        <v>-1.6666666720993817E-2</v>
      </c>
      <c r="X412" s="28">
        <f ca="1">IF(AND(L412=1,K412="OK",M412=0,N412=0,O412=0,P412=0,SETTINGS!$B$4&lt;V412,Q412&lt;SETTINGS!$B$6),1,0)</f>
        <v>0</v>
      </c>
      <c r="Y412" s="28">
        <f ca="1">IF(AND(X412=1,SETTINGS!$B$4&gt;=H412,SETTINGS!$B$4&gt;=U412,ROUND(MOD(SETTINGS!$B$4,1)*1440,0)&gt;=ROUND(SETTINGS!$B$7*1440,0),ROUND(MOD(SETTINGS!$B$4,1)*1440,0)&lt;ROUND(SETTINGS!$B$8*1440,0)),1,0)</f>
        <v>0</v>
      </c>
      <c r="Z412" s="28" t="str">
        <f ca="1">IF(B412="","",IF(ROUND(MOD(SETTINGS!$B$4,1)*1440,0)&lt;ROUND(SETTINGS!$B$11*1440,0),"Ram",IF(ROUND(MOD(SETTINGS!$B$4,1)*1440,0)&gt;=ROUND(SETTINGS!$B$10*1440,0),"Shyam",IF(MOD(IFERROR(VALUE(RIGHT(F412,2)),0),2)=0,"Ram","Shyam"))))</f>
        <v>Shyam</v>
      </c>
      <c r="AA412" s="28">
        <f t="shared" ca="1" si="69"/>
        <v>0</v>
      </c>
      <c r="AB412" s="28">
        <f ca="1">IF(X412=1,COUNTIFS($F$2:F412,F412,$X$2:X412,1),0)</f>
        <v>0</v>
      </c>
      <c r="AC412" s="28" t="str">
        <f>IF(L412=1,IF(IFERROR(INDEX(PARTNERS!$C$2:$C$88,MATCH(B412,PARTNERS!$A$2:$A$88,0)),"")="YES","YES","NO"),"")</f>
        <v>NO</v>
      </c>
      <c r="AD412" s="28" t="str">
        <f>IF(L412=1,IFERROR(INDEX(PARTNERS!$B$2:$B$88,MATCH(B412,PARTNERS!$A$2:$A$88,0)),""),"")</f>
        <v>https://calendly.com/partner014/interview</v>
      </c>
      <c r="AE412" s="28">
        <f ca="1">IF(X412=1,IFERROR(INDEX(SETTINGS!$B$34:$D$36,MATCH(I412,SETTINGS!$A$34:$A$36,0),MIN(Q412,2)+1),SETTINGS!$B$36),0)</f>
        <v>0</v>
      </c>
      <c r="AF412" s="28">
        <f t="shared" si="70"/>
        <v>1</v>
      </c>
      <c r="AG412" s="28">
        <f ca="1">IF(AND(Y412=1,AB412=1),ROUND(AA412*AE412*IF(AF412&gt;1,SETTINGS!$B$16,1)*IF(W412&lt;=SETTINGS!$B$14,SETTINGS!$B$15,1)*IF(AU412=1,SETTINGS!$B$21,1),6),0)</f>
        <v>0</v>
      </c>
      <c r="AH412" s="28" t="str">
        <f ca="1">IF(AG412&gt;0,COUNTIFS($Z$2:$Z$601,Z412,$AG$2:$AG$601,"&gt;"&amp;AG412)+COUNTIFS($Z$2:Z412,Z412,$AG$2:AG412,AG412),"")</f>
        <v/>
      </c>
      <c r="AI412" s="28" t="str">
        <f t="shared" ca="1" si="71"/>
        <v/>
      </c>
      <c r="AJ412" s="28" t="str">
        <f t="shared" ca="1" si="72"/>
        <v/>
      </c>
      <c r="AK412" s="28">
        <f>IF(L412=1,IF(COUNTIFS($F$2:F412,F412,$L$2:L412,1)=1,1,0),0)</f>
        <v>0</v>
      </c>
      <c r="AL412" s="28" t="str">
        <f>IF(B412="","",IF(K412="DUPLICATE","Duplicate (removed)",IF(AO412=1,"Scheduled within 24h",IF(M412=1,"Scheduled late",IF(K412="BAD CONTACT","Bad contact details",IF(O412=1,"Stopped / wrong number",IF(N412=1,"Not interested",IF(P412=1,"Partner has no slots",IF(SETTINGS!$B$4&gt;=V412,IF(Q412=0,"Missed deadline: never tried","Missed deadline: tried, not booked"),IF(Q412&gt;=SETTINGS!$B$6,"No reply after max tries","Open"))))))))))</f>
        <v>Scheduled within 24h</v>
      </c>
      <c r="AM412" s="46">
        <f>IF(M412=1,IF(_xlfn.MINIFS(LOG!$G$2:$G$2001,LOG!$C$2:$C$2001,F412,LOG!$E$2:$E$2001,B412,LOG!$D$2:$D$2001,"*BOOKED")=0,_xlfn.MINIFS(LOG!$G$2:$G$2001,LOG!$C$2:$C$2001,F412,LOG!$E$2:$E$2001,"",LOG!$D$2:$D$2001,"*BOOKED"),IF(_xlfn.MINIFS(LOG!$G$2:$G$2001,LOG!$C$2:$C$2001,F412,LOG!$E$2:$E$2001,"",LOG!$D$2:$D$2001,"*BOOKED")=0,_xlfn.MINIFS(LOG!$G$2:$G$2001,LOG!$C$2:$C$2001,F412,LOG!$E$2:$E$2001,B412,LOG!$D$2:$D$2001,"*BOOKED"),MIN(_xlfn.MINIFS(LOG!$G$2:$G$2001,LOG!$C$2:$C$2001,F412,LOG!$E$2:$E$2001,B412,LOG!$D$2:$D$2001,"*BOOKED"),_xlfn.MINIFS(LOG!$G$2:$G$2001,LOG!$C$2:$C$2001,F412,LOG!$E$2:$E$2001,"",LOG!$D$2:$D$2001,"*BOOKED")))),"")</f>
        <v>46308.919757584525</v>
      </c>
      <c r="AN412" s="28">
        <f t="shared" si="73"/>
        <v>2.2241820286726579</v>
      </c>
      <c r="AO412" s="28">
        <f>IF(AND(M412=1,AN412&lt;&gt;""),IF(AN412&lt;=SETTINGS!$B$5,1,0),0)</f>
        <v>1</v>
      </c>
      <c r="AP412" s="28">
        <f>IF(M412=1,IF(COUNTIFS(LOG!$C$2:$C$2001,F412,LOG!$E$2:$E$2001,B412,LOG!$D$2:$D$2001,"BOOKED")+COUNTIFS(LOG!$C$2:$C$2001,F412,LOG!$E$2:$E$2001,"",LOG!$D$2:$D$2001,"BOOKED")&gt;0,1,0),0)</f>
        <v>0</v>
      </c>
      <c r="AQ412" s="28" t="str">
        <f t="shared" si="74"/>
        <v>Arjun</v>
      </c>
      <c r="AR412" s="28" t="str">
        <f>IF(AND(AK412=1,K412="OK"),COUNTIFS($AK$2:AK412,1,$K$2:K412,"OK"),"")</f>
        <v/>
      </c>
      <c r="AS412" s="28" t="str">
        <f>IF(L412=1,IFERROR(INDEX(MESSAGES!$J$9:$J$1008,MATCH(F412,MESSAGES!$M$9:$M$1008,0))&amp;"",""),"")</f>
        <v/>
      </c>
      <c r="AT412" s="28" t="str">
        <f>IF(L412=1,IFERROR(INDEX(MESSAGES!$K$9:$K$1008,MATCH(F412,MESSAGES!$M$9:$M$1008,0))&amp;"",""),"")</f>
        <v/>
      </c>
      <c r="AU412" s="28">
        <f t="shared" ca="1" si="75"/>
        <v>0</v>
      </c>
      <c r="AV412" s="28" t="str">
        <f t="shared" si="76"/>
        <v>SEND</v>
      </c>
    </row>
    <row r="413" spans="1:48" x14ac:dyDescent="0.35">
      <c r="A413" s="28">
        <v>412</v>
      </c>
      <c r="B413" s="28" t="str">
        <f>IF(INPUT!A413="","",TRIM(INPUT!A413))</f>
        <v>Partner 006</v>
      </c>
      <c r="C413" s="28" t="str">
        <f>IF(B413="","",INPUT!C413)</f>
        <v>interviewer1@partner006.example.com</v>
      </c>
      <c r="D413" s="28" t="str">
        <f>IF(B413="","",INPUT!D413)</f>
        <v>Navya H.</v>
      </c>
      <c r="E413" s="28" t="str">
        <f>IF(B413="","",INPUT!E413)</f>
        <v>navya.h223@example.com</v>
      </c>
      <c r="F413" s="43" t="str">
        <f>IF(B413="","",TRIM(INPUT!F413&amp;""))</f>
        <v>9000002906</v>
      </c>
      <c r="G413" s="28" t="str">
        <f>IF(B413="","",INPUT!H413)</f>
        <v>Round1</v>
      </c>
      <c r="H413" s="46">
        <f>IF(B413="","",INPUT!I413)</f>
        <v>46308.82708333333</v>
      </c>
      <c r="I413" s="28" t="str">
        <f>IF(B413="","",IF(INPUT!J413="","None",INPUT!J413))</f>
        <v>Opened</v>
      </c>
      <c r="J413" s="28" t="str">
        <f t="shared" si="66"/>
        <v>navya.h223@example.com|partner 006|Round1|interviewer1@partner006.example.com</v>
      </c>
      <c r="K413" s="28" t="str">
        <f>IF(B413="","",IF(SUMPRODUCT(($J$2:$J$601=J413)*($H$2:$H$601&lt;H413))+SUMPRODUCT(($J$2:J413=J413)*($H$2:H413=H413))-1&gt;0,"DUPLICATE",IF(AND(ISNUMBER(SEARCH("@",E413)),ISNUMBER(SEARCH(".",E413)),LEN(F413)=10,ISNUMBER(VALUE(F413))),"OK","BAD CONTACT")))</f>
        <v>OK</v>
      </c>
      <c r="L413" s="28">
        <f t="shared" si="67"/>
        <v>1</v>
      </c>
      <c r="M413" s="28">
        <f>IF(L413=1,IF(COUNTIFS(LOG!$C$2:$C$2001,F413,LOG!$E$2:$E$2001,B413,LOG!$D$2:$D$2001,"*BOOKED")+COUNTIFS(LOG!$C$2:$C$2001,F413,LOG!$E$2:$E$2001,"",LOG!$D$2:$D$2001,"*BOOKED")&gt;0,1,0),0)</f>
        <v>1</v>
      </c>
      <c r="N413" s="28">
        <f>IF(L413=1,IF(COUNTIFS(LOG!$C$2:$C$2001,F413,LOG!$E$2:$E$2001,B413,LOG!$D$2:$D$2001,"NOT_INTERESTED")+COUNTIFS(LOG!$C$2:$C$2001,F413,LOG!$E$2:$E$2001,"",LOG!$D$2:$D$2001,"NOT_INTERESTED")&gt;0,1,0),0)</f>
        <v>0</v>
      </c>
      <c r="O413" s="28">
        <f>IF(L413=1,IF(COUNTIFS(LOG!$C$2:$C$2001,F413,LOG!$D$2:$D$2001,"STOP")+COUNTIFS(LOG!$C$2:$C$2001,F413,LOG!$D$2:$D$2001,"WRONG_NUMBER")&gt;0,1,IF(ISNUMBER(SEARCH("STOP",AT413)),1,0)),0)</f>
        <v>0</v>
      </c>
      <c r="P413" s="28">
        <f>IF(L413=1,IF(IFERROR(INDEX(PARTNERS!$D$2:$D$88,MATCH(B413,PARTNERS!$A$2:$A$88,0)),"")="NO SLOTS",1,IF(AND(IFERROR(INDEX(PARTNERS!$D$2:$D$88,MATCH(B413,PARTNERS!$A$2:$A$88,0)),"")&lt;&gt;"REOPENED",COUNTIFS(LOG!$E$2:$E$2001,B413,LOG!$D$2:$D$2001,"NO_SLOTS")&gt;0),1,0)),0)</f>
        <v>0</v>
      </c>
      <c r="Q413" s="28">
        <f>IF(L413=1,COUNTIFS(LOG!$C$2:$C$2001,F413,LOG!$H$2:$H$2001,1),0)</f>
        <v>0</v>
      </c>
      <c r="R413" s="46">
        <f>IF(Q413&gt;0,_xlfn.MAXIFS(LOG!$G$2:$G$2001,LOG!$C$2:$C$2001,F413,LOG!$H$2:$H$2001,1),0)</f>
        <v>0</v>
      </c>
      <c r="S413" s="28" t="str">
        <f>IF(Q413&gt;0,IFERROR(INDEX(LOG!$D$2:$D$2001,MATCH(F413&amp;"|"&amp;Q413,LOG!$I$2:$I$2001,0)),""),"")</f>
        <v/>
      </c>
      <c r="T413" s="28">
        <f>IF(S413="",0,IFERROR(VLOOKUP(S413,LISTS!$A$2:$E$10,4,FALSE),0))</f>
        <v>0</v>
      </c>
      <c r="U413" s="46">
        <f t="shared" si="68"/>
        <v>0</v>
      </c>
      <c r="V413" s="46">
        <f>IF(L413=1,H413+SETTINGS!$B$5/24,"")</f>
        <v>46309.82708333333</v>
      </c>
      <c r="W413" s="28">
        <f ca="1">IF(L413=1,(V413-SETTINGS!$B$4)*24,"")</f>
        <v>-1.6666666720993817E-2</v>
      </c>
      <c r="X413" s="28">
        <f ca="1">IF(AND(L413=1,K413="OK",M413=0,N413=0,O413=0,P413=0,SETTINGS!$B$4&lt;V413,Q413&lt;SETTINGS!$B$6),1,0)</f>
        <v>0</v>
      </c>
      <c r="Y413" s="28">
        <f ca="1">IF(AND(X413=1,SETTINGS!$B$4&gt;=H413,SETTINGS!$B$4&gt;=U413,ROUND(MOD(SETTINGS!$B$4,1)*1440,0)&gt;=ROUND(SETTINGS!$B$7*1440,0),ROUND(MOD(SETTINGS!$B$4,1)*1440,0)&lt;ROUND(SETTINGS!$B$8*1440,0)),1,0)</f>
        <v>0</v>
      </c>
      <c r="Z413" s="28" t="str">
        <f ca="1">IF(B413="","",IF(ROUND(MOD(SETTINGS!$B$4,1)*1440,0)&lt;ROUND(SETTINGS!$B$11*1440,0),"Ram",IF(ROUND(MOD(SETTINGS!$B$4,1)*1440,0)&gt;=ROUND(SETTINGS!$B$10*1440,0),"Shyam",IF(MOD(IFERROR(VALUE(RIGHT(F413,2)),0),2)=0,"Ram","Shyam"))))</f>
        <v>Shyam</v>
      </c>
      <c r="AA413" s="28">
        <f t="shared" ca="1" si="69"/>
        <v>0</v>
      </c>
      <c r="AB413" s="28">
        <f ca="1">IF(X413=1,COUNTIFS($F$2:F413,F413,$X$2:X413,1),0)</f>
        <v>0</v>
      </c>
      <c r="AC413" s="28" t="str">
        <f>IF(L413=1,IF(IFERROR(INDEX(PARTNERS!$C$2:$C$88,MATCH(B413,PARTNERS!$A$2:$A$88,0)),"")="YES","YES","NO"),"")</f>
        <v>YES</v>
      </c>
      <c r="AD413" s="28" t="str">
        <f>IF(L413=1,IFERROR(INDEX(PARTNERS!$B$2:$B$88,MATCH(B413,PARTNERS!$A$2:$A$88,0)),""),"")</f>
        <v>https://calendly.com/partner006/interview</v>
      </c>
      <c r="AE413" s="28">
        <f ca="1">IF(X413=1,IFERROR(INDEX(SETTINGS!$B$34:$D$36,MATCH(I413,SETTINGS!$A$34:$A$36,0),MIN(Q413,2)+1),SETTINGS!$B$36),0)</f>
        <v>0</v>
      </c>
      <c r="AF413" s="28">
        <f t="shared" si="70"/>
        <v>1</v>
      </c>
      <c r="AG413" s="28">
        <f ca="1">IF(AND(Y413=1,AB413=1),ROUND(AA413*AE413*IF(AF413&gt;1,SETTINGS!$B$16,1)*IF(W413&lt;=SETTINGS!$B$14,SETTINGS!$B$15,1)*IF(AU413=1,SETTINGS!$B$21,1),6),0)</f>
        <v>0</v>
      </c>
      <c r="AH413" s="28" t="str">
        <f ca="1">IF(AG413&gt;0,COUNTIFS($Z$2:$Z$601,Z413,$AG$2:$AG$601,"&gt;"&amp;AG413)+COUNTIFS($Z$2:Z413,Z413,$AG$2:AG413,AG413),"")</f>
        <v/>
      </c>
      <c r="AI413" s="28" t="str">
        <f t="shared" ca="1" si="71"/>
        <v/>
      </c>
      <c r="AJ413" s="28" t="str">
        <f t="shared" ca="1" si="72"/>
        <v/>
      </c>
      <c r="AK413" s="28">
        <f>IF(L413=1,IF(COUNTIFS($F$2:F413,F413,$L$2:L413,1)=1,1,0),0)</f>
        <v>1</v>
      </c>
      <c r="AL413" s="28" t="str">
        <f>IF(B413="","",IF(K413="DUPLICATE","Duplicate (removed)",IF(AO413=1,"Scheduled within 24h",IF(M413=1,"Scheduled late",IF(K413="BAD CONTACT","Bad contact details",IF(O413=1,"Stopped / wrong number",IF(N413=1,"Not interested",IF(P413=1,"Partner has no slots",IF(SETTINGS!$B$4&gt;=V413,IF(Q413=0,"Missed deadline: never tried","Missed deadline: tried, not booked"),IF(Q413&gt;=SETTINGS!$B$6,"No reply after max tries","Open"))))))))))</f>
        <v>Scheduled within 24h</v>
      </c>
      <c r="AM413" s="46">
        <f>IF(M413=1,IF(_xlfn.MINIFS(LOG!$G$2:$G$2001,LOG!$C$2:$C$2001,F413,LOG!$E$2:$E$2001,B413,LOG!$D$2:$D$2001,"*BOOKED")=0,_xlfn.MINIFS(LOG!$G$2:$G$2001,LOG!$C$2:$C$2001,F413,LOG!$E$2:$E$2001,"",LOG!$D$2:$D$2001,"*BOOKED"),IF(_xlfn.MINIFS(LOG!$G$2:$G$2001,LOG!$C$2:$C$2001,F413,LOG!$E$2:$E$2001,"",LOG!$D$2:$D$2001,"*BOOKED")=0,_xlfn.MINIFS(LOG!$G$2:$G$2001,LOG!$C$2:$C$2001,F413,LOG!$E$2:$E$2001,B413,LOG!$D$2:$D$2001,"*BOOKED"),MIN(_xlfn.MINIFS(LOG!$G$2:$G$2001,LOG!$C$2:$C$2001,F413,LOG!$E$2:$E$2001,B413,LOG!$D$2:$D$2001,"*BOOKED"),_xlfn.MINIFS(LOG!$G$2:$G$2001,LOG!$C$2:$C$2001,F413,LOG!$E$2:$E$2001,"",LOG!$D$2:$D$2001,"*BOOKED")))),"")</f>
        <v>46309.492253085009</v>
      </c>
      <c r="AN413" s="28">
        <f t="shared" si="73"/>
        <v>15.964074040297419</v>
      </c>
      <c r="AO413" s="28">
        <f>IF(AND(M413=1,AN413&lt;&gt;""),IF(AN413&lt;=SETTINGS!$B$5,1,0),0)</f>
        <v>1</v>
      </c>
      <c r="AP413" s="28">
        <f>IF(M413=1,IF(COUNTIFS(LOG!$C$2:$C$2001,F413,LOG!$E$2:$E$2001,B413,LOG!$D$2:$D$2001,"BOOKED")+COUNTIFS(LOG!$C$2:$C$2001,F413,LOG!$E$2:$E$2001,"",LOG!$D$2:$D$2001,"BOOKED")&gt;0,1,0),0)</f>
        <v>0</v>
      </c>
      <c r="AQ413" s="28" t="str">
        <f t="shared" si="74"/>
        <v>Navya</v>
      </c>
      <c r="AR413" s="28">
        <f>IF(AND(AK413=1,K413="OK"),COUNTIFS($AK$2:AK413,1,$K$2:K413,"OK"),"")</f>
        <v>339</v>
      </c>
      <c r="AS413" s="28" t="str">
        <f>IF(L413=1,IFERROR(INDEX(MESSAGES!$J$9:$J$1008,MATCH(F413,MESSAGES!$M$9:$M$1008,0))&amp;"",""),"")</f>
        <v/>
      </c>
      <c r="AT413" s="28" t="str">
        <f>IF(L413=1,IFERROR(INDEX(MESSAGES!$K$9:$K$1008,MATCH(F413,MESSAGES!$M$9:$M$1008,0))&amp;"",""),"")</f>
        <v/>
      </c>
      <c r="AU413" s="28">
        <f t="shared" ca="1" si="75"/>
        <v>0</v>
      </c>
      <c r="AV413" s="28" t="str">
        <f t="shared" si="76"/>
        <v>SEND</v>
      </c>
    </row>
    <row r="414" spans="1:48" x14ac:dyDescent="0.35">
      <c r="A414" s="28">
        <v>413</v>
      </c>
      <c r="B414" s="28" t="str">
        <f>IF(INPUT!A414="","",TRIM(INPUT!A414))</f>
        <v>Partner 023</v>
      </c>
      <c r="C414" s="28" t="str">
        <f>IF(B414="","",INPUT!C414)</f>
        <v>interviewer1@partner023.example.com</v>
      </c>
      <c r="D414" s="28" t="str">
        <f>IF(B414="","",INPUT!D414)</f>
        <v>Kiara H.</v>
      </c>
      <c r="E414" s="28" t="str">
        <f>IF(B414="","",INPUT!E414)</f>
        <v>kiara.h221@example.com</v>
      </c>
      <c r="F414" s="43" t="str">
        <f>IF(B414="","",TRIM(INPUT!F414&amp;""))</f>
        <v>9000002880</v>
      </c>
      <c r="G414" s="28" t="str">
        <f>IF(B414="","",INPUT!H414)</f>
        <v>Round1</v>
      </c>
      <c r="H414" s="46">
        <f>IF(B414="","",INPUT!I414)</f>
        <v>46308.82708333333</v>
      </c>
      <c r="I414" s="28" t="str">
        <f>IF(B414="","",IF(INPUT!J414="","None",INPUT!J414))</f>
        <v>Clicked</v>
      </c>
      <c r="J414" s="28" t="str">
        <f t="shared" si="66"/>
        <v>kiara.h221@example.com|partner 023|Round1|interviewer1@partner023.example.com</v>
      </c>
      <c r="K414" s="28" t="str">
        <f>IF(B414="","",IF(SUMPRODUCT(($J$2:$J$601=J414)*($H$2:$H$601&lt;H414))+SUMPRODUCT(($J$2:J414=J414)*($H$2:H414=H414))-1&gt;0,"DUPLICATE",IF(AND(ISNUMBER(SEARCH("@",E414)),ISNUMBER(SEARCH(".",E414)),LEN(F414)=10,ISNUMBER(VALUE(F414))),"OK","BAD CONTACT")))</f>
        <v>OK</v>
      </c>
      <c r="L414" s="28">
        <f t="shared" si="67"/>
        <v>1</v>
      </c>
      <c r="M414" s="28">
        <f>IF(L414=1,IF(COUNTIFS(LOG!$C$2:$C$2001,F414,LOG!$E$2:$E$2001,B414,LOG!$D$2:$D$2001,"*BOOKED")+COUNTIFS(LOG!$C$2:$C$2001,F414,LOG!$E$2:$E$2001,"",LOG!$D$2:$D$2001,"*BOOKED")&gt;0,1,0),0)</f>
        <v>1</v>
      </c>
      <c r="N414" s="28">
        <f>IF(L414=1,IF(COUNTIFS(LOG!$C$2:$C$2001,F414,LOG!$E$2:$E$2001,B414,LOG!$D$2:$D$2001,"NOT_INTERESTED")+COUNTIFS(LOG!$C$2:$C$2001,F414,LOG!$E$2:$E$2001,"",LOG!$D$2:$D$2001,"NOT_INTERESTED")&gt;0,1,0),0)</f>
        <v>0</v>
      </c>
      <c r="O414" s="28">
        <f>IF(L414=1,IF(COUNTIFS(LOG!$C$2:$C$2001,F414,LOG!$D$2:$D$2001,"STOP")+COUNTIFS(LOG!$C$2:$C$2001,F414,LOG!$D$2:$D$2001,"WRONG_NUMBER")&gt;0,1,IF(ISNUMBER(SEARCH("STOP",AT414)),1,0)),0)</f>
        <v>0</v>
      </c>
      <c r="P414" s="28">
        <f>IF(L414=1,IF(IFERROR(INDEX(PARTNERS!$D$2:$D$88,MATCH(B414,PARTNERS!$A$2:$A$88,0)),"")="NO SLOTS",1,IF(AND(IFERROR(INDEX(PARTNERS!$D$2:$D$88,MATCH(B414,PARTNERS!$A$2:$A$88,0)),"")&lt;&gt;"REOPENED",COUNTIFS(LOG!$E$2:$E$2001,B414,LOG!$D$2:$D$2001,"NO_SLOTS")&gt;0),1,0)),0)</f>
        <v>0</v>
      </c>
      <c r="Q414" s="28">
        <f>IF(L414=1,COUNTIFS(LOG!$C$2:$C$2001,F414,LOG!$H$2:$H$2001,1),0)</f>
        <v>2</v>
      </c>
      <c r="R414" s="46">
        <f>IF(Q414&gt;0,_xlfn.MAXIFS(LOG!$G$2:$G$2001,LOG!$C$2:$C$2001,F414,LOG!$H$2:$H$2001,1),0)</f>
        <v>46309.777150135131</v>
      </c>
      <c r="S414" s="28" t="str">
        <f>IF(Q414&gt;0,IFERROR(INDEX(LOG!$D$2:$D$2001,MATCH(F414&amp;"|"&amp;Q414,LOG!$I$2:$I$2001,0)),""),"")</f>
        <v>BOOKED</v>
      </c>
      <c r="T414" s="28">
        <f>IF(S414="",0,IFERROR(VLOOKUP(S414,LISTS!$A$2:$E$10,4,FALSE),0))</f>
        <v>0</v>
      </c>
      <c r="U414" s="46">
        <f t="shared" si="68"/>
        <v>46309.777150135131</v>
      </c>
      <c r="V414" s="46">
        <f>IF(L414=1,H414+SETTINGS!$B$5/24,"")</f>
        <v>46309.82708333333</v>
      </c>
      <c r="W414" s="28">
        <f ca="1">IF(L414=1,(V414-SETTINGS!$B$4)*24,"")</f>
        <v>-1.6666666720993817E-2</v>
      </c>
      <c r="X414" s="28">
        <f ca="1">IF(AND(L414=1,K414="OK",M414=0,N414=0,O414=0,P414=0,SETTINGS!$B$4&lt;V414,Q414&lt;SETTINGS!$B$6),1,0)</f>
        <v>0</v>
      </c>
      <c r="Y414" s="28">
        <f ca="1">IF(AND(X414=1,SETTINGS!$B$4&gt;=H414,SETTINGS!$B$4&gt;=U414,ROUND(MOD(SETTINGS!$B$4,1)*1440,0)&gt;=ROUND(SETTINGS!$B$7*1440,0),ROUND(MOD(SETTINGS!$B$4,1)*1440,0)&lt;ROUND(SETTINGS!$B$8*1440,0)),1,0)</f>
        <v>0</v>
      </c>
      <c r="Z414" s="28" t="str">
        <f ca="1">IF(B414="","",IF(ROUND(MOD(SETTINGS!$B$4,1)*1440,0)&lt;ROUND(SETTINGS!$B$11*1440,0),"Ram",IF(ROUND(MOD(SETTINGS!$B$4,1)*1440,0)&gt;=ROUND(SETTINGS!$B$10*1440,0),"Shyam",IF(MOD(IFERROR(VALUE(RIGHT(F414,2)),0),2)=0,"Ram","Shyam"))))</f>
        <v>Shyam</v>
      </c>
      <c r="AA414" s="28">
        <f t="shared" ca="1" si="69"/>
        <v>0</v>
      </c>
      <c r="AB414" s="28">
        <f ca="1">IF(X414=1,COUNTIFS($F$2:F414,F414,$X$2:X414,1),0)</f>
        <v>0</v>
      </c>
      <c r="AC414" s="28" t="str">
        <f>IF(L414=1,IF(IFERROR(INDEX(PARTNERS!$C$2:$C$88,MATCH(B414,PARTNERS!$A$2:$A$88,0)),"")="YES","YES","NO"),"")</f>
        <v>YES</v>
      </c>
      <c r="AD414" s="28" t="str">
        <f>IF(L414=1,IFERROR(INDEX(PARTNERS!$B$2:$B$88,MATCH(B414,PARTNERS!$A$2:$A$88,0)),""),"")</f>
        <v>https://calendly.com/partner023/interview</v>
      </c>
      <c r="AE414" s="28">
        <f ca="1">IF(X414=1,IFERROR(INDEX(SETTINGS!$B$34:$D$36,MATCH(I414,SETTINGS!$A$34:$A$36,0),MIN(Q414,2)+1),SETTINGS!$B$36),0)</f>
        <v>0</v>
      </c>
      <c r="AF414" s="28">
        <f t="shared" si="70"/>
        <v>1</v>
      </c>
      <c r="AG414" s="28">
        <f ca="1">IF(AND(Y414=1,AB414=1),ROUND(AA414*AE414*IF(AF414&gt;1,SETTINGS!$B$16,1)*IF(W414&lt;=SETTINGS!$B$14,SETTINGS!$B$15,1)*IF(AU414=1,SETTINGS!$B$21,1),6),0)</f>
        <v>0</v>
      </c>
      <c r="AH414" s="28" t="str">
        <f ca="1">IF(AG414&gt;0,COUNTIFS($Z$2:$Z$601,Z414,$AG$2:$AG$601,"&gt;"&amp;AG414)+COUNTIFS($Z$2:Z414,Z414,$AG$2:AG414,AG414),"")</f>
        <v/>
      </c>
      <c r="AI414" s="28" t="str">
        <f t="shared" ca="1" si="71"/>
        <v/>
      </c>
      <c r="AJ414" s="28" t="str">
        <f t="shared" ca="1" si="72"/>
        <v/>
      </c>
      <c r="AK414" s="28">
        <f>IF(L414=1,IF(COUNTIFS($F$2:F414,F414,$L$2:L414,1)=1,1,0),0)</f>
        <v>1</v>
      </c>
      <c r="AL414" s="28" t="str">
        <f>IF(B414="","",IF(K414="DUPLICATE","Duplicate (removed)",IF(AO414=1,"Scheduled within 24h",IF(M414=1,"Scheduled late",IF(K414="BAD CONTACT","Bad contact details",IF(O414=1,"Stopped / wrong number",IF(N414=1,"Not interested",IF(P414=1,"Partner has no slots",IF(SETTINGS!$B$4&gt;=V414,IF(Q414=0,"Missed deadline: never tried","Missed deadline: tried, not booked"),IF(Q414&gt;=SETTINGS!$B$6,"No reply after max tries","Open"))))))))))</f>
        <v>Scheduled within 24h</v>
      </c>
      <c r="AM414" s="46">
        <f>IF(M414=1,IF(_xlfn.MINIFS(LOG!$G$2:$G$2001,LOG!$C$2:$C$2001,F414,LOG!$E$2:$E$2001,B414,LOG!$D$2:$D$2001,"*BOOKED")=0,_xlfn.MINIFS(LOG!$G$2:$G$2001,LOG!$C$2:$C$2001,F414,LOG!$E$2:$E$2001,"",LOG!$D$2:$D$2001,"*BOOKED"),IF(_xlfn.MINIFS(LOG!$G$2:$G$2001,LOG!$C$2:$C$2001,F414,LOG!$E$2:$E$2001,"",LOG!$D$2:$D$2001,"*BOOKED")=0,_xlfn.MINIFS(LOG!$G$2:$G$2001,LOG!$C$2:$C$2001,F414,LOG!$E$2:$E$2001,B414,LOG!$D$2:$D$2001,"*BOOKED"),MIN(_xlfn.MINIFS(LOG!$G$2:$G$2001,LOG!$C$2:$C$2001,F414,LOG!$E$2:$E$2001,B414,LOG!$D$2:$D$2001,"*BOOKED"),_xlfn.MINIFS(LOG!$G$2:$G$2001,LOG!$C$2:$C$2001,F414,LOG!$E$2:$E$2001,"",LOG!$D$2:$D$2001,"*BOOKED")))),"")</f>
        <v>46309.777150135131</v>
      </c>
      <c r="AN414" s="28">
        <f t="shared" si="73"/>
        <v>22.801603243220598</v>
      </c>
      <c r="AO414" s="28">
        <f>IF(AND(M414=1,AN414&lt;&gt;""),IF(AN414&lt;=SETTINGS!$B$5,1,0),0)</f>
        <v>1</v>
      </c>
      <c r="AP414" s="28">
        <f>IF(M414=1,IF(COUNTIFS(LOG!$C$2:$C$2001,F414,LOG!$E$2:$E$2001,B414,LOG!$D$2:$D$2001,"BOOKED")+COUNTIFS(LOG!$C$2:$C$2001,F414,LOG!$E$2:$E$2001,"",LOG!$D$2:$D$2001,"BOOKED")&gt;0,1,0),0)</f>
        <v>1</v>
      </c>
      <c r="AQ414" s="28" t="str">
        <f t="shared" si="74"/>
        <v>Kiara</v>
      </c>
      <c r="AR414" s="28">
        <f>IF(AND(AK414=1,K414="OK"),COUNTIFS($AK$2:AK414,1,$K$2:K414,"OK"),"")</f>
        <v>340</v>
      </c>
      <c r="AS414" s="28" t="str">
        <f>IF(L414=1,IFERROR(INDEX(MESSAGES!$J$9:$J$1008,MATCH(F414,MESSAGES!$M$9:$M$1008,0))&amp;"",""),"")</f>
        <v/>
      </c>
      <c r="AT414" s="28" t="str">
        <f>IF(L414=1,IFERROR(INDEX(MESSAGES!$K$9:$K$1008,MATCH(F414,MESSAGES!$M$9:$M$1008,0))&amp;"",""),"")</f>
        <v/>
      </c>
      <c r="AU414" s="28">
        <f t="shared" ca="1" si="75"/>
        <v>0</v>
      </c>
      <c r="AV414" s="28" t="str">
        <f t="shared" si="76"/>
        <v>SEND</v>
      </c>
    </row>
    <row r="415" spans="1:48" x14ac:dyDescent="0.35">
      <c r="A415" s="28">
        <v>414</v>
      </c>
      <c r="B415" s="28" t="str">
        <f>IF(INPUT!A415="","",TRIM(INPUT!A415))</f>
        <v>Partner 024</v>
      </c>
      <c r="C415" s="28" t="str">
        <f>IF(B415="","",INPUT!C415)</f>
        <v>interviewer1@partner024.example.com</v>
      </c>
      <c r="D415" s="28" t="str">
        <f>IF(B415="","",INPUT!D415)</f>
        <v>Rohan N.</v>
      </c>
      <c r="E415" s="28" t="str">
        <f>IF(B415="","",INPUT!E415)</f>
        <v>rohan.n370@example.com</v>
      </c>
      <c r="F415" s="43" t="str">
        <f>IF(B415="","",TRIM(INPUT!F415&amp;""))</f>
        <v>9000004817</v>
      </c>
      <c r="G415" s="28" t="str">
        <f>IF(B415="","",INPUT!H415)</f>
        <v>Round1</v>
      </c>
      <c r="H415" s="46">
        <f>IF(B415="","",INPUT!I415)</f>
        <v>46308.82708333333</v>
      </c>
      <c r="I415" s="28" t="str">
        <f>IF(B415="","",IF(INPUT!J415="","None",INPUT!J415))</f>
        <v>Clicked</v>
      </c>
      <c r="J415" s="28" t="str">
        <f t="shared" si="66"/>
        <v>rohan.n370@example.com|partner 024|Round1|interviewer1@partner024.example.com</v>
      </c>
      <c r="K415" s="28" t="str">
        <f>IF(B415="","",IF(SUMPRODUCT(($J$2:$J$601=J415)*($H$2:$H$601&lt;H415))+SUMPRODUCT(($J$2:J415=J415)*($H$2:H415=H415))-1&gt;0,"DUPLICATE",IF(AND(ISNUMBER(SEARCH("@",E415)),ISNUMBER(SEARCH(".",E415)),LEN(F415)=10,ISNUMBER(VALUE(F415))),"OK","BAD CONTACT")))</f>
        <v>OK</v>
      </c>
      <c r="L415" s="28">
        <f t="shared" si="67"/>
        <v>1</v>
      </c>
      <c r="M415" s="28">
        <f>IF(L415=1,IF(COUNTIFS(LOG!$C$2:$C$2001,F415,LOG!$E$2:$E$2001,B415,LOG!$D$2:$D$2001,"*BOOKED")+COUNTIFS(LOG!$C$2:$C$2001,F415,LOG!$E$2:$E$2001,"",LOG!$D$2:$D$2001,"*BOOKED")&gt;0,1,0),0)</f>
        <v>1</v>
      </c>
      <c r="N415" s="28">
        <f>IF(L415=1,IF(COUNTIFS(LOG!$C$2:$C$2001,F415,LOG!$E$2:$E$2001,B415,LOG!$D$2:$D$2001,"NOT_INTERESTED")+COUNTIFS(LOG!$C$2:$C$2001,F415,LOG!$E$2:$E$2001,"",LOG!$D$2:$D$2001,"NOT_INTERESTED")&gt;0,1,0),0)</f>
        <v>0</v>
      </c>
      <c r="O415" s="28">
        <f>IF(L415=1,IF(COUNTIFS(LOG!$C$2:$C$2001,F415,LOG!$D$2:$D$2001,"STOP")+COUNTIFS(LOG!$C$2:$C$2001,F415,LOG!$D$2:$D$2001,"WRONG_NUMBER")&gt;0,1,IF(ISNUMBER(SEARCH("STOP",AT415)),1,0)),0)</f>
        <v>0</v>
      </c>
      <c r="P415" s="28">
        <f>IF(L415=1,IF(IFERROR(INDEX(PARTNERS!$D$2:$D$88,MATCH(B415,PARTNERS!$A$2:$A$88,0)),"")="NO SLOTS",1,IF(AND(IFERROR(INDEX(PARTNERS!$D$2:$D$88,MATCH(B415,PARTNERS!$A$2:$A$88,0)),"")&lt;&gt;"REOPENED",COUNTIFS(LOG!$E$2:$E$2001,B415,LOG!$D$2:$D$2001,"NO_SLOTS")&gt;0),1,0)),0)</f>
        <v>0</v>
      </c>
      <c r="Q415" s="28">
        <f>IF(L415=1,COUNTIFS(LOG!$C$2:$C$2001,F415,LOG!$H$2:$H$2001,1),0)</f>
        <v>0</v>
      </c>
      <c r="R415" s="46">
        <f>IF(Q415&gt;0,_xlfn.MAXIFS(LOG!$G$2:$G$2001,LOG!$C$2:$C$2001,F415,LOG!$H$2:$H$2001,1),0)</f>
        <v>0</v>
      </c>
      <c r="S415" s="28" t="str">
        <f>IF(Q415&gt;0,IFERROR(INDEX(LOG!$D$2:$D$2001,MATCH(F415&amp;"|"&amp;Q415,LOG!$I$2:$I$2001,0)),""),"")</f>
        <v/>
      </c>
      <c r="T415" s="28">
        <f>IF(S415="",0,IFERROR(VLOOKUP(S415,LISTS!$A$2:$E$10,4,FALSE),0))</f>
        <v>0</v>
      </c>
      <c r="U415" s="46">
        <f t="shared" si="68"/>
        <v>0</v>
      </c>
      <c r="V415" s="46">
        <f>IF(L415=1,H415+SETTINGS!$B$5/24,"")</f>
        <v>46309.82708333333</v>
      </c>
      <c r="W415" s="28">
        <f ca="1">IF(L415=1,(V415-SETTINGS!$B$4)*24,"")</f>
        <v>-1.6666666720993817E-2</v>
      </c>
      <c r="X415" s="28">
        <f ca="1">IF(AND(L415=1,K415="OK",M415=0,N415=0,O415=0,P415=0,SETTINGS!$B$4&lt;V415,Q415&lt;SETTINGS!$B$6),1,0)</f>
        <v>0</v>
      </c>
      <c r="Y415" s="28">
        <f ca="1">IF(AND(X415=1,SETTINGS!$B$4&gt;=H415,SETTINGS!$B$4&gt;=U415,ROUND(MOD(SETTINGS!$B$4,1)*1440,0)&gt;=ROUND(SETTINGS!$B$7*1440,0),ROUND(MOD(SETTINGS!$B$4,1)*1440,0)&lt;ROUND(SETTINGS!$B$8*1440,0)),1,0)</f>
        <v>0</v>
      </c>
      <c r="Z415" s="28" t="str">
        <f ca="1">IF(B415="","",IF(ROUND(MOD(SETTINGS!$B$4,1)*1440,0)&lt;ROUND(SETTINGS!$B$11*1440,0),"Ram",IF(ROUND(MOD(SETTINGS!$B$4,1)*1440,0)&gt;=ROUND(SETTINGS!$B$10*1440,0),"Shyam",IF(MOD(IFERROR(VALUE(RIGHT(F415,2)),0),2)=0,"Ram","Shyam"))))</f>
        <v>Shyam</v>
      </c>
      <c r="AA415" s="28">
        <f t="shared" ca="1" si="69"/>
        <v>0</v>
      </c>
      <c r="AB415" s="28">
        <f ca="1">IF(X415=1,COUNTIFS($F$2:F415,F415,$X$2:X415,1),0)</f>
        <v>0</v>
      </c>
      <c r="AC415" s="28" t="str">
        <f>IF(L415=1,IF(IFERROR(INDEX(PARTNERS!$C$2:$C$88,MATCH(B415,PARTNERS!$A$2:$A$88,0)),"")="YES","YES","NO"),"")</f>
        <v>YES</v>
      </c>
      <c r="AD415" s="28" t="str">
        <f>IF(L415=1,IFERROR(INDEX(PARTNERS!$B$2:$B$88,MATCH(B415,PARTNERS!$A$2:$A$88,0)),""),"")</f>
        <v>https://calendly.com/partner024/interview</v>
      </c>
      <c r="AE415" s="28">
        <f ca="1">IF(X415=1,IFERROR(INDEX(SETTINGS!$B$34:$D$36,MATCH(I415,SETTINGS!$A$34:$A$36,0),MIN(Q415,2)+1),SETTINGS!$B$36),0)</f>
        <v>0</v>
      </c>
      <c r="AF415" s="28">
        <f t="shared" si="70"/>
        <v>1</v>
      </c>
      <c r="AG415" s="28">
        <f ca="1">IF(AND(Y415=1,AB415=1),ROUND(AA415*AE415*IF(AF415&gt;1,SETTINGS!$B$16,1)*IF(W415&lt;=SETTINGS!$B$14,SETTINGS!$B$15,1)*IF(AU415=1,SETTINGS!$B$21,1),6),0)</f>
        <v>0</v>
      </c>
      <c r="AH415" s="28" t="str">
        <f ca="1">IF(AG415&gt;0,COUNTIFS($Z$2:$Z$601,Z415,$AG$2:$AG$601,"&gt;"&amp;AG415)+COUNTIFS($Z$2:Z415,Z415,$AG$2:AG415,AG415),"")</f>
        <v/>
      </c>
      <c r="AI415" s="28" t="str">
        <f t="shared" ca="1" si="71"/>
        <v/>
      </c>
      <c r="AJ415" s="28" t="str">
        <f t="shared" ca="1" si="72"/>
        <v/>
      </c>
      <c r="AK415" s="28">
        <f>IF(L415=1,IF(COUNTIFS($F$2:F415,F415,$L$2:L415,1)=1,1,0),0)</f>
        <v>1</v>
      </c>
      <c r="AL415" s="28" t="str">
        <f>IF(B415="","",IF(K415="DUPLICATE","Duplicate (removed)",IF(AO415=1,"Scheduled within 24h",IF(M415=1,"Scheduled late",IF(K415="BAD CONTACT","Bad contact details",IF(O415=1,"Stopped / wrong number",IF(N415=1,"Not interested",IF(P415=1,"Partner has no slots",IF(SETTINGS!$B$4&gt;=V415,IF(Q415=0,"Missed deadline: never tried","Missed deadline: tried, not booked"),IF(Q415&gt;=SETTINGS!$B$6,"No reply after max tries","Open"))))))))))</f>
        <v>Scheduled within 24h</v>
      </c>
      <c r="AM415" s="46">
        <f>IF(M415=1,IF(_xlfn.MINIFS(LOG!$G$2:$G$2001,LOG!$C$2:$C$2001,F415,LOG!$E$2:$E$2001,B415,LOG!$D$2:$D$2001,"*BOOKED")=0,_xlfn.MINIFS(LOG!$G$2:$G$2001,LOG!$C$2:$C$2001,F415,LOG!$E$2:$E$2001,"",LOG!$D$2:$D$2001,"*BOOKED"),IF(_xlfn.MINIFS(LOG!$G$2:$G$2001,LOG!$C$2:$C$2001,F415,LOG!$E$2:$E$2001,"",LOG!$D$2:$D$2001,"*BOOKED")=0,_xlfn.MINIFS(LOG!$G$2:$G$2001,LOG!$C$2:$C$2001,F415,LOG!$E$2:$E$2001,B415,LOG!$D$2:$D$2001,"*BOOKED"),MIN(_xlfn.MINIFS(LOG!$G$2:$G$2001,LOG!$C$2:$C$2001,F415,LOG!$E$2:$E$2001,B415,LOG!$D$2:$D$2001,"*BOOKED"),_xlfn.MINIFS(LOG!$G$2:$G$2001,LOG!$C$2:$C$2001,F415,LOG!$E$2:$E$2001,"",LOG!$D$2:$D$2001,"*BOOKED")))),"")</f>
        <v>46308.955336433566</v>
      </c>
      <c r="AN415" s="28">
        <f t="shared" si="73"/>
        <v>3.0780744056683034</v>
      </c>
      <c r="AO415" s="28">
        <f>IF(AND(M415=1,AN415&lt;&gt;""),IF(AN415&lt;=SETTINGS!$B$5,1,0),0)</f>
        <v>1</v>
      </c>
      <c r="AP415" s="28">
        <f>IF(M415=1,IF(COUNTIFS(LOG!$C$2:$C$2001,F415,LOG!$E$2:$E$2001,B415,LOG!$D$2:$D$2001,"BOOKED")+COUNTIFS(LOG!$C$2:$C$2001,F415,LOG!$E$2:$E$2001,"",LOG!$D$2:$D$2001,"BOOKED")&gt;0,1,0),0)</f>
        <v>0</v>
      </c>
      <c r="AQ415" s="28" t="str">
        <f t="shared" si="74"/>
        <v>Rohan</v>
      </c>
      <c r="AR415" s="28">
        <f>IF(AND(AK415=1,K415="OK"),COUNTIFS($AK$2:AK415,1,$K$2:K415,"OK"),"")</f>
        <v>341</v>
      </c>
      <c r="AS415" s="28" t="str">
        <f>IF(L415=1,IFERROR(INDEX(MESSAGES!$J$9:$J$1008,MATCH(F415,MESSAGES!$M$9:$M$1008,0))&amp;"",""),"")</f>
        <v/>
      </c>
      <c r="AT415" s="28" t="str">
        <f>IF(L415=1,IFERROR(INDEX(MESSAGES!$K$9:$K$1008,MATCH(F415,MESSAGES!$M$9:$M$1008,0))&amp;"",""),"")</f>
        <v/>
      </c>
      <c r="AU415" s="28">
        <f t="shared" ca="1" si="75"/>
        <v>0</v>
      </c>
      <c r="AV415" s="28" t="str">
        <f t="shared" si="76"/>
        <v>HOLD</v>
      </c>
    </row>
    <row r="416" spans="1:48" x14ac:dyDescent="0.35">
      <c r="A416" s="28">
        <v>415</v>
      </c>
      <c r="B416" s="28" t="str">
        <f>IF(INPUT!A416="","",TRIM(INPUT!A416))</f>
        <v>Partner 005</v>
      </c>
      <c r="C416" s="28" t="str">
        <f>IF(B416="","",INPUT!C416)</f>
        <v>interviewer1@partner005.example.com</v>
      </c>
      <c r="D416" s="28" t="str">
        <f>IF(B416="","",INPUT!D416)</f>
        <v>Ishaan N.</v>
      </c>
      <c r="E416" s="28" t="str">
        <f>IF(B416="","",INPUT!E416)</f>
        <v>ishaan.n374@example.com</v>
      </c>
      <c r="F416" s="43" t="str">
        <f>IF(B416="","",TRIM(INPUT!F416&amp;""))</f>
        <v>9000004869</v>
      </c>
      <c r="G416" s="28" t="str">
        <f>IF(B416="","",INPUT!H416)</f>
        <v>Round1</v>
      </c>
      <c r="H416" s="46">
        <f>IF(B416="","",INPUT!I416)</f>
        <v>46308.82708333333</v>
      </c>
      <c r="I416" s="28" t="str">
        <f>IF(B416="","",IF(INPUT!J416="","None",INPUT!J416))</f>
        <v>Clicked</v>
      </c>
      <c r="J416" s="28" t="str">
        <f t="shared" si="66"/>
        <v>ishaan.n374@example.com|partner 005|Round1|interviewer1@partner005.example.com</v>
      </c>
      <c r="K416" s="28" t="str">
        <f>IF(B416="","",IF(SUMPRODUCT(($J$2:$J$601=J416)*($H$2:$H$601&lt;H416))+SUMPRODUCT(($J$2:J416=J416)*($H$2:H416=H416))-1&gt;0,"DUPLICATE",IF(AND(ISNUMBER(SEARCH("@",E416)),ISNUMBER(SEARCH(".",E416)),LEN(F416)=10,ISNUMBER(VALUE(F416))),"OK","BAD CONTACT")))</f>
        <v>OK</v>
      </c>
      <c r="L416" s="28">
        <f t="shared" si="67"/>
        <v>1</v>
      </c>
      <c r="M416" s="28">
        <f>IF(L416=1,IF(COUNTIFS(LOG!$C$2:$C$2001,F416,LOG!$E$2:$E$2001,B416,LOG!$D$2:$D$2001,"*BOOKED")+COUNTIFS(LOG!$C$2:$C$2001,F416,LOG!$E$2:$E$2001,"",LOG!$D$2:$D$2001,"*BOOKED")&gt;0,1,0),0)</f>
        <v>0</v>
      </c>
      <c r="N416" s="28">
        <f>IF(L416=1,IF(COUNTIFS(LOG!$C$2:$C$2001,F416,LOG!$E$2:$E$2001,B416,LOG!$D$2:$D$2001,"NOT_INTERESTED")+COUNTIFS(LOG!$C$2:$C$2001,F416,LOG!$E$2:$E$2001,"",LOG!$D$2:$D$2001,"NOT_INTERESTED")&gt;0,1,0),0)</f>
        <v>0</v>
      </c>
      <c r="O416" s="28">
        <f>IF(L416=1,IF(COUNTIFS(LOG!$C$2:$C$2001,F416,LOG!$D$2:$D$2001,"STOP")+COUNTIFS(LOG!$C$2:$C$2001,F416,LOG!$D$2:$D$2001,"WRONG_NUMBER")&gt;0,1,IF(ISNUMBER(SEARCH("STOP",AT416)),1,0)),0)</f>
        <v>0</v>
      </c>
      <c r="P416" s="28">
        <f>IF(L416=1,IF(IFERROR(INDEX(PARTNERS!$D$2:$D$88,MATCH(B416,PARTNERS!$A$2:$A$88,0)),"")="NO SLOTS",1,IF(AND(IFERROR(INDEX(PARTNERS!$D$2:$D$88,MATCH(B416,PARTNERS!$A$2:$A$88,0)),"")&lt;&gt;"REOPENED",COUNTIFS(LOG!$E$2:$E$2001,B416,LOG!$D$2:$D$2001,"NO_SLOTS")&gt;0),1,0)),0)</f>
        <v>0</v>
      </c>
      <c r="Q416" s="28">
        <f>IF(L416=1,COUNTIFS(LOG!$C$2:$C$2001,F416,LOG!$H$2:$H$2001,1),0)</f>
        <v>3</v>
      </c>
      <c r="R416" s="46">
        <f>IF(Q416&gt;0,_xlfn.MAXIFS(LOG!$G$2:$G$2001,LOG!$C$2:$C$2001,F416,LOG!$H$2:$H$2001,1),0)</f>
        <v>46309.628933834108</v>
      </c>
      <c r="S416" s="28" t="str">
        <f>IF(Q416&gt;0,IFERROR(INDEX(LOG!$D$2:$D$2001,MATCH(F416&amp;"|"&amp;Q416,LOG!$I$2:$I$2001,0)),""),"")</f>
        <v>NO_ANSWER</v>
      </c>
      <c r="T416" s="28">
        <f>IF(S416="",0,IFERROR(VLOOKUP(S416,LISTS!$A$2:$E$10,4,FALSE),0))</f>
        <v>120</v>
      </c>
      <c r="U416" s="46">
        <f t="shared" si="68"/>
        <v>46309.712267167444</v>
      </c>
      <c r="V416" s="46">
        <f>IF(L416=1,H416+SETTINGS!$B$5/24,"")</f>
        <v>46309.82708333333</v>
      </c>
      <c r="W416" s="28">
        <f ca="1">IF(L416=1,(V416-SETTINGS!$B$4)*24,"")</f>
        <v>-1.6666666720993817E-2</v>
      </c>
      <c r="X416" s="28">
        <f ca="1">IF(AND(L416=1,K416="OK",M416=0,N416=0,O416=0,P416=0,SETTINGS!$B$4&lt;V416,Q416&lt;SETTINGS!$B$6),1,0)</f>
        <v>0</v>
      </c>
      <c r="Y416" s="28">
        <f ca="1">IF(AND(X416=1,SETTINGS!$B$4&gt;=H416,SETTINGS!$B$4&gt;=U416,ROUND(MOD(SETTINGS!$B$4,1)*1440,0)&gt;=ROUND(SETTINGS!$B$7*1440,0),ROUND(MOD(SETTINGS!$B$4,1)*1440,0)&lt;ROUND(SETTINGS!$B$8*1440,0)),1,0)</f>
        <v>0</v>
      </c>
      <c r="Z416" s="28" t="str">
        <f ca="1">IF(B416="","",IF(ROUND(MOD(SETTINGS!$B$4,1)*1440,0)&lt;ROUND(SETTINGS!$B$11*1440,0),"Ram",IF(ROUND(MOD(SETTINGS!$B$4,1)*1440,0)&gt;=ROUND(SETTINGS!$B$10*1440,0),"Shyam",IF(MOD(IFERROR(VALUE(RIGHT(F416,2)),0),2)=0,"Ram","Shyam"))))</f>
        <v>Shyam</v>
      </c>
      <c r="AA416" s="28">
        <f t="shared" ca="1" si="69"/>
        <v>0</v>
      </c>
      <c r="AB416" s="28">
        <f ca="1">IF(X416=1,COUNTIFS($F$2:F416,F416,$X$2:X416,1),0)</f>
        <v>0</v>
      </c>
      <c r="AC416" s="28" t="str">
        <f>IF(L416=1,IF(IFERROR(INDEX(PARTNERS!$C$2:$C$88,MATCH(B416,PARTNERS!$A$2:$A$88,0)),"")="YES","YES","NO"),"")</f>
        <v>YES</v>
      </c>
      <c r="AD416" s="28" t="str">
        <f>IF(L416=1,IFERROR(INDEX(PARTNERS!$B$2:$B$88,MATCH(B416,PARTNERS!$A$2:$A$88,0)),""),"")</f>
        <v>https://calendly.com/partner005/interview</v>
      </c>
      <c r="AE416" s="28">
        <f ca="1">IF(X416=1,IFERROR(INDEX(SETTINGS!$B$34:$D$36,MATCH(I416,SETTINGS!$A$34:$A$36,0),MIN(Q416,2)+1),SETTINGS!$B$36),0)</f>
        <v>0</v>
      </c>
      <c r="AF416" s="28">
        <f t="shared" si="70"/>
        <v>1</v>
      </c>
      <c r="AG416" s="28">
        <f ca="1">IF(AND(Y416=1,AB416=1),ROUND(AA416*AE416*IF(AF416&gt;1,SETTINGS!$B$16,1)*IF(W416&lt;=SETTINGS!$B$14,SETTINGS!$B$15,1)*IF(AU416=1,SETTINGS!$B$21,1),6),0)</f>
        <v>0</v>
      </c>
      <c r="AH416" s="28" t="str">
        <f ca="1">IF(AG416&gt;0,COUNTIFS($Z$2:$Z$601,Z416,$AG$2:$AG$601,"&gt;"&amp;AG416)+COUNTIFS($Z$2:Z416,Z416,$AG$2:AG416,AG416),"")</f>
        <v/>
      </c>
      <c r="AI416" s="28" t="str">
        <f t="shared" ca="1" si="71"/>
        <v/>
      </c>
      <c r="AJ416" s="28" t="str">
        <f t="shared" ca="1" si="72"/>
        <v/>
      </c>
      <c r="AK416" s="28">
        <f>IF(L416=1,IF(COUNTIFS($F$2:F416,F416,$L$2:L416,1)=1,1,0),0)</f>
        <v>0</v>
      </c>
      <c r="AL416" s="28" t="str">
        <f ca="1">IF(B416="","",IF(K416="DUPLICATE","Duplicate (removed)",IF(AO416=1,"Scheduled within 24h",IF(M416=1,"Scheduled late",IF(K416="BAD CONTACT","Bad contact details",IF(O416=1,"Stopped / wrong number",IF(N416=1,"Not interested",IF(P416=1,"Partner has no slots",IF(SETTINGS!$B$4&gt;=V416,IF(Q416=0,"Missed deadline: never tried","Missed deadline: tried, not booked"),IF(Q416&gt;=SETTINGS!$B$6,"No reply after max tries","Open"))))))))))</f>
        <v>Missed deadline: tried, not booked</v>
      </c>
      <c r="AM416" s="46" t="str">
        <f>IF(M416=1,IF(_xlfn.MINIFS(LOG!$G$2:$G$2001,LOG!$C$2:$C$2001,F416,LOG!$E$2:$E$2001,B416,LOG!$D$2:$D$2001,"*BOOKED")=0,_xlfn.MINIFS(LOG!$G$2:$G$2001,LOG!$C$2:$C$2001,F416,LOG!$E$2:$E$2001,"",LOG!$D$2:$D$2001,"*BOOKED"),IF(_xlfn.MINIFS(LOG!$G$2:$G$2001,LOG!$C$2:$C$2001,F416,LOG!$E$2:$E$2001,"",LOG!$D$2:$D$2001,"*BOOKED")=0,_xlfn.MINIFS(LOG!$G$2:$G$2001,LOG!$C$2:$C$2001,F416,LOG!$E$2:$E$2001,B416,LOG!$D$2:$D$2001,"*BOOKED"),MIN(_xlfn.MINIFS(LOG!$G$2:$G$2001,LOG!$C$2:$C$2001,F416,LOG!$E$2:$E$2001,B416,LOG!$D$2:$D$2001,"*BOOKED"),_xlfn.MINIFS(LOG!$G$2:$G$2001,LOG!$C$2:$C$2001,F416,LOG!$E$2:$E$2001,"",LOG!$D$2:$D$2001,"*BOOKED")))),"")</f>
        <v/>
      </c>
      <c r="AN416" s="28" t="str">
        <f t="shared" si="73"/>
        <v/>
      </c>
      <c r="AO416" s="28">
        <f>IF(AND(M416=1,AN416&lt;&gt;""),IF(AN416&lt;=SETTINGS!$B$5,1,0),0)</f>
        <v>0</v>
      </c>
      <c r="AP416" s="28">
        <f>IF(M416=1,IF(COUNTIFS(LOG!$C$2:$C$2001,F416,LOG!$E$2:$E$2001,B416,LOG!$D$2:$D$2001,"BOOKED")+COUNTIFS(LOG!$C$2:$C$2001,F416,LOG!$E$2:$E$2001,"",LOG!$D$2:$D$2001,"BOOKED")&gt;0,1,0),0)</f>
        <v>0</v>
      </c>
      <c r="AQ416" s="28" t="str">
        <f t="shared" si="74"/>
        <v>Ishaan</v>
      </c>
      <c r="AR416" s="28" t="str">
        <f>IF(AND(AK416=1,K416="OK"),COUNTIFS($AK$2:AK416,1,$K$2:K416,"OK"),"")</f>
        <v/>
      </c>
      <c r="AS416" s="28" t="str">
        <f>IF(L416=1,IFERROR(INDEX(MESSAGES!$J$9:$J$1008,MATCH(F416,MESSAGES!$M$9:$M$1008,0))&amp;"",""),"")</f>
        <v/>
      </c>
      <c r="AT416" s="28" t="str">
        <f>IF(L416=1,IFERROR(INDEX(MESSAGES!$K$9:$K$1008,MATCH(F416,MESSAGES!$M$9:$M$1008,0))&amp;"",""),"")</f>
        <v/>
      </c>
      <c r="AU416" s="28">
        <f t="shared" ca="1" si="75"/>
        <v>0</v>
      </c>
      <c r="AV416" s="28" t="str">
        <f t="shared" si="76"/>
        <v>SEND</v>
      </c>
    </row>
    <row r="417" spans="1:48" x14ac:dyDescent="0.35">
      <c r="A417" s="28">
        <v>416</v>
      </c>
      <c r="B417" s="28" t="str">
        <f>IF(INPUT!A417="","",TRIM(INPUT!A417))</f>
        <v>Partner 001</v>
      </c>
      <c r="C417" s="28" t="str">
        <f>IF(B417="","",INPUT!C417)</f>
        <v>interviewer0@partner001.example.com</v>
      </c>
      <c r="D417" s="28" t="str">
        <f>IF(B417="","",INPUT!D417)</f>
        <v>Sneha J.</v>
      </c>
      <c r="E417" s="28" t="str">
        <f>IF(B417="","",INPUT!E417)</f>
        <v>sneha.j263@example.com</v>
      </c>
      <c r="F417" s="43" t="str">
        <f>IF(B417="","",TRIM(INPUT!F417&amp;""))</f>
        <v>9000003426</v>
      </c>
      <c r="G417" s="28" t="str">
        <f>IF(B417="","",INPUT!H417)</f>
        <v>Round1</v>
      </c>
      <c r="H417" s="46">
        <f>IF(B417="","",INPUT!I417)</f>
        <v>46308.82708333333</v>
      </c>
      <c r="I417" s="28" t="str">
        <f>IF(B417="","",IF(INPUT!J417="","None",INPUT!J417))</f>
        <v>None</v>
      </c>
      <c r="J417" s="28" t="str">
        <f t="shared" si="66"/>
        <v>sneha.j263@example.com|partner 001|Round1|interviewer0@partner001.example.com</v>
      </c>
      <c r="K417" s="28" t="str">
        <f>IF(B417="","",IF(SUMPRODUCT(($J$2:$J$601=J417)*($H$2:$H$601&lt;H417))+SUMPRODUCT(($J$2:J417=J417)*($H$2:H417=H417))-1&gt;0,"DUPLICATE",IF(AND(ISNUMBER(SEARCH("@",E417)),ISNUMBER(SEARCH(".",E417)),LEN(F417)=10,ISNUMBER(VALUE(F417))),"OK","BAD CONTACT")))</f>
        <v>OK</v>
      </c>
      <c r="L417" s="28">
        <f t="shared" si="67"/>
        <v>1</v>
      </c>
      <c r="M417" s="28">
        <f>IF(L417=1,IF(COUNTIFS(LOG!$C$2:$C$2001,F417,LOG!$E$2:$E$2001,B417,LOG!$D$2:$D$2001,"*BOOKED")+COUNTIFS(LOG!$C$2:$C$2001,F417,LOG!$E$2:$E$2001,"",LOG!$D$2:$D$2001,"*BOOKED")&gt;0,1,0),0)</f>
        <v>1</v>
      </c>
      <c r="N417" s="28">
        <f>IF(L417=1,IF(COUNTIFS(LOG!$C$2:$C$2001,F417,LOG!$E$2:$E$2001,B417,LOG!$D$2:$D$2001,"NOT_INTERESTED")+COUNTIFS(LOG!$C$2:$C$2001,F417,LOG!$E$2:$E$2001,"",LOG!$D$2:$D$2001,"NOT_INTERESTED")&gt;0,1,0),0)</f>
        <v>0</v>
      </c>
      <c r="O417" s="28">
        <f>IF(L417=1,IF(COUNTIFS(LOG!$C$2:$C$2001,F417,LOG!$D$2:$D$2001,"STOP")+COUNTIFS(LOG!$C$2:$C$2001,F417,LOG!$D$2:$D$2001,"WRONG_NUMBER")&gt;0,1,IF(ISNUMBER(SEARCH("STOP",AT417)),1,0)),0)</f>
        <v>0</v>
      </c>
      <c r="P417" s="28">
        <f>IF(L417=1,IF(IFERROR(INDEX(PARTNERS!$D$2:$D$88,MATCH(B417,PARTNERS!$A$2:$A$88,0)),"")="NO SLOTS",1,IF(AND(IFERROR(INDEX(PARTNERS!$D$2:$D$88,MATCH(B417,PARTNERS!$A$2:$A$88,0)),"")&lt;&gt;"REOPENED",COUNTIFS(LOG!$E$2:$E$2001,B417,LOG!$D$2:$D$2001,"NO_SLOTS")&gt;0),1,0)),0)</f>
        <v>0</v>
      </c>
      <c r="Q417" s="28">
        <f>IF(L417=1,COUNTIFS(LOG!$C$2:$C$2001,F417,LOG!$H$2:$H$2001,1),0)</f>
        <v>0</v>
      </c>
      <c r="R417" s="46">
        <f>IF(Q417&gt;0,_xlfn.MAXIFS(LOG!$G$2:$G$2001,LOG!$C$2:$C$2001,F417,LOG!$H$2:$H$2001,1),0)</f>
        <v>0</v>
      </c>
      <c r="S417" s="28" t="str">
        <f>IF(Q417&gt;0,IFERROR(INDEX(LOG!$D$2:$D$2001,MATCH(F417&amp;"|"&amp;Q417,LOG!$I$2:$I$2001,0)),""),"")</f>
        <v/>
      </c>
      <c r="T417" s="28">
        <f>IF(S417="",0,IFERROR(VLOOKUP(S417,LISTS!$A$2:$E$10,4,FALSE),0))</f>
        <v>0</v>
      </c>
      <c r="U417" s="46">
        <f t="shared" si="68"/>
        <v>0</v>
      </c>
      <c r="V417" s="46">
        <f>IF(L417=1,H417+SETTINGS!$B$5/24,"")</f>
        <v>46309.82708333333</v>
      </c>
      <c r="W417" s="28">
        <f ca="1">IF(L417=1,(V417-SETTINGS!$B$4)*24,"")</f>
        <v>-1.6666666720993817E-2</v>
      </c>
      <c r="X417" s="28">
        <f ca="1">IF(AND(L417=1,K417="OK",M417=0,N417=0,O417=0,P417=0,SETTINGS!$B$4&lt;V417,Q417&lt;SETTINGS!$B$6),1,0)</f>
        <v>0</v>
      </c>
      <c r="Y417" s="28">
        <f ca="1">IF(AND(X417=1,SETTINGS!$B$4&gt;=H417,SETTINGS!$B$4&gt;=U417,ROUND(MOD(SETTINGS!$B$4,1)*1440,0)&gt;=ROUND(SETTINGS!$B$7*1440,0),ROUND(MOD(SETTINGS!$B$4,1)*1440,0)&lt;ROUND(SETTINGS!$B$8*1440,0)),1,0)</f>
        <v>0</v>
      </c>
      <c r="Z417" s="28" t="str">
        <f ca="1">IF(B417="","",IF(ROUND(MOD(SETTINGS!$B$4,1)*1440,0)&lt;ROUND(SETTINGS!$B$11*1440,0),"Ram",IF(ROUND(MOD(SETTINGS!$B$4,1)*1440,0)&gt;=ROUND(SETTINGS!$B$10*1440,0),"Shyam",IF(MOD(IFERROR(VALUE(RIGHT(F417,2)),0),2)=0,"Ram","Shyam"))))</f>
        <v>Shyam</v>
      </c>
      <c r="AA417" s="28">
        <f t="shared" ca="1" si="69"/>
        <v>0</v>
      </c>
      <c r="AB417" s="28">
        <f ca="1">IF(X417=1,COUNTIFS($F$2:F417,F417,$X$2:X417,1),0)</f>
        <v>0</v>
      </c>
      <c r="AC417" s="28" t="str">
        <f>IF(L417=1,IF(IFERROR(INDEX(PARTNERS!$C$2:$C$88,MATCH(B417,PARTNERS!$A$2:$A$88,0)),"")="YES","YES","NO"),"")</f>
        <v>NO</v>
      </c>
      <c r="AD417" s="28" t="str">
        <f>IF(L417=1,IFERROR(INDEX(PARTNERS!$B$2:$B$88,MATCH(B417,PARTNERS!$A$2:$A$88,0)),""),"")</f>
        <v>https://calendly.com/partner001/interview</v>
      </c>
      <c r="AE417" s="28">
        <f ca="1">IF(X417=1,IFERROR(INDEX(SETTINGS!$B$34:$D$36,MATCH(I417,SETTINGS!$A$34:$A$36,0),MIN(Q417,2)+1),SETTINGS!$B$36),0)</f>
        <v>0</v>
      </c>
      <c r="AF417" s="28">
        <f t="shared" si="70"/>
        <v>1</v>
      </c>
      <c r="AG417" s="28">
        <f ca="1">IF(AND(Y417=1,AB417=1),ROUND(AA417*AE417*IF(AF417&gt;1,SETTINGS!$B$16,1)*IF(W417&lt;=SETTINGS!$B$14,SETTINGS!$B$15,1)*IF(AU417=1,SETTINGS!$B$21,1),6),0)</f>
        <v>0</v>
      </c>
      <c r="AH417" s="28" t="str">
        <f ca="1">IF(AG417&gt;0,COUNTIFS($Z$2:$Z$601,Z417,$AG$2:$AG$601,"&gt;"&amp;AG417)+COUNTIFS($Z$2:Z417,Z417,$AG$2:AG417,AG417),"")</f>
        <v/>
      </c>
      <c r="AI417" s="28" t="str">
        <f t="shared" ca="1" si="71"/>
        <v/>
      </c>
      <c r="AJ417" s="28" t="str">
        <f t="shared" ca="1" si="72"/>
        <v/>
      </c>
      <c r="AK417" s="28">
        <f>IF(L417=1,IF(COUNTIFS($F$2:F417,F417,$L$2:L417,1)=1,1,0),0)</f>
        <v>1</v>
      </c>
      <c r="AL417" s="28" t="str">
        <f>IF(B417="","",IF(K417="DUPLICATE","Duplicate (removed)",IF(AO417=1,"Scheduled within 24h",IF(M417=1,"Scheduled late",IF(K417="BAD CONTACT","Bad contact details",IF(O417=1,"Stopped / wrong number",IF(N417=1,"Not interested",IF(P417=1,"Partner has no slots",IF(SETTINGS!$B$4&gt;=V417,IF(Q417=0,"Missed deadline: never tried","Missed deadline: tried, not booked"),IF(Q417&gt;=SETTINGS!$B$6,"No reply after max tries","Open"))))))))))</f>
        <v>Scheduled within 24h</v>
      </c>
      <c r="AM417" s="46">
        <f>IF(M417=1,IF(_xlfn.MINIFS(LOG!$G$2:$G$2001,LOG!$C$2:$C$2001,F417,LOG!$E$2:$E$2001,B417,LOG!$D$2:$D$2001,"*BOOKED")=0,_xlfn.MINIFS(LOG!$G$2:$G$2001,LOG!$C$2:$C$2001,F417,LOG!$E$2:$E$2001,"",LOG!$D$2:$D$2001,"*BOOKED"),IF(_xlfn.MINIFS(LOG!$G$2:$G$2001,LOG!$C$2:$C$2001,F417,LOG!$E$2:$E$2001,"",LOG!$D$2:$D$2001,"*BOOKED")=0,_xlfn.MINIFS(LOG!$G$2:$G$2001,LOG!$C$2:$C$2001,F417,LOG!$E$2:$E$2001,B417,LOG!$D$2:$D$2001,"*BOOKED"),MIN(_xlfn.MINIFS(LOG!$G$2:$G$2001,LOG!$C$2:$C$2001,F417,LOG!$E$2:$E$2001,B417,LOG!$D$2:$D$2001,"*BOOKED"),_xlfn.MINIFS(LOG!$G$2:$G$2001,LOG!$C$2:$C$2001,F417,LOG!$E$2:$E$2001,"",LOG!$D$2:$D$2001,"*BOOKED")))),"")</f>
        <v>46308.876129092307</v>
      </c>
      <c r="AN417" s="28">
        <f t="shared" si="73"/>
        <v>1.1770982154412195</v>
      </c>
      <c r="AO417" s="28">
        <f>IF(AND(M417=1,AN417&lt;&gt;""),IF(AN417&lt;=SETTINGS!$B$5,1,0),0)</f>
        <v>1</v>
      </c>
      <c r="AP417" s="28">
        <f>IF(M417=1,IF(COUNTIFS(LOG!$C$2:$C$2001,F417,LOG!$E$2:$E$2001,B417,LOG!$D$2:$D$2001,"BOOKED")+COUNTIFS(LOG!$C$2:$C$2001,F417,LOG!$E$2:$E$2001,"",LOG!$D$2:$D$2001,"BOOKED")&gt;0,1,0),0)</f>
        <v>0</v>
      </c>
      <c r="AQ417" s="28" t="str">
        <f t="shared" si="74"/>
        <v>Sneha</v>
      </c>
      <c r="AR417" s="28">
        <f>IF(AND(AK417=1,K417="OK"),COUNTIFS($AK$2:AK417,1,$K$2:K417,"OK"),"")</f>
        <v>342</v>
      </c>
      <c r="AS417" s="28" t="str">
        <f>IF(L417=1,IFERROR(INDEX(MESSAGES!$J$9:$J$1008,MATCH(F417,MESSAGES!$M$9:$M$1008,0))&amp;"",""),"")</f>
        <v/>
      </c>
      <c r="AT417" s="28" t="str">
        <f>IF(L417=1,IFERROR(INDEX(MESSAGES!$K$9:$K$1008,MATCH(F417,MESSAGES!$M$9:$M$1008,0))&amp;"",""),"")</f>
        <v/>
      </c>
      <c r="AU417" s="28">
        <f t="shared" ca="1" si="75"/>
        <v>0</v>
      </c>
      <c r="AV417" s="28" t="str">
        <f t="shared" si="76"/>
        <v>SEND</v>
      </c>
    </row>
    <row r="418" spans="1:48" x14ac:dyDescent="0.35">
      <c r="A418" s="28">
        <v>417</v>
      </c>
      <c r="B418" s="28" t="str">
        <f>IF(INPUT!A418="","",TRIM(INPUT!A418))</f>
        <v>Partner 000</v>
      </c>
      <c r="C418" s="28" t="str">
        <f>IF(B418="","",INPUT!C418)</f>
        <v>interviewer0@partner000.example.com</v>
      </c>
      <c r="D418" s="28" t="str">
        <f>IF(B418="","",INPUT!D418)</f>
        <v>Nisha J.</v>
      </c>
      <c r="E418" s="28" t="str">
        <f>IF(B418="","",INPUT!E418)</f>
        <v>nisha.j267@example.com</v>
      </c>
      <c r="F418" s="43" t="str">
        <f>IF(B418="","",TRIM(INPUT!F418&amp;""))</f>
        <v>9000003478</v>
      </c>
      <c r="G418" s="28" t="str">
        <f>IF(B418="","",INPUT!H418)</f>
        <v>Round1</v>
      </c>
      <c r="H418" s="46">
        <f>IF(B418="","",INPUT!I418)</f>
        <v>46308.82708333333</v>
      </c>
      <c r="I418" s="28" t="str">
        <f>IF(B418="","",IF(INPUT!J418="","None",INPUT!J418))</f>
        <v>Opened</v>
      </c>
      <c r="J418" s="28" t="str">
        <f t="shared" si="66"/>
        <v>nisha.j267@example.com|partner 000|Round1|interviewer0@partner000.example.com</v>
      </c>
      <c r="K418" s="28" t="str">
        <f>IF(B418="","",IF(SUMPRODUCT(($J$2:$J$601=J418)*($H$2:$H$601&lt;H418))+SUMPRODUCT(($J$2:J418=J418)*($H$2:H418=H418))-1&gt;0,"DUPLICATE",IF(AND(ISNUMBER(SEARCH("@",E418)),ISNUMBER(SEARCH(".",E418)),LEN(F418)=10,ISNUMBER(VALUE(F418))),"OK","BAD CONTACT")))</f>
        <v>OK</v>
      </c>
      <c r="L418" s="28">
        <f t="shared" si="67"/>
        <v>1</v>
      </c>
      <c r="M418" s="28">
        <f>IF(L418=1,IF(COUNTIFS(LOG!$C$2:$C$2001,F418,LOG!$E$2:$E$2001,B418,LOG!$D$2:$D$2001,"*BOOKED")+COUNTIFS(LOG!$C$2:$C$2001,F418,LOG!$E$2:$E$2001,"",LOG!$D$2:$D$2001,"*BOOKED")&gt;0,1,0),0)</f>
        <v>0</v>
      </c>
      <c r="N418" s="28">
        <f>IF(L418=1,IF(COUNTIFS(LOG!$C$2:$C$2001,F418,LOG!$E$2:$E$2001,B418,LOG!$D$2:$D$2001,"NOT_INTERESTED")+COUNTIFS(LOG!$C$2:$C$2001,F418,LOG!$E$2:$E$2001,"",LOG!$D$2:$D$2001,"NOT_INTERESTED")&gt;0,1,0),0)</f>
        <v>0</v>
      </c>
      <c r="O418" s="28">
        <f>IF(L418=1,IF(COUNTIFS(LOG!$C$2:$C$2001,F418,LOG!$D$2:$D$2001,"STOP")+COUNTIFS(LOG!$C$2:$C$2001,F418,LOG!$D$2:$D$2001,"WRONG_NUMBER")&gt;0,1,IF(ISNUMBER(SEARCH("STOP",AT418)),1,0)),0)</f>
        <v>0</v>
      </c>
      <c r="P418" s="28">
        <f>IF(L418=1,IF(IFERROR(INDEX(PARTNERS!$D$2:$D$88,MATCH(B418,PARTNERS!$A$2:$A$88,0)),"")="NO SLOTS",1,IF(AND(IFERROR(INDEX(PARTNERS!$D$2:$D$88,MATCH(B418,PARTNERS!$A$2:$A$88,0)),"")&lt;&gt;"REOPENED",COUNTIFS(LOG!$E$2:$E$2001,B418,LOG!$D$2:$D$2001,"NO_SLOTS")&gt;0),1,0)),0)</f>
        <v>0</v>
      </c>
      <c r="Q418" s="28">
        <f>IF(L418=1,COUNTIFS(LOG!$C$2:$C$2001,F418,LOG!$H$2:$H$2001,1),0)</f>
        <v>0</v>
      </c>
      <c r="R418" s="46">
        <f>IF(Q418&gt;0,_xlfn.MAXIFS(LOG!$G$2:$G$2001,LOG!$C$2:$C$2001,F418,LOG!$H$2:$H$2001,1),0)</f>
        <v>0</v>
      </c>
      <c r="S418" s="28" t="str">
        <f>IF(Q418&gt;0,IFERROR(INDEX(LOG!$D$2:$D$2001,MATCH(F418&amp;"|"&amp;Q418,LOG!$I$2:$I$2001,0)),""),"")</f>
        <v/>
      </c>
      <c r="T418" s="28">
        <f>IF(S418="",0,IFERROR(VLOOKUP(S418,LISTS!$A$2:$E$10,4,FALSE),0))</f>
        <v>0</v>
      </c>
      <c r="U418" s="46">
        <f t="shared" si="68"/>
        <v>0</v>
      </c>
      <c r="V418" s="46">
        <f>IF(L418=1,H418+SETTINGS!$B$5/24,"")</f>
        <v>46309.82708333333</v>
      </c>
      <c r="W418" s="28">
        <f ca="1">IF(L418=1,(V418-SETTINGS!$B$4)*24,"")</f>
        <v>-1.6666666720993817E-2</v>
      </c>
      <c r="X418" s="28">
        <f ca="1">IF(AND(L418=1,K418="OK",M418=0,N418=0,O418=0,P418=0,SETTINGS!$B$4&lt;V418,Q418&lt;SETTINGS!$B$6),1,0)</f>
        <v>0</v>
      </c>
      <c r="Y418" s="28">
        <f ca="1">IF(AND(X418=1,SETTINGS!$B$4&gt;=H418,SETTINGS!$B$4&gt;=U418,ROUND(MOD(SETTINGS!$B$4,1)*1440,0)&gt;=ROUND(SETTINGS!$B$7*1440,0),ROUND(MOD(SETTINGS!$B$4,1)*1440,0)&lt;ROUND(SETTINGS!$B$8*1440,0)),1,0)</f>
        <v>0</v>
      </c>
      <c r="Z418" s="28" t="str">
        <f ca="1">IF(B418="","",IF(ROUND(MOD(SETTINGS!$B$4,1)*1440,0)&lt;ROUND(SETTINGS!$B$11*1440,0),"Ram",IF(ROUND(MOD(SETTINGS!$B$4,1)*1440,0)&gt;=ROUND(SETTINGS!$B$10*1440,0),"Shyam",IF(MOD(IFERROR(VALUE(RIGHT(F418,2)),0),2)=0,"Ram","Shyam"))))</f>
        <v>Shyam</v>
      </c>
      <c r="AA418" s="28">
        <f t="shared" ca="1" si="69"/>
        <v>0</v>
      </c>
      <c r="AB418" s="28">
        <f ca="1">IF(X418=1,COUNTIFS($F$2:F418,F418,$X$2:X418,1),0)</f>
        <v>0</v>
      </c>
      <c r="AC418" s="28" t="str">
        <f>IF(L418=1,IF(IFERROR(INDEX(PARTNERS!$C$2:$C$88,MATCH(B418,PARTNERS!$A$2:$A$88,0)),"")="YES","YES","NO"),"")</f>
        <v>NO</v>
      </c>
      <c r="AD418" s="28" t="str">
        <f>IF(L418=1,IFERROR(INDEX(PARTNERS!$B$2:$B$88,MATCH(B418,PARTNERS!$A$2:$A$88,0)),""),"")</f>
        <v>https://calendly.com/partner000/interview</v>
      </c>
      <c r="AE418" s="28">
        <f ca="1">IF(X418=1,IFERROR(INDEX(SETTINGS!$B$34:$D$36,MATCH(I418,SETTINGS!$A$34:$A$36,0),MIN(Q418,2)+1),SETTINGS!$B$36),0)</f>
        <v>0</v>
      </c>
      <c r="AF418" s="28">
        <f t="shared" si="70"/>
        <v>1</v>
      </c>
      <c r="AG418" s="28">
        <f ca="1">IF(AND(Y418=1,AB418=1),ROUND(AA418*AE418*IF(AF418&gt;1,SETTINGS!$B$16,1)*IF(W418&lt;=SETTINGS!$B$14,SETTINGS!$B$15,1)*IF(AU418=1,SETTINGS!$B$21,1),6),0)</f>
        <v>0</v>
      </c>
      <c r="AH418" s="28" t="str">
        <f ca="1">IF(AG418&gt;0,COUNTIFS($Z$2:$Z$601,Z418,$AG$2:$AG$601,"&gt;"&amp;AG418)+COUNTIFS($Z$2:Z418,Z418,$AG$2:AG418,AG418),"")</f>
        <v/>
      </c>
      <c r="AI418" s="28" t="str">
        <f t="shared" ca="1" si="71"/>
        <v/>
      </c>
      <c r="AJ418" s="28" t="str">
        <f t="shared" ca="1" si="72"/>
        <v/>
      </c>
      <c r="AK418" s="28">
        <f>IF(L418=1,IF(COUNTIFS($F$2:F418,F418,$L$2:L418,1)=1,1,0),0)</f>
        <v>1</v>
      </c>
      <c r="AL418" s="28" t="str">
        <f ca="1">IF(B418="","",IF(K418="DUPLICATE","Duplicate (removed)",IF(AO418=1,"Scheduled within 24h",IF(M418=1,"Scheduled late",IF(K418="BAD CONTACT","Bad contact details",IF(O418=1,"Stopped / wrong number",IF(N418=1,"Not interested",IF(P418=1,"Partner has no slots",IF(SETTINGS!$B$4&gt;=V418,IF(Q418=0,"Missed deadline: never tried","Missed deadline: tried, not booked"),IF(Q418&gt;=SETTINGS!$B$6,"No reply after max tries","Open"))))))))))</f>
        <v>Missed deadline: never tried</v>
      </c>
      <c r="AM418" s="46" t="str">
        <f>IF(M418=1,IF(_xlfn.MINIFS(LOG!$G$2:$G$2001,LOG!$C$2:$C$2001,F418,LOG!$E$2:$E$2001,B418,LOG!$D$2:$D$2001,"*BOOKED")=0,_xlfn.MINIFS(LOG!$G$2:$G$2001,LOG!$C$2:$C$2001,F418,LOG!$E$2:$E$2001,"",LOG!$D$2:$D$2001,"*BOOKED"),IF(_xlfn.MINIFS(LOG!$G$2:$G$2001,LOG!$C$2:$C$2001,F418,LOG!$E$2:$E$2001,"",LOG!$D$2:$D$2001,"*BOOKED")=0,_xlfn.MINIFS(LOG!$G$2:$G$2001,LOG!$C$2:$C$2001,F418,LOG!$E$2:$E$2001,B418,LOG!$D$2:$D$2001,"*BOOKED"),MIN(_xlfn.MINIFS(LOG!$G$2:$G$2001,LOG!$C$2:$C$2001,F418,LOG!$E$2:$E$2001,B418,LOG!$D$2:$D$2001,"*BOOKED"),_xlfn.MINIFS(LOG!$G$2:$G$2001,LOG!$C$2:$C$2001,F418,LOG!$E$2:$E$2001,"",LOG!$D$2:$D$2001,"*BOOKED")))),"")</f>
        <v/>
      </c>
      <c r="AN418" s="28" t="str">
        <f t="shared" si="73"/>
        <v/>
      </c>
      <c r="AO418" s="28">
        <f>IF(AND(M418=1,AN418&lt;&gt;""),IF(AN418&lt;=SETTINGS!$B$5,1,0),0)</f>
        <v>0</v>
      </c>
      <c r="AP418" s="28">
        <f>IF(M418=1,IF(COUNTIFS(LOG!$C$2:$C$2001,F418,LOG!$E$2:$E$2001,B418,LOG!$D$2:$D$2001,"BOOKED")+COUNTIFS(LOG!$C$2:$C$2001,F418,LOG!$E$2:$E$2001,"",LOG!$D$2:$D$2001,"BOOKED")&gt;0,1,0),0)</f>
        <v>0</v>
      </c>
      <c r="AQ418" s="28" t="str">
        <f t="shared" si="74"/>
        <v>Nisha</v>
      </c>
      <c r="AR418" s="28">
        <f>IF(AND(AK418=1,K418="OK"),COUNTIFS($AK$2:AK418,1,$K$2:K418,"OK"),"")</f>
        <v>343</v>
      </c>
      <c r="AS418" s="28" t="str">
        <f>IF(L418=1,IFERROR(INDEX(MESSAGES!$J$9:$J$1008,MATCH(F418,MESSAGES!$M$9:$M$1008,0))&amp;"",""),"")</f>
        <v/>
      </c>
      <c r="AT418" s="28" t="str">
        <f>IF(L418=1,IFERROR(INDEX(MESSAGES!$K$9:$K$1008,MATCH(F418,MESSAGES!$M$9:$M$1008,0))&amp;"",""),"")</f>
        <v/>
      </c>
      <c r="AU418" s="28">
        <f t="shared" ca="1" si="75"/>
        <v>0</v>
      </c>
      <c r="AV418" s="28" t="str">
        <f t="shared" si="76"/>
        <v>HOLD</v>
      </c>
    </row>
    <row r="419" spans="1:48" x14ac:dyDescent="0.35">
      <c r="A419" s="28">
        <v>418</v>
      </c>
      <c r="B419" s="28" t="str">
        <f>IF(INPUT!A419="","",TRIM(INPUT!A419))</f>
        <v>Partner 005</v>
      </c>
      <c r="C419" s="28" t="str">
        <f>IF(B419="","",INPUT!C419)</f>
        <v>interviewer2@partner005.example.com</v>
      </c>
      <c r="D419" s="28" t="str">
        <f>IF(B419="","",INPUT!D419)</f>
        <v>Tara D.</v>
      </c>
      <c r="E419" s="28" t="str">
        <f>IF(B419="","",INPUT!E419)</f>
        <v>tara.d105@example.com</v>
      </c>
      <c r="F419" s="43" t="str">
        <f>IF(B419="","",TRIM(INPUT!F419&amp;""))</f>
        <v>9000001372</v>
      </c>
      <c r="G419" s="28" t="str">
        <f>IF(B419="","",INPUT!H419)</f>
        <v>Round1</v>
      </c>
      <c r="H419" s="46">
        <f>IF(B419="","",INPUT!I419)</f>
        <v>46308.82708333333</v>
      </c>
      <c r="I419" s="28" t="str">
        <f>IF(B419="","",IF(INPUT!J419="","None",INPUT!J419))</f>
        <v>Opened</v>
      </c>
      <c r="J419" s="28" t="str">
        <f t="shared" si="66"/>
        <v>tara.d105@example.com|partner 005|Round1|interviewer2@partner005.example.com</v>
      </c>
      <c r="K419" s="28" t="str">
        <f>IF(B419="","",IF(SUMPRODUCT(($J$2:$J$601=J419)*($H$2:$H$601&lt;H419))+SUMPRODUCT(($J$2:J419=J419)*($H$2:H419=H419))-1&gt;0,"DUPLICATE",IF(AND(ISNUMBER(SEARCH("@",E419)),ISNUMBER(SEARCH(".",E419)),LEN(F419)=10,ISNUMBER(VALUE(F419))),"OK","BAD CONTACT")))</f>
        <v>OK</v>
      </c>
      <c r="L419" s="28">
        <f t="shared" si="67"/>
        <v>1</v>
      </c>
      <c r="M419" s="28">
        <f>IF(L419=1,IF(COUNTIFS(LOG!$C$2:$C$2001,F419,LOG!$E$2:$E$2001,B419,LOG!$D$2:$D$2001,"*BOOKED")+COUNTIFS(LOG!$C$2:$C$2001,F419,LOG!$E$2:$E$2001,"",LOG!$D$2:$D$2001,"*BOOKED")&gt;0,1,0),0)</f>
        <v>0</v>
      </c>
      <c r="N419" s="28">
        <f>IF(L419=1,IF(COUNTIFS(LOG!$C$2:$C$2001,F419,LOG!$E$2:$E$2001,B419,LOG!$D$2:$D$2001,"NOT_INTERESTED")+COUNTIFS(LOG!$C$2:$C$2001,F419,LOG!$E$2:$E$2001,"",LOG!$D$2:$D$2001,"NOT_INTERESTED")&gt;0,1,0),0)</f>
        <v>0</v>
      </c>
      <c r="O419" s="28">
        <f>IF(L419=1,IF(COUNTIFS(LOG!$C$2:$C$2001,F419,LOG!$D$2:$D$2001,"STOP")+COUNTIFS(LOG!$C$2:$C$2001,F419,LOG!$D$2:$D$2001,"WRONG_NUMBER")&gt;0,1,IF(ISNUMBER(SEARCH("STOP",AT419)),1,0)),0)</f>
        <v>0</v>
      </c>
      <c r="P419" s="28">
        <f>IF(L419=1,IF(IFERROR(INDEX(PARTNERS!$D$2:$D$88,MATCH(B419,PARTNERS!$A$2:$A$88,0)),"")="NO SLOTS",1,IF(AND(IFERROR(INDEX(PARTNERS!$D$2:$D$88,MATCH(B419,PARTNERS!$A$2:$A$88,0)),"")&lt;&gt;"REOPENED",COUNTIFS(LOG!$E$2:$E$2001,B419,LOG!$D$2:$D$2001,"NO_SLOTS")&gt;0),1,0)),0)</f>
        <v>0</v>
      </c>
      <c r="Q419" s="28">
        <f>IF(L419=1,COUNTIFS(LOG!$C$2:$C$2001,F419,LOG!$H$2:$H$2001,1),0)</f>
        <v>0</v>
      </c>
      <c r="R419" s="46">
        <f>IF(Q419&gt;0,_xlfn.MAXIFS(LOG!$G$2:$G$2001,LOG!$C$2:$C$2001,F419,LOG!$H$2:$H$2001,1),0)</f>
        <v>0</v>
      </c>
      <c r="S419" s="28" t="str">
        <f>IF(Q419&gt;0,IFERROR(INDEX(LOG!$D$2:$D$2001,MATCH(F419&amp;"|"&amp;Q419,LOG!$I$2:$I$2001,0)),""),"")</f>
        <v/>
      </c>
      <c r="T419" s="28">
        <f>IF(S419="",0,IFERROR(VLOOKUP(S419,LISTS!$A$2:$E$10,4,FALSE),0))</f>
        <v>0</v>
      </c>
      <c r="U419" s="46">
        <f t="shared" si="68"/>
        <v>0</v>
      </c>
      <c r="V419" s="46">
        <f>IF(L419=1,H419+SETTINGS!$B$5/24,"")</f>
        <v>46309.82708333333</v>
      </c>
      <c r="W419" s="28">
        <f ca="1">IF(L419=1,(V419-SETTINGS!$B$4)*24,"")</f>
        <v>-1.6666666720993817E-2</v>
      </c>
      <c r="X419" s="28">
        <f ca="1">IF(AND(L419=1,K419="OK",M419=0,N419=0,O419=0,P419=0,SETTINGS!$B$4&lt;V419,Q419&lt;SETTINGS!$B$6),1,0)</f>
        <v>0</v>
      </c>
      <c r="Y419" s="28">
        <f ca="1">IF(AND(X419=1,SETTINGS!$B$4&gt;=H419,SETTINGS!$B$4&gt;=U419,ROUND(MOD(SETTINGS!$B$4,1)*1440,0)&gt;=ROUND(SETTINGS!$B$7*1440,0),ROUND(MOD(SETTINGS!$B$4,1)*1440,0)&lt;ROUND(SETTINGS!$B$8*1440,0)),1,0)</f>
        <v>0</v>
      </c>
      <c r="Z419" s="28" t="str">
        <f ca="1">IF(B419="","",IF(ROUND(MOD(SETTINGS!$B$4,1)*1440,0)&lt;ROUND(SETTINGS!$B$11*1440,0),"Ram",IF(ROUND(MOD(SETTINGS!$B$4,1)*1440,0)&gt;=ROUND(SETTINGS!$B$10*1440,0),"Shyam",IF(MOD(IFERROR(VALUE(RIGHT(F419,2)),0),2)=0,"Ram","Shyam"))))</f>
        <v>Shyam</v>
      </c>
      <c r="AA419" s="28">
        <f t="shared" ca="1" si="69"/>
        <v>0</v>
      </c>
      <c r="AB419" s="28">
        <f ca="1">IF(X419=1,COUNTIFS($F$2:F419,F419,$X$2:X419,1),0)</f>
        <v>0</v>
      </c>
      <c r="AC419" s="28" t="str">
        <f>IF(L419=1,IF(IFERROR(INDEX(PARTNERS!$C$2:$C$88,MATCH(B419,PARTNERS!$A$2:$A$88,0)),"")="YES","YES","NO"),"")</f>
        <v>YES</v>
      </c>
      <c r="AD419" s="28" t="str">
        <f>IF(L419=1,IFERROR(INDEX(PARTNERS!$B$2:$B$88,MATCH(B419,PARTNERS!$A$2:$A$88,0)),""),"")</f>
        <v>https://calendly.com/partner005/interview</v>
      </c>
      <c r="AE419" s="28">
        <f ca="1">IF(X419=1,IFERROR(INDEX(SETTINGS!$B$34:$D$36,MATCH(I419,SETTINGS!$A$34:$A$36,0),MIN(Q419,2)+1),SETTINGS!$B$36),0)</f>
        <v>0</v>
      </c>
      <c r="AF419" s="28">
        <f t="shared" si="70"/>
        <v>1</v>
      </c>
      <c r="AG419" s="28">
        <f ca="1">IF(AND(Y419=1,AB419=1),ROUND(AA419*AE419*IF(AF419&gt;1,SETTINGS!$B$16,1)*IF(W419&lt;=SETTINGS!$B$14,SETTINGS!$B$15,1)*IF(AU419=1,SETTINGS!$B$21,1),6),0)</f>
        <v>0</v>
      </c>
      <c r="AH419" s="28" t="str">
        <f ca="1">IF(AG419&gt;0,COUNTIFS($Z$2:$Z$601,Z419,$AG$2:$AG$601,"&gt;"&amp;AG419)+COUNTIFS($Z$2:Z419,Z419,$AG$2:AG419,AG419),"")</f>
        <v/>
      </c>
      <c r="AI419" s="28" t="str">
        <f t="shared" ca="1" si="71"/>
        <v/>
      </c>
      <c r="AJ419" s="28" t="str">
        <f t="shared" ca="1" si="72"/>
        <v/>
      </c>
      <c r="AK419" s="28">
        <f>IF(L419=1,IF(COUNTIFS($F$2:F419,F419,$L$2:L419,1)=1,1,0),0)</f>
        <v>1</v>
      </c>
      <c r="AL419" s="28" t="str">
        <f ca="1">IF(B419="","",IF(K419="DUPLICATE","Duplicate (removed)",IF(AO419=1,"Scheduled within 24h",IF(M419=1,"Scheduled late",IF(K419="BAD CONTACT","Bad contact details",IF(O419=1,"Stopped / wrong number",IF(N419=1,"Not interested",IF(P419=1,"Partner has no slots",IF(SETTINGS!$B$4&gt;=V419,IF(Q419=0,"Missed deadline: never tried","Missed deadline: tried, not booked"),IF(Q419&gt;=SETTINGS!$B$6,"No reply after max tries","Open"))))))))))</f>
        <v>Missed deadline: never tried</v>
      </c>
      <c r="AM419" s="46" t="str">
        <f>IF(M419=1,IF(_xlfn.MINIFS(LOG!$G$2:$G$2001,LOG!$C$2:$C$2001,F419,LOG!$E$2:$E$2001,B419,LOG!$D$2:$D$2001,"*BOOKED")=0,_xlfn.MINIFS(LOG!$G$2:$G$2001,LOG!$C$2:$C$2001,F419,LOG!$E$2:$E$2001,"",LOG!$D$2:$D$2001,"*BOOKED"),IF(_xlfn.MINIFS(LOG!$G$2:$G$2001,LOG!$C$2:$C$2001,F419,LOG!$E$2:$E$2001,"",LOG!$D$2:$D$2001,"*BOOKED")=0,_xlfn.MINIFS(LOG!$G$2:$G$2001,LOG!$C$2:$C$2001,F419,LOG!$E$2:$E$2001,B419,LOG!$D$2:$D$2001,"*BOOKED"),MIN(_xlfn.MINIFS(LOG!$G$2:$G$2001,LOG!$C$2:$C$2001,F419,LOG!$E$2:$E$2001,B419,LOG!$D$2:$D$2001,"*BOOKED"),_xlfn.MINIFS(LOG!$G$2:$G$2001,LOG!$C$2:$C$2001,F419,LOG!$E$2:$E$2001,"",LOG!$D$2:$D$2001,"*BOOKED")))),"")</f>
        <v/>
      </c>
      <c r="AN419" s="28" t="str">
        <f t="shared" si="73"/>
        <v/>
      </c>
      <c r="AO419" s="28">
        <f>IF(AND(M419=1,AN419&lt;&gt;""),IF(AN419&lt;=SETTINGS!$B$5,1,0),0)</f>
        <v>0</v>
      </c>
      <c r="AP419" s="28">
        <f>IF(M419=1,IF(COUNTIFS(LOG!$C$2:$C$2001,F419,LOG!$E$2:$E$2001,B419,LOG!$D$2:$D$2001,"BOOKED")+COUNTIFS(LOG!$C$2:$C$2001,F419,LOG!$E$2:$E$2001,"",LOG!$D$2:$D$2001,"BOOKED")&gt;0,1,0),0)</f>
        <v>0</v>
      </c>
      <c r="AQ419" s="28" t="str">
        <f t="shared" si="74"/>
        <v>Tara</v>
      </c>
      <c r="AR419" s="28">
        <f>IF(AND(AK419=1,K419="OK"),COUNTIFS($AK$2:AK419,1,$K$2:K419,"OK"),"")</f>
        <v>344</v>
      </c>
      <c r="AS419" s="28" t="str">
        <f>IF(L419=1,IFERROR(INDEX(MESSAGES!$J$9:$J$1008,MATCH(F419,MESSAGES!$M$9:$M$1008,0))&amp;"",""),"")</f>
        <v/>
      </c>
      <c r="AT419" s="28" t="str">
        <f>IF(L419=1,IFERROR(INDEX(MESSAGES!$K$9:$K$1008,MATCH(F419,MESSAGES!$M$9:$M$1008,0))&amp;"",""),"")</f>
        <v/>
      </c>
      <c r="AU419" s="28">
        <f t="shared" ca="1" si="75"/>
        <v>0</v>
      </c>
      <c r="AV419" s="28" t="str">
        <f t="shared" si="76"/>
        <v>HOLD</v>
      </c>
    </row>
    <row r="420" spans="1:48" x14ac:dyDescent="0.35">
      <c r="A420" s="28">
        <v>419</v>
      </c>
      <c r="B420" s="28" t="str">
        <f>IF(INPUT!A420="","",TRIM(INPUT!A420))</f>
        <v>Partner 001</v>
      </c>
      <c r="C420" s="28" t="str">
        <f>IF(B420="","",INPUT!C420)</f>
        <v>interviewer1@partner001.example.com</v>
      </c>
      <c r="D420" s="28" t="str">
        <f>IF(B420="","",INPUT!D420)</f>
        <v>Neil F.</v>
      </c>
      <c r="E420" s="28" t="str">
        <f>IF(B420="","",INPUT!E420)</f>
        <v>neil.f168@example.com</v>
      </c>
      <c r="F420" s="43" t="str">
        <f>IF(B420="","",TRIM(INPUT!F420&amp;""))</f>
        <v>9000002191</v>
      </c>
      <c r="G420" s="28" t="str">
        <f>IF(B420="","",INPUT!H420)</f>
        <v>Round1</v>
      </c>
      <c r="H420" s="46">
        <f>IF(B420="","",INPUT!I420)</f>
        <v>46308.82708333333</v>
      </c>
      <c r="I420" s="28" t="str">
        <f>IF(B420="","",IF(INPUT!J420="","None",INPUT!J420))</f>
        <v>Opened</v>
      </c>
      <c r="J420" s="28" t="str">
        <f t="shared" si="66"/>
        <v>neil.f168@example.com|partner 001|Round1|interviewer1@partner001.example.com</v>
      </c>
      <c r="K420" s="28" t="str">
        <f>IF(B420="","",IF(SUMPRODUCT(($J$2:$J$601=J420)*($H$2:$H$601&lt;H420))+SUMPRODUCT(($J$2:J420=J420)*($H$2:H420=H420))-1&gt;0,"DUPLICATE",IF(AND(ISNUMBER(SEARCH("@",E420)),ISNUMBER(SEARCH(".",E420)),LEN(F420)=10,ISNUMBER(VALUE(F420))),"OK","BAD CONTACT")))</f>
        <v>OK</v>
      </c>
      <c r="L420" s="28">
        <f t="shared" si="67"/>
        <v>1</v>
      </c>
      <c r="M420" s="28">
        <f>IF(L420=1,IF(COUNTIFS(LOG!$C$2:$C$2001,F420,LOG!$E$2:$E$2001,B420,LOG!$D$2:$D$2001,"*BOOKED")+COUNTIFS(LOG!$C$2:$C$2001,F420,LOG!$E$2:$E$2001,"",LOG!$D$2:$D$2001,"*BOOKED")&gt;0,1,0),0)</f>
        <v>1</v>
      </c>
      <c r="N420" s="28">
        <f>IF(L420=1,IF(COUNTIFS(LOG!$C$2:$C$2001,F420,LOG!$E$2:$E$2001,B420,LOG!$D$2:$D$2001,"NOT_INTERESTED")+COUNTIFS(LOG!$C$2:$C$2001,F420,LOG!$E$2:$E$2001,"",LOG!$D$2:$D$2001,"NOT_INTERESTED")&gt;0,1,0),0)</f>
        <v>0</v>
      </c>
      <c r="O420" s="28">
        <f>IF(L420=1,IF(COUNTIFS(LOG!$C$2:$C$2001,F420,LOG!$D$2:$D$2001,"STOP")+COUNTIFS(LOG!$C$2:$C$2001,F420,LOG!$D$2:$D$2001,"WRONG_NUMBER")&gt;0,1,IF(ISNUMBER(SEARCH("STOP",AT420)),1,0)),0)</f>
        <v>0</v>
      </c>
      <c r="P420" s="28">
        <f>IF(L420=1,IF(IFERROR(INDEX(PARTNERS!$D$2:$D$88,MATCH(B420,PARTNERS!$A$2:$A$88,0)),"")="NO SLOTS",1,IF(AND(IFERROR(INDEX(PARTNERS!$D$2:$D$88,MATCH(B420,PARTNERS!$A$2:$A$88,0)),"")&lt;&gt;"REOPENED",COUNTIFS(LOG!$E$2:$E$2001,B420,LOG!$D$2:$D$2001,"NO_SLOTS")&gt;0),1,0)),0)</f>
        <v>0</v>
      </c>
      <c r="Q420" s="28">
        <f>IF(L420=1,COUNTIFS(LOG!$C$2:$C$2001,F420,LOG!$H$2:$H$2001,1),0)</f>
        <v>0</v>
      </c>
      <c r="R420" s="46">
        <f>IF(Q420&gt;0,_xlfn.MAXIFS(LOG!$G$2:$G$2001,LOG!$C$2:$C$2001,F420,LOG!$H$2:$H$2001,1),0)</f>
        <v>0</v>
      </c>
      <c r="S420" s="28" t="str">
        <f>IF(Q420&gt;0,IFERROR(INDEX(LOG!$D$2:$D$2001,MATCH(F420&amp;"|"&amp;Q420,LOG!$I$2:$I$2001,0)),""),"")</f>
        <v/>
      </c>
      <c r="T420" s="28">
        <f>IF(S420="",0,IFERROR(VLOOKUP(S420,LISTS!$A$2:$E$10,4,FALSE),0))</f>
        <v>0</v>
      </c>
      <c r="U420" s="46">
        <f t="shared" si="68"/>
        <v>0</v>
      </c>
      <c r="V420" s="46">
        <f>IF(L420=1,H420+SETTINGS!$B$5/24,"")</f>
        <v>46309.82708333333</v>
      </c>
      <c r="W420" s="28">
        <f ca="1">IF(L420=1,(V420-SETTINGS!$B$4)*24,"")</f>
        <v>-1.6666666720993817E-2</v>
      </c>
      <c r="X420" s="28">
        <f ca="1">IF(AND(L420=1,K420="OK",M420=0,N420=0,O420=0,P420=0,SETTINGS!$B$4&lt;V420,Q420&lt;SETTINGS!$B$6),1,0)</f>
        <v>0</v>
      </c>
      <c r="Y420" s="28">
        <f ca="1">IF(AND(X420=1,SETTINGS!$B$4&gt;=H420,SETTINGS!$B$4&gt;=U420,ROUND(MOD(SETTINGS!$B$4,1)*1440,0)&gt;=ROUND(SETTINGS!$B$7*1440,0),ROUND(MOD(SETTINGS!$B$4,1)*1440,0)&lt;ROUND(SETTINGS!$B$8*1440,0)),1,0)</f>
        <v>0</v>
      </c>
      <c r="Z420" s="28" t="str">
        <f ca="1">IF(B420="","",IF(ROUND(MOD(SETTINGS!$B$4,1)*1440,0)&lt;ROUND(SETTINGS!$B$11*1440,0),"Ram",IF(ROUND(MOD(SETTINGS!$B$4,1)*1440,0)&gt;=ROUND(SETTINGS!$B$10*1440,0),"Shyam",IF(MOD(IFERROR(VALUE(RIGHT(F420,2)),0),2)=0,"Ram","Shyam"))))</f>
        <v>Shyam</v>
      </c>
      <c r="AA420" s="28">
        <f t="shared" ca="1" si="69"/>
        <v>0</v>
      </c>
      <c r="AB420" s="28">
        <f ca="1">IF(X420=1,COUNTIFS($F$2:F420,F420,$X$2:X420,1),0)</f>
        <v>0</v>
      </c>
      <c r="AC420" s="28" t="str">
        <f>IF(L420=1,IF(IFERROR(INDEX(PARTNERS!$C$2:$C$88,MATCH(B420,PARTNERS!$A$2:$A$88,0)),"")="YES","YES","NO"),"")</f>
        <v>NO</v>
      </c>
      <c r="AD420" s="28" t="str">
        <f>IF(L420=1,IFERROR(INDEX(PARTNERS!$B$2:$B$88,MATCH(B420,PARTNERS!$A$2:$A$88,0)),""),"")</f>
        <v>https://calendly.com/partner001/interview</v>
      </c>
      <c r="AE420" s="28">
        <f ca="1">IF(X420=1,IFERROR(INDEX(SETTINGS!$B$34:$D$36,MATCH(I420,SETTINGS!$A$34:$A$36,0),MIN(Q420,2)+1),SETTINGS!$B$36),0)</f>
        <v>0</v>
      </c>
      <c r="AF420" s="28">
        <f t="shared" si="70"/>
        <v>1</v>
      </c>
      <c r="AG420" s="28">
        <f ca="1">IF(AND(Y420=1,AB420=1),ROUND(AA420*AE420*IF(AF420&gt;1,SETTINGS!$B$16,1)*IF(W420&lt;=SETTINGS!$B$14,SETTINGS!$B$15,1)*IF(AU420=1,SETTINGS!$B$21,1),6),0)</f>
        <v>0</v>
      </c>
      <c r="AH420" s="28" t="str">
        <f ca="1">IF(AG420&gt;0,COUNTIFS($Z$2:$Z$601,Z420,$AG$2:$AG$601,"&gt;"&amp;AG420)+COUNTIFS($Z$2:Z420,Z420,$AG$2:AG420,AG420),"")</f>
        <v/>
      </c>
      <c r="AI420" s="28" t="str">
        <f t="shared" ca="1" si="71"/>
        <v/>
      </c>
      <c r="AJ420" s="28" t="str">
        <f t="shared" ca="1" si="72"/>
        <v/>
      </c>
      <c r="AK420" s="28">
        <f>IF(L420=1,IF(COUNTIFS($F$2:F420,F420,$L$2:L420,1)=1,1,0),0)</f>
        <v>1</v>
      </c>
      <c r="AL420" s="28" t="str">
        <f>IF(B420="","",IF(K420="DUPLICATE","Duplicate (removed)",IF(AO420=1,"Scheduled within 24h",IF(M420=1,"Scheduled late",IF(K420="BAD CONTACT","Bad contact details",IF(O420=1,"Stopped / wrong number",IF(N420=1,"Not interested",IF(P420=1,"Partner has no slots",IF(SETTINGS!$B$4&gt;=V420,IF(Q420=0,"Missed deadline: never tried","Missed deadline: tried, not booked"),IF(Q420&gt;=SETTINGS!$B$6,"No reply after max tries","Open"))))))))))</f>
        <v>Scheduled within 24h</v>
      </c>
      <c r="AM420" s="46">
        <f>IF(M420=1,IF(_xlfn.MINIFS(LOG!$G$2:$G$2001,LOG!$C$2:$C$2001,F420,LOG!$E$2:$E$2001,B420,LOG!$D$2:$D$2001,"*BOOKED")=0,_xlfn.MINIFS(LOG!$G$2:$G$2001,LOG!$C$2:$C$2001,F420,LOG!$E$2:$E$2001,"",LOG!$D$2:$D$2001,"*BOOKED"),IF(_xlfn.MINIFS(LOG!$G$2:$G$2001,LOG!$C$2:$C$2001,F420,LOG!$E$2:$E$2001,"",LOG!$D$2:$D$2001,"*BOOKED")=0,_xlfn.MINIFS(LOG!$G$2:$G$2001,LOG!$C$2:$C$2001,F420,LOG!$E$2:$E$2001,B420,LOG!$D$2:$D$2001,"*BOOKED"),MIN(_xlfn.MINIFS(LOG!$G$2:$G$2001,LOG!$C$2:$C$2001,F420,LOG!$E$2:$E$2001,B420,LOG!$D$2:$D$2001,"*BOOKED"),_xlfn.MINIFS(LOG!$G$2:$G$2001,LOG!$C$2:$C$2001,F420,LOG!$E$2:$E$2001,"",LOG!$D$2:$D$2001,"*BOOKED")))),"")</f>
        <v>46309.30915166156</v>
      </c>
      <c r="AN420" s="28">
        <f t="shared" si="73"/>
        <v>11.569639877532609</v>
      </c>
      <c r="AO420" s="28">
        <f>IF(AND(M420=1,AN420&lt;&gt;""),IF(AN420&lt;=SETTINGS!$B$5,1,0),0)</f>
        <v>1</v>
      </c>
      <c r="AP420" s="28">
        <f>IF(M420=1,IF(COUNTIFS(LOG!$C$2:$C$2001,F420,LOG!$E$2:$E$2001,B420,LOG!$D$2:$D$2001,"BOOKED")+COUNTIFS(LOG!$C$2:$C$2001,F420,LOG!$E$2:$E$2001,"",LOG!$D$2:$D$2001,"BOOKED")&gt;0,1,0),0)</f>
        <v>0</v>
      </c>
      <c r="AQ420" s="28" t="str">
        <f t="shared" si="74"/>
        <v>Neil</v>
      </c>
      <c r="AR420" s="28">
        <f>IF(AND(AK420=1,K420="OK"),COUNTIFS($AK$2:AK420,1,$K$2:K420,"OK"),"")</f>
        <v>345</v>
      </c>
      <c r="AS420" s="28" t="str">
        <f>IF(L420=1,IFERROR(INDEX(MESSAGES!$J$9:$J$1008,MATCH(F420,MESSAGES!$M$9:$M$1008,0))&amp;"",""),"")</f>
        <v/>
      </c>
      <c r="AT420" s="28" t="str">
        <f>IF(L420=1,IFERROR(INDEX(MESSAGES!$K$9:$K$1008,MATCH(F420,MESSAGES!$M$9:$M$1008,0))&amp;"",""),"")</f>
        <v/>
      </c>
      <c r="AU420" s="28">
        <f t="shared" ca="1" si="75"/>
        <v>0</v>
      </c>
      <c r="AV420" s="28" t="str">
        <f t="shared" si="76"/>
        <v>HOLD</v>
      </c>
    </row>
    <row r="421" spans="1:48" x14ac:dyDescent="0.35">
      <c r="A421" s="28">
        <v>420</v>
      </c>
      <c r="B421" s="28" t="str">
        <f>IF(INPUT!A421="","",TRIM(INPUT!A421))</f>
        <v>Partner 008</v>
      </c>
      <c r="C421" s="28" t="str">
        <f>IF(B421="","",INPUT!C421)</f>
        <v>interviewer2@partner008.example.com</v>
      </c>
      <c r="D421" s="28" t="str">
        <f>IF(B421="","",INPUT!D421)</f>
        <v>Neil K.</v>
      </c>
      <c r="E421" s="28" t="str">
        <f>IF(B421="","",INPUT!E421)</f>
        <v>neil.k288@example.com</v>
      </c>
      <c r="F421" s="43" t="str">
        <f>IF(B421="","",TRIM(INPUT!F421&amp;""))</f>
        <v>9000003751</v>
      </c>
      <c r="G421" s="28" t="str">
        <f>IF(B421="","",INPUT!H421)</f>
        <v>Round1</v>
      </c>
      <c r="H421" s="46">
        <f>IF(B421="","",INPUT!I421)</f>
        <v>46308.82708333333</v>
      </c>
      <c r="I421" s="28" t="str">
        <f>IF(B421="","",IF(INPUT!J421="","None",INPUT!J421))</f>
        <v>Opened</v>
      </c>
      <c r="J421" s="28" t="str">
        <f t="shared" si="66"/>
        <v>neil.k288@example.com|partner 008|Round1|interviewer2@partner008.example.com</v>
      </c>
      <c r="K421" s="28" t="str">
        <f>IF(B421="","",IF(SUMPRODUCT(($J$2:$J$601=J421)*($H$2:$H$601&lt;H421))+SUMPRODUCT(($J$2:J421=J421)*($H$2:H421=H421))-1&gt;0,"DUPLICATE",IF(AND(ISNUMBER(SEARCH("@",E421)),ISNUMBER(SEARCH(".",E421)),LEN(F421)=10,ISNUMBER(VALUE(F421))),"OK","BAD CONTACT")))</f>
        <v>OK</v>
      </c>
      <c r="L421" s="28">
        <f t="shared" si="67"/>
        <v>1</v>
      </c>
      <c r="M421" s="28">
        <f>IF(L421=1,IF(COUNTIFS(LOG!$C$2:$C$2001,F421,LOG!$E$2:$E$2001,B421,LOG!$D$2:$D$2001,"*BOOKED")+COUNTIFS(LOG!$C$2:$C$2001,F421,LOG!$E$2:$E$2001,"",LOG!$D$2:$D$2001,"*BOOKED")&gt;0,1,0),0)</f>
        <v>1</v>
      </c>
      <c r="N421" s="28">
        <f>IF(L421=1,IF(COUNTIFS(LOG!$C$2:$C$2001,F421,LOG!$E$2:$E$2001,B421,LOG!$D$2:$D$2001,"NOT_INTERESTED")+COUNTIFS(LOG!$C$2:$C$2001,F421,LOG!$E$2:$E$2001,"",LOG!$D$2:$D$2001,"NOT_INTERESTED")&gt;0,1,0),0)</f>
        <v>0</v>
      </c>
      <c r="O421" s="28">
        <f>IF(L421=1,IF(COUNTIFS(LOG!$C$2:$C$2001,F421,LOG!$D$2:$D$2001,"STOP")+COUNTIFS(LOG!$C$2:$C$2001,F421,LOG!$D$2:$D$2001,"WRONG_NUMBER")&gt;0,1,IF(ISNUMBER(SEARCH("STOP",AT421)),1,0)),0)</f>
        <v>0</v>
      </c>
      <c r="P421" s="28">
        <f>IF(L421=1,IF(IFERROR(INDEX(PARTNERS!$D$2:$D$88,MATCH(B421,PARTNERS!$A$2:$A$88,0)),"")="NO SLOTS",1,IF(AND(IFERROR(INDEX(PARTNERS!$D$2:$D$88,MATCH(B421,PARTNERS!$A$2:$A$88,0)),"")&lt;&gt;"REOPENED",COUNTIFS(LOG!$E$2:$E$2001,B421,LOG!$D$2:$D$2001,"NO_SLOTS")&gt;0),1,0)),0)</f>
        <v>0</v>
      </c>
      <c r="Q421" s="28">
        <f>IF(L421=1,COUNTIFS(LOG!$C$2:$C$2001,F421,LOG!$H$2:$H$2001,1),0)</f>
        <v>0</v>
      </c>
      <c r="R421" s="46">
        <f>IF(Q421&gt;0,_xlfn.MAXIFS(LOG!$G$2:$G$2001,LOG!$C$2:$C$2001,F421,LOG!$H$2:$H$2001,1),0)</f>
        <v>0</v>
      </c>
      <c r="S421" s="28" t="str">
        <f>IF(Q421&gt;0,IFERROR(INDEX(LOG!$D$2:$D$2001,MATCH(F421&amp;"|"&amp;Q421,LOG!$I$2:$I$2001,0)),""),"")</f>
        <v/>
      </c>
      <c r="T421" s="28">
        <f>IF(S421="",0,IFERROR(VLOOKUP(S421,LISTS!$A$2:$E$10,4,FALSE),0))</f>
        <v>0</v>
      </c>
      <c r="U421" s="46">
        <f t="shared" si="68"/>
        <v>0</v>
      </c>
      <c r="V421" s="46">
        <f>IF(L421=1,H421+SETTINGS!$B$5/24,"")</f>
        <v>46309.82708333333</v>
      </c>
      <c r="W421" s="28">
        <f ca="1">IF(L421=1,(V421-SETTINGS!$B$4)*24,"")</f>
        <v>-1.6666666720993817E-2</v>
      </c>
      <c r="X421" s="28">
        <f ca="1">IF(AND(L421=1,K421="OK",M421=0,N421=0,O421=0,P421=0,SETTINGS!$B$4&lt;V421,Q421&lt;SETTINGS!$B$6),1,0)</f>
        <v>0</v>
      </c>
      <c r="Y421" s="28">
        <f ca="1">IF(AND(X421=1,SETTINGS!$B$4&gt;=H421,SETTINGS!$B$4&gt;=U421,ROUND(MOD(SETTINGS!$B$4,1)*1440,0)&gt;=ROUND(SETTINGS!$B$7*1440,0),ROUND(MOD(SETTINGS!$B$4,1)*1440,0)&lt;ROUND(SETTINGS!$B$8*1440,0)),1,0)</f>
        <v>0</v>
      </c>
      <c r="Z421" s="28" t="str">
        <f ca="1">IF(B421="","",IF(ROUND(MOD(SETTINGS!$B$4,1)*1440,0)&lt;ROUND(SETTINGS!$B$11*1440,0),"Ram",IF(ROUND(MOD(SETTINGS!$B$4,1)*1440,0)&gt;=ROUND(SETTINGS!$B$10*1440,0),"Shyam",IF(MOD(IFERROR(VALUE(RIGHT(F421,2)),0),2)=0,"Ram","Shyam"))))</f>
        <v>Shyam</v>
      </c>
      <c r="AA421" s="28">
        <f t="shared" ca="1" si="69"/>
        <v>0</v>
      </c>
      <c r="AB421" s="28">
        <f ca="1">IF(X421=1,COUNTIFS($F$2:F421,F421,$X$2:X421,1),0)</f>
        <v>0</v>
      </c>
      <c r="AC421" s="28" t="str">
        <f>IF(L421=1,IF(IFERROR(INDEX(PARTNERS!$C$2:$C$88,MATCH(B421,PARTNERS!$A$2:$A$88,0)),"")="YES","YES","NO"),"")</f>
        <v>YES</v>
      </c>
      <c r="AD421" s="28" t="str">
        <f>IF(L421=1,IFERROR(INDEX(PARTNERS!$B$2:$B$88,MATCH(B421,PARTNERS!$A$2:$A$88,0)),""),"")</f>
        <v>https://calendly.com/partner008/interview</v>
      </c>
      <c r="AE421" s="28">
        <f ca="1">IF(X421=1,IFERROR(INDEX(SETTINGS!$B$34:$D$36,MATCH(I421,SETTINGS!$A$34:$A$36,0),MIN(Q421,2)+1),SETTINGS!$B$36),0)</f>
        <v>0</v>
      </c>
      <c r="AF421" s="28">
        <f t="shared" si="70"/>
        <v>1</v>
      </c>
      <c r="AG421" s="28">
        <f ca="1">IF(AND(Y421=1,AB421=1),ROUND(AA421*AE421*IF(AF421&gt;1,SETTINGS!$B$16,1)*IF(W421&lt;=SETTINGS!$B$14,SETTINGS!$B$15,1)*IF(AU421=1,SETTINGS!$B$21,1),6),0)</f>
        <v>0</v>
      </c>
      <c r="AH421" s="28" t="str">
        <f ca="1">IF(AG421&gt;0,COUNTIFS($Z$2:$Z$601,Z421,$AG$2:$AG$601,"&gt;"&amp;AG421)+COUNTIFS($Z$2:Z421,Z421,$AG$2:AG421,AG421),"")</f>
        <v/>
      </c>
      <c r="AI421" s="28" t="str">
        <f t="shared" ca="1" si="71"/>
        <v/>
      </c>
      <c r="AJ421" s="28" t="str">
        <f t="shared" ca="1" si="72"/>
        <v/>
      </c>
      <c r="AK421" s="28">
        <f>IF(L421=1,IF(COUNTIFS($F$2:F421,F421,$L$2:L421,1)=1,1,0),0)</f>
        <v>1</v>
      </c>
      <c r="AL421" s="28" t="str">
        <f>IF(B421="","",IF(K421="DUPLICATE","Duplicate (removed)",IF(AO421=1,"Scheduled within 24h",IF(M421=1,"Scheduled late",IF(K421="BAD CONTACT","Bad contact details",IF(O421=1,"Stopped / wrong number",IF(N421=1,"Not interested",IF(P421=1,"Partner has no slots",IF(SETTINGS!$B$4&gt;=V421,IF(Q421=0,"Missed deadline: never tried","Missed deadline: tried, not booked"),IF(Q421&gt;=SETTINGS!$B$6,"No reply after max tries","Open"))))))))))</f>
        <v>Scheduled within 24h</v>
      </c>
      <c r="AM421" s="46">
        <f>IF(M421=1,IF(_xlfn.MINIFS(LOG!$G$2:$G$2001,LOG!$C$2:$C$2001,F421,LOG!$E$2:$E$2001,B421,LOG!$D$2:$D$2001,"*BOOKED")=0,_xlfn.MINIFS(LOG!$G$2:$G$2001,LOG!$C$2:$C$2001,F421,LOG!$E$2:$E$2001,"",LOG!$D$2:$D$2001,"*BOOKED"),IF(_xlfn.MINIFS(LOG!$G$2:$G$2001,LOG!$C$2:$C$2001,F421,LOG!$E$2:$E$2001,"",LOG!$D$2:$D$2001,"*BOOKED")=0,_xlfn.MINIFS(LOG!$G$2:$G$2001,LOG!$C$2:$C$2001,F421,LOG!$E$2:$E$2001,B421,LOG!$D$2:$D$2001,"*BOOKED"),MIN(_xlfn.MINIFS(LOG!$G$2:$G$2001,LOG!$C$2:$C$2001,F421,LOG!$E$2:$E$2001,B421,LOG!$D$2:$D$2001,"*BOOKED"),_xlfn.MINIFS(LOG!$G$2:$G$2001,LOG!$C$2:$C$2001,F421,LOG!$E$2:$E$2001,"",LOG!$D$2:$D$2001,"*BOOKED")))),"")</f>
        <v>46309.347532153261</v>
      </c>
      <c r="AN421" s="28">
        <f t="shared" si="73"/>
        <v>12.490771678334568</v>
      </c>
      <c r="AO421" s="28">
        <f>IF(AND(M421=1,AN421&lt;&gt;""),IF(AN421&lt;=SETTINGS!$B$5,1,0),0)</f>
        <v>1</v>
      </c>
      <c r="AP421" s="28">
        <f>IF(M421=1,IF(COUNTIFS(LOG!$C$2:$C$2001,F421,LOG!$E$2:$E$2001,B421,LOG!$D$2:$D$2001,"BOOKED")+COUNTIFS(LOG!$C$2:$C$2001,F421,LOG!$E$2:$E$2001,"",LOG!$D$2:$D$2001,"BOOKED")&gt;0,1,0),0)</f>
        <v>0</v>
      </c>
      <c r="AQ421" s="28" t="str">
        <f t="shared" si="74"/>
        <v>Neil</v>
      </c>
      <c r="AR421" s="28">
        <f>IF(AND(AK421=1,K421="OK"),COUNTIFS($AK$2:AK421,1,$K$2:K421,"OK"),"")</f>
        <v>346</v>
      </c>
      <c r="AS421" s="28" t="str">
        <f>IF(L421=1,IFERROR(INDEX(MESSAGES!$J$9:$J$1008,MATCH(F421,MESSAGES!$M$9:$M$1008,0))&amp;"",""),"")</f>
        <v/>
      </c>
      <c r="AT421" s="28" t="str">
        <f>IF(L421=1,IFERROR(INDEX(MESSAGES!$K$9:$K$1008,MATCH(F421,MESSAGES!$M$9:$M$1008,0))&amp;"",""),"")</f>
        <v/>
      </c>
      <c r="AU421" s="28">
        <f t="shared" ca="1" si="75"/>
        <v>0</v>
      </c>
      <c r="AV421" s="28" t="str">
        <f t="shared" si="76"/>
        <v>HOLD</v>
      </c>
    </row>
    <row r="422" spans="1:48" x14ac:dyDescent="0.35">
      <c r="A422" s="28">
        <v>421</v>
      </c>
      <c r="B422" s="28" t="str">
        <f>IF(INPUT!A422="","",TRIM(INPUT!A422))</f>
        <v>Partner 000</v>
      </c>
      <c r="C422" s="28" t="str">
        <f>IF(B422="","",INPUT!C422)</f>
        <v>interviewer1@partner000.example.com</v>
      </c>
      <c r="D422" s="28" t="str">
        <f>IF(B422="","",INPUT!D422)</f>
        <v>Aditya A.</v>
      </c>
      <c r="E422" s="28" t="str">
        <f>IF(B422="","",INPUT!E422)</f>
        <v>aditya.a022@example.com</v>
      </c>
      <c r="F422" s="43" t="str">
        <f>IF(B422="","",TRIM(INPUT!F422&amp;""))</f>
        <v>9000000293</v>
      </c>
      <c r="G422" s="28" t="str">
        <f>IF(B422="","",INPUT!H422)</f>
        <v>Round1</v>
      </c>
      <c r="H422" s="46">
        <f>IF(B422="","",INPUT!I422)</f>
        <v>46308.82708333333</v>
      </c>
      <c r="I422" s="28" t="str">
        <f>IF(B422="","",IF(INPUT!J422="","None",INPUT!J422))</f>
        <v>Opened</v>
      </c>
      <c r="J422" s="28" t="str">
        <f t="shared" si="66"/>
        <v>aditya.a022@example.com|partner 000|Round1|interviewer1@partner000.example.com</v>
      </c>
      <c r="K422" s="28" t="str">
        <f>IF(B422="","",IF(SUMPRODUCT(($J$2:$J$601=J422)*($H$2:$H$601&lt;H422))+SUMPRODUCT(($J$2:J422=J422)*($H$2:H422=H422))-1&gt;0,"DUPLICATE",IF(AND(ISNUMBER(SEARCH("@",E422)),ISNUMBER(SEARCH(".",E422)),LEN(F422)=10,ISNUMBER(VALUE(F422))),"OK","BAD CONTACT")))</f>
        <v>OK</v>
      </c>
      <c r="L422" s="28">
        <f t="shared" si="67"/>
        <v>1</v>
      </c>
      <c r="M422" s="28">
        <f>IF(L422=1,IF(COUNTIFS(LOG!$C$2:$C$2001,F422,LOG!$E$2:$E$2001,B422,LOG!$D$2:$D$2001,"*BOOKED")+COUNTIFS(LOG!$C$2:$C$2001,F422,LOG!$E$2:$E$2001,"",LOG!$D$2:$D$2001,"*BOOKED")&gt;0,1,0),0)</f>
        <v>0</v>
      </c>
      <c r="N422" s="28">
        <f>IF(L422=1,IF(COUNTIFS(LOG!$C$2:$C$2001,F422,LOG!$E$2:$E$2001,B422,LOG!$D$2:$D$2001,"NOT_INTERESTED")+COUNTIFS(LOG!$C$2:$C$2001,F422,LOG!$E$2:$E$2001,"",LOG!$D$2:$D$2001,"NOT_INTERESTED")&gt;0,1,0),0)</f>
        <v>0</v>
      </c>
      <c r="O422" s="28">
        <f>IF(L422=1,IF(COUNTIFS(LOG!$C$2:$C$2001,F422,LOG!$D$2:$D$2001,"STOP")+COUNTIFS(LOG!$C$2:$C$2001,F422,LOG!$D$2:$D$2001,"WRONG_NUMBER")&gt;0,1,IF(ISNUMBER(SEARCH("STOP",AT422)),1,0)),0)</f>
        <v>0</v>
      </c>
      <c r="P422" s="28">
        <f>IF(L422=1,IF(IFERROR(INDEX(PARTNERS!$D$2:$D$88,MATCH(B422,PARTNERS!$A$2:$A$88,0)),"")="NO SLOTS",1,IF(AND(IFERROR(INDEX(PARTNERS!$D$2:$D$88,MATCH(B422,PARTNERS!$A$2:$A$88,0)),"")&lt;&gt;"REOPENED",COUNTIFS(LOG!$E$2:$E$2001,B422,LOG!$D$2:$D$2001,"NO_SLOTS")&gt;0),1,0)),0)</f>
        <v>0</v>
      </c>
      <c r="Q422" s="28">
        <f>IF(L422=1,COUNTIFS(LOG!$C$2:$C$2001,F422,LOG!$H$2:$H$2001,1),0)</f>
        <v>0</v>
      </c>
      <c r="R422" s="46">
        <f>IF(Q422&gt;0,_xlfn.MAXIFS(LOG!$G$2:$G$2001,LOG!$C$2:$C$2001,F422,LOG!$H$2:$H$2001,1),0)</f>
        <v>0</v>
      </c>
      <c r="S422" s="28" t="str">
        <f>IF(Q422&gt;0,IFERROR(INDEX(LOG!$D$2:$D$2001,MATCH(F422&amp;"|"&amp;Q422,LOG!$I$2:$I$2001,0)),""),"")</f>
        <v/>
      </c>
      <c r="T422" s="28">
        <f>IF(S422="",0,IFERROR(VLOOKUP(S422,LISTS!$A$2:$E$10,4,FALSE),0))</f>
        <v>0</v>
      </c>
      <c r="U422" s="46">
        <f t="shared" si="68"/>
        <v>0</v>
      </c>
      <c r="V422" s="46">
        <f>IF(L422=1,H422+SETTINGS!$B$5/24,"")</f>
        <v>46309.82708333333</v>
      </c>
      <c r="W422" s="28">
        <f ca="1">IF(L422=1,(V422-SETTINGS!$B$4)*24,"")</f>
        <v>-1.6666666720993817E-2</v>
      </c>
      <c r="X422" s="28">
        <f ca="1">IF(AND(L422=1,K422="OK",M422=0,N422=0,O422=0,P422=0,SETTINGS!$B$4&lt;V422,Q422&lt;SETTINGS!$B$6),1,0)</f>
        <v>0</v>
      </c>
      <c r="Y422" s="28">
        <f ca="1">IF(AND(X422=1,SETTINGS!$B$4&gt;=H422,SETTINGS!$B$4&gt;=U422,ROUND(MOD(SETTINGS!$B$4,1)*1440,0)&gt;=ROUND(SETTINGS!$B$7*1440,0),ROUND(MOD(SETTINGS!$B$4,1)*1440,0)&lt;ROUND(SETTINGS!$B$8*1440,0)),1,0)</f>
        <v>0</v>
      </c>
      <c r="Z422" s="28" t="str">
        <f ca="1">IF(B422="","",IF(ROUND(MOD(SETTINGS!$B$4,1)*1440,0)&lt;ROUND(SETTINGS!$B$11*1440,0),"Ram",IF(ROUND(MOD(SETTINGS!$B$4,1)*1440,0)&gt;=ROUND(SETTINGS!$B$10*1440,0),"Shyam",IF(MOD(IFERROR(VALUE(RIGHT(F422,2)),0),2)=0,"Ram","Shyam"))))</f>
        <v>Shyam</v>
      </c>
      <c r="AA422" s="28">
        <f t="shared" ca="1" si="69"/>
        <v>0</v>
      </c>
      <c r="AB422" s="28">
        <f ca="1">IF(X422=1,COUNTIFS($F$2:F422,F422,$X$2:X422,1),0)</f>
        <v>0</v>
      </c>
      <c r="AC422" s="28" t="str">
        <f>IF(L422=1,IF(IFERROR(INDEX(PARTNERS!$C$2:$C$88,MATCH(B422,PARTNERS!$A$2:$A$88,0)),"")="YES","YES","NO"),"")</f>
        <v>NO</v>
      </c>
      <c r="AD422" s="28" t="str">
        <f>IF(L422=1,IFERROR(INDEX(PARTNERS!$B$2:$B$88,MATCH(B422,PARTNERS!$A$2:$A$88,0)),""),"")</f>
        <v>https://calendly.com/partner000/interview</v>
      </c>
      <c r="AE422" s="28">
        <f ca="1">IF(X422=1,IFERROR(INDEX(SETTINGS!$B$34:$D$36,MATCH(I422,SETTINGS!$A$34:$A$36,0),MIN(Q422,2)+1),SETTINGS!$B$36),0)</f>
        <v>0</v>
      </c>
      <c r="AF422" s="28">
        <f t="shared" si="70"/>
        <v>1</v>
      </c>
      <c r="AG422" s="28">
        <f ca="1">IF(AND(Y422=1,AB422=1),ROUND(AA422*AE422*IF(AF422&gt;1,SETTINGS!$B$16,1)*IF(W422&lt;=SETTINGS!$B$14,SETTINGS!$B$15,1)*IF(AU422=1,SETTINGS!$B$21,1),6),0)</f>
        <v>0</v>
      </c>
      <c r="AH422" s="28" t="str">
        <f ca="1">IF(AG422&gt;0,COUNTIFS($Z$2:$Z$601,Z422,$AG$2:$AG$601,"&gt;"&amp;AG422)+COUNTIFS($Z$2:Z422,Z422,$AG$2:AG422,AG422),"")</f>
        <v/>
      </c>
      <c r="AI422" s="28" t="str">
        <f t="shared" ca="1" si="71"/>
        <v/>
      </c>
      <c r="AJ422" s="28" t="str">
        <f t="shared" ca="1" si="72"/>
        <v/>
      </c>
      <c r="AK422" s="28">
        <f>IF(L422=1,IF(COUNTIFS($F$2:F422,F422,$L$2:L422,1)=1,1,0),0)</f>
        <v>1</v>
      </c>
      <c r="AL422" s="28" t="str">
        <f ca="1">IF(B422="","",IF(K422="DUPLICATE","Duplicate (removed)",IF(AO422=1,"Scheduled within 24h",IF(M422=1,"Scheduled late",IF(K422="BAD CONTACT","Bad contact details",IF(O422=1,"Stopped / wrong number",IF(N422=1,"Not interested",IF(P422=1,"Partner has no slots",IF(SETTINGS!$B$4&gt;=V422,IF(Q422=0,"Missed deadline: never tried","Missed deadline: tried, not booked"),IF(Q422&gt;=SETTINGS!$B$6,"No reply after max tries","Open"))))))))))</f>
        <v>Missed deadline: never tried</v>
      </c>
      <c r="AM422" s="46" t="str">
        <f>IF(M422=1,IF(_xlfn.MINIFS(LOG!$G$2:$G$2001,LOG!$C$2:$C$2001,F422,LOG!$E$2:$E$2001,B422,LOG!$D$2:$D$2001,"*BOOKED")=0,_xlfn.MINIFS(LOG!$G$2:$G$2001,LOG!$C$2:$C$2001,F422,LOG!$E$2:$E$2001,"",LOG!$D$2:$D$2001,"*BOOKED"),IF(_xlfn.MINIFS(LOG!$G$2:$G$2001,LOG!$C$2:$C$2001,F422,LOG!$E$2:$E$2001,"",LOG!$D$2:$D$2001,"*BOOKED")=0,_xlfn.MINIFS(LOG!$G$2:$G$2001,LOG!$C$2:$C$2001,F422,LOG!$E$2:$E$2001,B422,LOG!$D$2:$D$2001,"*BOOKED"),MIN(_xlfn.MINIFS(LOG!$G$2:$G$2001,LOG!$C$2:$C$2001,F422,LOG!$E$2:$E$2001,B422,LOG!$D$2:$D$2001,"*BOOKED"),_xlfn.MINIFS(LOG!$G$2:$G$2001,LOG!$C$2:$C$2001,F422,LOG!$E$2:$E$2001,"",LOG!$D$2:$D$2001,"*BOOKED")))),"")</f>
        <v/>
      </c>
      <c r="AN422" s="28" t="str">
        <f t="shared" si="73"/>
        <v/>
      </c>
      <c r="AO422" s="28">
        <f>IF(AND(M422=1,AN422&lt;&gt;""),IF(AN422&lt;=SETTINGS!$B$5,1,0),0)</f>
        <v>0</v>
      </c>
      <c r="AP422" s="28">
        <f>IF(M422=1,IF(COUNTIFS(LOG!$C$2:$C$2001,F422,LOG!$E$2:$E$2001,B422,LOG!$D$2:$D$2001,"BOOKED")+COUNTIFS(LOG!$C$2:$C$2001,F422,LOG!$E$2:$E$2001,"",LOG!$D$2:$D$2001,"BOOKED")&gt;0,1,0),0)</f>
        <v>0</v>
      </c>
      <c r="AQ422" s="28" t="str">
        <f t="shared" si="74"/>
        <v>Aditya</v>
      </c>
      <c r="AR422" s="28">
        <f>IF(AND(AK422=1,K422="OK"),COUNTIFS($AK$2:AK422,1,$K$2:K422,"OK"),"")</f>
        <v>347</v>
      </c>
      <c r="AS422" s="28" t="str">
        <f>IF(L422=1,IFERROR(INDEX(MESSAGES!$J$9:$J$1008,MATCH(F422,MESSAGES!$M$9:$M$1008,0))&amp;"",""),"")</f>
        <v/>
      </c>
      <c r="AT422" s="28" t="str">
        <f>IF(L422=1,IFERROR(INDEX(MESSAGES!$K$9:$K$1008,MATCH(F422,MESSAGES!$M$9:$M$1008,0))&amp;"",""),"")</f>
        <v/>
      </c>
      <c r="AU422" s="28">
        <f t="shared" ca="1" si="75"/>
        <v>0</v>
      </c>
      <c r="AV422" s="28" t="str">
        <f t="shared" si="76"/>
        <v>HOLD</v>
      </c>
    </row>
    <row r="423" spans="1:48" x14ac:dyDescent="0.35">
      <c r="A423" s="28">
        <v>422</v>
      </c>
      <c r="B423" s="28" t="str">
        <f>IF(INPUT!A423="","",TRIM(INPUT!A423))</f>
        <v>Partner 007</v>
      </c>
      <c r="C423" s="28" t="str">
        <f>IF(B423="","",INPUT!C423)</f>
        <v>interviewer0@partner007.example.com</v>
      </c>
      <c r="D423" s="28" t="str">
        <f>IF(B423="","",INPUT!D423)</f>
        <v>Zoya K.</v>
      </c>
      <c r="E423" s="28" t="str">
        <f>IF(B423="","",INPUT!E423)</f>
        <v>zoya.k287@example.com</v>
      </c>
      <c r="F423" s="43" t="str">
        <f>IF(B423="","",TRIM(INPUT!F423&amp;""))</f>
        <v>9000003738</v>
      </c>
      <c r="G423" s="28" t="str">
        <f>IF(B423="","",INPUT!H423)</f>
        <v>Round1</v>
      </c>
      <c r="H423" s="46">
        <f>IF(B423="","",INPUT!I423)</f>
        <v>46308.82708333333</v>
      </c>
      <c r="I423" s="28" t="str">
        <f>IF(B423="","",IF(INPUT!J423="","None",INPUT!J423))</f>
        <v>None</v>
      </c>
      <c r="J423" s="28" t="str">
        <f t="shared" si="66"/>
        <v>zoya.k287@example.com|partner 007|Round1|interviewer0@partner007.example.com</v>
      </c>
      <c r="K423" s="28" t="str">
        <f>IF(B423="","",IF(SUMPRODUCT(($J$2:$J$601=J423)*($H$2:$H$601&lt;H423))+SUMPRODUCT(($J$2:J423=J423)*($H$2:H423=H423))-1&gt;0,"DUPLICATE",IF(AND(ISNUMBER(SEARCH("@",E423)),ISNUMBER(SEARCH(".",E423)),LEN(F423)=10,ISNUMBER(VALUE(F423))),"OK","BAD CONTACT")))</f>
        <v>OK</v>
      </c>
      <c r="L423" s="28">
        <f t="shared" si="67"/>
        <v>1</v>
      </c>
      <c r="M423" s="28">
        <f>IF(L423=1,IF(COUNTIFS(LOG!$C$2:$C$2001,F423,LOG!$E$2:$E$2001,B423,LOG!$D$2:$D$2001,"*BOOKED")+COUNTIFS(LOG!$C$2:$C$2001,F423,LOG!$E$2:$E$2001,"",LOG!$D$2:$D$2001,"*BOOKED")&gt;0,1,0),0)</f>
        <v>0</v>
      </c>
      <c r="N423" s="28">
        <f>IF(L423=1,IF(COUNTIFS(LOG!$C$2:$C$2001,F423,LOG!$E$2:$E$2001,B423,LOG!$D$2:$D$2001,"NOT_INTERESTED")+COUNTIFS(LOG!$C$2:$C$2001,F423,LOG!$E$2:$E$2001,"",LOG!$D$2:$D$2001,"NOT_INTERESTED")&gt;0,1,0),0)</f>
        <v>0</v>
      </c>
      <c r="O423" s="28">
        <f>IF(L423=1,IF(COUNTIFS(LOG!$C$2:$C$2001,F423,LOG!$D$2:$D$2001,"STOP")+COUNTIFS(LOG!$C$2:$C$2001,F423,LOG!$D$2:$D$2001,"WRONG_NUMBER")&gt;0,1,IF(ISNUMBER(SEARCH("STOP",AT423)),1,0)),0)</f>
        <v>0</v>
      </c>
      <c r="P423" s="28">
        <f>IF(L423=1,IF(IFERROR(INDEX(PARTNERS!$D$2:$D$88,MATCH(B423,PARTNERS!$A$2:$A$88,0)),"")="NO SLOTS",1,IF(AND(IFERROR(INDEX(PARTNERS!$D$2:$D$88,MATCH(B423,PARTNERS!$A$2:$A$88,0)),"")&lt;&gt;"REOPENED",COUNTIFS(LOG!$E$2:$E$2001,B423,LOG!$D$2:$D$2001,"NO_SLOTS")&gt;0),1,0)),0)</f>
        <v>0</v>
      </c>
      <c r="Q423" s="28">
        <f>IF(L423=1,COUNTIFS(LOG!$C$2:$C$2001,F423,LOG!$H$2:$H$2001,1),0)</f>
        <v>2</v>
      </c>
      <c r="R423" s="46">
        <f>IF(Q423&gt;0,_xlfn.MAXIFS(LOG!$G$2:$G$2001,LOG!$C$2:$C$2001,F423,LOG!$H$2:$H$2001,1),0)</f>
        <v>46309.639751395473</v>
      </c>
      <c r="S423" s="28" t="str">
        <f>IF(Q423&gt;0,IFERROR(INDEX(LOG!$D$2:$D$2001,MATCH(F423&amp;"|"&amp;Q423,LOG!$I$2:$I$2001,0)),""),"")</f>
        <v>NO_ANSWER</v>
      </c>
      <c r="T423" s="28">
        <f>IF(S423="",0,IFERROR(VLOOKUP(S423,LISTS!$A$2:$E$10,4,FALSE),0))</f>
        <v>120</v>
      </c>
      <c r="U423" s="46">
        <f t="shared" si="68"/>
        <v>46309.723084728808</v>
      </c>
      <c r="V423" s="46">
        <f>IF(L423=1,H423+SETTINGS!$B$5/24,"")</f>
        <v>46309.82708333333</v>
      </c>
      <c r="W423" s="28">
        <f ca="1">IF(L423=1,(V423-SETTINGS!$B$4)*24,"")</f>
        <v>-1.6666666720993817E-2</v>
      </c>
      <c r="X423" s="28">
        <f ca="1">IF(AND(L423=1,K423="OK",M423=0,N423=0,O423=0,P423=0,SETTINGS!$B$4&lt;V423,Q423&lt;SETTINGS!$B$6),1,0)</f>
        <v>0</v>
      </c>
      <c r="Y423" s="28">
        <f ca="1">IF(AND(X423=1,SETTINGS!$B$4&gt;=H423,SETTINGS!$B$4&gt;=U423,ROUND(MOD(SETTINGS!$B$4,1)*1440,0)&gt;=ROUND(SETTINGS!$B$7*1440,0),ROUND(MOD(SETTINGS!$B$4,1)*1440,0)&lt;ROUND(SETTINGS!$B$8*1440,0)),1,0)</f>
        <v>0</v>
      </c>
      <c r="Z423" s="28" t="str">
        <f ca="1">IF(B423="","",IF(ROUND(MOD(SETTINGS!$B$4,1)*1440,0)&lt;ROUND(SETTINGS!$B$11*1440,0),"Ram",IF(ROUND(MOD(SETTINGS!$B$4,1)*1440,0)&gt;=ROUND(SETTINGS!$B$10*1440,0),"Shyam",IF(MOD(IFERROR(VALUE(RIGHT(F423,2)),0),2)=0,"Ram","Shyam"))))</f>
        <v>Shyam</v>
      </c>
      <c r="AA423" s="28">
        <f t="shared" ca="1" si="69"/>
        <v>0</v>
      </c>
      <c r="AB423" s="28">
        <f ca="1">IF(X423=1,COUNTIFS($F$2:F423,F423,$X$2:X423,1),0)</f>
        <v>0</v>
      </c>
      <c r="AC423" s="28" t="str">
        <f>IF(L423=1,IF(IFERROR(INDEX(PARTNERS!$C$2:$C$88,MATCH(B423,PARTNERS!$A$2:$A$88,0)),"")="YES","YES","NO"),"")</f>
        <v>NO</v>
      </c>
      <c r="AD423" s="28" t="str">
        <f>IF(L423=1,IFERROR(INDEX(PARTNERS!$B$2:$B$88,MATCH(B423,PARTNERS!$A$2:$A$88,0)),""),"")</f>
        <v>https://calendly.com/partner007/interview</v>
      </c>
      <c r="AE423" s="28">
        <f ca="1">IF(X423=1,IFERROR(INDEX(SETTINGS!$B$34:$D$36,MATCH(I423,SETTINGS!$A$34:$A$36,0),MIN(Q423,2)+1),SETTINGS!$B$36),0)</f>
        <v>0</v>
      </c>
      <c r="AF423" s="28">
        <f t="shared" si="70"/>
        <v>1</v>
      </c>
      <c r="AG423" s="28">
        <f ca="1">IF(AND(Y423=1,AB423=1),ROUND(AA423*AE423*IF(AF423&gt;1,SETTINGS!$B$16,1)*IF(W423&lt;=SETTINGS!$B$14,SETTINGS!$B$15,1)*IF(AU423=1,SETTINGS!$B$21,1),6),0)</f>
        <v>0</v>
      </c>
      <c r="AH423" s="28" t="str">
        <f ca="1">IF(AG423&gt;0,COUNTIFS($Z$2:$Z$601,Z423,$AG$2:$AG$601,"&gt;"&amp;AG423)+COUNTIFS($Z$2:Z423,Z423,$AG$2:AG423,AG423),"")</f>
        <v/>
      </c>
      <c r="AI423" s="28" t="str">
        <f t="shared" ca="1" si="71"/>
        <v/>
      </c>
      <c r="AJ423" s="28" t="str">
        <f t="shared" ca="1" si="72"/>
        <v/>
      </c>
      <c r="AK423" s="28">
        <f>IF(L423=1,IF(COUNTIFS($F$2:F423,F423,$L$2:L423,1)=1,1,0),0)</f>
        <v>1</v>
      </c>
      <c r="AL423" s="28" t="str">
        <f ca="1">IF(B423="","",IF(K423="DUPLICATE","Duplicate (removed)",IF(AO423=1,"Scheduled within 24h",IF(M423=1,"Scheduled late",IF(K423="BAD CONTACT","Bad contact details",IF(O423=1,"Stopped / wrong number",IF(N423=1,"Not interested",IF(P423=1,"Partner has no slots",IF(SETTINGS!$B$4&gt;=V423,IF(Q423=0,"Missed deadline: never tried","Missed deadline: tried, not booked"),IF(Q423&gt;=SETTINGS!$B$6,"No reply after max tries","Open"))))))))))</f>
        <v>Missed deadline: tried, not booked</v>
      </c>
      <c r="AM423" s="46" t="str">
        <f>IF(M423=1,IF(_xlfn.MINIFS(LOG!$G$2:$G$2001,LOG!$C$2:$C$2001,F423,LOG!$E$2:$E$2001,B423,LOG!$D$2:$D$2001,"*BOOKED")=0,_xlfn.MINIFS(LOG!$G$2:$G$2001,LOG!$C$2:$C$2001,F423,LOG!$E$2:$E$2001,"",LOG!$D$2:$D$2001,"*BOOKED"),IF(_xlfn.MINIFS(LOG!$G$2:$G$2001,LOG!$C$2:$C$2001,F423,LOG!$E$2:$E$2001,"",LOG!$D$2:$D$2001,"*BOOKED")=0,_xlfn.MINIFS(LOG!$G$2:$G$2001,LOG!$C$2:$C$2001,F423,LOG!$E$2:$E$2001,B423,LOG!$D$2:$D$2001,"*BOOKED"),MIN(_xlfn.MINIFS(LOG!$G$2:$G$2001,LOG!$C$2:$C$2001,F423,LOG!$E$2:$E$2001,B423,LOG!$D$2:$D$2001,"*BOOKED"),_xlfn.MINIFS(LOG!$G$2:$G$2001,LOG!$C$2:$C$2001,F423,LOG!$E$2:$E$2001,"",LOG!$D$2:$D$2001,"*BOOKED")))),"")</f>
        <v/>
      </c>
      <c r="AN423" s="28" t="str">
        <f t="shared" si="73"/>
        <v/>
      </c>
      <c r="AO423" s="28">
        <f>IF(AND(M423=1,AN423&lt;&gt;""),IF(AN423&lt;=SETTINGS!$B$5,1,0),0)</f>
        <v>0</v>
      </c>
      <c r="AP423" s="28">
        <f>IF(M423=1,IF(COUNTIFS(LOG!$C$2:$C$2001,F423,LOG!$E$2:$E$2001,B423,LOG!$D$2:$D$2001,"BOOKED")+COUNTIFS(LOG!$C$2:$C$2001,F423,LOG!$E$2:$E$2001,"",LOG!$D$2:$D$2001,"BOOKED")&gt;0,1,0),0)</f>
        <v>0</v>
      </c>
      <c r="AQ423" s="28" t="str">
        <f t="shared" si="74"/>
        <v>Zoya</v>
      </c>
      <c r="AR423" s="28">
        <f>IF(AND(AK423=1,K423="OK"),COUNTIFS($AK$2:AK423,1,$K$2:K423,"OK"),"")</f>
        <v>348</v>
      </c>
      <c r="AS423" s="28" t="str">
        <f>IF(L423=1,IFERROR(INDEX(MESSAGES!$J$9:$J$1008,MATCH(F423,MESSAGES!$M$9:$M$1008,0))&amp;"",""),"")</f>
        <v/>
      </c>
      <c r="AT423" s="28" t="str">
        <f>IF(L423=1,IFERROR(INDEX(MESSAGES!$K$9:$K$1008,MATCH(F423,MESSAGES!$M$9:$M$1008,0))&amp;"",""),"")</f>
        <v/>
      </c>
      <c r="AU423" s="28">
        <f t="shared" ca="1" si="75"/>
        <v>0</v>
      </c>
      <c r="AV423" s="28" t="str">
        <f t="shared" si="76"/>
        <v>HOLD</v>
      </c>
    </row>
    <row r="424" spans="1:48" x14ac:dyDescent="0.35">
      <c r="A424" s="28">
        <v>423</v>
      </c>
      <c r="B424" s="28" t="str">
        <f>IF(INPUT!A424="","",TRIM(INPUT!A424))</f>
        <v>Partner 015</v>
      </c>
      <c r="C424" s="28" t="str">
        <f>IF(B424="","",INPUT!C424)</f>
        <v>interviewer0@partner015.example.com</v>
      </c>
      <c r="D424" s="28" t="str">
        <f>IF(B424="","",INPUT!D424)</f>
        <v>Aarav C.</v>
      </c>
      <c r="E424" s="28" t="str">
        <f>IF(B424="","",INPUT!E424)</f>
        <v>aarav.c060@example.com</v>
      </c>
      <c r="F424" s="43" t="str">
        <f>IF(B424="","",TRIM(INPUT!F424&amp;""))</f>
        <v>9000000787</v>
      </c>
      <c r="G424" s="28" t="str">
        <f>IF(B424="","",INPUT!H424)</f>
        <v>Round1</v>
      </c>
      <c r="H424" s="46">
        <f>IF(B424="","",INPUT!I424)</f>
        <v>46308.82708333333</v>
      </c>
      <c r="I424" s="28" t="str">
        <f>IF(B424="","",IF(INPUT!J424="","None",INPUT!J424))</f>
        <v>Clicked</v>
      </c>
      <c r="J424" s="28" t="str">
        <f t="shared" si="66"/>
        <v>aarav.c060@example.com|partner 015|Round1|interviewer0@partner015.example.com</v>
      </c>
      <c r="K424" s="28" t="str">
        <f>IF(B424="","",IF(SUMPRODUCT(($J$2:$J$601=J424)*($H$2:$H$601&lt;H424))+SUMPRODUCT(($J$2:J424=J424)*($H$2:H424=H424))-1&gt;0,"DUPLICATE",IF(AND(ISNUMBER(SEARCH("@",E424)),ISNUMBER(SEARCH(".",E424)),LEN(F424)=10,ISNUMBER(VALUE(F424))),"OK","BAD CONTACT")))</f>
        <v>OK</v>
      </c>
      <c r="L424" s="28">
        <f t="shared" si="67"/>
        <v>1</v>
      </c>
      <c r="M424" s="28">
        <f>IF(L424=1,IF(COUNTIFS(LOG!$C$2:$C$2001,F424,LOG!$E$2:$E$2001,B424,LOG!$D$2:$D$2001,"*BOOKED")+COUNTIFS(LOG!$C$2:$C$2001,F424,LOG!$E$2:$E$2001,"",LOG!$D$2:$D$2001,"*BOOKED")&gt;0,1,0),0)</f>
        <v>1</v>
      </c>
      <c r="N424" s="28">
        <f>IF(L424=1,IF(COUNTIFS(LOG!$C$2:$C$2001,F424,LOG!$E$2:$E$2001,B424,LOG!$D$2:$D$2001,"NOT_INTERESTED")+COUNTIFS(LOG!$C$2:$C$2001,F424,LOG!$E$2:$E$2001,"",LOG!$D$2:$D$2001,"NOT_INTERESTED")&gt;0,1,0),0)</f>
        <v>0</v>
      </c>
      <c r="O424" s="28">
        <f>IF(L424=1,IF(COUNTIFS(LOG!$C$2:$C$2001,F424,LOG!$D$2:$D$2001,"STOP")+COUNTIFS(LOG!$C$2:$C$2001,F424,LOG!$D$2:$D$2001,"WRONG_NUMBER")&gt;0,1,IF(ISNUMBER(SEARCH("STOP",AT424)),1,0)),0)</f>
        <v>0</v>
      </c>
      <c r="P424" s="28">
        <f>IF(L424=1,IF(IFERROR(INDEX(PARTNERS!$D$2:$D$88,MATCH(B424,PARTNERS!$A$2:$A$88,0)),"")="NO SLOTS",1,IF(AND(IFERROR(INDEX(PARTNERS!$D$2:$D$88,MATCH(B424,PARTNERS!$A$2:$A$88,0)),"")&lt;&gt;"REOPENED",COUNTIFS(LOG!$E$2:$E$2001,B424,LOG!$D$2:$D$2001,"NO_SLOTS")&gt;0),1,0)),0)</f>
        <v>0</v>
      </c>
      <c r="Q424" s="28">
        <f>IF(L424=1,COUNTIFS(LOG!$C$2:$C$2001,F424,LOG!$H$2:$H$2001,1),0)</f>
        <v>1</v>
      </c>
      <c r="R424" s="46">
        <f>IF(Q424&gt;0,_xlfn.MAXIFS(LOG!$G$2:$G$2001,LOG!$C$2:$C$2001,F424,LOG!$H$2:$H$2001,1),0)</f>
        <v>46309.685345448335</v>
      </c>
      <c r="S424" s="28" t="str">
        <f>IF(Q424&gt;0,IFERROR(INDEX(LOG!$D$2:$D$2001,MATCH(F424&amp;"|"&amp;Q424,LOG!$I$2:$I$2001,0)),""),"")</f>
        <v>BOOKED</v>
      </c>
      <c r="T424" s="28">
        <f>IF(S424="",0,IFERROR(VLOOKUP(S424,LISTS!$A$2:$E$10,4,FALSE),0))</f>
        <v>0</v>
      </c>
      <c r="U424" s="46">
        <f t="shared" si="68"/>
        <v>46309.685345448335</v>
      </c>
      <c r="V424" s="46">
        <f>IF(L424=1,H424+SETTINGS!$B$5/24,"")</f>
        <v>46309.82708333333</v>
      </c>
      <c r="W424" s="28">
        <f ca="1">IF(L424=1,(V424-SETTINGS!$B$4)*24,"")</f>
        <v>-1.6666666720993817E-2</v>
      </c>
      <c r="X424" s="28">
        <f ca="1">IF(AND(L424=1,K424="OK",M424=0,N424=0,O424=0,P424=0,SETTINGS!$B$4&lt;V424,Q424&lt;SETTINGS!$B$6),1,0)</f>
        <v>0</v>
      </c>
      <c r="Y424" s="28">
        <f ca="1">IF(AND(X424=1,SETTINGS!$B$4&gt;=H424,SETTINGS!$B$4&gt;=U424,ROUND(MOD(SETTINGS!$B$4,1)*1440,0)&gt;=ROUND(SETTINGS!$B$7*1440,0),ROUND(MOD(SETTINGS!$B$4,1)*1440,0)&lt;ROUND(SETTINGS!$B$8*1440,0)),1,0)</f>
        <v>0</v>
      </c>
      <c r="Z424" s="28" t="str">
        <f ca="1">IF(B424="","",IF(ROUND(MOD(SETTINGS!$B$4,1)*1440,0)&lt;ROUND(SETTINGS!$B$11*1440,0),"Ram",IF(ROUND(MOD(SETTINGS!$B$4,1)*1440,0)&gt;=ROUND(SETTINGS!$B$10*1440,0),"Shyam",IF(MOD(IFERROR(VALUE(RIGHT(F424,2)),0),2)=0,"Ram","Shyam"))))</f>
        <v>Shyam</v>
      </c>
      <c r="AA424" s="28">
        <f t="shared" ca="1" si="69"/>
        <v>0</v>
      </c>
      <c r="AB424" s="28">
        <f ca="1">IF(X424=1,COUNTIFS($F$2:F424,F424,$X$2:X424,1),0)</f>
        <v>0</v>
      </c>
      <c r="AC424" s="28" t="str">
        <f>IF(L424=1,IF(IFERROR(INDEX(PARTNERS!$C$2:$C$88,MATCH(B424,PARTNERS!$A$2:$A$88,0)),"")="YES","YES","NO"),"")</f>
        <v>YES</v>
      </c>
      <c r="AD424" s="28" t="str">
        <f>IF(L424=1,IFERROR(INDEX(PARTNERS!$B$2:$B$88,MATCH(B424,PARTNERS!$A$2:$A$88,0)),""),"")</f>
        <v>https://calendly.com/partner015/interview</v>
      </c>
      <c r="AE424" s="28">
        <f ca="1">IF(X424=1,IFERROR(INDEX(SETTINGS!$B$34:$D$36,MATCH(I424,SETTINGS!$A$34:$A$36,0),MIN(Q424,2)+1),SETTINGS!$B$36),0)</f>
        <v>0</v>
      </c>
      <c r="AF424" s="28">
        <f t="shared" si="70"/>
        <v>1</v>
      </c>
      <c r="AG424" s="28">
        <f ca="1">IF(AND(Y424=1,AB424=1),ROUND(AA424*AE424*IF(AF424&gt;1,SETTINGS!$B$16,1)*IF(W424&lt;=SETTINGS!$B$14,SETTINGS!$B$15,1)*IF(AU424=1,SETTINGS!$B$21,1),6),0)</f>
        <v>0</v>
      </c>
      <c r="AH424" s="28" t="str">
        <f ca="1">IF(AG424&gt;0,COUNTIFS($Z$2:$Z$601,Z424,$AG$2:$AG$601,"&gt;"&amp;AG424)+COUNTIFS($Z$2:Z424,Z424,$AG$2:AG424,AG424),"")</f>
        <v/>
      </c>
      <c r="AI424" s="28" t="str">
        <f t="shared" ca="1" si="71"/>
        <v/>
      </c>
      <c r="AJ424" s="28" t="str">
        <f t="shared" ca="1" si="72"/>
        <v/>
      </c>
      <c r="AK424" s="28">
        <f>IF(L424=1,IF(COUNTIFS($F$2:F424,F424,$L$2:L424,1)=1,1,0),0)</f>
        <v>1</v>
      </c>
      <c r="AL424" s="28" t="str">
        <f>IF(B424="","",IF(K424="DUPLICATE","Duplicate (removed)",IF(AO424=1,"Scheduled within 24h",IF(M424=1,"Scheduled late",IF(K424="BAD CONTACT","Bad contact details",IF(O424=1,"Stopped / wrong number",IF(N424=1,"Not interested",IF(P424=1,"Partner has no slots",IF(SETTINGS!$B$4&gt;=V424,IF(Q424=0,"Missed deadline: never tried","Missed deadline: tried, not booked"),IF(Q424&gt;=SETTINGS!$B$6,"No reply after max tries","Open"))))))))))</f>
        <v>Scheduled within 24h</v>
      </c>
      <c r="AM424" s="46">
        <f>IF(M424=1,IF(_xlfn.MINIFS(LOG!$G$2:$G$2001,LOG!$C$2:$C$2001,F424,LOG!$E$2:$E$2001,B424,LOG!$D$2:$D$2001,"*BOOKED")=0,_xlfn.MINIFS(LOG!$G$2:$G$2001,LOG!$C$2:$C$2001,F424,LOG!$E$2:$E$2001,"",LOG!$D$2:$D$2001,"*BOOKED"),IF(_xlfn.MINIFS(LOG!$G$2:$G$2001,LOG!$C$2:$C$2001,F424,LOG!$E$2:$E$2001,"",LOG!$D$2:$D$2001,"*BOOKED")=0,_xlfn.MINIFS(LOG!$G$2:$G$2001,LOG!$C$2:$C$2001,F424,LOG!$E$2:$E$2001,B424,LOG!$D$2:$D$2001,"*BOOKED"),MIN(_xlfn.MINIFS(LOG!$G$2:$G$2001,LOG!$C$2:$C$2001,F424,LOG!$E$2:$E$2001,B424,LOG!$D$2:$D$2001,"*BOOKED"),_xlfn.MINIFS(LOG!$G$2:$G$2001,LOG!$C$2:$C$2001,F424,LOG!$E$2:$E$2001,"",LOG!$D$2:$D$2001,"*BOOKED")))),"")</f>
        <v>46309.685345448335</v>
      </c>
      <c r="AN424" s="28">
        <f t="shared" si="73"/>
        <v>20.598290760128293</v>
      </c>
      <c r="AO424" s="28">
        <f>IF(AND(M424=1,AN424&lt;&gt;""),IF(AN424&lt;=SETTINGS!$B$5,1,0),0)</f>
        <v>1</v>
      </c>
      <c r="AP424" s="28">
        <f>IF(M424=1,IF(COUNTIFS(LOG!$C$2:$C$2001,F424,LOG!$E$2:$E$2001,B424,LOG!$D$2:$D$2001,"BOOKED")+COUNTIFS(LOG!$C$2:$C$2001,F424,LOG!$E$2:$E$2001,"",LOG!$D$2:$D$2001,"BOOKED")&gt;0,1,0),0)</f>
        <v>1</v>
      </c>
      <c r="AQ424" s="28" t="str">
        <f t="shared" si="74"/>
        <v>Aarav</v>
      </c>
      <c r="AR424" s="28">
        <f>IF(AND(AK424=1,K424="OK"),COUNTIFS($AK$2:AK424,1,$K$2:K424,"OK"),"")</f>
        <v>349</v>
      </c>
      <c r="AS424" s="28" t="str">
        <f>IF(L424=1,IFERROR(INDEX(MESSAGES!$J$9:$J$1008,MATCH(F424,MESSAGES!$M$9:$M$1008,0))&amp;"",""),"")</f>
        <v/>
      </c>
      <c r="AT424" s="28" t="str">
        <f>IF(L424=1,IFERROR(INDEX(MESSAGES!$K$9:$K$1008,MATCH(F424,MESSAGES!$M$9:$M$1008,0))&amp;"",""),"")</f>
        <v/>
      </c>
      <c r="AU424" s="28">
        <f t="shared" ca="1" si="75"/>
        <v>0</v>
      </c>
      <c r="AV424" s="28" t="str">
        <f t="shared" si="76"/>
        <v>SEND</v>
      </c>
    </row>
    <row r="425" spans="1:48" x14ac:dyDescent="0.35">
      <c r="A425" s="28">
        <v>424</v>
      </c>
      <c r="B425" s="28" t="str">
        <f>IF(INPUT!A425="","",TRIM(INPUT!A425))</f>
        <v>Partner 026</v>
      </c>
      <c r="C425" s="28" t="str">
        <f>IF(B425="","",INPUT!C425)</f>
        <v>interviewer1@partner026.example.com</v>
      </c>
      <c r="D425" s="28" t="str">
        <f>IF(B425="","",INPUT!D425)</f>
        <v>Kabir P.</v>
      </c>
      <c r="E425" s="28" t="str">
        <f>IF(B425="","",INPUT!E425)</f>
        <v>kabir.p392@example.com</v>
      </c>
      <c r="F425" s="43" t="str">
        <f>IF(B425="","",TRIM(INPUT!F425&amp;""))</f>
        <v>9000005103</v>
      </c>
      <c r="G425" s="28" t="str">
        <f>IF(B425="","",INPUT!H425)</f>
        <v>Round1</v>
      </c>
      <c r="H425" s="46">
        <f>IF(B425="","",INPUT!I425)</f>
        <v>46308.82708333333</v>
      </c>
      <c r="I425" s="28" t="str">
        <f>IF(B425="","",IF(INPUT!J425="","None",INPUT!J425))</f>
        <v>None</v>
      </c>
      <c r="J425" s="28" t="str">
        <f t="shared" si="66"/>
        <v>kabir.p392@example.com|partner 026|Round1|interviewer1@partner026.example.com</v>
      </c>
      <c r="K425" s="28" t="str">
        <f>IF(B425="","",IF(SUMPRODUCT(($J$2:$J$601=J425)*($H$2:$H$601&lt;H425))+SUMPRODUCT(($J$2:J425=J425)*($H$2:H425=H425))-1&gt;0,"DUPLICATE",IF(AND(ISNUMBER(SEARCH("@",E425)),ISNUMBER(SEARCH(".",E425)),LEN(F425)=10,ISNUMBER(VALUE(F425))),"OK","BAD CONTACT")))</f>
        <v>OK</v>
      </c>
      <c r="L425" s="28">
        <f t="shared" si="67"/>
        <v>1</v>
      </c>
      <c r="M425" s="28">
        <f>IF(L425=1,IF(COUNTIFS(LOG!$C$2:$C$2001,F425,LOG!$E$2:$E$2001,B425,LOG!$D$2:$D$2001,"*BOOKED")+COUNTIFS(LOG!$C$2:$C$2001,F425,LOG!$E$2:$E$2001,"",LOG!$D$2:$D$2001,"*BOOKED")&gt;0,1,0),0)</f>
        <v>0</v>
      </c>
      <c r="N425" s="28">
        <f>IF(L425=1,IF(COUNTIFS(LOG!$C$2:$C$2001,F425,LOG!$E$2:$E$2001,B425,LOG!$D$2:$D$2001,"NOT_INTERESTED")+COUNTIFS(LOG!$C$2:$C$2001,F425,LOG!$E$2:$E$2001,"",LOG!$D$2:$D$2001,"NOT_INTERESTED")&gt;0,1,0),0)</f>
        <v>0</v>
      </c>
      <c r="O425" s="28">
        <f>IF(L425=1,IF(COUNTIFS(LOG!$C$2:$C$2001,F425,LOG!$D$2:$D$2001,"STOP")+COUNTIFS(LOG!$C$2:$C$2001,F425,LOG!$D$2:$D$2001,"WRONG_NUMBER")&gt;0,1,IF(ISNUMBER(SEARCH("STOP",AT425)),1,0)),0)</f>
        <v>0</v>
      </c>
      <c r="P425" s="28">
        <f>IF(L425=1,IF(IFERROR(INDEX(PARTNERS!$D$2:$D$88,MATCH(B425,PARTNERS!$A$2:$A$88,0)),"")="NO SLOTS",1,IF(AND(IFERROR(INDEX(PARTNERS!$D$2:$D$88,MATCH(B425,PARTNERS!$A$2:$A$88,0)),"")&lt;&gt;"REOPENED",COUNTIFS(LOG!$E$2:$E$2001,B425,LOG!$D$2:$D$2001,"NO_SLOTS")&gt;0),1,0)),0)</f>
        <v>0</v>
      </c>
      <c r="Q425" s="28">
        <f>IF(L425=1,COUNTIFS(LOG!$C$2:$C$2001,F425,LOG!$H$2:$H$2001,1),0)</f>
        <v>0</v>
      </c>
      <c r="R425" s="46">
        <f>IF(Q425&gt;0,_xlfn.MAXIFS(LOG!$G$2:$G$2001,LOG!$C$2:$C$2001,F425,LOG!$H$2:$H$2001,1),0)</f>
        <v>0</v>
      </c>
      <c r="S425" s="28" t="str">
        <f>IF(Q425&gt;0,IFERROR(INDEX(LOG!$D$2:$D$2001,MATCH(F425&amp;"|"&amp;Q425,LOG!$I$2:$I$2001,0)),""),"")</f>
        <v/>
      </c>
      <c r="T425" s="28">
        <f>IF(S425="",0,IFERROR(VLOOKUP(S425,LISTS!$A$2:$E$10,4,FALSE),0))</f>
        <v>0</v>
      </c>
      <c r="U425" s="46">
        <f t="shared" si="68"/>
        <v>0</v>
      </c>
      <c r="V425" s="46">
        <f>IF(L425=1,H425+SETTINGS!$B$5/24,"")</f>
        <v>46309.82708333333</v>
      </c>
      <c r="W425" s="28">
        <f ca="1">IF(L425=1,(V425-SETTINGS!$B$4)*24,"")</f>
        <v>-1.6666666720993817E-2</v>
      </c>
      <c r="X425" s="28">
        <f ca="1">IF(AND(L425=1,K425="OK",M425=0,N425=0,O425=0,P425=0,SETTINGS!$B$4&lt;V425,Q425&lt;SETTINGS!$B$6),1,0)</f>
        <v>0</v>
      </c>
      <c r="Y425" s="28">
        <f ca="1">IF(AND(X425=1,SETTINGS!$B$4&gt;=H425,SETTINGS!$B$4&gt;=U425,ROUND(MOD(SETTINGS!$B$4,1)*1440,0)&gt;=ROUND(SETTINGS!$B$7*1440,0),ROUND(MOD(SETTINGS!$B$4,1)*1440,0)&lt;ROUND(SETTINGS!$B$8*1440,0)),1,0)</f>
        <v>0</v>
      </c>
      <c r="Z425" s="28" t="str">
        <f ca="1">IF(B425="","",IF(ROUND(MOD(SETTINGS!$B$4,1)*1440,0)&lt;ROUND(SETTINGS!$B$11*1440,0),"Ram",IF(ROUND(MOD(SETTINGS!$B$4,1)*1440,0)&gt;=ROUND(SETTINGS!$B$10*1440,0),"Shyam",IF(MOD(IFERROR(VALUE(RIGHT(F425,2)),0),2)=0,"Ram","Shyam"))))</f>
        <v>Shyam</v>
      </c>
      <c r="AA425" s="28">
        <f t="shared" ca="1" si="69"/>
        <v>0</v>
      </c>
      <c r="AB425" s="28">
        <f ca="1">IF(X425=1,COUNTIFS($F$2:F425,F425,$X$2:X425,1),0)</f>
        <v>0</v>
      </c>
      <c r="AC425" s="28" t="str">
        <f>IF(L425=1,IF(IFERROR(INDEX(PARTNERS!$C$2:$C$88,MATCH(B425,PARTNERS!$A$2:$A$88,0)),"")="YES","YES","NO"),"")</f>
        <v>YES</v>
      </c>
      <c r="AD425" s="28" t="str">
        <f>IF(L425=1,IFERROR(INDEX(PARTNERS!$B$2:$B$88,MATCH(B425,PARTNERS!$A$2:$A$88,0)),""),"")</f>
        <v>https://calendly.com/partner026/interview</v>
      </c>
      <c r="AE425" s="28">
        <f ca="1">IF(X425=1,IFERROR(INDEX(SETTINGS!$B$34:$D$36,MATCH(I425,SETTINGS!$A$34:$A$36,0),MIN(Q425,2)+1),SETTINGS!$B$36),0)</f>
        <v>0</v>
      </c>
      <c r="AF425" s="28">
        <f t="shared" si="70"/>
        <v>1</v>
      </c>
      <c r="AG425" s="28">
        <f ca="1">IF(AND(Y425=1,AB425=1),ROUND(AA425*AE425*IF(AF425&gt;1,SETTINGS!$B$16,1)*IF(W425&lt;=SETTINGS!$B$14,SETTINGS!$B$15,1)*IF(AU425=1,SETTINGS!$B$21,1),6),0)</f>
        <v>0</v>
      </c>
      <c r="AH425" s="28" t="str">
        <f ca="1">IF(AG425&gt;0,COUNTIFS($Z$2:$Z$601,Z425,$AG$2:$AG$601,"&gt;"&amp;AG425)+COUNTIFS($Z$2:Z425,Z425,$AG$2:AG425,AG425),"")</f>
        <v/>
      </c>
      <c r="AI425" s="28" t="str">
        <f t="shared" ca="1" si="71"/>
        <v/>
      </c>
      <c r="AJ425" s="28" t="str">
        <f t="shared" ca="1" si="72"/>
        <v/>
      </c>
      <c r="AK425" s="28">
        <f>IF(L425=1,IF(COUNTIFS($F$2:F425,F425,$L$2:L425,1)=1,1,0),0)</f>
        <v>1</v>
      </c>
      <c r="AL425" s="28" t="str">
        <f ca="1">IF(B425="","",IF(K425="DUPLICATE","Duplicate (removed)",IF(AO425=1,"Scheduled within 24h",IF(M425=1,"Scheduled late",IF(K425="BAD CONTACT","Bad contact details",IF(O425=1,"Stopped / wrong number",IF(N425=1,"Not interested",IF(P425=1,"Partner has no slots",IF(SETTINGS!$B$4&gt;=V425,IF(Q425=0,"Missed deadline: never tried","Missed deadline: tried, not booked"),IF(Q425&gt;=SETTINGS!$B$6,"No reply after max tries","Open"))))))))))</f>
        <v>Missed deadline: never tried</v>
      </c>
      <c r="AM425" s="46" t="str">
        <f>IF(M425=1,IF(_xlfn.MINIFS(LOG!$G$2:$G$2001,LOG!$C$2:$C$2001,F425,LOG!$E$2:$E$2001,B425,LOG!$D$2:$D$2001,"*BOOKED")=0,_xlfn.MINIFS(LOG!$G$2:$G$2001,LOG!$C$2:$C$2001,F425,LOG!$E$2:$E$2001,"",LOG!$D$2:$D$2001,"*BOOKED"),IF(_xlfn.MINIFS(LOG!$G$2:$G$2001,LOG!$C$2:$C$2001,F425,LOG!$E$2:$E$2001,"",LOG!$D$2:$D$2001,"*BOOKED")=0,_xlfn.MINIFS(LOG!$G$2:$G$2001,LOG!$C$2:$C$2001,F425,LOG!$E$2:$E$2001,B425,LOG!$D$2:$D$2001,"*BOOKED"),MIN(_xlfn.MINIFS(LOG!$G$2:$G$2001,LOG!$C$2:$C$2001,F425,LOG!$E$2:$E$2001,B425,LOG!$D$2:$D$2001,"*BOOKED"),_xlfn.MINIFS(LOG!$G$2:$G$2001,LOG!$C$2:$C$2001,F425,LOG!$E$2:$E$2001,"",LOG!$D$2:$D$2001,"*BOOKED")))),"")</f>
        <v/>
      </c>
      <c r="AN425" s="28" t="str">
        <f t="shared" si="73"/>
        <v/>
      </c>
      <c r="AO425" s="28">
        <f>IF(AND(M425=1,AN425&lt;&gt;""),IF(AN425&lt;=SETTINGS!$B$5,1,0),0)</f>
        <v>0</v>
      </c>
      <c r="AP425" s="28">
        <f>IF(M425=1,IF(COUNTIFS(LOG!$C$2:$C$2001,F425,LOG!$E$2:$E$2001,B425,LOG!$D$2:$D$2001,"BOOKED")+COUNTIFS(LOG!$C$2:$C$2001,F425,LOG!$E$2:$E$2001,"",LOG!$D$2:$D$2001,"BOOKED")&gt;0,1,0),0)</f>
        <v>0</v>
      </c>
      <c r="AQ425" s="28" t="str">
        <f t="shared" si="74"/>
        <v>Kabir</v>
      </c>
      <c r="AR425" s="28">
        <f>IF(AND(AK425=1,K425="OK"),COUNTIFS($AK$2:AK425,1,$K$2:K425,"OK"),"")</f>
        <v>350</v>
      </c>
      <c r="AS425" s="28" t="str">
        <f>IF(L425=1,IFERROR(INDEX(MESSAGES!$J$9:$J$1008,MATCH(F425,MESSAGES!$M$9:$M$1008,0))&amp;"",""),"")</f>
        <v/>
      </c>
      <c r="AT425" s="28" t="str">
        <f>IF(L425=1,IFERROR(INDEX(MESSAGES!$K$9:$K$1008,MATCH(F425,MESSAGES!$M$9:$M$1008,0))&amp;"",""),"")</f>
        <v/>
      </c>
      <c r="AU425" s="28">
        <f t="shared" ca="1" si="75"/>
        <v>0</v>
      </c>
      <c r="AV425" s="28" t="str">
        <f t="shared" si="76"/>
        <v>SEND</v>
      </c>
    </row>
    <row r="426" spans="1:48" x14ac:dyDescent="0.35">
      <c r="A426" s="28">
        <v>425</v>
      </c>
      <c r="B426" s="28" t="str">
        <f>IF(INPUT!A426="","",TRIM(INPUT!A426))</f>
        <v>Partner 008</v>
      </c>
      <c r="C426" s="28" t="str">
        <f>IF(B426="","",INPUT!C426)</f>
        <v>interviewer1@partner008.example.com</v>
      </c>
      <c r="D426" s="28" t="str">
        <f>IF(B426="","",INPUT!D426)</f>
        <v>Ira M.</v>
      </c>
      <c r="E426" s="28" t="str">
        <f>IF(B426="","",INPUT!E426)</f>
        <v>ira.m335@example.com</v>
      </c>
      <c r="F426" s="43" t="str">
        <f>IF(B426="","",TRIM(INPUT!F426&amp;""))</f>
        <v>9000004362</v>
      </c>
      <c r="G426" s="28" t="str">
        <f>IF(B426="","",INPUT!H426)</f>
        <v>Round1</v>
      </c>
      <c r="H426" s="46">
        <f>IF(B426="","",INPUT!I426)</f>
        <v>46308.82708333333</v>
      </c>
      <c r="I426" s="28" t="str">
        <f>IF(B426="","",IF(INPUT!J426="","None",INPUT!J426))</f>
        <v>Clicked</v>
      </c>
      <c r="J426" s="28" t="str">
        <f t="shared" si="66"/>
        <v>ira.m335@example.com|partner 008|Round1|interviewer1@partner008.example.com</v>
      </c>
      <c r="K426" s="28" t="str">
        <f>IF(B426="","",IF(SUMPRODUCT(($J$2:$J$601=J426)*($H$2:$H$601&lt;H426))+SUMPRODUCT(($J$2:J426=J426)*($H$2:H426=H426))-1&gt;0,"DUPLICATE",IF(AND(ISNUMBER(SEARCH("@",E426)),ISNUMBER(SEARCH(".",E426)),LEN(F426)=10,ISNUMBER(VALUE(F426))),"OK","BAD CONTACT")))</f>
        <v>OK</v>
      </c>
      <c r="L426" s="28">
        <f t="shared" si="67"/>
        <v>1</v>
      </c>
      <c r="M426" s="28">
        <f>IF(L426=1,IF(COUNTIFS(LOG!$C$2:$C$2001,F426,LOG!$E$2:$E$2001,B426,LOG!$D$2:$D$2001,"*BOOKED")+COUNTIFS(LOG!$C$2:$C$2001,F426,LOG!$E$2:$E$2001,"",LOG!$D$2:$D$2001,"*BOOKED")&gt;0,1,0),0)</f>
        <v>0</v>
      </c>
      <c r="N426" s="28">
        <f>IF(L426=1,IF(COUNTIFS(LOG!$C$2:$C$2001,F426,LOG!$E$2:$E$2001,B426,LOG!$D$2:$D$2001,"NOT_INTERESTED")+COUNTIFS(LOG!$C$2:$C$2001,F426,LOG!$E$2:$E$2001,"",LOG!$D$2:$D$2001,"NOT_INTERESTED")&gt;0,1,0),0)</f>
        <v>0</v>
      </c>
      <c r="O426" s="28">
        <f>IF(L426=1,IF(COUNTIFS(LOG!$C$2:$C$2001,F426,LOG!$D$2:$D$2001,"STOP")+COUNTIFS(LOG!$C$2:$C$2001,F426,LOG!$D$2:$D$2001,"WRONG_NUMBER")&gt;0,1,IF(ISNUMBER(SEARCH("STOP",AT426)),1,0)),0)</f>
        <v>0</v>
      </c>
      <c r="P426" s="28">
        <f>IF(L426=1,IF(IFERROR(INDEX(PARTNERS!$D$2:$D$88,MATCH(B426,PARTNERS!$A$2:$A$88,0)),"")="NO SLOTS",1,IF(AND(IFERROR(INDEX(PARTNERS!$D$2:$D$88,MATCH(B426,PARTNERS!$A$2:$A$88,0)),"")&lt;&gt;"REOPENED",COUNTIFS(LOG!$E$2:$E$2001,B426,LOG!$D$2:$D$2001,"NO_SLOTS")&gt;0),1,0)),0)</f>
        <v>0</v>
      </c>
      <c r="Q426" s="28">
        <f>IF(L426=1,COUNTIFS(LOG!$C$2:$C$2001,F426,LOG!$H$2:$H$2001,1),0)</f>
        <v>2</v>
      </c>
      <c r="R426" s="46">
        <f>IF(Q426&gt;0,_xlfn.MAXIFS(LOG!$G$2:$G$2001,LOG!$C$2:$C$2001,F426,LOG!$H$2:$H$2001,1),0)</f>
        <v>46309.779565129305</v>
      </c>
      <c r="S426" s="28" t="str">
        <f>IF(Q426&gt;0,IFERROR(INDEX(LOG!$D$2:$D$2001,MATCH(F426&amp;"|"&amp;Q426,LOG!$I$2:$I$2001,0)),""),"")</f>
        <v>CALL_BACK</v>
      </c>
      <c r="T426" s="28">
        <f>IF(S426="",0,IFERROR(VLOOKUP(S426,LISTS!$A$2:$E$10,4,FALSE),0))</f>
        <v>120</v>
      </c>
      <c r="U426" s="46">
        <f t="shared" si="68"/>
        <v>46309.862898462641</v>
      </c>
      <c r="V426" s="46">
        <f>IF(L426=1,H426+SETTINGS!$B$5/24,"")</f>
        <v>46309.82708333333</v>
      </c>
      <c r="W426" s="28">
        <f ca="1">IF(L426=1,(V426-SETTINGS!$B$4)*24,"")</f>
        <v>-1.6666666720993817E-2</v>
      </c>
      <c r="X426" s="28">
        <f ca="1">IF(AND(L426=1,K426="OK",M426=0,N426=0,O426=0,P426=0,SETTINGS!$B$4&lt;V426,Q426&lt;SETTINGS!$B$6),1,0)</f>
        <v>0</v>
      </c>
      <c r="Y426" s="28">
        <f ca="1">IF(AND(X426=1,SETTINGS!$B$4&gt;=H426,SETTINGS!$B$4&gt;=U426,ROUND(MOD(SETTINGS!$B$4,1)*1440,0)&gt;=ROUND(SETTINGS!$B$7*1440,0),ROUND(MOD(SETTINGS!$B$4,1)*1440,0)&lt;ROUND(SETTINGS!$B$8*1440,0)),1,0)</f>
        <v>0</v>
      </c>
      <c r="Z426" s="28" t="str">
        <f ca="1">IF(B426="","",IF(ROUND(MOD(SETTINGS!$B$4,1)*1440,0)&lt;ROUND(SETTINGS!$B$11*1440,0),"Ram",IF(ROUND(MOD(SETTINGS!$B$4,1)*1440,0)&gt;=ROUND(SETTINGS!$B$10*1440,0),"Shyam",IF(MOD(IFERROR(VALUE(RIGHT(F426,2)),0),2)=0,"Ram","Shyam"))))</f>
        <v>Shyam</v>
      </c>
      <c r="AA426" s="28">
        <f t="shared" ca="1" si="69"/>
        <v>0</v>
      </c>
      <c r="AB426" s="28">
        <f ca="1">IF(X426=1,COUNTIFS($F$2:F426,F426,$X$2:X426,1),0)</f>
        <v>0</v>
      </c>
      <c r="AC426" s="28" t="str">
        <f>IF(L426=1,IF(IFERROR(INDEX(PARTNERS!$C$2:$C$88,MATCH(B426,PARTNERS!$A$2:$A$88,0)),"")="YES","YES","NO"),"")</f>
        <v>YES</v>
      </c>
      <c r="AD426" s="28" t="str">
        <f>IF(L426=1,IFERROR(INDEX(PARTNERS!$B$2:$B$88,MATCH(B426,PARTNERS!$A$2:$A$88,0)),""),"")</f>
        <v>https://calendly.com/partner008/interview</v>
      </c>
      <c r="AE426" s="28">
        <f ca="1">IF(X426=1,IFERROR(INDEX(SETTINGS!$B$34:$D$36,MATCH(I426,SETTINGS!$A$34:$A$36,0),MIN(Q426,2)+1),SETTINGS!$B$36),0)</f>
        <v>0</v>
      </c>
      <c r="AF426" s="28">
        <f t="shared" si="70"/>
        <v>1</v>
      </c>
      <c r="AG426" s="28">
        <f ca="1">IF(AND(Y426=1,AB426=1),ROUND(AA426*AE426*IF(AF426&gt;1,SETTINGS!$B$16,1)*IF(W426&lt;=SETTINGS!$B$14,SETTINGS!$B$15,1)*IF(AU426=1,SETTINGS!$B$21,1),6),0)</f>
        <v>0</v>
      </c>
      <c r="AH426" s="28" t="str">
        <f ca="1">IF(AG426&gt;0,COUNTIFS($Z$2:$Z$601,Z426,$AG$2:$AG$601,"&gt;"&amp;AG426)+COUNTIFS($Z$2:Z426,Z426,$AG$2:AG426,AG426),"")</f>
        <v/>
      </c>
      <c r="AI426" s="28" t="str">
        <f t="shared" ca="1" si="71"/>
        <v/>
      </c>
      <c r="AJ426" s="28" t="str">
        <f t="shared" ca="1" si="72"/>
        <v/>
      </c>
      <c r="AK426" s="28">
        <f>IF(L426=1,IF(COUNTIFS($F$2:F426,F426,$L$2:L426,1)=1,1,0),0)</f>
        <v>1</v>
      </c>
      <c r="AL426" s="28" t="str">
        <f ca="1">IF(B426="","",IF(K426="DUPLICATE","Duplicate (removed)",IF(AO426=1,"Scheduled within 24h",IF(M426=1,"Scheduled late",IF(K426="BAD CONTACT","Bad contact details",IF(O426=1,"Stopped / wrong number",IF(N426=1,"Not interested",IF(P426=1,"Partner has no slots",IF(SETTINGS!$B$4&gt;=V426,IF(Q426=0,"Missed deadline: never tried","Missed deadline: tried, not booked"),IF(Q426&gt;=SETTINGS!$B$6,"No reply after max tries","Open"))))))))))</f>
        <v>Missed deadline: tried, not booked</v>
      </c>
      <c r="AM426" s="46" t="str">
        <f>IF(M426=1,IF(_xlfn.MINIFS(LOG!$G$2:$G$2001,LOG!$C$2:$C$2001,F426,LOG!$E$2:$E$2001,B426,LOG!$D$2:$D$2001,"*BOOKED")=0,_xlfn.MINIFS(LOG!$G$2:$G$2001,LOG!$C$2:$C$2001,F426,LOG!$E$2:$E$2001,"",LOG!$D$2:$D$2001,"*BOOKED"),IF(_xlfn.MINIFS(LOG!$G$2:$G$2001,LOG!$C$2:$C$2001,F426,LOG!$E$2:$E$2001,"",LOG!$D$2:$D$2001,"*BOOKED")=0,_xlfn.MINIFS(LOG!$G$2:$G$2001,LOG!$C$2:$C$2001,F426,LOG!$E$2:$E$2001,B426,LOG!$D$2:$D$2001,"*BOOKED"),MIN(_xlfn.MINIFS(LOG!$G$2:$G$2001,LOG!$C$2:$C$2001,F426,LOG!$E$2:$E$2001,B426,LOG!$D$2:$D$2001,"*BOOKED"),_xlfn.MINIFS(LOG!$G$2:$G$2001,LOG!$C$2:$C$2001,F426,LOG!$E$2:$E$2001,"",LOG!$D$2:$D$2001,"*BOOKED")))),"")</f>
        <v/>
      </c>
      <c r="AN426" s="28" t="str">
        <f t="shared" si="73"/>
        <v/>
      </c>
      <c r="AO426" s="28">
        <f>IF(AND(M426=1,AN426&lt;&gt;""),IF(AN426&lt;=SETTINGS!$B$5,1,0),0)</f>
        <v>0</v>
      </c>
      <c r="AP426" s="28">
        <f>IF(M426=1,IF(COUNTIFS(LOG!$C$2:$C$2001,F426,LOG!$E$2:$E$2001,B426,LOG!$D$2:$D$2001,"BOOKED")+COUNTIFS(LOG!$C$2:$C$2001,F426,LOG!$E$2:$E$2001,"",LOG!$D$2:$D$2001,"BOOKED")&gt;0,1,0),0)</f>
        <v>0</v>
      </c>
      <c r="AQ426" s="28" t="str">
        <f t="shared" si="74"/>
        <v>Ira</v>
      </c>
      <c r="AR426" s="28">
        <f>IF(AND(AK426=1,K426="OK"),COUNTIFS($AK$2:AK426,1,$K$2:K426,"OK"),"")</f>
        <v>351</v>
      </c>
      <c r="AS426" s="28" t="str">
        <f>IF(L426=1,IFERROR(INDEX(MESSAGES!$J$9:$J$1008,MATCH(F426,MESSAGES!$M$9:$M$1008,0))&amp;"",""),"")</f>
        <v/>
      </c>
      <c r="AT426" s="28" t="str">
        <f>IF(L426=1,IFERROR(INDEX(MESSAGES!$K$9:$K$1008,MATCH(F426,MESSAGES!$M$9:$M$1008,0))&amp;"",""),"")</f>
        <v/>
      </c>
      <c r="AU426" s="28">
        <f t="shared" ca="1" si="75"/>
        <v>0</v>
      </c>
      <c r="AV426" s="28" t="str">
        <f t="shared" si="76"/>
        <v>SEND</v>
      </c>
    </row>
    <row r="427" spans="1:48" x14ac:dyDescent="0.35">
      <c r="A427" s="28">
        <v>426</v>
      </c>
      <c r="B427" s="28" t="str">
        <f>IF(INPUT!A427="","",TRIM(INPUT!A427))</f>
        <v>Partner 023</v>
      </c>
      <c r="C427" s="28" t="str">
        <f>IF(B427="","",INPUT!C427)</f>
        <v>interviewer1@partner023.example.com</v>
      </c>
      <c r="D427" s="28" t="str">
        <f>IF(B427="","",INPUT!D427)</f>
        <v>Arjun N.</v>
      </c>
      <c r="E427" s="28" t="str">
        <f>IF(B427="","",INPUT!E427)</f>
        <v>arjun.n368@example.com</v>
      </c>
      <c r="F427" s="43" t="str">
        <f>IF(B427="","",TRIM(INPUT!F427&amp;""))</f>
        <v>9000004791</v>
      </c>
      <c r="G427" s="28" t="str">
        <f>IF(B427="","",INPUT!H427)</f>
        <v>Round1</v>
      </c>
      <c r="H427" s="46">
        <f>IF(B427="","",INPUT!I427)</f>
        <v>46308.82708333333</v>
      </c>
      <c r="I427" s="28" t="str">
        <f>IF(B427="","",IF(INPUT!J427="","None",INPUT!J427))</f>
        <v>Clicked</v>
      </c>
      <c r="J427" s="28" t="str">
        <f t="shared" si="66"/>
        <v>arjun.n368@example.com|partner 023|Round1|interviewer1@partner023.example.com</v>
      </c>
      <c r="K427" s="28" t="str">
        <f>IF(B427="","",IF(SUMPRODUCT(($J$2:$J$601=J427)*($H$2:$H$601&lt;H427))+SUMPRODUCT(($J$2:J427=J427)*($H$2:H427=H427))-1&gt;0,"DUPLICATE",IF(AND(ISNUMBER(SEARCH("@",E427)),ISNUMBER(SEARCH(".",E427)),LEN(F427)=10,ISNUMBER(VALUE(F427))),"OK","BAD CONTACT")))</f>
        <v>OK</v>
      </c>
      <c r="L427" s="28">
        <f t="shared" si="67"/>
        <v>1</v>
      </c>
      <c r="M427" s="28">
        <f>IF(L427=1,IF(COUNTIFS(LOG!$C$2:$C$2001,F427,LOG!$E$2:$E$2001,B427,LOG!$D$2:$D$2001,"*BOOKED")+COUNTIFS(LOG!$C$2:$C$2001,F427,LOG!$E$2:$E$2001,"",LOG!$D$2:$D$2001,"*BOOKED")&gt;0,1,0),0)</f>
        <v>1</v>
      </c>
      <c r="N427" s="28">
        <f>IF(L427=1,IF(COUNTIFS(LOG!$C$2:$C$2001,F427,LOG!$E$2:$E$2001,B427,LOG!$D$2:$D$2001,"NOT_INTERESTED")+COUNTIFS(LOG!$C$2:$C$2001,F427,LOG!$E$2:$E$2001,"",LOG!$D$2:$D$2001,"NOT_INTERESTED")&gt;0,1,0),0)</f>
        <v>0</v>
      </c>
      <c r="O427" s="28">
        <f>IF(L427=1,IF(COUNTIFS(LOG!$C$2:$C$2001,F427,LOG!$D$2:$D$2001,"STOP")+COUNTIFS(LOG!$C$2:$C$2001,F427,LOG!$D$2:$D$2001,"WRONG_NUMBER")&gt;0,1,IF(ISNUMBER(SEARCH("STOP",AT427)),1,0)),0)</f>
        <v>0</v>
      </c>
      <c r="P427" s="28">
        <f>IF(L427=1,IF(IFERROR(INDEX(PARTNERS!$D$2:$D$88,MATCH(B427,PARTNERS!$A$2:$A$88,0)),"")="NO SLOTS",1,IF(AND(IFERROR(INDEX(PARTNERS!$D$2:$D$88,MATCH(B427,PARTNERS!$A$2:$A$88,0)),"")&lt;&gt;"REOPENED",COUNTIFS(LOG!$E$2:$E$2001,B427,LOG!$D$2:$D$2001,"NO_SLOTS")&gt;0),1,0)),0)</f>
        <v>0</v>
      </c>
      <c r="Q427" s="28">
        <f>IF(L427=1,COUNTIFS(LOG!$C$2:$C$2001,F427,LOG!$H$2:$H$2001,1),0)</f>
        <v>1</v>
      </c>
      <c r="R427" s="46">
        <f>IF(Q427&gt;0,_xlfn.MAXIFS(LOG!$G$2:$G$2001,LOG!$C$2:$C$2001,F427,LOG!$H$2:$H$2001,1),0)</f>
        <v>46309.420780410117</v>
      </c>
      <c r="S427" s="28" t="str">
        <f>IF(Q427&gt;0,IFERROR(INDEX(LOG!$D$2:$D$2001,MATCH(F427&amp;"|"&amp;Q427,LOG!$I$2:$I$2001,0)),""),"")</f>
        <v>SENT_LINK</v>
      </c>
      <c r="T427" s="28">
        <f>IF(S427="",0,IFERROR(VLOOKUP(S427,LISTS!$A$2:$E$10,4,FALSE),0))</f>
        <v>180</v>
      </c>
      <c r="U427" s="46">
        <f t="shared" si="68"/>
        <v>46309.545780410117</v>
      </c>
      <c r="V427" s="46">
        <f>IF(L427=1,H427+SETTINGS!$B$5/24,"")</f>
        <v>46309.82708333333</v>
      </c>
      <c r="W427" s="28">
        <f ca="1">IF(L427=1,(V427-SETTINGS!$B$4)*24,"")</f>
        <v>-1.6666666720993817E-2</v>
      </c>
      <c r="X427" s="28">
        <f ca="1">IF(AND(L427=1,K427="OK",M427=0,N427=0,O427=0,P427=0,SETTINGS!$B$4&lt;V427,Q427&lt;SETTINGS!$B$6),1,0)</f>
        <v>0</v>
      </c>
      <c r="Y427" s="28">
        <f ca="1">IF(AND(X427=1,SETTINGS!$B$4&gt;=H427,SETTINGS!$B$4&gt;=U427,ROUND(MOD(SETTINGS!$B$4,1)*1440,0)&gt;=ROUND(SETTINGS!$B$7*1440,0),ROUND(MOD(SETTINGS!$B$4,1)*1440,0)&lt;ROUND(SETTINGS!$B$8*1440,0)),1,0)</f>
        <v>0</v>
      </c>
      <c r="Z427" s="28" t="str">
        <f ca="1">IF(B427="","",IF(ROUND(MOD(SETTINGS!$B$4,1)*1440,0)&lt;ROUND(SETTINGS!$B$11*1440,0),"Ram",IF(ROUND(MOD(SETTINGS!$B$4,1)*1440,0)&gt;=ROUND(SETTINGS!$B$10*1440,0),"Shyam",IF(MOD(IFERROR(VALUE(RIGHT(F427,2)),0),2)=0,"Ram","Shyam"))))</f>
        <v>Shyam</v>
      </c>
      <c r="AA427" s="28">
        <f t="shared" ca="1" si="69"/>
        <v>0</v>
      </c>
      <c r="AB427" s="28">
        <f ca="1">IF(X427=1,COUNTIFS($F$2:F427,F427,$X$2:X427,1),0)</f>
        <v>0</v>
      </c>
      <c r="AC427" s="28" t="str">
        <f>IF(L427=1,IF(IFERROR(INDEX(PARTNERS!$C$2:$C$88,MATCH(B427,PARTNERS!$A$2:$A$88,0)),"")="YES","YES","NO"),"")</f>
        <v>YES</v>
      </c>
      <c r="AD427" s="28" t="str">
        <f>IF(L427=1,IFERROR(INDEX(PARTNERS!$B$2:$B$88,MATCH(B427,PARTNERS!$A$2:$A$88,0)),""),"")</f>
        <v>https://calendly.com/partner023/interview</v>
      </c>
      <c r="AE427" s="28">
        <f ca="1">IF(X427=1,IFERROR(INDEX(SETTINGS!$B$34:$D$36,MATCH(I427,SETTINGS!$A$34:$A$36,0),MIN(Q427,2)+1),SETTINGS!$B$36),0)</f>
        <v>0</v>
      </c>
      <c r="AF427" s="28">
        <f t="shared" si="70"/>
        <v>1</v>
      </c>
      <c r="AG427" s="28">
        <f ca="1">IF(AND(Y427=1,AB427=1),ROUND(AA427*AE427*IF(AF427&gt;1,SETTINGS!$B$16,1)*IF(W427&lt;=SETTINGS!$B$14,SETTINGS!$B$15,1)*IF(AU427=1,SETTINGS!$B$21,1),6),0)</f>
        <v>0</v>
      </c>
      <c r="AH427" s="28" t="str">
        <f ca="1">IF(AG427&gt;0,COUNTIFS($Z$2:$Z$601,Z427,$AG$2:$AG$601,"&gt;"&amp;AG427)+COUNTIFS($Z$2:Z427,Z427,$AG$2:AG427,AG427),"")</f>
        <v/>
      </c>
      <c r="AI427" s="28" t="str">
        <f t="shared" ca="1" si="71"/>
        <v/>
      </c>
      <c r="AJ427" s="28" t="str">
        <f t="shared" ca="1" si="72"/>
        <v/>
      </c>
      <c r="AK427" s="28">
        <f>IF(L427=1,IF(COUNTIFS($F$2:F427,F427,$L$2:L427,1)=1,1,0),0)</f>
        <v>0</v>
      </c>
      <c r="AL427" s="28" t="str">
        <f>IF(B427="","",IF(K427="DUPLICATE","Duplicate (removed)",IF(AO427=1,"Scheduled within 24h",IF(M427=1,"Scheduled late",IF(K427="BAD CONTACT","Bad contact details",IF(O427=1,"Stopped / wrong number",IF(N427=1,"Not interested",IF(P427=1,"Partner has no slots",IF(SETTINGS!$B$4&gt;=V427,IF(Q427=0,"Missed deadline: never tried","Missed deadline: tried, not booked"),IF(Q427&gt;=SETTINGS!$B$6,"No reply after max tries","Open"))))))))))</f>
        <v>Scheduled within 24h</v>
      </c>
      <c r="AM427" s="46">
        <f>IF(M427=1,IF(_xlfn.MINIFS(LOG!$G$2:$G$2001,LOG!$C$2:$C$2001,F427,LOG!$E$2:$E$2001,B427,LOG!$D$2:$D$2001,"*BOOKED")=0,_xlfn.MINIFS(LOG!$G$2:$G$2001,LOG!$C$2:$C$2001,F427,LOG!$E$2:$E$2001,"",LOG!$D$2:$D$2001,"*BOOKED"),IF(_xlfn.MINIFS(LOG!$G$2:$G$2001,LOG!$C$2:$C$2001,F427,LOG!$E$2:$E$2001,"",LOG!$D$2:$D$2001,"*BOOKED")=0,_xlfn.MINIFS(LOG!$G$2:$G$2001,LOG!$C$2:$C$2001,F427,LOG!$E$2:$E$2001,B427,LOG!$D$2:$D$2001,"*BOOKED"),MIN(_xlfn.MINIFS(LOG!$G$2:$G$2001,LOG!$C$2:$C$2001,F427,LOG!$E$2:$E$2001,B427,LOG!$D$2:$D$2001,"*BOOKED"),_xlfn.MINIFS(LOG!$G$2:$G$2001,LOG!$C$2:$C$2001,F427,LOG!$E$2:$E$2001,"",LOG!$D$2:$D$2001,"*BOOKED")))),"")</f>
        <v>46309.421011891594</v>
      </c>
      <c r="AN427" s="28">
        <f t="shared" si="73"/>
        <v>14.254285398346838</v>
      </c>
      <c r="AO427" s="28">
        <f>IF(AND(M427=1,AN427&lt;&gt;""),IF(AN427&lt;=SETTINGS!$B$5,1,0),0)</f>
        <v>1</v>
      </c>
      <c r="AP427" s="28">
        <f>IF(M427=1,IF(COUNTIFS(LOG!$C$2:$C$2001,F427,LOG!$E$2:$E$2001,B427,LOG!$D$2:$D$2001,"BOOKED")+COUNTIFS(LOG!$C$2:$C$2001,F427,LOG!$E$2:$E$2001,"",LOG!$D$2:$D$2001,"BOOKED")&gt;0,1,0),0)</f>
        <v>1</v>
      </c>
      <c r="AQ427" s="28" t="str">
        <f t="shared" si="74"/>
        <v>Arjun</v>
      </c>
      <c r="AR427" s="28" t="str">
        <f>IF(AND(AK427=1,K427="OK"),COUNTIFS($AK$2:AK427,1,$K$2:K427,"OK"),"")</f>
        <v/>
      </c>
      <c r="AS427" s="28" t="str">
        <f>IF(L427=1,IFERROR(INDEX(MESSAGES!$J$9:$J$1008,MATCH(F427,MESSAGES!$M$9:$M$1008,0))&amp;"",""),"")</f>
        <v/>
      </c>
      <c r="AT427" s="28" t="str">
        <f>IF(L427=1,IFERROR(INDEX(MESSAGES!$K$9:$K$1008,MATCH(F427,MESSAGES!$M$9:$M$1008,0))&amp;"",""),"")</f>
        <v/>
      </c>
      <c r="AU427" s="28">
        <f t="shared" ca="1" si="75"/>
        <v>0</v>
      </c>
      <c r="AV427" s="28" t="str">
        <f t="shared" si="76"/>
        <v>HOLD</v>
      </c>
    </row>
    <row r="428" spans="1:48" x14ac:dyDescent="0.35">
      <c r="A428" s="28">
        <v>427</v>
      </c>
      <c r="B428" s="28" t="str">
        <f>IF(INPUT!A428="","",TRIM(INPUT!A428))</f>
        <v>Partner 013</v>
      </c>
      <c r="C428" s="28" t="str">
        <f>IF(B428="","",INPUT!C428)</f>
        <v>interviewer1@partner013.example.com</v>
      </c>
      <c r="D428" s="28" t="str">
        <f>IF(B428="","",INPUT!D428)</f>
        <v>Reyansh B.</v>
      </c>
      <c r="E428" s="28" t="str">
        <f>IF(B428="","",INPUT!E428)</f>
        <v>reyansh.b036@example.com</v>
      </c>
      <c r="F428" s="43" t="str">
        <f>IF(B428="","",TRIM(INPUT!F428&amp;""))</f>
        <v>9000000475</v>
      </c>
      <c r="G428" s="28" t="str">
        <f>IF(B428="","",INPUT!H428)</f>
        <v>Round1</v>
      </c>
      <c r="H428" s="46">
        <f>IF(B428="","",INPUT!I428)</f>
        <v>46308.82708333333</v>
      </c>
      <c r="I428" s="28" t="str">
        <f>IF(B428="","",IF(INPUT!J428="","None",INPUT!J428))</f>
        <v>None</v>
      </c>
      <c r="J428" s="28" t="str">
        <f t="shared" si="66"/>
        <v>reyansh.b036@example.com|partner 013|Round1|interviewer1@partner013.example.com</v>
      </c>
      <c r="K428" s="28" t="str">
        <f>IF(B428="","",IF(SUMPRODUCT(($J$2:$J$601=J428)*($H$2:$H$601&lt;H428))+SUMPRODUCT(($J$2:J428=J428)*($H$2:H428=H428))-1&gt;0,"DUPLICATE",IF(AND(ISNUMBER(SEARCH("@",E428)),ISNUMBER(SEARCH(".",E428)),LEN(F428)=10,ISNUMBER(VALUE(F428))),"OK","BAD CONTACT")))</f>
        <v>OK</v>
      </c>
      <c r="L428" s="28">
        <f t="shared" si="67"/>
        <v>1</v>
      </c>
      <c r="M428" s="28">
        <f>IF(L428=1,IF(COUNTIFS(LOG!$C$2:$C$2001,F428,LOG!$E$2:$E$2001,B428,LOG!$D$2:$D$2001,"*BOOKED")+COUNTIFS(LOG!$C$2:$C$2001,F428,LOG!$E$2:$E$2001,"",LOG!$D$2:$D$2001,"*BOOKED")&gt;0,1,0),0)</f>
        <v>0</v>
      </c>
      <c r="N428" s="28">
        <f>IF(L428=1,IF(COUNTIFS(LOG!$C$2:$C$2001,F428,LOG!$E$2:$E$2001,B428,LOG!$D$2:$D$2001,"NOT_INTERESTED")+COUNTIFS(LOG!$C$2:$C$2001,F428,LOG!$E$2:$E$2001,"",LOG!$D$2:$D$2001,"NOT_INTERESTED")&gt;0,1,0),0)</f>
        <v>0</v>
      </c>
      <c r="O428" s="28">
        <f>IF(L428=1,IF(COUNTIFS(LOG!$C$2:$C$2001,F428,LOG!$D$2:$D$2001,"STOP")+COUNTIFS(LOG!$C$2:$C$2001,F428,LOG!$D$2:$D$2001,"WRONG_NUMBER")&gt;0,1,IF(ISNUMBER(SEARCH("STOP",AT428)),1,0)),0)</f>
        <v>0</v>
      </c>
      <c r="P428" s="28">
        <f>IF(L428=1,IF(IFERROR(INDEX(PARTNERS!$D$2:$D$88,MATCH(B428,PARTNERS!$A$2:$A$88,0)),"")="NO SLOTS",1,IF(AND(IFERROR(INDEX(PARTNERS!$D$2:$D$88,MATCH(B428,PARTNERS!$A$2:$A$88,0)),"")&lt;&gt;"REOPENED",COUNTIFS(LOG!$E$2:$E$2001,B428,LOG!$D$2:$D$2001,"NO_SLOTS")&gt;0),1,0)),0)</f>
        <v>0</v>
      </c>
      <c r="Q428" s="28">
        <f>IF(L428=1,COUNTIFS(LOG!$C$2:$C$2001,F428,LOG!$H$2:$H$2001,1),0)</f>
        <v>0</v>
      </c>
      <c r="R428" s="46">
        <f>IF(Q428&gt;0,_xlfn.MAXIFS(LOG!$G$2:$G$2001,LOG!$C$2:$C$2001,F428,LOG!$H$2:$H$2001,1),0)</f>
        <v>0</v>
      </c>
      <c r="S428" s="28" t="str">
        <f>IF(Q428&gt;0,IFERROR(INDEX(LOG!$D$2:$D$2001,MATCH(F428&amp;"|"&amp;Q428,LOG!$I$2:$I$2001,0)),""),"")</f>
        <v/>
      </c>
      <c r="T428" s="28">
        <f>IF(S428="",0,IFERROR(VLOOKUP(S428,LISTS!$A$2:$E$10,4,FALSE),0))</f>
        <v>0</v>
      </c>
      <c r="U428" s="46">
        <f t="shared" si="68"/>
        <v>0</v>
      </c>
      <c r="V428" s="46">
        <f>IF(L428=1,H428+SETTINGS!$B$5/24,"")</f>
        <v>46309.82708333333</v>
      </c>
      <c r="W428" s="28">
        <f ca="1">IF(L428=1,(V428-SETTINGS!$B$4)*24,"")</f>
        <v>-1.6666666720993817E-2</v>
      </c>
      <c r="X428" s="28">
        <f ca="1">IF(AND(L428=1,K428="OK",M428=0,N428=0,O428=0,P428=0,SETTINGS!$B$4&lt;V428,Q428&lt;SETTINGS!$B$6),1,0)</f>
        <v>0</v>
      </c>
      <c r="Y428" s="28">
        <f ca="1">IF(AND(X428=1,SETTINGS!$B$4&gt;=H428,SETTINGS!$B$4&gt;=U428,ROUND(MOD(SETTINGS!$B$4,1)*1440,0)&gt;=ROUND(SETTINGS!$B$7*1440,0),ROUND(MOD(SETTINGS!$B$4,1)*1440,0)&lt;ROUND(SETTINGS!$B$8*1440,0)),1,0)</f>
        <v>0</v>
      </c>
      <c r="Z428" s="28" t="str">
        <f ca="1">IF(B428="","",IF(ROUND(MOD(SETTINGS!$B$4,1)*1440,0)&lt;ROUND(SETTINGS!$B$11*1440,0),"Ram",IF(ROUND(MOD(SETTINGS!$B$4,1)*1440,0)&gt;=ROUND(SETTINGS!$B$10*1440,0),"Shyam",IF(MOD(IFERROR(VALUE(RIGHT(F428,2)),0),2)=0,"Ram","Shyam"))))</f>
        <v>Shyam</v>
      </c>
      <c r="AA428" s="28">
        <f t="shared" ca="1" si="69"/>
        <v>0</v>
      </c>
      <c r="AB428" s="28">
        <f ca="1">IF(X428=1,COUNTIFS($F$2:F428,F428,$X$2:X428,1),0)</f>
        <v>0</v>
      </c>
      <c r="AC428" s="28" t="str">
        <f>IF(L428=1,IF(IFERROR(INDEX(PARTNERS!$C$2:$C$88,MATCH(B428,PARTNERS!$A$2:$A$88,0)),"")="YES","YES","NO"),"")</f>
        <v>YES</v>
      </c>
      <c r="AD428" s="28" t="str">
        <f>IF(L428=1,IFERROR(INDEX(PARTNERS!$B$2:$B$88,MATCH(B428,PARTNERS!$A$2:$A$88,0)),""),"")</f>
        <v>https://calendly.com/partner013/interview</v>
      </c>
      <c r="AE428" s="28">
        <f ca="1">IF(X428=1,IFERROR(INDEX(SETTINGS!$B$34:$D$36,MATCH(I428,SETTINGS!$A$34:$A$36,0),MIN(Q428,2)+1),SETTINGS!$B$36),0)</f>
        <v>0</v>
      </c>
      <c r="AF428" s="28">
        <f t="shared" si="70"/>
        <v>1</v>
      </c>
      <c r="AG428" s="28">
        <f ca="1">IF(AND(Y428=1,AB428=1),ROUND(AA428*AE428*IF(AF428&gt;1,SETTINGS!$B$16,1)*IF(W428&lt;=SETTINGS!$B$14,SETTINGS!$B$15,1)*IF(AU428=1,SETTINGS!$B$21,1),6),0)</f>
        <v>0</v>
      </c>
      <c r="AH428" s="28" t="str">
        <f ca="1">IF(AG428&gt;0,COUNTIFS($Z$2:$Z$601,Z428,$AG$2:$AG$601,"&gt;"&amp;AG428)+COUNTIFS($Z$2:Z428,Z428,$AG$2:AG428,AG428),"")</f>
        <v/>
      </c>
      <c r="AI428" s="28" t="str">
        <f t="shared" ca="1" si="71"/>
        <v/>
      </c>
      <c r="AJ428" s="28" t="str">
        <f t="shared" ca="1" si="72"/>
        <v/>
      </c>
      <c r="AK428" s="28">
        <f>IF(L428=1,IF(COUNTIFS($F$2:F428,F428,$L$2:L428,1)=1,1,0),0)</f>
        <v>1</v>
      </c>
      <c r="AL428" s="28" t="str">
        <f ca="1">IF(B428="","",IF(K428="DUPLICATE","Duplicate (removed)",IF(AO428=1,"Scheduled within 24h",IF(M428=1,"Scheduled late",IF(K428="BAD CONTACT","Bad contact details",IF(O428=1,"Stopped / wrong number",IF(N428=1,"Not interested",IF(P428=1,"Partner has no slots",IF(SETTINGS!$B$4&gt;=V428,IF(Q428=0,"Missed deadline: never tried","Missed deadline: tried, not booked"),IF(Q428&gt;=SETTINGS!$B$6,"No reply after max tries","Open"))))))))))</f>
        <v>Missed deadline: never tried</v>
      </c>
      <c r="AM428" s="46" t="str">
        <f>IF(M428=1,IF(_xlfn.MINIFS(LOG!$G$2:$G$2001,LOG!$C$2:$C$2001,F428,LOG!$E$2:$E$2001,B428,LOG!$D$2:$D$2001,"*BOOKED")=0,_xlfn.MINIFS(LOG!$G$2:$G$2001,LOG!$C$2:$C$2001,F428,LOG!$E$2:$E$2001,"",LOG!$D$2:$D$2001,"*BOOKED"),IF(_xlfn.MINIFS(LOG!$G$2:$G$2001,LOG!$C$2:$C$2001,F428,LOG!$E$2:$E$2001,"",LOG!$D$2:$D$2001,"*BOOKED")=0,_xlfn.MINIFS(LOG!$G$2:$G$2001,LOG!$C$2:$C$2001,F428,LOG!$E$2:$E$2001,B428,LOG!$D$2:$D$2001,"*BOOKED"),MIN(_xlfn.MINIFS(LOG!$G$2:$G$2001,LOG!$C$2:$C$2001,F428,LOG!$E$2:$E$2001,B428,LOG!$D$2:$D$2001,"*BOOKED"),_xlfn.MINIFS(LOG!$G$2:$G$2001,LOG!$C$2:$C$2001,F428,LOG!$E$2:$E$2001,"",LOG!$D$2:$D$2001,"*BOOKED")))),"")</f>
        <v/>
      </c>
      <c r="AN428" s="28" t="str">
        <f t="shared" si="73"/>
        <v/>
      </c>
      <c r="AO428" s="28">
        <f>IF(AND(M428=1,AN428&lt;&gt;""),IF(AN428&lt;=SETTINGS!$B$5,1,0),0)</f>
        <v>0</v>
      </c>
      <c r="AP428" s="28">
        <f>IF(M428=1,IF(COUNTIFS(LOG!$C$2:$C$2001,F428,LOG!$E$2:$E$2001,B428,LOG!$D$2:$D$2001,"BOOKED")+COUNTIFS(LOG!$C$2:$C$2001,F428,LOG!$E$2:$E$2001,"",LOG!$D$2:$D$2001,"BOOKED")&gt;0,1,0),0)</f>
        <v>0</v>
      </c>
      <c r="AQ428" s="28" t="str">
        <f t="shared" si="74"/>
        <v>Reyansh</v>
      </c>
      <c r="AR428" s="28">
        <f>IF(AND(AK428=1,K428="OK"),COUNTIFS($AK$2:AK428,1,$K$2:K428,"OK"),"")</f>
        <v>352</v>
      </c>
      <c r="AS428" s="28" t="str">
        <f>IF(L428=1,IFERROR(INDEX(MESSAGES!$J$9:$J$1008,MATCH(F428,MESSAGES!$M$9:$M$1008,0))&amp;"",""),"")</f>
        <v/>
      </c>
      <c r="AT428" s="28" t="str">
        <f>IF(L428=1,IFERROR(INDEX(MESSAGES!$K$9:$K$1008,MATCH(F428,MESSAGES!$M$9:$M$1008,0))&amp;"",""),"")</f>
        <v/>
      </c>
      <c r="AU428" s="28">
        <f t="shared" ca="1" si="75"/>
        <v>0</v>
      </c>
      <c r="AV428" s="28" t="str">
        <f t="shared" si="76"/>
        <v>HOLD</v>
      </c>
    </row>
    <row r="429" spans="1:48" x14ac:dyDescent="0.35">
      <c r="A429" s="28">
        <v>428</v>
      </c>
      <c r="B429" s="28" t="str">
        <f>IF(INPUT!A429="","",TRIM(INPUT!A429))</f>
        <v>Partner 004</v>
      </c>
      <c r="C429" s="28" t="str">
        <f>IF(B429="","",INPUT!C429)</f>
        <v>interviewer0@partner004.example.com</v>
      </c>
      <c r="D429" s="28" t="str">
        <f>IF(B429="","",INPUT!D429)</f>
        <v>Ishaan C.</v>
      </c>
      <c r="E429" s="28" t="str">
        <f>IF(B429="","",INPUT!E429)</f>
        <v>ishaan.c074@example.com</v>
      </c>
      <c r="F429" s="43" t="str">
        <f>IF(B429="","",TRIM(INPUT!F429&amp;""))</f>
        <v>9000000969</v>
      </c>
      <c r="G429" s="28" t="str">
        <f>IF(B429="","",INPUT!H429)</f>
        <v>Round1</v>
      </c>
      <c r="H429" s="46">
        <f>IF(B429="","",INPUT!I429)</f>
        <v>46308.82708333333</v>
      </c>
      <c r="I429" s="28" t="str">
        <f>IF(B429="","",IF(INPUT!J429="","None",INPUT!J429))</f>
        <v>Clicked</v>
      </c>
      <c r="J429" s="28" t="str">
        <f t="shared" si="66"/>
        <v>ishaan.c074@example.com|partner 004|Round1|interviewer0@partner004.example.com</v>
      </c>
      <c r="K429" s="28" t="str">
        <f>IF(B429="","",IF(SUMPRODUCT(($J$2:$J$601=J429)*($H$2:$H$601&lt;H429))+SUMPRODUCT(($J$2:J429=J429)*($H$2:H429=H429))-1&gt;0,"DUPLICATE",IF(AND(ISNUMBER(SEARCH("@",E429)),ISNUMBER(SEARCH(".",E429)),LEN(F429)=10,ISNUMBER(VALUE(F429))),"OK","BAD CONTACT")))</f>
        <v>OK</v>
      </c>
      <c r="L429" s="28">
        <f t="shared" si="67"/>
        <v>1</v>
      </c>
      <c r="M429" s="28">
        <f>IF(L429=1,IF(COUNTIFS(LOG!$C$2:$C$2001,F429,LOG!$E$2:$E$2001,B429,LOG!$D$2:$D$2001,"*BOOKED")+COUNTIFS(LOG!$C$2:$C$2001,F429,LOG!$E$2:$E$2001,"",LOG!$D$2:$D$2001,"*BOOKED")&gt;0,1,0),0)</f>
        <v>1</v>
      </c>
      <c r="N429" s="28">
        <f>IF(L429=1,IF(COUNTIFS(LOG!$C$2:$C$2001,F429,LOG!$E$2:$E$2001,B429,LOG!$D$2:$D$2001,"NOT_INTERESTED")+COUNTIFS(LOG!$C$2:$C$2001,F429,LOG!$E$2:$E$2001,"",LOG!$D$2:$D$2001,"NOT_INTERESTED")&gt;0,1,0),0)</f>
        <v>0</v>
      </c>
      <c r="O429" s="28">
        <f>IF(L429=1,IF(COUNTIFS(LOG!$C$2:$C$2001,F429,LOG!$D$2:$D$2001,"STOP")+COUNTIFS(LOG!$C$2:$C$2001,F429,LOG!$D$2:$D$2001,"WRONG_NUMBER")&gt;0,1,IF(ISNUMBER(SEARCH("STOP",AT429)),1,0)),0)</f>
        <v>0</v>
      </c>
      <c r="P429" s="28">
        <f>IF(L429=1,IF(IFERROR(INDEX(PARTNERS!$D$2:$D$88,MATCH(B429,PARTNERS!$A$2:$A$88,0)),"")="NO SLOTS",1,IF(AND(IFERROR(INDEX(PARTNERS!$D$2:$D$88,MATCH(B429,PARTNERS!$A$2:$A$88,0)),"")&lt;&gt;"REOPENED",COUNTIFS(LOG!$E$2:$E$2001,B429,LOG!$D$2:$D$2001,"NO_SLOTS")&gt;0),1,0)),0)</f>
        <v>0</v>
      </c>
      <c r="Q429" s="28">
        <f>IF(L429=1,COUNTIFS(LOG!$C$2:$C$2001,F429,LOG!$H$2:$H$2001,1),0)</f>
        <v>2</v>
      </c>
      <c r="R429" s="46">
        <f>IF(Q429&gt;0,_xlfn.MAXIFS(LOG!$G$2:$G$2001,LOG!$C$2:$C$2001,F429,LOG!$H$2:$H$2001,1),0)</f>
        <v>46309.56680413874</v>
      </c>
      <c r="S429" s="28" t="str">
        <f>IF(Q429&gt;0,IFERROR(INDEX(LOG!$D$2:$D$2001,MATCH(F429&amp;"|"&amp;Q429,LOG!$I$2:$I$2001,0)),""),"")</f>
        <v>BOOKED</v>
      </c>
      <c r="T429" s="28">
        <f>IF(S429="",0,IFERROR(VLOOKUP(S429,LISTS!$A$2:$E$10,4,FALSE),0))</f>
        <v>0</v>
      </c>
      <c r="U429" s="46">
        <f t="shared" si="68"/>
        <v>46309.56680413874</v>
      </c>
      <c r="V429" s="46">
        <f>IF(L429=1,H429+SETTINGS!$B$5/24,"")</f>
        <v>46309.82708333333</v>
      </c>
      <c r="W429" s="28">
        <f ca="1">IF(L429=1,(V429-SETTINGS!$B$4)*24,"")</f>
        <v>-1.6666666720993817E-2</v>
      </c>
      <c r="X429" s="28">
        <f ca="1">IF(AND(L429=1,K429="OK",M429=0,N429=0,O429=0,P429=0,SETTINGS!$B$4&lt;V429,Q429&lt;SETTINGS!$B$6),1,0)</f>
        <v>0</v>
      </c>
      <c r="Y429" s="28">
        <f ca="1">IF(AND(X429=1,SETTINGS!$B$4&gt;=H429,SETTINGS!$B$4&gt;=U429,ROUND(MOD(SETTINGS!$B$4,1)*1440,0)&gt;=ROUND(SETTINGS!$B$7*1440,0),ROUND(MOD(SETTINGS!$B$4,1)*1440,0)&lt;ROUND(SETTINGS!$B$8*1440,0)),1,0)</f>
        <v>0</v>
      </c>
      <c r="Z429" s="28" t="str">
        <f ca="1">IF(B429="","",IF(ROUND(MOD(SETTINGS!$B$4,1)*1440,0)&lt;ROUND(SETTINGS!$B$11*1440,0),"Ram",IF(ROUND(MOD(SETTINGS!$B$4,1)*1440,0)&gt;=ROUND(SETTINGS!$B$10*1440,0),"Shyam",IF(MOD(IFERROR(VALUE(RIGHT(F429,2)),0),2)=0,"Ram","Shyam"))))</f>
        <v>Shyam</v>
      </c>
      <c r="AA429" s="28">
        <f t="shared" ca="1" si="69"/>
        <v>0</v>
      </c>
      <c r="AB429" s="28">
        <f ca="1">IF(X429=1,COUNTIFS($F$2:F429,F429,$X$2:X429,1),0)</f>
        <v>0</v>
      </c>
      <c r="AC429" s="28" t="str">
        <f>IF(L429=1,IF(IFERROR(INDEX(PARTNERS!$C$2:$C$88,MATCH(B429,PARTNERS!$A$2:$A$88,0)),"")="YES","YES","NO"),"")</f>
        <v>YES</v>
      </c>
      <c r="AD429" s="28" t="str">
        <f>IF(L429=1,IFERROR(INDEX(PARTNERS!$B$2:$B$88,MATCH(B429,PARTNERS!$A$2:$A$88,0)),""),"")</f>
        <v>https://calendly.com/partner004/interview</v>
      </c>
      <c r="AE429" s="28">
        <f ca="1">IF(X429=1,IFERROR(INDEX(SETTINGS!$B$34:$D$36,MATCH(I429,SETTINGS!$A$34:$A$36,0),MIN(Q429,2)+1),SETTINGS!$B$36),0)</f>
        <v>0</v>
      </c>
      <c r="AF429" s="28">
        <f t="shared" si="70"/>
        <v>1</v>
      </c>
      <c r="AG429" s="28">
        <f ca="1">IF(AND(Y429=1,AB429=1),ROUND(AA429*AE429*IF(AF429&gt;1,SETTINGS!$B$16,1)*IF(W429&lt;=SETTINGS!$B$14,SETTINGS!$B$15,1)*IF(AU429=1,SETTINGS!$B$21,1),6),0)</f>
        <v>0</v>
      </c>
      <c r="AH429" s="28" t="str">
        <f ca="1">IF(AG429&gt;0,COUNTIFS($Z$2:$Z$601,Z429,$AG$2:$AG$601,"&gt;"&amp;AG429)+COUNTIFS($Z$2:Z429,Z429,$AG$2:AG429,AG429),"")</f>
        <v/>
      </c>
      <c r="AI429" s="28" t="str">
        <f t="shared" ca="1" si="71"/>
        <v/>
      </c>
      <c r="AJ429" s="28" t="str">
        <f t="shared" ca="1" si="72"/>
        <v/>
      </c>
      <c r="AK429" s="28">
        <f>IF(L429=1,IF(COUNTIFS($F$2:F429,F429,$L$2:L429,1)=1,1,0),0)</f>
        <v>1</v>
      </c>
      <c r="AL429" s="28" t="str">
        <f>IF(B429="","",IF(K429="DUPLICATE","Duplicate (removed)",IF(AO429=1,"Scheduled within 24h",IF(M429=1,"Scheduled late",IF(K429="BAD CONTACT","Bad contact details",IF(O429=1,"Stopped / wrong number",IF(N429=1,"Not interested",IF(P429=1,"Partner has no slots",IF(SETTINGS!$B$4&gt;=V429,IF(Q429=0,"Missed deadline: never tried","Missed deadline: tried, not booked"),IF(Q429&gt;=SETTINGS!$B$6,"No reply after max tries","Open"))))))))))</f>
        <v>Scheduled within 24h</v>
      </c>
      <c r="AM429" s="46">
        <f>IF(M429=1,IF(_xlfn.MINIFS(LOG!$G$2:$G$2001,LOG!$C$2:$C$2001,F429,LOG!$E$2:$E$2001,B429,LOG!$D$2:$D$2001,"*BOOKED")=0,_xlfn.MINIFS(LOG!$G$2:$G$2001,LOG!$C$2:$C$2001,F429,LOG!$E$2:$E$2001,"",LOG!$D$2:$D$2001,"*BOOKED"),IF(_xlfn.MINIFS(LOG!$G$2:$G$2001,LOG!$C$2:$C$2001,F429,LOG!$E$2:$E$2001,"",LOG!$D$2:$D$2001,"*BOOKED")=0,_xlfn.MINIFS(LOG!$G$2:$G$2001,LOG!$C$2:$C$2001,F429,LOG!$E$2:$E$2001,B429,LOG!$D$2:$D$2001,"*BOOKED"),MIN(_xlfn.MINIFS(LOG!$G$2:$G$2001,LOG!$C$2:$C$2001,F429,LOG!$E$2:$E$2001,B429,LOG!$D$2:$D$2001,"*BOOKED"),_xlfn.MINIFS(LOG!$G$2:$G$2001,LOG!$C$2:$C$2001,F429,LOG!$E$2:$E$2001,"",LOG!$D$2:$D$2001,"*BOOKED")))),"")</f>
        <v>46309.56680413874</v>
      </c>
      <c r="AN429" s="28">
        <f t="shared" si="73"/>
        <v>17.753299329837319</v>
      </c>
      <c r="AO429" s="28">
        <f>IF(AND(M429=1,AN429&lt;&gt;""),IF(AN429&lt;=SETTINGS!$B$5,1,0),0)</f>
        <v>1</v>
      </c>
      <c r="AP429" s="28">
        <f>IF(M429=1,IF(COUNTIFS(LOG!$C$2:$C$2001,F429,LOG!$E$2:$E$2001,B429,LOG!$D$2:$D$2001,"BOOKED")+COUNTIFS(LOG!$C$2:$C$2001,F429,LOG!$E$2:$E$2001,"",LOG!$D$2:$D$2001,"BOOKED")&gt;0,1,0),0)</f>
        <v>1</v>
      </c>
      <c r="AQ429" s="28" t="str">
        <f t="shared" si="74"/>
        <v>Ishaan</v>
      </c>
      <c r="AR429" s="28">
        <f>IF(AND(AK429=1,K429="OK"),COUNTIFS($AK$2:AK429,1,$K$2:K429,"OK"),"")</f>
        <v>353</v>
      </c>
      <c r="AS429" s="28" t="str">
        <f>IF(L429=1,IFERROR(INDEX(MESSAGES!$J$9:$J$1008,MATCH(F429,MESSAGES!$M$9:$M$1008,0))&amp;"",""),"")</f>
        <v/>
      </c>
      <c r="AT429" s="28" t="str">
        <f>IF(L429=1,IFERROR(INDEX(MESSAGES!$K$9:$K$1008,MATCH(F429,MESSAGES!$M$9:$M$1008,0))&amp;"",""),"")</f>
        <v/>
      </c>
      <c r="AU429" s="28">
        <f t="shared" ca="1" si="75"/>
        <v>0</v>
      </c>
      <c r="AV429" s="28" t="str">
        <f t="shared" si="76"/>
        <v>SEND</v>
      </c>
    </row>
    <row r="430" spans="1:48" x14ac:dyDescent="0.35">
      <c r="A430" s="28">
        <v>429</v>
      </c>
      <c r="B430" s="28" t="str">
        <f>IF(INPUT!A430="","",TRIM(INPUT!A430))</f>
        <v>Partner 002</v>
      </c>
      <c r="C430" s="28" t="str">
        <f>IF(B430="","",INPUT!C430)</f>
        <v>interviewer2@partner002.example.com</v>
      </c>
      <c r="D430" s="28" t="str">
        <f>IF(B430="","",INPUT!D430)</f>
        <v>Tara P.</v>
      </c>
      <c r="E430" s="28" t="str">
        <f>IF(B430="","",INPUT!E430)</f>
        <v>tara.p405@example.com</v>
      </c>
      <c r="F430" s="43" t="str">
        <f>IF(B430="","",TRIM(INPUT!F430&amp;""))</f>
        <v>9000005272</v>
      </c>
      <c r="G430" s="28" t="str">
        <f>IF(B430="","",INPUT!H430)</f>
        <v>Round1</v>
      </c>
      <c r="H430" s="46">
        <f>IF(B430="","",INPUT!I430)</f>
        <v>46308.82708333333</v>
      </c>
      <c r="I430" s="28" t="str">
        <f>IF(B430="","",IF(INPUT!J430="","None",INPUT!J430))</f>
        <v>Clicked</v>
      </c>
      <c r="J430" s="28" t="str">
        <f t="shared" si="66"/>
        <v>tara.p405@example.com|partner 002|Round1|interviewer2@partner002.example.com</v>
      </c>
      <c r="K430" s="28" t="str">
        <f>IF(B430="","",IF(SUMPRODUCT(($J$2:$J$601=J430)*($H$2:$H$601&lt;H430))+SUMPRODUCT(($J$2:J430=J430)*($H$2:H430=H430))-1&gt;0,"DUPLICATE",IF(AND(ISNUMBER(SEARCH("@",E430)),ISNUMBER(SEARCH(".",E430)),LEN(F430)=10,ISNUMBER(VALUE(F430))),"OK","BAD CONTACT")))</f>
        <v>OK</v>
      </c>
      <c r="L430" s="28">
        <f t="shared" si="67"/>
        <v>1</v>
      </c>
      <c r="M430" s="28">
        <f>IF(L430=1,IF(COUNTIFS(LOG!$C$2:$C$2001,F430,LOG!$E$2:$E$2001,B430,LOG!$D$2:$D$2001,"*BOOKED")+COUNTIFS(LOG!$C$2:$C$2001,F430,LOG!$E$2:$E$2001,"",LOG!$D$2:$D$2001,"*BOOKED")&gt;0,1,0),0)</f>
        <v>1</v>
      </c>
      <c r="N430" s="28">
        <f>IF(L430=1,IF(COUNTIFS(LOG!$C$2:$C$2001,F430,LOG!$E$2:$E$2001,B430,LOG!$D$2:$D$2001,"NOT_INTERESTED")+COUNTIFS(LOG!$C$2:$C$2001,F430,LOG!$E$2:$E$2001,"",LOG!$D$2:$D$2001,"NOT_INTERESTED")&gt;0,1,0),0)</f>
        <v>0</v>
      </c>
      <c r="O430" s="28">
        <f>IF(L430=1,IF(COUNTIFS(LOG!$C$2:$C$2001,F430,LOG!$D$2:$D$2001,"STOP")+COUNTIFS(LOG!$C$2:$C$2001,F430,LOG!$D$2:$D$2001,"WRONG_NUMBER")&gt;0,1,IF(ISNUMBER(SEARCH("STOP",AT430)),1,0)),0)</f>
        <v>0</v>
      </c>
      <c r="P430" s="28">
        <f>IF(L430=1,IF(IFERROR(INDEX(PARTNERS!$D$2:$D$88,MATCH(B430,PARTNERS!$A$2:$A$88,0)),"")="NO SLOTS",1,IF(AND(IFERROR(INDEX(PARTNERS!$D$2:$D$88,MATCH(B430,PARTNERS!$A$2:$A$88,0)),"")&lt;&gt;"REOPENED",COUNTIFS(LOG!$E$2:$E$2001,B430,LOG!$D$2:$D$2001,"NO_SLOTS")&gt;0),1,0)),0)</f>
        <v>0</v>
      </c>
      <c r="Q430" s="28">
        <f>IF(L430=1,COUNTIFS(LOG!$C$2:$C$2001,F430,LOG!$H$2:$H$2001,1),0)</f>
        <v>1</v>
      </c>
      <c r="R430" s="46">
        <f>IF(Q430&gt;0,_xlfn.MAXIFS(LOG!$G$2:$G$2001,LOG!$C$2:$C$2001,F430,LOG!$H$2:$H$2001,1),0)</f>
        <v>46309.673746330664</v>
      </c>
      <c r="S430" s="28" t="str">
        <f>IF(Q430&gt;0,IFERROR(INDEX(LOG!$D$2:$D$2001,MATCH(F430&amp;"|"&amp;Q430,LOG!$I$2:$I$2001,0)),""),"")</f>
        <v>BOOKED</v>
      </c>
      <c r="T430" s="28">
        <f>IF(S430="",0,IFERROR(VLOOKUP(S430,LISTS!$A$2:$E$10,4,FALSE),0))</f>
        <v>0</v>
      </c>
      <c r="U430" s="46">
        <f t="shared" si="68"/>
        <v>46309.673746330664</v>
      </c>
      <c r="V430" s="46">
        <f>IF(L430=1,H430+SETTINGS!$B$5/24,"")</f>
        <v>46309.82708333333</v>
      </c>
      <c r="W430" s="28">
        <f ca="1">IF(L430=1,(V430-SETTINGS!$B$4)*24,"")</f>
        <v>-1.6666666720993817E-2</v>
      </c>
      <c r="X430" s="28">
        <f ca="1">IF(AND(L430=1,K430="OK",M430=0,N430=0,O430=0,P430=0,SETTINGS!$B$4&lt;V430,Q430&lt;SETTINGS!$B$6),1,0)</f>
        <v>0</v>
      </c>
      <c r="Y430" s="28">
        <f ca="1">IF(AND(X430=1,SETTINGS!$B$4&gt;=H430,SETTINGS!$B$4&gt;=U430,ROUND(MOD(SETTINGS!$B$4,1)*1440,0)&gt;=ROUND(SETTINGS!$B$7*1440,0),ROUND(MOD(SETTINGS!$B$4,1)*1440,0)&lt;ROUND(SETTINGS!$B$8*1440,0)),1,0)</f>
        <v>0</v>
      </c>
      <c r="Z430" s="28" t="str">
        <f ca="1">IF(B430="","",IF(ROUND(MOD(SETTINGS!$B$4,1)*1440,0)&lt;ROUND(SETTINGS!$B$11*1440,0),"Ram",IF(ROUND(MOD(SETTINGS!$B$4,1)*1440,0)&gt;=ROUND(SETTINGS!$B$10*1440,0),"Shyam",IF(MOD(IFERROR(VALUE(RIGHT(F430,2)),0),2)=0,"Ram","Shyam"))))</f>
        <v>Shyam</v>
      </c>
      <c r="AA430" s="28">
        <f t="shared" ca="1" si="69"/>
        <v>0</v>
      </c>
      <c r="AB430" s="28">
        <f ca="1">IF(X430=1,COUNTIFS($F$2:F430,F430,$X$2:X430,1),0)</f>
        <v>0</v>
      </c>
      <c r="AC430" s="28" t="str">
        <f>IF(L430=1,IF(IFERROR(INDEX(PARTNERS!$C$2:$C$88,MATCH(B430,PARTNERS!$A$2:$A$88,0)),"")="YES","YES","NO"),"")</f>
        <v>YES</v>
      </c>
      <c r="AD430" s="28" t="str">
        <f>IF(L430=1,IFERROR(INDEX(PARTNERS!$B$2:$B$88,MATCH(B430,PARTNERS!$A$2:$A$88,0)),""),"")</f>
        <v>https://calendly.com/partner002/interview</v>
      </c>
      <c r="AE430" s="28">
        <f ca="1">IF(X430=1,IFERROR(INDEX(SETTINGS!$B$34:$D$36,MATCH(I430,SETTINGS!$A$34:$A$36,0),MIN(Q430,2)+1),SETTINGS!$B$36),0)</f>
        <v>0</v>
      </c>
      <c r="AF430" s="28">
        <f t="shared" si="70"/>
        <v>1</v>
      </c>
      <c r="AG430" s="28">
        <f ca="1">IF(AND(Y430=1,AB430=1),ROUND(AA430*AE430*IF(AF430&gt;1,SETTINGS!$B$16,1)*IF(W430&lt;=SETTINGS!$B$14,SETTINGS!$B$15,1)*IF(AU430=1,SETTINGS!$B$21,1),6),0)</f>
        <v>0</v>
      </c>
      <c r="AH430" s="28" t="str">
        <f ca="1">IF(AG430&gt;0,COUNTIFS($Z$2:$Z$601,Z430,$AG$2:$AG$601,"&gt;"&amp;AG430)+COUNTIFS($Z$2:Z430,Z430,$AG$2:AG430,AG430),"")</f>
        <v/>
      </c>
      <c r="AI430" s="28" t="str">
        <f t="shared" ca="1" si="71"/>
        <v/>
      </c>
      <c r="AJ430" s="28" t="str">
        <f t="shared" ca="1" si="72"/>
        <v/>
      </c>
      <c r="AK430" s="28">
        <f>IF(L430=1,IF(COUNTIFS($F$2:F430,F430,$L$2:L430,1)=1,1,0),0)</f>
        <v>1</v>
      </c>
      <c r="AL430" s="28" t="str">
        <f>IF(B430="","",IF(K430="DUPLICATE","Duplicate (removed)",IF(AO430=1,"Scheduled within 24h",IF(M430=1,"Scheduled late",IF(K430="BAD CONTACT","Bad contact details",IF(O430=1,"Stopped / wrong number",IF(N430=1,"Not interested",IF(P430=1,"Partner has no slots",IF(SETTINGS!$B$4&gt;=V430,IF(Q430=0,"Missed deadline: never tried","Missed deadline: tried, not booked"),IF(Q430&gt;=SETTINGS!$B$6,"No reply after max tries","Open"))))))))))</f>
        <v>Scheduled within 24h</v>
      </c>
      <c r="AM430" s="46">
        <f>IF(M430=1,IF(_xlfn.MINIFS(LOG!$G$2:$G$2001,LOG!$C$2:$C$2001,F430,LOG!$E$2:$E$2001,B430,LOG!$D$2:$D$2001,"*BOOKED")=0,_xlfn.MINIFS(LOG!$G$2:$G$2001,LOG!$C$2:$C$2001,F430,LOG!$E$2:$E$2001,"",LOG!$D$2:$D$2001,"*BOOKED"),IF(_xlfn.MINIFS(LOG!$G$2:$G$2001,LOG!$C$2:$C$2001,F430,LOG!$E$2:$E$2001,"",LOG!$D$2:$D$2001,"*BOOKED")=0,_xlfn.MINIFS(LOG!$G$2:$G$2001,LOG!$C$2:$C$2001,F430,LOG!$E$2:$E$2001,B430,LOG!$D$2:$D$2001,"*BOOKED"),MIN(_xlfn.MINIFS(LOG!$G$2:$G$2001,LOG!$C$2:$C$2001,F430,LOG!$E$2:$E$2001,B430,LOG!$D$2:$D$2001,"*BOOKED"),_xlfn.MINIFS(LOG!$G$2:$G$2001,LOG!$C$2:$C$2001,F430,LOG!$E$2:$E$2001,"",LOG!$D$2:$D$2001,"*BOOKED")))),"")</f>
        <v>46309.673746330664</v>
      </c>
      <c r="AN430" s="28">
        <f t="shared" si="73"/>
        <v>20.319911936006974</v>
      </c>
      <c r="AO430" s="28">
        <f>IF(AND(M430=1,AN430&lt;&gt;""),IF(AN430&lt;=SETTINGS!$B$5,1,0),0)</f>
        <v>1</v>
      </c>
      <c r="AP430" s="28">
        <f>IF(M430=1,IF(COUNTIFS(LOG!$C$2:$C$2001,F430,LOG!$E$2:$E$2001,B430,LOG!$D$2:$D$2001,"BOOKED")+COUNTIFS(LOG!$C$2:$C$2001,F430,LOG!$E$2:$E$2001,"",LOG!$D$2:$D$2001,"BOOKED")&gt;0,1,0),0)</f>
        <v>1</v>
      </c>
      <c r="AQ430" s="28" t="str">
        <f t="shared" si="74"/>
        <v>Tara</v>
      </c>
      <c r="AR430" s="28">
        <f>IF(AND(AK430=1,K430="OK"),COUNTIFS($AK$2:AK430,1,$K$2:K430,"OK"),"")</f>
        <v>354</v>
      </c>
      <c r="AS430" s="28" t="str">
        <f>IF(L430=1,IFERROR(INDEX(MESSAGES!$J$9:$J$1008,MATCH(F430,MESSAGES!$M$9:$M$1008,0))&amp;"",""),"")</f>
        <v/>
      </c>
      <c r="AT430" s="28" t="str">
        <f>IF(L430=1,IFERROR(INDEX(MESSAGES!$K$9:$K$1008,MATCH(F430,MESSAGES!$M$9:$M$1008,0))&amp;"",""),"")</f>
        <v/>
      </c>
      <c r="AU430" s="28">
        <f t="shared" ca="1" si="75"/>
        <v>0</v>
      </c>
      <c r="AV430" s="28" t="str">
        <f t="shared" si="76"/>
        <v>HOLD</v>
      </c>
    </row>
    <row r="431" spans="1:48" x14ac:dyDescent="0.35">
      <c r="A431" s="28">
        <v>430</v>
      </c>
      <c r="B431" s="28" t="str">
        <f>IF(INPUT!A431="","",TRIM(INPUT!A431))</f>
        <v>Partner 094</v>
      </c>
      <c r="C431" s="28" t="str">
        <f>IF(B431="","",INPUT!C431)</f>
        <v>interviewer1@partner094.example.com</v>
      </c>
      <c r="D431" s="28" t="str">
        <f>IF(B431="","",INPUT!D431)</f>
        <v>Ananya P.</v>
      </c>
      <c r="E431" s="28" t="str">
        <f>IF(B431="","",INPUT!E431)</f>
        <v>ananya.p393@example.com</v>
      </c>
      <c r="F431" s="43" t="str">
        <f>IF(B431="","",TRIM(INPUT!F431&amp;""))</f>
        <v>9000005116</v>
      </c>
      <c r="G431" s="28" t="str">
        <f>IF(B431="","",INPUT!H431)</f>
        <v>Round1</v>
      </c>
      <c r="H431" s="46">
        <f>IF(B431="","",INPUT!I431)</f>
        <v>46308.82708333333</v>
      </c>
      <c r="I431" s="28" t="str">
        <f>IF(B431="","",IF(INPUT!J431="","None",INPUT!J431))</f>
        <v>None</v>
      </c>
      <c r="J431" s="28" t="str">
        <f t="shared" si="66"/>
        <v>ananya.p393@example.com|partner 094|Round1|interviewer1@partner094.example.com</v>
      </c>
      <c r="K431" s="28" t="str">
        <f>IF(B431="","",IF(SUMPRODUCT(($J$2:$J$601=J431)*($H$2:$H$601&lt;H431))+SUMPRODUCT(($J$2:J431=J431)*($H$2:H431=H431))-1&gt;0,"DUPLICATE",IF(AND(ISNUMBER(SEARCH("@",E431)),ISNUMBER(SEARCH(".",E431)),LEN(F431)=10,ISNUMBER(VALUE(F431))),"OK","BAD CONTACT")))</f>
        <v>OK</v>
      </c>
      <c r="L431" s="28">
        <f t="shared" si="67"/>
        <v>1</v>
      </c>
      <c r="M431" s="28">
        <f>IF(L431=1,IF(COUNTIFS(LOG!$C$2:$C$2001,F431,LOG!$E$2:$E$2001,B431,LOG!$D$2:$D$2001,"*BOOKED")+COUNTIFS(LOG!$C$2:$C$2001,F431,LOG!$E$2:$E$2001,"",LOG!$D$2:$D$2001,"*BOOKED")&gt;0,1,0),0)</f>
        <v>0</v>
      </c>
      <c r="N431" s="28">
        <f>IF(L431=1,IF(COUNTIFS(LOG!$C$2:$C$2001,F431,LOG!$E$2:$E$2001,B431,LOG!$D$2:$D$2001,"NOT_INTERESTED")+COUNTIFS(LOG!$C$2:$C$2001,F431,LOG!$E$2:$E$2001,"",LOG!$D$2:$D$2001,"NOT_INTERESTED")&gt;0,1,0),0)</f>
        <v>0</v>
      </c>
      <c r="O431" s="28">
        <f>IF(L431=1,IF(COUNTIFS(LOG!$C$2:$C$2001,F431,LOG!$D$2:$D$2001,"STOP")+COUNTIFS(LOG!$C$2:$C$2001,F431,LOG!$D$2:$D$2001,"WRONG_NUMBER")&gt;0,1,IF(ISNUMBER(SEARCH("STOP",AT431)),1,0)),0)</f>
        <v>0</v>
      </c>
      <c r="P431" s="28">
        <f>IF(L431=1,IF(IFERROR(INDEX(PARTNERS!$D$2:$D$88,MATCH(B431,PARTNERS!$A$2:$A$88,0)),"")="NO SLOTS",1,IF(AND(IFERROR(INDEX(PARTNERS!$D$2:$D$88,MATCH(B431,PARTNERS!$A$2:$A$88,0)),"")&lt;&gt;"REOPENED",COUNTIFS(LOG!$E$2:$E$2001,B431,LOG!$D$2:$D$2001,"NO_SLOTS")&gt;0),1,0)),0)</f>
        <v>0</v>
      </c>
      <c r="Q431" s="28">
        <f>IF(L431=1,COUNTIFS(LOG!$C$2:$C$2001,F431,LOG!$H$2:$H$2001,1),0)</f>
        <v>0</v>
      </c>
      <c r="R431" s="46">
        <f>IF(Q431&gt;0,_xlfn.MAXIFS(LOG!$G$2:$G$2001,LOG!$C$2:$C$2001,F431,LOG!$H$2:$H$2001,1),0)</f>
        <v>0</v>
      </c>
      <c r="S431" s="28" t="str">
        <f>IF(Q431&gt;0,IFERROR(INDEX(LOG!$D$2:$D$2001,MATCH(F431&amp;"|"&amp;Q431,LOG!$I$2:$I$2001,0)),""),"")</f>
        <v/>
      </c>
      <c r="T431" s="28">
        <f>IF(S431="",0,IFERROR(VLOOKUP(S431,LISTS!$A$2:$E$10,4,FALSE),0))</f>
        <v>0</v>
      </c>
      <c r="U431" s="46">
        <f t="shared" si="68"/>
        <v>0</v>
      </c>
      <c r="V431" s="46">
        <f>IF(L431=1,H431+SETTINGS!$B$5/24,"")</f>
        <v>46309.82708333333</v>
      </c>
      <c r="W431" s="28">
        <f ca="1">IF(L431=1,(V431-SETTINGS!$B$4)*24,"")</f>
        <v>-1.6666666720993817E-2</v>
      </c>
      <c r="X431" s="28">
        <f ca="1">IF(AND(L431=1,K431="OK",M431=0,N431=0,O431=0,P431=0,SETTINGS!$B$4&lt;V431,Q431&lt;SETTINGS!$B$6),1,0)</f>
        <v>0</v>
      </c>
      <c r="Y431" s="28">
        <f ca="1">IF(AND(X431=1,SETTINGS!$B$4&gt;=H431,SETTINGS!$B$4&gt;=U431,ROUND(MOD(SETTINGS!$B$4,1)*1440,0)&gt;=ROUND(SETTINGS!$B$7*1440,0),ROUND(MOD(SETTINGS!$B$4,1)*1440,0)&lt;ROUND(SETTINGS!$B$8*1440,0)),1,0)</f>
        <v>0</v>
      </c>
      <c r="Z431" s="28" t="str">
        <f ca="1">IF(B431="","",IF(ROUND(MOD(SETTINGS!$B$4,1)*1440,0)&lt;ROUND(SETTINGS!$B$11*1440,0),"Ram",IF(ROUND(MOD(SETTINGS!$B$4,1)*1440,0)&gt;=ROUND(SETTINGS!$B$10*1440,0),"Shyam",IF(MOD(IFERROR(VALUE(RIGHT(F431,2)),0),2)=0,"Ram","Shyam"))))</f>
        <v>Shyam</v>
      </c>
      <c r="AA431" s="28">
        <f t="shared" ca="1" si="69"/>
        <v>0</v>
      </c>
      <c r="AB431" s="28">
        <f ca="1">IF(X431=1,COUNTIFS($F$2:F431,F431,$X$2:X431,1),0)</f>
        <v>0</v>
      </c>
      <c r="AC431" s="28" t="str">
        <f>IF(L431=1,IF(IFERROR(INDEX(PARTNERS!$C$2:$C$88,MATCH(B431,PARTNERS!$A$2:$A$88,0)),"")="YES","YES","NO"),"")</f>
        <v>YES</v>
      </c>
      <c r="AD431" s="28" t="str">
        <f>IF(L431=1,IFERROR(INDEX(PARTNERS!$B$2:$B$88,MATCH(B431,PARTNERS!$A$2:$A$88,0)),""),"")</f>
        <v>https://calendly.com/partner094/interview</v>
      </c>
      <c r="AE431" s="28">
        <f ca="1">IF(X431=1,IFERROR(INDEX(SETTINGS!$B$34:$D$36,MATCH(I431,SETTINGS!$A$34:$A$36,0),MIN(Q431,2)+1),SETTINGS!$B$36),0)</f>
        <v>0</v>
      </c>
      <c r="AF431" s="28">
        <f t="shared" si="70"/>
        <v>1</v>
      </c>
      <c r="AG431" s="28">
        <f ca="1">IF(AND(Y431=1,AB431=1),ROUND(AA431*AE431*IF(AF431&gt;1,SETTINGS!$B$16,1)*IF(W431&lt;=SETTINGS!$B$14,SETTINGS!$B$15,1)*IF(AU431=1,SETTINGS!$B$21,1),6),0)</f>
        <v>0</v>
      </c>
      <c r="AH431" s="28" t="str">
        <f ca="1">IF(AG431&gt;0,COUNTIFS($Z$2:$Z$601,Z431,$AG$2:$AG$601,"&gt;"&amp;AG431)+COUNTIFS($Z$2:Z431,Z431,$AG$2:AG431,AG431),"")</f>
        <v/>
      </c>
      <c r="AI431" s="28" t="str">
        <f t="shared" ca="1" si="71"/>
        <v/>
      </c>
      <c r="AJ431" s="28" t="str">
        <f t="shared" ca="1" si="72"/>
        <v/>
      </c>
      <c r="AK431" s="28">
        <f>IF(L431=1,IF(COUNTIFS($F$2:F431,F431,$L$2:L431,1)=1,1,0),0)</f>
        <v>1</v>
      </c>
      <c r="AL431" s="28" t="str">
        <f ca="1">IF(B431="","",IF(K431="DUPLICATE","Duplicate (removed)",IF(AO431=1,"Scheduled within 24h",IF(M431=1,"Scheduled late",IF(K431="BAD CONTACT","Bad contact details",IF(O431=1,"Stopped / wrong number",IF(N431=1,"Not interested",IF(P431=1,"Partner has no slots",IF(SETTINGS!$B$4&gt;=V431,IF(Q431=0,"Missed deadline: never tried","Missed deadline: tried, not booked"),IF(Q431&gt;=SETTINGS!$B$6,"No reply after max tries","Open"))))))))))</f>
        <v>Missed deadline: never tried</v>
      </c>
      <c r="AM431" s="46" t="str">
        <f>IF(M431=1,IF(_xlfn.MINIFS(LOG!$G$2:$G$2001,LOG!$C$2:$C$2001,F431,LOG!$E$2:$E$2001,B431,LOG!$D$2:$D$2001,"*BOOKED")=0,_xlfn.MINIFS(LOG!$G$2:$G$2001,LOG!$C$2:$C$2001,F431,LOG!$E$2:$E$2001,"",LOG!$D$2:$D$2001,"*BOOKED"),IF(_xlfn.MINIFS(LOG!$G$2:$G$2001,LOG!$C$2:$C$2001,F431,LOG!$E$2:$E$2001,"",LOG!$D$2:$D$2001,"*BOOKED")=0,_xlfn.MINIFS(LOG!$G$2:$G$2001,LOG!$C$2:$C$2001,F431,LOG!$E$2:$E$2001,B431,LOG!$D$2:$D$2001,"*BOOKED"),MIN(_xlfn.MINIFS(LOG!$G$2:$G$2001,LOG!$C$2:$C$2001,F431,LOG!$E$2:$E$2001,B431,LOG!$D$2:$D$2001,"*BOOKED"),_xlfn.MINIFS(LOG!$G$2:$G$2001,LOG!$C$2:$C$2001,F431,LOG!$E$2:$E$2001,"",LOG!$D$2:$D$2001,"*BOOKED")))),"")</f>
        <v/>
      </c>
      <c r="AN431" s="28" t="str">
        <f t="shared" si="73"/>
        <v/>
      </c>
      <c r="AO431" s="28">
        <f>IF(AND(M431=1,AN431&lt;&gt;""),IF(AN431&lt;=SETTINGS!$B$5,1,0),0)</f>
        <v>0</v>
      </c>
      <c r="AP431" s="28">
        <f>IF(M431=1,IF(COUNTIFS(LOG!$C$2:$C$2001,F431,LOG!$E$2:$E$2001,B431,LOG!$D$2:$D$2001,"BOOKED")+COUNTIFS(LOG!$C$2:$C$2001,F431,LOG!$E$2:$E$2001,"",LOG!$D$2:$D$2001,"BOOKED")&gt;0,1,0),0)</f>
        <v>0</v>
      </c>
      <c r="AQ431" s="28" t="str">
        <f t="shared" si="74"/>
        <v>Ananya</v>
      </c>
      <c r="AR431" s="28">
        <f>IF(AND(AK431=1,K431="OK"),COUNTIFS($AK$2:AK431,1,$K$2:K431,"OK"),"")</f>
        <v>355</v>
      </c>
      <c r="AS431" s="28" t="str">
        <f>IF(L431=1,IFERROR(INDEX(MESSAGES!$J$9:$J$1008,MATCH(F431,MESSAGES!$M$9:$M$1008,0))&amp;"",""),"")</f>
        <v/>
      </c>
      <c r="AT431" s="28" t="str">
        <f>IF(L431=1,IFERROR(INDEX(MESSAGES!$K$9:$K$1008,MATCH(F431,MESSAGES!$M$9:$M$1008,0))&amp;"",""),"")</f>
        <v/>
      </c>
      <c r="AU431" s="28">
        <f t="shared" ca="1" si="75"/>
        <v>0</v>
      </c>
      <c r="AV431" s="28" t="str">
        <f t="shared" si="76"/>
        <v>HOLD</v>
      </c>
    </row>
    <row r="432" spans="1:48" x14ac:dyDescent="0.35">
      <c r="A432" s="28">
        <v>431</v>
      </c>
      <c r="B432" s="28" t="str">
        <f>IF(INPUT!A432="","",TRIM(INPUT!A432))</f>
        <v>Partner 057</v>
      </c>
      <c r="C432" s="28" t="str">
        <f>IF(B432="","",INPUT!C432)</f>
        <v>interviewer2@partner057.example.com</v>
      </c>
      <c r="D432" s="28" t="str">
        <f>IF(B432="","",INPUT!D432)</f>
        <v>Karan G.</v>
      </c>
      <c r="E432" s="28" t="str">
        <f>IF(B432="","",INPUT!E432)</f>
        <v>karan.g200@example.com</v>
      </c>
      <c r="F432" s="43" t="str">
        <f>IF(B432="","",TRIM(INPUT!F432&amp;""))</f>
        <v>9000002607</v>
      </c>
      <c r="G432" s="28" t="str">
        <f>IF(B432="","",INPUT!H432)</f>
        <v>Round1</v>
      </c>
      <c r="H432" s="46">
        <f>IF(B432="","",INPUT!I432)</f>
        <v>46308.82708333333</v>
      </c>
      <c r="I432" s="28" t="str">
        <f>IF(B432="","",IF(INPUT!J432="","None",INPUT!J432))</f>
        <v>None</v>
      </c>
      <c r="J432" s="28" t="str">
        <f t="shared" si="66"/>
        <v>karan.g200@example.com|partner 057|Round1|interviewer2@partner057.example.com</v>
      </c>
      <c r="K432" s="28" t="str">
        <f>IF(B432="","",IF(SUMPRODUCT(($J$2:$J$601=J432)*($H$2:$H$601&lt;H432))+SUMPRODUCT(($J$2:J432=J432)*($H$2:H432=H432))-1&gt;0,"DUPLICATE",IF(AND(ISNUMBER(SEARCH("@",E432)),ISNUMBER(SEARCH(".",E432)),LEN(F432)=10,ISNUMBER(VALUE(F432))),"OK","BAD CONTACT")))</f>
        <v>OK</v>
      </c>
      <c r="L432" s="28">
        <f t="shared" si="67"/>
        <v>1</v>
      </c>
      <c r="M432" s="28">
        <f>IF(L432=1,IF(COUNTIFS(LOG!$C$2:$C$2001,F432,LOG!$E$2:$E$2001,B432,LOG!$D$2:$D$2001,"*BOOKED")+COUNTIFS(LOG!$C$2:$C$2001,F432,LOG!$E$2:$E$2001,"",LOG!$D$2:$D$2001,"*BOOKED")&gt;0,1,0),0)</f>
        <v>1</v>
      </c>
      <c r="N432" s="28">
        <f>IF(L432=1,IF(COUNTIFS(LOG!$C$2:$C$2001,F432,LOG!$E$2:$E$2001,B432,LOG!$D$2:$D$2001,"NOT_INTERESTED")+COUNTIFS(LOG!$C$2:$C$2001,F432,LOG!$E$2:$E$2001,"",LOG!$D$2:$D$2001,"NOT_INTERESTED")&gt;0,1,0),0)</f>
        <v>0</v>
      </c>
      <c r="O432" s="28">
        <f>IF(L432=1,IF(COUNTIFS(LOG!$C$2:$C$2001,F432,LOG!$D$2:$D$2001,"STOP")+COUNTIFS(LOG!$C$2:$C$2001,F432,LOG!$D$2:$D$2001,"WRONG_NUMBER")&gt;0,1,IF(ISNUMBER(SEARCH("STOP",AT432)),1,0)),0)</f>
        <v>0</v>
      </c>
      <c r="P432" s="28">
        <f>IF(L432=1,IF(IFERROR(INDEX(PARTNERS!$D$2:$D$88,MATCH(B432,PARTNERS!$A$2:$A$88,0)),"")="NO SLOTS",1,IF(AND(IFERROR(INDEX(PARTNERS!$D$2:$D$88,MATCH(B432,PARTNERS!$A$2:$A$88,0)),"")&lt;&gt;"REOPENED",COUNTIFS(LOG!$E$2:$E$2001,B432,LOG!$D$2:$D$2001,"NO_SLOTS")&gt;0),1,0)),0)</f>
        <v>0</v>
      </c>
      <c r="Q432" s="28">
        <f>IF(L432=1,COUNTIFS(LOG!$C$2:$C$2001,F432,LOG!$H$2:$H$2001,1),0)</f>
        <v>0</v>
      </c>
      <c r="R432" s="46">
        <f>IF(Q432&gt;0,_xlfn.MAXIFS(LOG!$G$2:$G$2001,LOG!$C$2:$C$2001,F432,LOG!$H$2:$H$2001,1),0)</f>
        <v>0</v>
      </c>
      <c r="S432" s="28" t="str">
        <f>IF(Q432&gt;0,IFERROR(INDEX(LOG!$D$2:$D$2001,MATCH(F432&amp;"|"&amp;Q432,LOG!$I$2:$I$2001,0)),""),"")</f>
        <v/>
      </c>
      <c r="T432" s="28">
        <f>IF(S432="",0,IFERROR(VLOOKUP(S432,LISTS!$A$2:$E$10,4,FALSE),0))</f>
        <v>0</v>
      </c>
      <c r="U432" s="46">
        <f t="shared" si="68"/>
        <v>0</v>
      </c>
      <c r="V432" s="46">
        <f>IF(L432=1,H432+SETTINGS!$B$5/24,"")</f>
        <v>46309.82708333333</v>
      </c>
      <c r="W432" s="28">
        <f ca="1">IF(L432=1,(V432-SETTINGS!$B$4)*24,"")</f>
        <v>-1.6666666720993817E-2</v>
      </c>
      <c r="X432" s="28">
        <f ca="1">IF(AND(L432=1,K432="OK",M432=0,N432=0,O432=0,P432=0,SETTINGS!$B$4&lt;V432,Q432&lt;SETTINGS!$B$6),1,0)</f>
        <v>0</v>
      </c>
      <c r="Y432" s="28">
        <f ca="1">IF(AND(X432=1,SETTINGS!$B$4&gt;=H432,SETTINGS!$B$4&gt;=U432,ROUND(MOD(SETTINGS!$B$4,1)*1440,0)&gt;=ROUND(SETTINGS!$B$7*1440,0),ROUND(MOD(SETTINGS!$B$4,1)*1440,0)&lt;ROUND(SETTINGS!$B$8*1440,0)),1,0)</f>
        <v>0</v>
      </c>
      <c r="Z432" s="28" t="str">
        <f ca="1">IF(B432="","",IF(ROUND(MOD(SETTINGS!$B$4,1)*1440,0)&lt;ROUND(SETTINGS!$B$11*1440,0),"Ram",IF(ROUND(MOD(SETTINGS!$B$4,1)*1440,0)&gt;=ROUND(SETTINGS!$B$10*1440,0),"Shyam",IF(MOD(IFERROR(VALUE(RIGHT(F432,2)),0),2)=0,"Ram","Shyam"))))</f>
        <v>Shyam</v>
      </c>
      <c r="AA432" s="28">
        <f t="shared" ca="1" si="69"/>
        <v>0</v>
      </c>
      <c r="AB432" s="28">
        <f ca="1">IF(X432=1,COUNTIFS($F$2:F432,F432,$X$2:X432,1),0)</f>
        <v>0</v>
      </c>
      <c r="AC432" s="28" t="str">
        <f>IF(L432=1,IF(IFERROR(INDEX(PARTNERS!$C$2:$C$88,MATCH(B432,PARTNERS!$A$2:$A$88,0)),"")="YES","YES","NO"),"")</f>
        <v>YES</v>
      </c>
      <c r="AD432" s="28" t="str">
        <f>IF(L432=1,IFERROR(INDEX(PARTNERS!$B$2:$B$88,MATCH(B432,PARTNERS!$A$2:$A$88,0)),""),"")</f>
        <v>https://calendly.com/partner057/interview</v>
      </c>
      <c r="AE432" s="28">
        <f ca="1">IF(X432=1,IFERROR(INDEX(SETTINGS!$B$34:$D$36,MATCH(I432,SETTINGS!$A$34:$A$36,0),MIN(Q432,2)+1),SETTINGS!$B$36),0)</f>
        <v>0</v>
      </c>
      <c r="AF432" s="28">
        <f t="shared" si="70"/>
        <v>1</v>
      </c>
      <c r="AG432" s="28">
        <f ca="1">IF(AND(Y432=1,AB432=1),ROUND(AA432*AE432*IF(AF432&gt;1,SETTINGS!$B$16,1)*IF(W432&lt;=SETTINGS!$B$14,SETTINGS!$B$15,1)*IF(AU432=1,SETTINGS!$B$21,1),6),0)</f>
        <v>0</v>
      </c>
      <c r="AH432" s="28" t="str">
        <f ca="1">IF(AG432&gt;0,COUNTIFS($Z$2:$Z$601,Z432,$AG$2:$AG$601,"&gt;"&amp;AG432)+COUNTIFS($Z$2:Z432,Z432,$AG$2:AG432,AG432),"")</f>
        <v/>
      </c>
      <c r="AI432" s="28" t="str">
        <f t="shared" ca="1" si="71"/>
        <v/>
      </c>
      <c r="AJ432" s="28" t="str">
        <f t="shared" ca="1" si="72"/>
        <v/>
      </c>
      <c r="AK432" s="28">
        <f>IF(L432=1,IF(COUNTIFS($F$2:F432,F432,$L$2:L432,1)=1,1,0),0)</f>
        <v>1</v>
      </c>
      <c r="AL432" s="28" t="str">
        <f>IF(B432="","",IF(K432="DUPLICATE","Duplicate (removed)",IF(AO432=1,"Scheduled within 24h",IF(M432=1,"Scheduled late",IF(K432="BAD CONTACT","Bad contact details",IF(O432=1,"Stopped / wrong number",IF(N432=1,"Not interested",IF(P432=1,"Partner has no slots",IF(SETTINGS!$B$4&gt;=V432,IF(Q432=0,"Missed deadline: never tried","Missed deadline: tried, not booked"),IF(Q432&gt;=SETTINGS!$B$6,"No reply after max tries","Open"))))))))))</f>
        <v>Scheduled within 24h</v>
      </c>
      <c r="AM432" s="46">
        <f>IF(M432=1,IF(_xlfn.MINIFS(LOG!$G$2:$G$2001,LOG!$C$2:$C$2001,F432,LOG!$E$2:$E$2001,B432,LOG!$D$2:$D$2001,"*BOOKED")=0,_xlfn.MINIFS(LOG!$G$2:$G$2001,LOG!$C$2:$C$2001,F432,LOG!$E$2:$E$2001,"",LOG!$D$2:$D$2001,"*BOOKED"),IF(_xlfn.MINIFS(LOG!$G$2:$G$2001,LOG!$C$2:$C$2001,F432,LOG!$E$2:$E$2001,"",LOG!$D$2:$D$2001,"*BOOKED")=0,_xlfn.MINIFS(LOG!$G$2:$G$2001,LOG!$C$2:$C$2001,F432,LOG!$E$2:$E$2001,B432,LOG!$D$2:$D$2001,"*BOOKED"),MIN(_xlfn.MINIFS(LOG!$G$2:$G$2001,LOG!$C$2:$C$2001,F432,LOG!$E$2:$E$2001,B432,LOG!$D$2:$D$2001,"*BOOKED"),_xlfn.MINIFS(LOG!$G$2:$G$2001,LOG!$C$2:$C$2001,F432,LOG!$E$2:$E$2001,"",LOG!$D$2:$D$2001,"*BOOKED")))),"")</f>
        <v>46308.871989660474</v>
      </c>
      <c r="AN432" s="28">
        <f t="shared" si="73"/>
        <v>1.0777518514660187</v>
      </c>
      <c r="AO432" s="28">
        <f>IF(AND(M432=1,AN432&lt;&gt;""),IF(AN432&lt;=SETTINGS!$B$5,1,0),0)</f>
        <v>1</v>
      </c>
      <c r="AP432" s="28">
        <f>IF(M432=1,IF(COUNTIFS(LOG!$C$2:$C$2001,F432,LOG!$E$2:$E$2001,B432,LOG!$D$2:$D$2001,"BOOKED")+COUNTIFS(LOG!$C$2:$C$2001,F432,LOG!$E$2:$E$2001,"",LOG!$D$2:$D$2001,"BOOKED")&gt;0,1,0),0)</f>
        <v>0</v>
      </c>
      <c r="AQ432" s="28" t="str">
        <f t="shared" si="74"/>
        <v>Karan</v>
      </c>
      <c r="AR432" s="28">
        <f>IF(AND(AK432=1,K432="OK"),COUNTIFS($AK$2:AK432,1,$K$2:K432,"OK"),"")</f>
        <v>356</v>
      </c>
      <c r="AS432" s="28" t="str">
        <f>IF(L432=1,IFERROR(INDEX(MESSAGES!$J$9:$J$1008,MATCH(F432,MESSAGES!$M$9:$M$1008,0))&amp;"",""),"")</f>
        <v/>
      </c>
      <c r="AT432" s="28" t="str">
        <f>IF(L432=1,IFERROR(INDEX(MESSAGES!$K$9:$K$1008,MATCH(F432,MESSAGES!$M$9:$M$1008,0))&amp;"",""),"")</f>
        <v/>
      </c>
      <c r="AU432" s="28">
        <f t="shared" ca="1" si="75"/>
        <v>0</v>
      </c>
      <c r="AV432" s="28" t="str">
        <f t="shared" si="76"/>
        <v>SEND</v>
      </c>
    </row>
    <row r="433" spans="1:48" x14ac:dyDescent="0.35">
      <c r="A433" s="28">
        <v>432</v>
      </c>
      <c r="B433" s="28" t="str">
        <f>IF(INPUT!A433="","",TRIM(INPUT!A433))</f>
        <v>Partner 099</v>
      </c>
      <c r="C433" s="28" t="str">
        <f>IF(B433="","",INPUT!C433)</f>
        <v>interviewer2@partner099.example.com</v>
      </c>
      <c r="D433" s="28" t="str">
        <f>IF(B433="","",INPUT!D433)</f>
        <v>Ishaan C.</v>
      </c>
      <c r="E433" s="28" t="str">
        <f>IF(B433="","",INPUT!E433)</f>
        <v>ishaan.c074@example.com</v>
      </c>
      <c r="F433" s="43" t="str">
        <f>IF(B433="","",TRIM(INPUT!F433&amp;""))</f>
        <v>9000000969</v>
      </c>
      <c r="G433" s="28" t="str">
        <f>IF(B433="","",INPUT!H433)</f>
        <v>Round1</v>
      </c>
      <c r="H433" s="46">
        <f>IF(B433="","",INPUT!I433)</f>
        <v>46308.82708333333</v>
      </c>
      <c r="I433" s="28" t="str">
        <f>IF(B433="","",IF(INPUT!J433="","None",INPUT!J433))</f>
        <v>Clicked</v>
      </c>
      <c r="J433" s="28" t="str">
        <f t="shared" si="66"/>
        <v>ishaan.c074@example.com|partner 099|Round1|interviewer2@partner099.example.com</v>
      </c>
      <c r="K433" s="28" t="str">
        <f>IF(B433="","",IF(SUMPRODUCT(($J$2:$J$601=J433)*($H$2:$H$601&lt;H433))+SUMPRODUCT(($J$2:J433=J433)*($H$2:H433=H433))-1&gt;0,"DUPLICATE",IF(AND(ISNUMBER(SEARCH("@",E433)),ISNUMBER(SEARCH(".",E433)),LEN(F433)=10,ISNUMBER(VALUE(F433))),"OK","BAD CONTACT")))</f>
        <v>OK</v>
      </c>
      <c r="L433" s="28">
        <f t="shared" si="67"/>
        <v>1</v>
      </c>
      <c r="M433" s="28">
        <f>IF(L433=1,IF(COUNTIFS(LOG!$C$2:$C$2001,F433,LOG!$E$2:$E$2001,B433,LOG!$D$2:$D$2001,"*BOOKED")+COUNTIFS(LOG!$C$2:$C$2001,F433,LOG!$E$2:$E$2001,"",LOG!$D$2:$D$2001,"*BOOKED")&gt;0,1,0),0)</f>
        <v>1</v>
      </c>
      <c r="N433" s="28">
        <f>IF(L433=1,IF(COUNTIFS(LOG!$C$2:$C$2001,F433,LOG!$E$2:$E$2001,B433,LOG!$D$2:$D$2001,"NOT_INTERESTED")+COUNTIFS(LOG!$C$2:$C$2001,F433,LOG!$E$2:$E$2001,"",LOG!$D$2:$D$2001,"NOT_INTERESTED")&gt;0,1,0),0)</f>
        <v>0</v>
      </c>
      <c r="O433" s="28">
        <f>IF(L433=1,IF(COUNTIFS(LOG!$C$2:$C$2001,F433,LOG!$D$2:$D$2001,"STOP")+COUNTIFS(LOG!$C$2:$C$2001,F433,LOG!$D$2:$D$2001,"WRONG_NUMBER")&gt;0,1,IF(ISNUMBER(SEARCH("STOP",AT433)),1,0)),0)</f>
        <v>0</v>
      </c>
      <c r="P433" s="28">
        <f>IF(L433=1,IF(IFERROR(INDEX(PARTNERS!$D$2:$D$88,MATCH(B433,PARTNERS!$A$2:$A$88,0)),"")="NO SLOTS",1,IF(AND(IFERROR(INDEX(PARTNERS!$D$2:$D$88,MATCH(B433,PARTNERS!$A$2:$A$88,0)),"")&lt;&gt;"REOPENED",COUNTIFS(LOG!$E$2:$E$2001,B433,LOG!$D$2:$D$2001,"NO_SLOTS")&gt;0),1,0)),0)</f>
        <v>0</v>
      </c>
      <c r="Q433" s="28">
        <f>IF(L433=1,COUNTIFS(LOG!$C$2:$C$2001,F433,LOG!$H$2:$H$2001,1),0)</f>
        <v>2</v>
      </c>
      <c r="R433" s="46">
        <f>IF(Q433&gt;0,_xlfn.MAXIFS(LOG!$G$2:$G$2001,LOG!$C$2:$C$2001,F433,LOG!$H$2:$H$2001,1),0)</f>
        <v>46309.56680413874</v>
      </c>
      <c r="S433" s="28" t="str">
        <f>IF(Q433&gt;0,IFERROR(INDEX(LOG!$D$2:$D$2001,MATCH(F433&amp;"|"&amp;Q433,LOG!$I$2:$I$2001,0)),""),"")</f>
        <v>BOOKED</v>
      </c>
      <c r="T433" s="28">
        <f>IF(S433="",0,IFERROR(VLOOKUP(S433,LISTS!$A$2:$E$10,4,FALSE),0))</f>
        <v>0</v>
      </c>
      <c r="U433" s="46">
        <f t="shared" si="68"/>
        <v>46309.56680413874</v>
      </c>
      <c r="V433" s="46">
        <f>IF(L433=1,H433+SETTINGS!$B$5/24,"")</f>
        <v>46309.82708333333</v>
      </c>
      <c r="W433" s="28">
        <f ca="1">IF(L433=1,(V433-SETTINGS!$B$4)*24,"")</f>
        <v>-1.6666666720993817E-2</v>
      </c>
      <c r="X433" s="28">
        <f ca="1">IF(AND(L433=1,K433="OK",M433=0,N433=0,O433=0,P433=0,SETTINGS!$B$4&lt;V433,Q433&lt;SETTINGS!$B$6),1,0)</f>
        <v>0</v>
      </c>
      <c r="Y433" s="28">
        <f ca="1">IF(AND(X433=1,SETTINGS!$B$4&gt;=H433,SETTINGS!$B$4&gt;=U433,ROUND(MOD(SETTINGS!$B$4,1)*1440,0)&gt;=ROUND(SETTINGS!$B$7*1440,0),ROUND(MOD(SETTINGS!$B$4,1)*1440,0)&lt;ROUND(SETTINGS!$B$8*1440,0)),1,0)</f>
        <v>0</v>
      </c>
      <c r="Z433" s="28" t="str">
        <f ca="1">IF(B433="","",IF(ROUND(MOD(SETTINGS!$B$4,1)*1440,0)&lt;ROUND(SETTINGS!$B$11*1440,0),"Ram",IF(ROUND(MOD(SETTINGS!$B$4,1)*1440,0)&gt;=ROUND(SETTINGS!$B$10*1440,0),"Shyam",IF(MOD(IFERROR(VALUE(RIGHT(F433,2)),0),2)=0,"Ram","Shyam"))))</f>
        <v>Shyam</v>
      </c>
      <c r="AA433" s="28">
        <f t="shared" ca="1" si="69"/>
        <v>0</v>
      </c>
      <c r="AB433" s="28">
        <f ca="1">IF(X433=1,COUNTIFS($F$2:F433,F433,$X$2:X433,1),0)</f>
        <v>0</v>
      </c>
      <c r="AC433" s="28" t="str">
        <f>IF(L433=1,IF(IFERROR(INDEX(PARTNERS!$C$2:$C$88,MATCH(B433,PARTNERS!$A$2:$A$88,0)),"")="YES","YES","NO"),"")</f>
        <v>YES</v>
      </c>
      <c r="AD433" s="28" t="str">
        <f>IF(L433=1,IFERROR(INDEX(PARTNERS!$B$2:$B$88,MATCH(B433,PARTNERS!$A$2:$A$88,0)),""),"")</f>
        <v>https://calendly.com/partner099/interview</v>
      </c>
      <c r="AE433" s="28">
        <f ca="1">IF(X433=1,IFERROR(INDEX(SETTINGS!$B$34:$D$36,MATCH(I433,SETTINGS!$A$34:$A$36,0),MIN(Q433,2)+1),SETTINGS!$B$36),0)</f>
        <v>0</v>
      </c>
      <c r="AF433" s="28">
        <f t="shared" si="70"/>
        <v>1</v>
      </c>
      <c r="AG433" s="28">
        <f ca="1">IF(AND(Y433=1,AB433=1),ROUND(AA433*AE433*IF(AF433&gt;1,SETTINGS!$B$16,1)*IF(W433&lt;=SETTINGS!$B$14,SETTINGS!$B$15,1)*IF(AU433=1,SETTINGS!$B$21,1),6),0)</f>
        <v>0</v>
      </c>
      <c r="AH433" s="28" t="str">
        <f ca="1">IF(AG433&gt;0,COUNTIFS($Z$2:$Z$601,Z433,$AG$2:$AG$601,"&gt;"&amp;AG433)+COUNTIFS($Z$2:Z433,Z433,$AG$2:AG433,AG433),"")</f>
        <v/>
      </c>
      <c r="AI433" s="28" t="str">
        <f t="shared" ca="1" si="71"/>
        <v/>
      </c>
      <c r="AJ433" s="28" t="str">
        <f t="shared" ca="1" si="72"/>
        <v/>
      </c>
      <c r="AK433" s="28">
        <f>IF(L433=1,IF(COUNTIFS($F$2:F433,F433,$L$2:L433,1)=1,1,0),0)</f>
        <v>0</v>
      </c>
      <c r="AL433" s="28" t="str">
        <f>IF(B433="","",IF(K433="DUPLICATE","Duplicate (removed)",IF(AO433=1,"Scheduled within 24h",IF(M433=1,"Scheduled late",IF(K433="BAD CONTACT","Bad contact details",IF(O433=1,"Stopped / wrong number",IF(N433=1,"Not interested",IF(P433=1,"Partner has no slots",IF(SETTINGS!$B$4&gt;=V433,IF(Q433=0,"Missed deadline: never tried","Missed deadline: tried, not booked"),IF(Q433&gt;=SETTINGS!$B$6,"No reply after max tries","Open"))))))))))</f>
        <v>Scheduled within 24h</v>
      </c>
      <c r="AM433" s="46">
        <f>IF(M433=1,IF(_xlfn.MINIFS(LOG!$G$2:$G$2001,LOG!$C$2:$C$2001,F433,LOG!$E$2:$E$2001,B433,LOG!$D$2:$D$2001,"*BOOKED")=0,_xlfn.MINIFS(LOG!$G$2:$G$2001,LOG!$C$2:$C$2001,F433,LOG!$E$2:$E$2001,"",LOG!$D$2:$D$2001,"*BOOKED"),IF(_xlfn.MINIFS(LOG!$G$2:$G$2001,LOG!$C$2:$C$2001,F433,LOG!$E$2:$E$2001,"",LOG!$D$2:$D$2001,"*BOOKED")=0,_xlfn.MINIFS(LOG!$G$2:$G$2001,LOG!$C$2:$C$2001,F433,LOG!$E$2:$E$2001,B433,LOG!$D$2:$D$2001,"*BOOKED"),MIN(_xlfn.MINIFS(LOG!$G$2:$G$2001,LOG!$C$2:$C$2001,F433,LOG!$E$2:$E$2001,B433,LOG!$D$2:$D$2001,"*BOOKED"),_xlfn.MINIFS(LOG!$G$2:$G$2001,LOG!$C$2:$C$2001,F433,LOG!$E$2:$E$2001,"",LOG!$D$2:$D$2001,"*BOOKED")))),"")</f>
        <v>46309.56680413874</v>
      </c>
      <c r="AN433" s="28">
        <f t="shared" si="73"/>
        <v>17.753299329837319</v>
      </c>
      <c r="AO433" s="28">
        <f>IF(AND(M433=1,AN433&lt;&gt;""),IF(AN433&lt;=SETTINGS!$B$5,1,0),0)</f>
        <v>1</v>
      </c>
      <c r="AP433" s="28">
        <f>IF(M433=1,IF(COUNTIFS(LOG!$C$2:$C$2001,F433,LOG!$E$2:$E$2001,B433,LOG!$D$2:$D$2001,"BOOKED")+COUNTIFS(LOG!$C$2:$C$2001,F433,LOG!$E$2:$E$2001,"",LOG!$D$2:$D$2001,"BOOKED")&gt;0,1,0),0)</f>
        <v>1</v>
      </c>
      <c r="AQ433" s="28" t="str">
        <f t="shared" si="74"/>
        <v>Ishaan</v>
      </c>
      <c r="AR433" s="28" t="str">
        <f>IF(AND(AK433=1,K433="OK"),COUNTIFS($AK$2:AK433,1,$K$2:K433,"OK"),"")</f>
        <v/>
      </c>
      <c r="AS433" s="28" t="str">
        <f>IF(L433=1,IFERROR(INDEX(MESSAGES!$J$9:$J$1008,MATCH(F433,MESSAGES!$M$9:$M$1008,0))&amp;"",""),"")</f>
        <v/>
      </c>
      <c r="AT433" s="28" t="str">
        <f>IF(L433=1,IFERROR(INDEX(MESSAGES!$K$9:$K$1008,MATCH(F433,MESSAGES!$M$9:$M$1008,0))&amp;"",""),"")</f>
        <v/>
      </c>
      <c r="AU433" s="28">
        <f t="shared" ca="1" si="75"/>
        <v>0</v>
      </c>
      <c r="AV433" s="28" t="str">
        <f t="shared" si="76"/>
        <v>SEND</v>
      </c>
    </row>
    <row r="434" spans="1:48" x14ac:dyDescent="0.35">
      <c r="A434" s="28">
        <v>433</v>
      </c>
      <c r="B434" s="28" t="str">
        <f>IF(INPUT!A434="","",TRIM(INPUT!A434))</f>
        <v>Partner 006</v>
      </c>
      <c r="C434" s="28" t="str">
        <f>IF(B434="","",INPUT!C434)</f>
        <v>interviewer1@partner006.example.com</v>
      </c>
      <c r="D434" s="28" t="str">
        <f>IF(B434="","",INPUT!D434)</f>
        <v>Vihaan D.</v>
      </c>
      <c r="E434" s="28" t="str">
        <f>IF(B434="","",INPUT!E434)</f>
        <v>vihaan.d094@example.com</v>
      </c>
      <c r="F434" s="43" t="str">
        <f>IF(B434="","",TRIM(INPUT!F434&amp;""))</f>
        <v>9000001229</v>
      </c>
      <c r="G434" s="28" t="str">
        <f>IF(B434="","",INPUT!H434)</f>
        <v>Round1</v>
      </c>
      <c r="H434" s="46">
        <f>IF(B434="","",INPUT!I434)</f>
        <v>46308.82708333333</v>
      </c>
      <c r="I434" s="28" t="str">
        <f>IF(B434="","",IF(INPUT!J434="","None",INPUT!J434))</f>
        <v>Opened</v>
      </c>
      <c r="J434" s="28" t="str">
        <f t="shared" si="66"/>
        <v>vihaan.d094@example.com|partner 006|Round1|interviewer1@partner006.example.com</v>
      </c>
      <c r="K434" s="28" t="str">
        <f>IF(B434="","",IF(SUMPRODUCT(($J$2:$J$601=J434)*($H$2:$H$601&lt;H434))+SUMPRODUCT(($J$2:J434=J434)*($H$2:H434=H434))-1&gt;0,"DUPLICATE",IF(AND(ISNUMBER(SEARCH("@",E434)),ISNUMBER(SEARCH(".",E434)),LEN(F434)=10,ISNUMBER(VALUE(F434))),"OK","BAD CONTACT")))</f>
        <v>OK</v>
      </c>
      <c r="L434" s="28">
        <f t="shared" si="67"/>
        <v>1</v>
      </c>
      <c r="M434" s="28">
        <f>IF(L434=1,IF(COUNTIFS(LOG!$C$2:$C$2001,F434,LOG!$E$2:$E$2001,B434,LOG!$D$2:$D$2001,"*BOOKED")+COUNTIFS(LOG!$C$2:$C$2001,F434,LOG!$E$2:$E$2001,"",LOG!$D$2:$D$2001,"*BOOKED")&gt;0,1,0),0)</f>
        <v>1</v>
      </c>
      <c r="N434" s="28">
        <f>IF(L434=1,IF(COUNTIFS(LOG!$C$2:$C$2001,F434,LOG!$E$2:$E$2001,B434,LOG!$D$2:$D$2001,"NOT_INTERESTED")+COUNTIFS(LOG!$C$2:$C$2001,F434,LOG!$E$2:$E$2001,"",LOG!$D$2:$D$2001,"NOT_INTERESTED")&gt;0,1,0),0)</f>
        <v>0</v>
      </c>
      <c r="O434" s="28">
        <f>IF(L434=1,IF(COUNTIFS(LOG!$C$2:$C$2001,F434,LOG!$D$2:$D$2001,"STOP")+COUNTIFS(LOG!$C$2:$C$2001,F434,LOG!$D$2:$D$2001,"WRONG_NUMBER")&gt;0,1,IF(ISNUMBER(SEARCH("STOP",AT434)),1,0)),0)</f>
        <v>0</v>
      </c>
      <c r="P434" s="28">
        <f>IF(L434=1,IF(IFERROR(INDEX(PARTNERS!$D$2:$D$88,MATCH(B434,PARTNERS!$A$2:$A$88,0)),"")="NO SLOTS",1,IF(AND(IFERROR(INDEX(PARTNERS!$D$2:$D$88,MATCH(B434,PARTNERS!$A$2:$A$88,0)),"")&lt;&gt;"REOPENED",COUNTIFS(LOG!$E$2:$E$2001,B434,LOG!$D$2:$D$2001,"NO_SLOTS")&gt;0),1,0)),0)</f>
        <v>0</v>
      </c>
      <c r="Q434" s="28">
        <f>IF(L434=1,COUNTIFS(LOG!$C$2:$C$2001,F434,LOG!$H$2:$H$2001,1),0)</f>
        <v>0</v>
      </c>
      <c r="R434" s="46">
        <f>IF(Q434&gt;0,_xlfn.MAXIFS(LOG!$G$2:$G$2001,LOG!$C$2:$C$2001,F434,LOG!$H$2:$H$2001,1),0)</f>
        <v>0</v>
      </c>
      <c r="S434" s="28" t="str">
        <f>IF(Q434&gt;0,IFERROR(INDEX(LOG!$D$2:$D$2001,MATCH(F434&amp;"|"&amp;Q434,LOG!$I$2:$I$2001,0)),""),"")</f>
        <v/>
      </c>
      <c r="T434" s="28">
        <f>IF(S434="",0,IFERROR(VLOOKUP(S434,LISTS!$A$2:$E$10,4,FALSE),0))</f>
        <v>0</v>
      </c>
      <c r="U434" s="46">
        <f t="shared" si="68"/>
        <v>0</v>
      </c>
      <c r="V434" s="46">
        <f>IF(L434=1,H434+SETTINGS!$B$5/24,"")</f>
        <v>46309.82708333333</v>
      </c>
      <c r="W434" s="28">
        <f ca="1">IF(L434=1,(V434-SETTINGS!$B$4)*24,"")</f>
        <v>-1.6666666720993817E-2</v>
      </c>
      <c r="X434" s="28">
        <f ca="1">IF(AND(L434=1,K434="OK",M434=0,N434=0,O434=0,P434=0,SETTINGS!$B$4&lt;V434,Q434&lt;SETTINGS!$B$6),1,0)</f>
        <v>0</v>
      </c>
      <c r="Y434" s="28">
        <f ca="1">IF(AND(X434=1,SETTINGS!$B$4&gt;=H434,SETTINGS!$B$4&gt;=U434,ROUND(MOD(SETTINGS!$B$4,1)*1440,0)&gt;=ROUND(SETTINGS!$B$7*1440,0),ROUND(MOD(SETTINGS!$B$4,1)*1440,0)&lt;ROUND(SETTINGS!$B$8*1440,0)),1,0)</f>
        <v>0</v>
      </c>
      <c r="Z434" s="28" t="str">
        <f ca="1">IF(B434="","",IF(ROUND(MOD(SETTINGS!$B$4,1)*1440,0)&lt;ROUND(SETTINGS!$B$11*1440,0),"Ram",IF(ROUND(MOD(SETTINGS!$B$4,1)*1440,0)&gt;=ROUND(SETTINGS!$B$10*1440,0),"Shyam",IF(MOD(IFERROR(VALUE(RIGHT(F434,2)),0),2)=0,"Ram","Shyam"))))</f>
        <v>Shyam</v>
      </c>
      <c r="AA434" s="28">
        <f t="shared" ca="1" si="69"/>
        <v>0</v>
      </c>
      <c r="AB434" s="28">
        <f ca="1">IF(X434=1,COUNTIFS($F$2:F434,F434,$X$2:X434,1),0)</f>
        <v>0</v>
      </c>
      <c r="AC434" s="28" t="str">
        <f>IF(L434=1,IF(IFERROR(INDEX(PARTNERS!$C$2:$C$88,MATCH(B434,PARTNERS!$A$2:$A$88,0)),"")="YES","YES","NO"),"")</f>
        <v>YES</v>
      </c>
      <c r="AD434" s="28" t="str">
        <f>IF(L434=1,IFERROR(INDEX(PARTNERS!$B$2:$B$88,MATCH(B434,PARTNERS!$A$2:$A$88,0)),""),"")</f>
        <v>https://calendly.com/partner006/interview</v>
      </c>
      <c r="AE434" s="28">
        <f ca="1">IF(X434=1,IFERROR(INDEX(SETTINGS!$B$34:$D$36,MATCH(I434,SETTINGS!$A$34:$A$36,0),MIN(Q434,2)+1),SETTINGS!$B$36),0)</f>
        <v>0</v>
      </c>
      <c r="AF434" s="28">
        <f t="shared" si="70"/>
        <v>1</v>
      </c>
      <c r="AG434" s="28">
        <f ca="1">IF(AND(Y434=1,AB434=1),ROUND(AA434*AE434*IF(AF434&gt;1,SETTINGS!$B$16,1)*IF(W434&lt;=SETTINGS!$B$14,SETTINGS!$B$15,1)*IF(AU434=1,SETTINGS!$B$21,1),6),0)</f>
        <v>0</v>
      </c>
      <c r="AH434" s="28" t="str">
        <f ca="1">IF(AG434&gt;0,COUNTIFS($Z$2:$Z$601,Z434,$AG$2:$AG$601,"&gt;"&amp;AG434)+COUNTIFS($Z$2:Z434,Z434,$AG$2:AG434,AG434),"")</f>
        <v/>
      </c>
      <c r="AI434" s="28" t="str">
        <f t="shared" ca="1" si="71"/>
        <v/>
      </c>
      <c r="AJ434" s="28" t="str">
        <f t="shared" ca="1" si="72"/>
        <v/>
      </c>
      <c r="AK434" s="28">
        <f>IF(L434=1,IF(COUNTIFS($F$2:F434,F434,$L$2:L434,1)=1,1,0),0)</f>
        <v>1</v>
      </c>
      <c r="AL434" s="28" t="str">
        <f>IF(B434="","",IF(K434="DUPLICATE","Duplicate (removed)",IF(AO434=1,"Scheduled within 24h",IF(M434=1,"Scheduled late",IF(K434="BAD CONTACT","Bad contact details",IF(O434=1,"Stopped / wrong number",IF(N434=1,"Not interested",IF(P434=1,"Partner has no slots",IF(SETTINGS!$B$4&gt;=V434,IF(Q434=0,"Missed deadline: never tried","Missed deadline: tried, not booked"),IF(Q434&gt;=SETTINGS!$B$6,"No reply after max tries","Open"))))))))))</f>
        <v>Scheduled within 24h</v>
      </c>
      <c r="AM434" s="46">
        <f>IF(M434=1,IF(_xlfn.MINIFS(LOG!$G$2:$G$2001,LOG!$C$2:$C$2001,F434,LOG!$E$2:$E$2001,B434,LOG!$D$2:$D$2001,"*BOOKED")=0,_xlfn.MINIFS(LOG!$G$2:$G$2001,LOG!$C$2:$C$2001,F434,LOG!$E$2:$E$2001,"",LOG!$D$2:$D$2001,"*BOOKED"),IF(_xlfn.MINIFS(LOG!$G$2:$G$2001,LOG!$C$2:$C$2001,F434,LOG!$E$2:$E$2001,"",LOG!$D$2:$D$2001,"*BOOKED")=0,_xlfn.MINIFS(LOG!$G$2:$G$2001,LOG!$C$2:$C$2001,F434,LOG!$E$2:$E$2001,B434,LOG!$D$2:$D$2001,"*BOOKED"),MIN(_xlfn.MINIFS(LOG!$G$2:$G$2001,LOG!$C$2:$C$2001,F434,LOG!$E$2:$E$2001,B434,LOG!$D$2:$D$2001,"*BOOKED"),_xlfn.MINIFS(LOG!$G$2:$G$2001,LOG!$C$2:$C$2001,F434,LOG!$E$2:$E$2001,"",LOG!$D$2:$D$2001,"*BOOKED")))),"")</f>
        <v>46308.955148565175</v>
      </c>
      <c r="AN434" s="28">
        <f t="shared" si="73"/>
        <v>3.0735655642929487</v>
      </c>
      <c r="AO434" s="28">
        <f>IF(AND(M434=1,AN434&lt;&gt;""),IF(AN434&lt;=SETTINGS!$B$5,1,0),0)</f>
        <v>1</v>
      </c>
      <c r="AP434" s="28">
        <f>IF(M434=1,IF(COUNTIFS(LOG!$C$2:$C$2001,F434,LOG!$E$2:$E$2001,B434,LOG!$D$2:$D$2001,"BOOKED")+COUNTIFS(LOG!$C$2:$C$2001,F434,LOG!$E$2:$E$2001,"",LOG!$D$2:$D$2001,"BOOKED")&gt;0,1,0),0)</f>
        <v>0</v>
      </c>
      <c r="AQ434" s="28" t="str">
        <f t="shared" si="74"/>
        <v>Vihaan</v>
      </c>
      <c r="AR434" s="28">
        <f>IF(AND(AK434=1,K434="OK"),COUNTIFS($AK$2:AK434,1,$K$2:K434,"OK"),"")</f>
        <v>357</v>
      </c>
      <c r="AS434" s="28" t="str">
        <f>IF(L434=1,IFERROR(INDEX(MESSAGES!$J$9:$J$1008,MATCH(F434,MESSAGES!$M$9:$M$1008,0))&amp;"",""),"")</f>
        <v/>
      </c>
      <c r="AT434" s="28" t="str">
        <f>IF(L434=1,IFERROR(INDEX(MESSAGES!$K$9:$K$1008,MATCH(F434,MESSAGES!$M$9:$M$1008,0))&amp;"",""),"")</f>
        <v/>
      </c>
      <c r="AU434" s="28">
        <f t="shared" ca="1" si="75"/>
        <v>0</v>
      </c>
      <c r="AV434" s="28" t="str">
        <f t="shared" si="76"/>
        <v>SEND</v>
      </c>
    </row>
    <row r="435" spans="1:48" x14ac:dyDescent="0.35">
      <c r="A435" s="28">
        <v>434</v>
      </c>
      <c r="B435" s="28" t="str">
        <f>IF(INPUT!A435="","",TRIM(INPUT!A435))</f>
        <v>Partner 001</v>
      </c>
      <c r="C435" s="28" t="str">
        <f>IF(B435="","",INPUT!C435)</f>
        <v>interviewer1@partner001.example.com</v>
      </c>
      <c r="D435" s="28" t="str">
        <f>IF(B435="","",INPUT!D435)</f>
        <v>Aarav H.</v>
      </c>
      <c r="E435" s="28" t="str">
        <f>IF(B435="","",INPUT!E435)</f>
        <v>aarav.h210@example.com</v>
      </c>
      <c r="F435" s="43" t="str">
        <f>IF(B435="","",TRIM(INPUT!F435&amp;""))</f>
        <v>9000002737</v>
      </c>
      <c r="G435" s="28" t="str">
        <f>IF(B435="","",INPUT!H435)</f>
        <v>Round1</v>
      </c>
      <c r="H435" s="46">
        <f>IF(B435="","",INPUT!I435)</f>
        <v>46308.82708333333</v>
      </c>
      <c r="I435" s="28" t="str">
        <f>IF(B435="","",IF(INPUT!J435="","None",INPUT!J435))</f>
        <v>None</v>
      </c>
      <c r="J435" s="28" t="str">
        <f t="shared" si="66"/>
        <v>aarav.h210@example.com|partner 001|Round1|interviewer1@partner001.example.com</v>
      </c>
      <c r="K435" s="28" t="str">
        <f>IF(B435="","",IF(SUMPRODUCT(($J$2:$J$601=J435)*($H$2:$H$601&lt;H435))+SUMPRODUCT(($J$2:J435=J435)*($H$2:H435=H435))-1&gt;0,"DUPLICATE",IF(AND(ISNUMBER(SEARCH("@",E435)),ISNUMBER(SEARCH(".",E435)),LEN(F435)=10,ISNUMBER(VALUE(F435))),"OK","BAD CONTACT")))</f>
        <v>OK</v>
      </c>
      <c r="L435" s="28">
        <f t="shared" si="67"/>
        <v>1</v>
      </c>
      <c r="M435" s="28">
        <f>IF(L435=1,IF(COUNTIFS(LOG!$C$2:$C$2001,F435,LOG!$E$2:$E$2001,B435,LOG!$D$2:$D$2001,"*BOOKED")+COUNTIFS(LOG!$C$2:$C$2001,F435,LOG!$E$2:$E$2001,"",LOG!$D$2:$D$2001,"*BOOKED")&gt;0,1,0),0)</f>
        <v>0</v>
      </c>
      <c r="N435" s="28">
        <f>IF(L435=1,IF(COUNTIFS(LOG!$C$2:$C$2001,F435,LOG!$E$2:$E$2001,B435,LOG!$D$2:$D$2001,"NOT_INTERESTED")+COUNTIFS(LOG!$C$2:$C$2001,F435,LOG!$E$2:$E$2001,"",LOG!$D$2:$D$2001,"NOT_INTERESTED")&gt;0,1,0),0)</f>
        <v>0</v>
      </c>
      <c r="O435" s="28">
        <f>IF(L435=1,IF(COUNTIFS(LOG!$C$2:$C$2001,F435,LOG!$D$2:$D$2001,"STOP")+COUNTIFS(LOG!$C$2:$C$2001,F435,LOG!$D$2:$D$2001,"WRONG_NUMBER")&gt;0,1,IF(ISNUMBER(SEARCH("STOP",AT435)),1,0)),0)</f>
        <v>0</v>
      </c>
      <c r="P435" s="28">
        <f>IF(L435=1,IF(IFERROR(INDEX(PARTNERS!$D$2:$D$88,MATCH(B435,PARTNERS!$A$2:$A$88,0)),"")="NO SLOTS",1,IF(AND(IFERROR(INDEX(PARTNERS!$D$2:$D$88,MATCH(B435,PARTNERS!$A$2:$A$88,0)),"")&lt;&gt;"REOPENED",COUNTIFS(LOG!$E$2:$E$2001,B435,LOG!$D$2:$D$2001,"NO_SLOTS")&gt;0),1,0)),0)</f>
        <v>0</v>
      </c>
      <c r="Q435" s="28">
        <f>IF(L435=1,COUNTIFS(LOG!$C$2:$C$2001,F435,LOG!$H$2:$H$2001,1),0)</f>
        <v>0</v>
      </c>
      <c r="R435" s="46">
        <f>IF(Q435&gt;0,_xlfn.MAXIFS(LOG!$G$2:$G$2001,LOG!$C$2:$C$2001,F435,LOG!$H$2:$H$2001,1),0)</f>
        <v>0</v>
      </c>
      <c r="S435" s="28" t="str">
        <f>IF(Q435&gt;0,IFERROR(INDEX(LOG!$D$2:$D$2001,MATCH(F435&amp;"|"&amp;Q435,LOG!$I$2:$I$2001,0)),""),"")</f>
        <v/>
      </c>
      <c r="T435" s="28">
        <f>IF(S435="",0,IFERROR(VLOOKUP(S435,LISTS!$A$2:$E$10,4,FALSE),0))</f>
        <v>0</v>
      </c>
      <c r="U435" s="46">
        <f t="shared" si="68"/>
        <v>0</v>
      </c>
      <c r="V435" s="46">
        <f>IF(L435=1,H435+SETTINGS!$B$5/24,"")</f>
        <v>46309.82708333333</v>
      </c>
      <c r="W435" s="28">
        <f ca="1">IF(L435=1,(V435-SETTINGS!$B$4)*24,"")</f>
        <v>-1.6666666720993817E-2</v>
      </c>
      <c r="X435" s="28">
        <f ca="1">IF(AND(L435=1,K435="OK",M435=0,N435=0,O435=0,P435=0,SETTINGS!$B$4&lt;V435,Q435&lt;SETTINGS!$B$6),1,0)</f>
        <v>0</v>
      </c>
      <c r="Y435" s="28">
        <f ca="1">IF(AND(X435=1,SETTINGS!$B$4&gt;=H435,SETTINGS!$B$4&gt;=U435,ROUND(MOD(SETTINGS!$B$4,1)*1440,0)&gt;=ROUND(SETTINGS!$B$7*1440,0),ROUND(MOD(SETTINGS!$B$4,1)*1440,0)&lt;ROUND(SETTINGS!$B$8*1440,0)),1,0)</f>
        <v>0</v>
      </c>
      <c r="Z435" s="28" t="str">
        <f ca="1">IF(B435="","",IF(ROUND(MOD(SETTINGS!$B$4,1)*1440,0)&lt;ROUND(SETTINGS!$B$11*1440,0),"Ram",IF(ROUND(MOD(SETTINGS!$B$4,1)*1440,0)&gt;=ROUND(SETTINGS!$B$10*1440,0),"Shyam",IF(MOD(IFERROR(VALUE(RIGHT(F435,2)),0),2)=0,"Ram","Shyam"))))</f>
        <v>Shyam</v>
      </c>
      <c r="AA435" s="28">
        <f t="shared" ca="1" si="69"/>
        <v>0</v>
      </c>
      <c r="AB435" s="28">
        <f ca="1">IF(X435=1,COUNTIFS($F$2:F435,F435,$X$2:X435,1),0)</f>
        <v>0</v>
      </c>
      <c r="AC435" s="28" t="str">
        <f>IF(L435=1,IF(IFERROR(INDEX(PARTNERS!$C$2:$C$88,MATCH(B435,PARTNERS!$A$2:$A$88,0)),"")="YES","YES","NO"),"")</f>
        <v>NO</v>
      </c>
      <c r="AD435" s="28" t="str">
        <f>IF(L435=1,IFERROR(INDEX(PARTNERS!$B$2:$B$88,MATCH(B435,PARTNERS!$A$2:$A$88,0)),""),"")</f>
        <v>https://calendly.com/partner001/interview</v>
      </c>
      <c r="AE435" s="28">
        <f ca="1">IF(X435=1,IFERROR(INDEX(SETTINGS!$B$34:$D$36,MATCH(I435,SETTINGS!$A$34:$A$36,0),MIN(Q435,2)+1),SETTINGS!$B$36),0)</f>
        <v>0</v>
      </c>
      <c r="AF435" s="28">
        <f t="shared" si="70"/>
        <v>1</v>
      </c>
      <c r="AG435" s="28">
        <f ca="1">IF(AND(Y435=1,AB435=1),ROUND(AA435*AE435*IF(AF435&gt;1,SETTINGS!$B$16,1)*IF(W435&lt;=SETTINGS!$B$14,SETTINGS!$B$15,1)*IF(AU435=1,SETTINGS!$B$21,1),6),0)</f>
        <v>0</v>
      </c>
      <c r="AH435" s="28" t="str">
        <f ca="1">IF(AG435&gt;0,COUNTIFS($Z$2:$Z$601,Z435,$AG$2:$AG$601,"&gt;"&amp;AG435)+COUNTIFS($Z$2:Z435,Z435,$AG$2:AG435,AG435),"")</f>
        <v/>
      </c>
      <c r="AI435" s="28" t="str">
        <f t="shared" ca="1" si="71"/>
        <v/>
      </c>
      <c r="AJ435" s="28" t="str">
        <f t="shared" ca="1" si="72"/>
        <v/>
      </c>
      <c r="AK435" s="28">
        <f>IF(L435=1,IF(COUNTIFS($F$2:F435,F435,$L$2:L435,1)=1,1,0),0)</f>
        <v>1</v>
      </c>
      <c r="AL435" s="28" t="str">
        <f ca="1">IF(B435="","",IF(K435="DUPLICATE","Duplicate (removed)",IF(AO435=1,"Scheduled within 24h",IF(M435=1,"Scheduled late",IF(K435="BAD CONTACT","Bad contact details",IF(O435=1,"Stopped / wrong number",IF(N435=1,"Not interested",IF(P435=1,"Partner has no slots",IF(SETTINGS!$B$4&gt;=V435,IF(Q435=0,"Missed deadline: never tried","Missed deadline: tried, not booked"),IF(Q435&gt;=SETTINGS!$B$6,"No reply after max tries","Open"))))))))))</f>
        <v>Missed deadline: never tried</v>
      </c>
      <c r="AM435" s="46" t="str">
        <f>IF(M435=1,IF(_xlfn.MINIFS(LOG!$G$2:$G$2001,LOG!$C$2:$C$2001,F435,LOG!$E$2:$E$2001,B435,LOG!$D$2:$D$2001,"*BOOKED")=0,_xlfn.MINIFS(LOG!$G$2:$G$2001,LOG!$C$2:$C$2001,F435,LOG!$E$2:$E$2001,"",LOG!$D$2:$D$2001,"*BOOKED"),IF(_xlfn.MINIFS(LOG!$G$2:$G$2001,LOG!$C$2:$C$2001,F435,LOG!$E$2:$E$2001,"",LOG!$D$2:$D$2001,"*BOOKED")=0,_xlfn.MINIFS(LOG!$G$2:$G$2001,LOG!$C$2:$C$2001,F435,LOG!$E$2:$E$2001,B435,LOG!$D$2:$D$2001,"*BOOKED"),MIN(_xlfn.MINIFS(LOG!$G$2:$G$2001,LOG!$C$2:$C$2001,F435,LOG!$E$2:$E$2001,B435,LOG!$D$2:$D$2001,"*BOOKED"),_xlfn.MINIFS(LOG!$G$2:$G$2001,LOG!$C$2:$C$2001,F435,LOG!$E$2:$E$2001,"",LOG!$D$2:$D$2001,"*BOOKED")))),"")</f>
        <v/>
      </c>
      <c r="AN435" s="28" t="str">
        <f t="shared" si="73"/>
        <v/>
      </c>
      <c r="AO435" s="28">
        <f>IF(AND(M435=1,AN435&lt;&gt;""),IF(AN435&lt;=SETTINGS!$B$5,1,0),0)</f>
        <v>0</v>
      </c>
      <c r="AP435" s="28">
        <f>IF(M435=1,IF(COUNTIFS(LOG!$C$2:$C$2001,F435,LOG!$E$2:$E$2001,B435,LOG!$D$2:$D$2001,"BOOKED")+COUNTIFS(LOG!$C$2:$C$2001,F435,LOG!$E$2:$E$2001,"",LOG!$D$2:$D$2001,"BOOKED")&gt;0,1,0),0)</f>
        <v>0</v>
      </c>
      <c r="AQ435" s="28" t="str">
        <f t="shared" si="74"/>
        <v>Aarav</v>
      </c>
      <c r="AR435" s="28">
        <f>IF(AND(AK435=1,K435="OK"),COUNTIFS($AK$2:AK435,1,$K$2:K435,"OK"),"")</f>
        <v>358</v>
      </c>
      <c r="AS435" s="28" t="str">
        <f>IF(L435=1,IFERROR(INDEX(MESSAGES!$J$9:$J$1008,MATCH(F435,MESSAGES!$M$9:$M$1008,0))&amp;"",""),"")</f>
        <v/>
      </c>
      <c r="AT435" s="28" t="str">
        <f>IF(L435=1,IFERROR(INDEX(MESSAGES!$K$9:$K$1008,MATCH(F435,MESSAGES!$M$9:$M$1008,0))&amp;"",""),"")</f>
        <v/>
      </c>
      <c r="AU435" s="28">
        <f t="shared" ca="1" si="75"/>
        <v>0</v>
      </c>
      <c r="AV435" s="28" t="str">
        <f t="shared" si="76"/>
        <v>HOLD</v>
      </c>
    </row>
    <row r="436" spans="1:48" x14ac:dyDescent="0.35">
      <c r="A436" s="28">
        <v>435</v>
      </c>
      <c r="B436" s="28" t="str">
        <f>IF(INPUT!A436="","",TRIM(INPUT!A436))</f>
        <v>Partner 008</v>
      </c>
      <c r="C436" s="28" t="str">
        <f>IF(B436="","",INPUT!C436)</f>
        <v>interviewer0@partner008.example.com</v>
      </c>
      <c r="D436" s="28" t="str">
        <f>IF(B436="","",INPUT!D436)</f>
        <v>Vihaan A.</v>
      </c>
      <c r="E436" s="28" t="str">
        <f>IF(B436="","",INPUT!E436)</f>
        <v>vihaan.a004@example.com</v>
      </c>
      <c r="F436" s="43" t="str">
        <f>IF(B436="","",TRIM(INPUT!F436&amp;""))</f>
        <v>9000000059</v>
      </c>
      <c r="G436" s="28" t="str">
        <f>IF(B436="","",INPUT!H436)</f>
        <v>Round1</v>
      </c>
      <c r="H436" s="46">
        <f>IF(B436="","",INPUT!I436)</f>
        <v>46308.82708333333</v>
      </c>
      <c r="I436" s="28" t="str">
        <f>IF(B436="","",IF(INPUT!J436="","None",INPUT!J436))</f>
        <v>None</v>
      </c>
      <c r="J436" s="28" t="str">
        <f t="shared" si="66"/>
        <v>vihaan.a004@example.com|partner 008|Round1|interviewer0@partner008.example.com</v>
      </c>
      <c r="K436" s="28" t="str">
        <f>IF(B436="","",IF(SUMPRODUCT(($J$2:$J$601=J436)*($H$2:$H$601&lt;H436))+SUMPRODUCT(($J$2:J436=J436)*($H$2:H436=H436))-1&gt;0,"DUPLICATE",IF(AND(ISNUMBER(SEARCH("@",E436)),ISNUMBER(SEARCH(".",E436)),LEN(F436)=10,ISNUMBER(VALUE(F436))),"OK","BAD CONTACT")))</f>
        <v>OK</v>
      </c>
      <c r="L436" s="28">
        <f t="shared" si="67"/>
        <v>1</v>
      </c>
      <c r="M436" s="28">
        <f>IF(L436=1,IF(COUNTIFS(LOG!$C$2:$C$2001,F436,LOG!$E$2:$E$2001,B436,LOG!$D$2:$D$2001,"*BOOKED")+COUNTIFS(LOG!$C$2:$C$2001,F436,LOG!$E$2:$E$2001,"",LOG!$D$2:$D$2001,"*BOOKED")&gt;0,1,0),0)</f>
        <v>0</v>
      </c>
      <c r="N436" s="28">
        <f>IF(L436=1,IF(COUNTIFS(LOG!$C$2:$C$2001,F436,LOG!$E$2:$E$2001,B436,LOG!$D$2:$D$2001,"NOT_INTERESTED")+COUNTIFS(LOG!$C$2:$C$2001,F436,LOG!$E$2:$E$2001,"",LOG!$D$2:$D$2001,"NOT_INTERESTED")&gt;0,1,0),0)</f>
        <v>0</v>
      </c>
      <c r="O436" s="28">
        <f>IF(L436=1,IF(COUNTIFS(LOG!$C$2:$C$2001,F436,LOG!$D$2:$D$2001,"STOP")+COUNTIFS(LOG!$C$2:$C$2001,F436,LOG!$D$2:$D$2001,"WRONG_NUMBER")&gt;0,1,IF(ISNUMBER(SEARCH("STOP",AT436)),1,0)),0)</f>
        <v>0</v>
      </c>
      <c r="P436" s="28">
        <f>IF(L436=1,IF(IFERROR(INDEX(PARTNERS!$D$2:$D$88,MATCH(B436,PARTNERS!$A$2:$A$88,0)),"")="NO SLOTS",1,IF(AND(IFERROR(INDEX(PARTNERS!$D$2:$D$88,MATCH(B436,PARTNERS!$A$2:$A$88,0)),"")&lt;&gt;"REOPENED",COUNTIFS(LOG!$E$2:$E$2001,B436,LOG!$D$2:$D$2001,"NO_SLOTS")&gt;0),1,0)),0)</f>
        <v>0</v>
      </c>
      <c r="Q436" s="28">
        <f>IF(L436=1,COUNTIFS(LOG!$C$2:$C$2001,F436,LOG!$H$2:$H$2001,1),0)</f>
        <v>0</v>
      </c>
      <c r="R436" s="46">
        <f>IF(Q436&gt;0,_xlfn.MAXIFS(LOG!$G$2:$G$2001,LOG!$C$2:$C$2001,F436,LOG!$H$2:$H$2001,1),0)</f>
        <v>0</v>
      </c>
      <c r="S436" s="28" t="str">
        <f>IF(Q436&gt;0,IFERROR(INDEX(LOG!$D$2:$D$2001,MATCH(F436&amp;"|"&amp;Q436,LOG!$I$2:$I$2001,0)),""),"")</f>
        <v/>
      </c>
      <c r="T436" s="28">
        <f>IF(S436="",0,IFERROR(VLOOKUP(S436,LISTS!$A$2:$E$10,4,FALSE),0))</f>
        <v>0</v>
      </c>
      <c r="U436" s="46">
        <f t="shared" si="68"/>
        <v>0</v>
      </c>
      <c r="V436" s="46">
        <f>IF(L436=1,H436+SETTINGS!$B$5/24,"")</f>
        <v>46309.82708333333</v>
      </c>
      <c r="W436" s="28">
        <f ca="1">IF(L436=1,(V436-SETTINGS!$B$4)*24,"")</f>
        <v>-1.6666666720993817E-2</v>
      </c>
      <c r="X436" s="28">
        <f ca="1">IF(AND(L436=1,K436="OK",M436=0,N436=0,O436=0,P436=0,SETTINGS!$B$4&lt;V436,Q436&lt;SETTINGS!$B$6),1,0)</f>
        <v>0</v>
      </c>
      <c r="Y436" s="28">
        <f ca="1">IF(AND(X436=1,SETTINGS!$B$4&gt;=H436,SETTINGS!$B$4&gt;=U436,ROUND(MOD(SETTINGS!$B$4,1)*1440,0)&gt;=ROUND(SETTINGS!$B$7*1440,0),ROUND(MOD(SETTINGS!$B$4,1)*1440,0)&lt;ROUND(SETTINGS!$B$8*1440,0)),1,0)</f>
        <v>0</v>
      </c>
      <c r="Z436" s="28" t="str">
        <f ca="1">IF(B436="","",IF(ROUND(MOD(SETTINGS!$B$4,1)*1440,0)&lt;ROUND(SETTINGS!$B$11*1440,0),"Ram",IF(ROUND(MOD(SETTINGS!$B$4,1)*1440,0)&gt;=ROUND(SETTINGS!$B$10*1440,0),"Shyam",IF(MOD(IFERROR(VALUE(RIGHT(F436,2)),0),2)=0,"Ram","Shyam"))))</f>
        <v>Shyam</v>
      </c>
      <c r="AA436" s="28">
        <f t="shared" ca="1" si="69"/>
        <v>0</v>
      </c>
      <c r="AB436" s="28">
        <f ca="1">IF(X436=1,COUNTIFS($F$2:F436,F436,$X$2:X436,1),0)</f>
        <v>0</v>
      </c>
      <c r="AC436" s="28" t="str">
        <f>IF(L436=1,IF(IFERROR(INDEX(PARTNERS!$C$2:$C$88,MATCH(B436,PARTNERS!$A$2:$A$88,0)),"")="YES","YES","NO"),"")</f>
        <v>YES</v>
      </c>
      <c r="AD436" s="28" t="str">
        <f>IF(L436=1,IFERROR(INDEX(PARTNERS!$B$2:$B$88,MATCH(B436,PARTNERS!$A$2:$A$88,0)),""),"")</f>
        <v>https://calendly.com/partner008/interview</v>
      </c>
      <c r="AE436" s="28">
        <f ca="1">IF(X436=1,IFERROR(INDEX(SETTINGS!$B$34:$D$36,MATCH(I436,SETTINGS!$A$34:$A$36,0),MIN(Q436,2)+1),SETTINGS!$B$36),0)</f>
        <v>0</v>
      </c>
      <c r="AF436" s="28">
        <f t="shared" si="70"/>
        <v>1</v>
      </c>
      <c r="AG436" s="28">
        <f ca="1">IF(AND(Y436=1,AB436=1),ROUND(AA436*AE436*IF(AF436&gt;1,SETTINGS!$B$16,1)*IF(W436&lt;=SETTINGS!$B$14,SETTINGS!$B$15,1)*IF(AU436=1,SETTINGS!$B$21,1),6),0)</f>
        <v>0</v>
      </c>
      <c r="AH436" s="28" t="str">
        <f ca="1">IF(AG436&gt;0,COUNTIFS($Z$2:$Z$601,Z436,$AG$2:$AG$601,"&gt;"&amp;AG436)+COUNTIFS($Z$2:Z436,Z436,$AG$2:AG436,AG436),"")</f>
        <v/>
      </c>
      <c r="AI436" s="28" t="str">
        <f t="shared" ca="1" si="71"/>
        <v/>
      </c>
      <c r="AJ436" s="28" t="str">
        <f t="shared" ca="1" si="72"/>
        <v/>
      </c>
      <c r="AK436" s="28">
        <f>IF(L436=1,IF(COUNTIFS($F$2:F436,F436,$L$2:L436,1)=1,1,0),0)</f>
        <v>1</v>
      </c>
      <c r="AL436" s="28" t="str">
        <f ca="1">IF(B436="","",IF(K436="DUPLICATE","Duplicate (removed)",IF(AO436=1,"Scheduled within 24h",IF(M436=1,"Scheduled late",IF(K436="BAD CONTACT","Bad contact details",IF(O436=1,"Stopped / wrong number",IF(N436=1,"Not interested",IF(P436=1,"Partner has no slots",IF(SETTINGS!$B$4&gt;=V436,IF(Q436=0,"Missed deadline: never tried","Missed deadline: tried, not booked"),IF(Q436&gt;=SETTINGS!$B$6,"No reply after max tries","Open"))))))))))</f>
        <v>Missed deadline: never tried</v>
      </c>
      <c r="AM436" s="46" t="str">
        <f>IF(M436=1,IF(_xlfn.MINIFS(LOG!$G$2:$G$2001,LOG!$C$2:$C$2001,F436,LOG!$E$2:$E$2001,B436,LOG!$D$2:$D$2001,"*BOOKED")=0,_xlfn.MINIFS(LOG!$G$2:$G$2001,LOG!$C$2:$C$2001,F436,LOG!$E$2:$E$2001,"",LOG!$D$2:$D$2001,"*BOOKED"),IF(_xlfn.MINIFS(LOG!$G$2:$G$2001,LOG!$C$2:$C$2001,F436,LOG!$E$2:$E$2001,"",LOG!$D$2:$D$2001,"*BOOKED")=0,_xlfn.MINIFS(LOG!$G$2:$G$2001,LOG!$C$2:$C$2001,F436,LOG!$E$2:$E$2001,B436,LOG!$D$2:$D$2001,"*BOOKED"),MIN(_xlfn.MINIFS(LOG!$G$2:$G$2001,LOG!$C$2:$C$2001,F436,LOG!$E$2:$E$2001,B436,LOG!$D$2:$D$2001,"*BOOKED"),_xlfn.MINIFS(LOG!$G$2:$G$2001,LOG!$C$2:$C$2001,F436,LOG!$E$2:$E$2001,"",LOG!$D$2:$D$2001,"*BOOKED")))),"")</f>
        <v/>
      </c>
      <c r="AN436" s="28" t="str">
        <f t="shared" si="73"/>
        <v/>
      </c>
      <c r="AO436" s="28">
        <f>IF(AND(M436=1,AN436&lt;&gt;""),IF(AN436&lt;=SETTINGS!$B$5,1,0),0)</f>
        <v>0</v>
      </c>
      <c r="AP436" s="28">
        <f>IF(M436=1,IF(COUNTIFS(LOG!$C$2:$C$2001,F436,LOG!$E$2:$E$2001,B436,LOG!$D$2:$D$2001,"BOOKED")+COUNTIFS(LOG!$C$2:$C$2001,F436,LOG!$E$2:$E$2001,"",LOG!$D$2:$D$2001,"BOOKED")&gt;0,1,0),0)</f>
        <v>0</v>
      </c>
      <c r="AQ436" s="28" t="str">
        <f t="shared" si="74"/>
        <v>Vihaan</v>
      </c>
      <c r="AR436" s="28">
        <f>IF(AND(AK436=1,K436="OK"),COUNTIFS($AK$2:AK436,1,$K$2:K436,"OK"),"")</f>
        <v>359</v>
      </c>
      <c r="AS436" s="28" t="str">
        <f>IF(L436=1,IFERROR(INDEX(MESSAGES!$J$9:$J$1008,MATCH(F436,MESSAGES!$M$9:$M$1008,0))&amp;"",""),"")</f>
        <v/>
      </c>
      <c r="AT436" s="28" t="str">
        <f>IF(L436=1,IFERROR(INDEX(MESSAGES!$K$9:$K$1008,MATCH(F436,MESSAGES!$M$9:$M$1008,0))&amp;"",""),"")</f>
        <v/>
      </c>
      <c r="AU436" s="28">
        <f t="shared" ca="1" si="75"/>
        <v>0</v>
      </c>
      <c r="AV436" s="28" t="str">
        <f t="shared" si="76"/>
        <v>HOLD</v>
      </c>
    </row>
    <row r="437" spans="1:48" x14ac:dyDescent="0.35">
      <c r="A437" s="28">
        <v>436</v>
      </c>
      <c r="B437" s="28" t="str">
        <f>IF(INPUT!A437="","",TRIM(INPUT!A437))</f>
        <v>Partner 040</v>
      </c>
      <c r="C437" s="28" t="str">
        <f>IF(B437="","",INPUT!C437)</f>
        <v>interviewer0@partner040.example.com</v>
      </c>
      <c r="D437" s="28" t="str">
        <f>IF(B437="","",INPUT!D437)</f>
        <v>Karan E.</v>
      </c>
      <c r="E437" s="28" t="str">
        <f>IF(B437="","",INPUT!E437)</f>
        <v>karan.e140@example.com</v>
      </c>
      <c r="F437" s="43" t="str">
        <f>IF(B437="","",TRIM(INPUT!F437&amp;""))</f>
        <v>9000001827</v>
      </c>
      <c r="G437" s="28" t="str">
        <f>IF(B437="","",INPUT!H437)</f>
        <v>Round1</v>
      </c>
      <c r="H437" s="46">
        <f>IF(B437="","",INPUT!I437)</f>
        <v>46308.82708333333</v>
      </c>
      <c r="I437" s="28" t="str">
        <f>IF(B437="","",IF(INPUT!J437="","None",INPUT!J437))</f>
        <v>Opened</v>
      </c>
      <c r="J437" s="28" t="str">
        <f t="shared" si="66"/>
        <v>karan.e140@example.com|partner 040|Round1|interviewer0@partner040.example.com</v>
      </c>
      <c r="K437" s="28" t="str">
        <f>IF(B437="","",IF(SUMPRODUCT(($J$2:$J$601=J437)*($H$2:$H$601&lt;H437))+SUMPRODUCT(($J$2:J437=J437)*($H$2:H437=H437))-1&gt;0,"DUPLICATE",IF(AND(ISNUMBER(SEARCH("@",E437)),ISNUMBER(SEARCH(".",E437)),LEN(F437)=10,ISNUMBER(VALUE(F437))),"OK","BAD CONTACT")))</f>
        <v>OK</v>
      </c>
      <c r="L437" s="28">
        <f t="shared" si="67"/>
        <v>1</v>
      </c>
      <c r="M437" s="28">
        <f>IF(L437=1,IF(COUNTIFS(LOG!$C$2:$C$2001,F437,LOG!$E$2:$E$2001,B437,LOG!$D$2:$D$2001,"*BOOKED")+COUNTIFS(LOG!$C$2:$C$2001,F437,LOG!$E$2:$E$2001,"",LOG!$D$2:$D$2001,"*BOOKED")&gt;0,1,0),0)</f>
        <v>0</v>
      </c>
      <c r="N437" s="28">
        <f>IF(L437=1,IF(COUNTIFS(LOG!$C$2:$C$2001,F437,LOG!$E$2:$E$2001,B437,LOG!$D$2:$D$2001,"NOT_INTERESTED")+COUNTIFS(LOG!$C$2:$C$2001,F437,LOG!$E$2:$E$2001,"",LOG!$D$2:$D$2001,"NOT_INTERESTED")&gt;0,1,0),0)</f>
        <v>0</v>
      </c>
      <c r="O437" s="28">
        <f>IF(L437=1,IF(COUNTIFS(LOG!$C$2:$C$2001,F437,LOG!$D$2:$D$2001,"STOP")+COUNTIFS(LOG!$C$2:$C$2001,F437,LOG!$D$2:$D$2001,"WRONG_NUMBER")&gt;0,1,IF(ISNUMBER(SEARCH("STOP",AT437)),1,0)),0)</f>
        <v>0</v>
      </c>
      <c r="P437" s="28">
        <f>IF(L437=1,IF(IFERROR(INDEX(PARTNERS!$D$2:$D$88,MATCH(B437,PARTNERS!$A$2:$A$88,0)),"")="NO SLOTS",1,IF(AND(IFERROR(INDEX(PARTNERS!$D$2:$D$88,MATCH(B437,PARTNERS!$A$2:$A$88,0)),"")&lt;&gt;"REOPENED",COUNTIFS(LOG!$E$2:$E$2001,B437,LOG!$D$2:$D$2001,"NO_SLOTS")&gt;0),1,0)),0)</f>
        <v>0</v>
      </c>
      <c r="Q437" s="28">
        <f>IF(L437=1,COUNTIFS(LOG!$C$2:$C$2001,F437,LOG!$H$2:$H$2001,1),0)</f>
        <v>0</v>
      </c>
      <c r="R437" s="46">
        <f>IF(Q437&gt;0,_xlfn.MAXIFS(LOG!$G$2:$G$2001,LOG!$C$2:$C$2001,F437,LOG!$H$2:$H$2001,1),0)</f>
        <v>0</v>
      </c>
      <c r="S437" s="28" t="str">
        <f>IF(Q437&gt;0,IFERROR(INDEX(LOG!$D$2:$D$2001,MATCH(F437&amp;"|"&amp;Q437,LOG!$I$2:$I$2001,0)),""),"")</f>
        <v/>
      </c>
      <c r="T437" s="28">
        <f>IF(S437="",0,IFERROR(VLOOKUP(S437,LISTS!$A$2:$E$10,4,FALSE),0))</f>
        <v>0</v>
      </c>
      <c r="U437" s="46">
        <f t="shared" si="68"/>
        <v>0</v>
      </c>
      <c r="V437" s="46">
        <f>IF(L437=1,H437+SETTINGS!$B$5/24,"")</f>
        <v>46309.82708333333</v>
      </c>
      <c r="W437" s="28">
        <f ca="1">IF(L437=1,(V437-SETTINGS!$B$4)*24,"")</f>
        <v>-1.6666666720993817E-2</v>
      </c>
      <c r="X437" s="28">
        <f ca="1">IF(AND(L437=1,K437="OK",M437=0,N437=0,O437=0,P437=0,SETTINGS!$B$4&lt;V437,Q437&lt;SETTINGS!$B$6),1,0)</f>
        <v>0</v>
      </c>
      <c r="Y437" s="28">
        <f ca="1">IF(AND(X437=1,SETTINGS!$B$4&gt;=H437,SETTINGS!$B$4&gt;=U437,ROUND(MOD(SETTINGS!$B$4,1)*1440,0)&gt;=ROUND(SETTINGS!$B$7*1440,0),ROUND(MOD(SETTINGS!$B$4,1)*1440,0)&lt;ROUND(SETTINGS!$B$8*1440,0)),1,0)</f>
        <v>0</v>
      </c>
      <c r="Z437" s="28" t="str">
        <f ca="1">IF(B437="","",IF(ROUND(MOD(SETTINGS!$B$4,1)*1440,0)&lt;ROUND(SETTINGS!$B$11*1440,0),"Ram",IF(ROUND(MOD(SETTINGS!$B$4,1)*1440,0)&gt;=ROUND(SETTINGS!$B$10*1440,0),"Shyam",IF(MOD(IFERROR(VALUE(RIGHT(F437,2)),0),2)=0,"Ram","Shyam"))))</f>
        <v>Shyam</v>
      </c>
      <c r="AA437" s="28">
        <f t="shared" ca="1" si="69"/>
        <v>0</v>
      </c>
      <c r="AB437" s="28">
        <f ca="1">IF(X437=1,COUNTIFS($F$2:F437,F437,$X$2:X437,1),0)</f>
        <v>0</v>
      </c>
      <c r="AC437" s="28" t="str">
        <f>IF(L437=1,IF(IFERROR(INDEX(PARTNERS!$C$2:$C$88,MATCH(B437,PARTNERS!$A$2:$A$88,0)),"")="YES","YES","NO"),"")</f>
        <v>YES</v>
      </c>
      <c r="AD437" s="28" t="str">
        <f>IF(L437=1,IFERROR(INDEX(PARTNERS!$B$2:$B$88,MATCH(B437,PARTNERS!$A$2:$A$88,0)),""),"")</f>
        <v>https://calendly.com/partner040/interview</v>
      </c>
      <c r="AE437" s="28">
        <f ca="1">IF(X437=1,IFERROR(INDEX(SETTINGS!$B$34:$D$36,MATCH(I437,SETTINGS!$A$34:$A$36,0),MIN(Q437,2)+1),SETTINGS!$B$36),0)</f>
        <v>0</v>
      </c>
      <c r="AF437" s="28">
        <f t="shared" si="70"/>
        <v>1</v>
      </c>
      <c r="AG437" s="28">
        <f ca="1">IF(AND(Y437=1,AB437=1),ROUND(AA437*AE437*IF(AF437&gt;1,SETTINGS!$B$16,1)*IF(W437&lt;=SETTINGS!$B$14,SETTINGS!$B$15,1)*IF(AU437=1,SETTINGS!$B$21,1),6),0)</f>
        <v>0</v>
      </c>
      <c r="AH437" s="28" t="str">
        <f ca="1">IF(AG437&gt;0,COUNTIFS($Z$2:$Z$601,Z437,$AG$2:$AG$601,"&gt;"&amp;AG437)+COUNTIFS($Z$2:Z437,Z437,$AG$2:AG437,AG437),"")</f>
        <v/>
      </c>
      <c r="AI437" s="28" t="str">
        <f t="shared" ca="1" si="71"/>
        <v/>
      </c>
      <c r="AJ437" s="28" t="str">
        <f t="shared" ca="1" si="72"/>
        <v/>
      </c>
      <c r="AK437" s="28">
        <f>IF(L437=1,IF(COUNTIFS($F$2:F437,F437,$L$2:L437,1)=1,1,0),0)</f>
        <v>1</v>
      </c>
      <c r="AL437" s="28" t="str">
        <f ca="1">IF(B437="","",IF(K437="DUPLICATE","Duplicate (removed)",IF(AO437=1,"Scheduled within 24h",IF(M437=1,"Scheduled late",IF(K437="BAD CONTACT","Bad contact details",IF(O437=1,"Stopped / wrong number",IF(N437=1,"Not interested",IF(P437=1,"Partner has no slots",IF(SETTINGS!$B$4&gt;=V437,IF(Q437=0,"Missed deadline: never tried","Missed deadline: tried, not booked"),IF(Q437&gt;=SETTINGS!$B$6,"No reply after max tries","Open"))))))))))</f>
        <v>Missed deadline: never tried</v>
      </c>
      <c r="AM437" s="46" t="str">
        <f>IF(M437=1,IF(_xlfn.MINIFS(LOG!$G$2:$G$2001,LOG!$C$2:$C$2001,F437,LOG!$E$2:$E$2001,B437,LOG!$D$2:$D$2001,"*BOOKED")=0,_xlfn.MINIFS(LOG!$G$2:$G$2001,LOG!$C$2:$C$2001,F437,LOG!$E$2:$E$2001,"",LOG!$D$2:$D$2001,"*BOOKED"),IF(_xlfn.MINIFS(LOG!$G$2:$G$2001,LOG!$C$2:$C$2001,F437,LOG!$E$2:$E$2001,"",LOG!$D$2:$D$2001,"*BOOKED")=0,_xlfn.MINIFS(LOG!$G$2:$G$2001,LOG!$C$2:$C$2001,F437,LOG!$E$2:$E$2001,B437,LOG!$D$2:$D$2001,"*BOOKED"),MIN(_xlfn.MINIFS(LOG!$G$2:$G$2001,LOG!$C$2:$C$2001,F437,LOG!$E$2:$E$2001,B437,LOG!$D$2:$D$2001,"*BOOKED"),_xlfn.MINIFS(LOG!$G$2:$G$2001,LOG!$C$2:$C$2001,F437,LOG!$E$2:$E$2001,"",LOG!$D$2:$D$2001,"*BOOKED")))),"")</f>
        <v/>
      </c>
      <c r="AN437" s="28" t="str">
        <f t="shared" si="73"/>
        <v/>
      </c>
      <c r="AO437" s="28">
        <f>IF(AND(M437=1,AN437&lt;&gt;""),IF(AN437&lt;=SETTINGS!$B$5,1,0),0)</f>
        <v>0</v>
      </c>
      <c r="AP437" s="28">
        <f>IF(M437=1,IF(COUNTIFS(LOG!$C$2:$C$2001,F437,LOG!$E$2:$E$2001,B437,LOG!$D$2:$D$2001,"BOOKED")+COUNTIFS(LOG!$C$2:$C$2001,F437,LOG!$E$2:$E$2001,"",LOG!$D$2:$D$2001,"BOOKED")&gt;0,1,0),0)</f>
        <v>0</v>
      </c>
      <c r="AQ437" s="28" t="str">
        <f t="shared" si="74"/>
        <v>Karan</v>
      </c>
      <c r="AR437" s="28">
        <f>IF(AND(AK437=1,K437="OK"),COUNTIFS($AK$2:AK437,1,$K$2:K437,"OK"),"")</f>
        <v>360</v>
      </c>
      <c r="AS437" s="28" t="str">
        <f>IF(L437=1,IFERROR(INDEX(MESSAGES!$J$9:$J$1008,MATCH(F437,MESSAGES!$M$9:$M$1008,0))&amp;"",""),"")</f>
        <v/>
      </c>
      <c r="AT437" s="28" t="str">
        <f>IF(L437=1,IFERROR(INDEX(MESSAGES!$K$9:$K$1008,MATCH(F437,MESSAGES!$M$9:$M$1008,0))&amp;"",""),"")</f>
        <v/>
      </c>
      <c r="AU437" s="28">
        <f t="shared" ca="1" si="75"/>
        <v>0</v>
      </c>
      <c r="AV437" s="28" t="str">
        <f t="shared" si="76"/>
        <v>SEND</v>
      </c>
    </row>
    <row r="438" spans="1:48" x14ac:dyDescent="0.35">
      <c r="A438" s="28">
        <v>437</v>
      </c>
      <c r="B438" s="28" t="str">
        <f>IF(INPUT!A438="","",TRIM(INPUT!A438))</f>
        <v>Partner 004</v>
      </c>
      <c r="C438" s="28" t="str">
        <f>IF(B438="","",INPUT!C438)</f>
        <v>interviewer2@partner004.example.com</v>
      </c>
      <c r="D438" s="28" t="str">
        <f>IF(B438="","",INPUT!D438)</f>
        <v>Riya K.</v>
      </c>
      <c r="E438" s="28" t="str">
        <f>IF(B438="","",INPUT!E438)</f>
        <v>riya.k289@example.com</v>
      </c>
      <c r="F438" s="43" t="str">
        <f>IF(B438="","",TRIM(INPUT!F438&amp;""))</f>
        <v>9000003764</v>
      </c>
      <c r="G438" s="28" t="str">
        <f>IF(B438="","",INPUT!H438)</f>
        <v>Round1</v>
      </c>
      <c r="H438" s="46">
        <f>IF(B438="","",INPUT!I438)</f>
        <v>46308.82708333333</v>
      </c>
      <c r="I438" s="28" t="str">
        <f>IF(B438="","",IF(INPUT!J438="","None",INPUT!J438))</f>
        <v>None</v>
      </c>
      <c r="J438" s="28" t="str">
        <f t="shared" si="66"/>
        <v>riya.k289@example.com|partner 004|Round1|interviewer2@partner004.example.com</v>
      </c>
      <c r="K438" s="28" t="str">
        <f>IF(B438="","",IF(SUMPRODUCT(($J$2:$J$601=J438)*($H$2:$H$601&lt;H438))+SUMPRODUCT(($J$2:J438=J438)*($H$2:H438=H438))-1&gt;0,"DUPLICATE",IF(AND(ISNUMBER(SEARCH("@",E438)),ISNUMBER(SEARCH(".",E438)),LEN(F438)=10,ISNUMBER(VALUE(F438))),"OK","BAD CONTACT")))</f>
        <v>OK</v>
      </c>
      <c r="L438" s="28">
        <f t="shared" si="67"/>
        <v>1</v>
      </c>
      <c r="M438" s="28">
        <f>IF(L438=1,IF(COUNTIFS(LOG!$C$2:$C$2001,F438,LOG!$E$2:$E$2001,B438,LOG!$D$2:$D$2001,"*BOOKED")+COUNTIFS(LOG!$C$2:$C$2001,F438,LOG!$E$2:$E$2001,"",LOG!$D$2:$D$2001,"*BOOKED")&gt;0,1,0),0)</f>
        <v>0</v>
      </c>
      <c r="N438" s="28">
        <f>IF(L438=1,IF(COUNTIFS(LOG!$C$2:$C$2001,F438,LOG!$E$2:$E$2001,B438,LOG!$D$2:$D$2001,"NOT_INTERESTED")+COUNTIFS(LOG!$C$2:$C$2001,F438,LOG!$E$2:$E$2001,"",LOG!$D$2:$D$2001,"NOT_INTERESTED")&gt;0,1,0),0)</f>
        <v>0</v>
      </c>
      <c r="O438" s="28">
        <f>IF(L438=1,IF(COUNTIFS(LOG!$C$2:$C$2001,F438,LOG!$D$2:$D$2001,"STOP")+COUNTIFS(LOG!$C$2:$C$2001,F438,LOG!$D$2:$D$2001,"WRONG_NUMBER")&gt;0,1,IF(ISNUMBER(SEARCH("STOP",AT438)),1,0)),0)</f>
        <v>0</v>
      </c>
      <c r="P438" s="28">
        <f>IF(L438=1,IF(IFERROR(INDEX(PARTNERS!$D$2:$D$88,MATCH(B438,PARTNERS!$A$2:$A$88,0)),"")="NO SLOTS",1,IF(AND(IFERROR(INDEX(PARTNERS!$D$2:$D$88,MATCH(B438,PARTNERS!$A$2:$A$88,0)),"")&lt;&gt;"REOPENED",COUNTIFS(LOG!$E$2:$E$2001,B438,LOG!$D$2:$D$2001,"NO_SLOTS")&gt;0),1,0)),0)</f>
        <v>0</v>
      </c>
      <c r="Q438" s="28">
        <f>IF(L438=1,COUNTIFS(LOG!$C$2:$C$2001,F438,LOG!$H$2:$H$2001,1),0)</f>
        <v>0</v>
      </c>
      <c r="R438" s="46">
        <f>IF(Q438&gt;0,_xlfn.MAXIFS(LOG!$G$2:$G$2001,LOG!$C$2:$C$2001,F438,LOG!$H$2:$H$2001,1),0)</f>
        <v>0</v>
      </c>
      <c r="S438" s="28" t="str">
        <f>IF(Q438&gt;0,IFERROR(INDEX(LOG!$D$2:$D$2001,MATCH(F438&amp;"|"&amp;Q438,LOG!$I$2:$I$2001,0)),""),"")</f>
        <v/>
      </c>
      <c r="T438" s="28">
        <f>IF(S438="",0,IFERROR(VLOOKUP(S438,LISTS!$A$2:$E$10,4,FALSE),0))</f>
        <v>0</v>
      </c>
      <c r="U438" s="46">
        <f t="shared" si="68"/>
        <v>0</v>
      </c>
      <c r="V438" s="46">
        <f>IF(L438=1,H438+SETTINGS!$B$5/24,"")</f>
        <v>46309.82708333333</v>
      </c>
      <c r="W438" s="28">
        <f ca="1">IF(L438=1,(V438-SETTINGS!$B$4)*24,"")</f>
        <v>-1.6666666720993817E-2</v>
      </c>
      <c r="X438" s="28">
        <f ca="1">IF(AND(L438=1,K438="OK",M438=0,N438=0,O438=0,P438=0,SETTINGS!$B$4&lt;V438,Q438&lt;SETTINGS!$B$6),1,0)</f>
        <v>0</v>
      </c>
      <c r="Y438" s="28">
        <f ca="1">IF(AND(X438=1,SETTINGS!$B$4&gt;=H438,SETTINGS!$B$4&gt;=U438,ROUND(MOD(SETTINGS!$B$4,1)*1440,0)&gt;=ROUND(SETTINGS!$B$7*1440,0),ROUND(MOD(SETTINGS!$B$4,1)*1440,0)&lt;ROUND(SETTINGS!$B$8*1440,0)),1,0)</f>
        <v>0</v>
      </c>
      <c r="Z438" s="28" t="str">
        <f ca="1">IF(B438="","",IF(ROUND(MOD(SETTINGS!$B$4,1)*1440,0)&lt;ROUND(SETTINGS!$B$11*1440,0),"Ram",IF(ROUND(MOD(SETTINGS!$B$4,1)*1440,0)&gt;=ROUND(SETTINGS!$B$10*1440,0),"Shyam",IF(MOD(IFERROR(VALUE(RIGHT(F438,2)),0),2)=0,"Ram","Shyam"))))</f>
        <v>Shyam</v>
      </c>
      <c r="AA438" s="28">
        <f t="shared" ca="1" si="69"/>
        <v>0</v>
      </c>
      <c r="AB438" s="28">
        <f ca="1">IF(X438=1,COUNTIFS($F$2:F438,F438,$X$2:X438,1),0)</f>
        <v>0</v>
      </c>
      <c r="AC438" s="28" t="str">
        <f>IF(L438=1,IF(IFERROR(INDEX(PARTNERS!$C$2:$C$88,MATCH(B438,PARTNERS!$A$2:$A$88,0)),"")="YES","YES","NO"),"")</f>
        <v>YES</v>
      </c>
      <c r="AD438" s="28" t="str">
        <f>IF(L438=1,IFERROR(INDEX(PARTNERS!$B$2:$B$88,MATCH(B438,PARTNERS!$A$2:$A$88,0)),""),"")</f>
        <v>https://calendly.com/partner004/interview</v>
      </c>
      <c r="AE438" s="28">
        <f ca="1">IF(X438=1,IFERROR(INDEX(SETTINGS!$B$34:$D$36,MATCH(I438,SETTINGS!$A$34:$A$36,0),MIN(Q438,2)+1),SETTINGS!$B$36),0)</f>
        <v>0</v>
      </c>
      <c r="AF438" s="28">
        <f t="shared" si="70"/>
        <v>1</v>
      </c>
      <c r="AG438" s="28">
        <f ca="1">IF(AND(Y438=1,AB438=1),ROUND(AA438*AE438*IF(AF438&gt;1,SETTINGS!$B$16,1)*IF(W438&lt;=SETTINGS!$B$14,SETTINGS!$B$15,1)*IF(AU438=1,SETTINGS!$B$21,1),6),0)</f>
        <v>0</v>
      </c>
      <c r="AH438" s="28" t="str">
        <f ca="1">IF(AG438&gt;0,COUNTIFS($Z$2:$Z$601,Z438,$AG$2:$AG$601,"&gt;"&amp;AG438)+COUNTIFS($Z$2:Z438,Z438,$AG$2:AG438,AG438),"")</f>
        <v/>
      </c>
      <c r="AI438" s="28" t="str">
        <f t="shared" ca="1" si="71"/>
        <v/>
      </c>
      <c r="AJ438" s="28" t="str">
        <f t="shared" ca="1" si="72"/>
        <v/>
      </c>
      <c r="AK438" s="28">
        <f>IF(L438=1,IF(COUNTIFS($F$2:F438,F438,$L$2:L438,1)=1,1,0),0)</f>
        <v>1</v>
      </c>
      <c r="AL438" s="28" t="str">
        <f ca="1">IF(B438="","",IF(K438="DUPLICATE","Duplicate (removed)",IF(AO438=1,"Scheduled within 24h",IF(M438=1,"Scheduled late",IF(K438="BAD CONTACT","Bad contact details",IF(O438=1,"Stopped / wrong number",IF(N438=1,"Not interested",IF(P438=1,"Partner has no slots",IF(SETTINGS!$B$4&gt;=V438,IF(Q438=0,"Missed deadline: never tried","Missed deadline: tried, not booked"),IF(Q438&gt;=SETTINGS!$B$6,"No reply after max tries","Open"))))))))))</f>
        <v>Missed deadline: never tried</v>
      </c>
      <c r="AM438" s="46" t="str">
        <f>IF(M438=1,IF(_xlfn.MINIFS(LOG!$G$2:$G$2001,LOG!$C$2:$C$2001,F438,LOG!$E$2:$E$2001,B438,LOG!$D$2:$D$2001,"*BOOKED")=0,_xlfn.MINIFS(LOG!$G$2:$G$2001,LOG!$C$2:$C$2001,F438,LOG!$E$2:$E$2001,"",LOG!$D$2:$D$2001,"*BOOKED"),IF(_xlfn.MINIFS(LOG!$G$2:$G$2001,LOG!$C$2:$C$2001,F438,LOG!$E$2:$E$2001,"",LOG!$D$2:$D$2001,"*BOOKED")=0,_xlfn.MINIFS(LOG!$G$2:$G$2001,LOG!$C$2:$C$2001,F438,LOG!$E$2:$E$2001,B438,LOG!$D$2:$D$2001,"*BOOKED"),MIN(_xlfn.MINIFS(LOG!$G$2:$G$2001,LOG!$C$2:$C$2001,F438,LOG!$E$2:$E$2001,B438,LOG!$D$2:$D$2001,"*BOOKED"),_xlfn.MINIFS(LOG!$G$2:$G$2001,LOG!$C$2:$C$2001,F438,LOG!$E$2:$E$2001,"",LOG!$D$2:$D$2001,"*BOOKED")))),"")</f>
        <v/>
      </c>
      <c r="AN438" s="28" t="str">
        <f t="shared" si="73"/>
        <v/>
      </c>
      <c r="AO438" s="28">
        <f>IF(AND(M438=1,AN438&lt;&gt;""),IF(AN438&lt;=SETTINGS!$B$5,1,0),0)</f>
        <v>0</v>
      </c>
      <c r="AP438" s="28">
        <f>IF(M438=1,IF(COUNTIFS(LOG!$C$2:$C$2001,F438,LOG!$E$2:$E$2001,B438,LOG!$D$2:$D$2001,"BOOKED")+COUNTIFS(LOG!$C$2:$C$2001,F438,LOG!$E$2:$E$2001,"",LOG!$D$2:$D$2001,"BOOKED")&gt;0,1,0),0)</f>
        <v>0</v>
      </c>
      <c r="AQ438" s="28" t="str">
        <f t="shared" si="74"/>
        <v>Riya</v>
      </c>
      <c r="AR438" s="28">
        <f>IF(AND(AK438=1,K438="OK"),COUNTIFS($AK$2:AK438,1,$K$2:K438,"OK"),"")</f>
        <v>361</v>
      </c>
      <c r="AS438" s="28" t="str">
        <f>IF(L438=1,IFERROR(INDEX(MESSAGES!$J$9:$J$1008,MATCH(F438,MESSAGES!$M$9:$M$1008,0))&amp;"",""),"")</f>
        <v/>
      </c>
      <c r="AT438" s="28" t="str">
        <f>IF(L438=1,IFERROR(INDEX(MESSAGES!$K$9:$K$1008,MATCH(F438,MESSAGES!$M$9:$M$1008,0))&amp;"",""),"")</f>
        <v/>
      </c>
      <c r="AU438" s="28">
        <f t="shared" ca="1" si="75"/>
        <v>0</v>
      </c>
      <c r="AV438" s="28" t="str">
        <f t="shared" si="76"/>
        <v>SEND</v>
      </c>
    </row>
    <row r="439" spans="1:48" x14ac:dyDescent="0.35">
      <c r="A439" s="28">
        <v>438</v>
      </c>
      <c r="B439" s="28" t="str">
        <f>IF(INPUT!A439="","",TRIM(INPUT!A439))</f>
        <v>Partner 018</v>
      </c>
      <c r="C439" s="28" t="str">
        <f>IF(B439="","",INPUT!C439)</f>
        <v>interviewer0@partner018.example.com</v>
      </c>
      <c r="D439" s="28" t="str">
        <f>IF(B439="","",INPUT!D439)</f>
        <v>Aarav D.</v>
      </c>
      <c r="E439" s="28" t="str">
        <f>IF(B439="","",INPUT!E439)</f>
        <v>aarav.d090@example.com</v>
      </c>
      <c r="F439" s="43" t="str">
        <f>IF(B439="","",TRIM(INPUT!F439&amp;""))</f>
        <v>9000001177</v>
      </c>
      <c r="G439" s="28" t="str">
        <f>IF(B439="","",INPUT!H439)</f>
        <v>Round1</v>
      </c>
      <c r="H439" s="46">
        <f>IF(B439="","",INPUT!I439)</f>
        <v>46308.82708333333</v>
      </c>
      <c r="I439" s="28" t="str">
        <f>IF(B439="","",IF(INPUT!J439="","None",INPUT!J439))</f>
        <v>Opened</v>
      </c>
      <c r="J439" s="28" t="str">
        <f t="shared" si="66"/>
        <v>aarav.d090@example.com|partner 018|Round1|interviewer0@partner018.example.com</v>
      </c>
      <c r="K439" s="28" t="str">
        <f>IF(B439="","",IF(SUMPRODUCT(($J$2:$J$601=J439)*($H$2:$H$601&lt;H439))+SUMPRODUCT(($J$2:J439=J439)*($H$2:H439=H439))-1&gt;0,"DUPLICATE",IF(AND(ISNUMBER(SEARCH("@",E439)),ISNUMBER(SEARCH(".",E439)),LEN(F439)=10,ISNUMBER(VALUE(F439))),"OK","BAD CONTACT")))</f>
        <v>OK</v>
      </c>
      <c r="L439" s="28">
        <f t="shared" si="67"/>
        <v>1</v>
      </c>
      <c r="M439" s="28">
        <f>IF(L439=1,IF(COUNTIFS(LOG!$C$2:$C$2001,F439,LOG!$E$2:$E$2001,B439,LOG!$D$2:$D$2001,"*BOOKED")+COUNTIFS(LOG!$C$2:$C$2001,F439,LOG!$E$2:$E$2001,"",LOG!$D$2:$D$2001,"*BOOKED")&gt;0,1,0),0)</f>
        <v>1</v>
      </c>
      <c r="N439" s="28">
        <f>IF(L439=1,IF(COUNTIFS(LOG!$C$2:$C$2001,F439,LOG!$E$2:$E$2001,B439,LOG!$D$2:$D$2001,"NOT_INTERESTED")+COUNTIFS(LOG!$C$2:$C$2001,F439,LOG!$E$2:$E$2001,"",LOG!$D$2:$D$2001,"NOT_INTERESTED")&gt;0,1,0),0)</f>
        <v>0</v>
      </c>
      <c r="O439" s="28">
        <f>IF(L439=1,IF(COUNTIFS(LOG!$C$2:$C$2001,F439,LOG!$D$2:$D$2001,"STOP")+COUNTIFS(LOG!$C$2:$C$2001,F439,LOG!$D$2:$D$2001,"WRONG_NUMBER")&gt;0,1,IF(ISNUMBER(SEARCH("STOP",AT439)),1,0)),0)</f>
        <v>0</v>
      </c>
      <c r="P439" s="28">
        <f>IF(L439=1,IF(IFERROR(INDEX(PARTNERS!$D$2:$D$88,MATCH(B439,PARTNERS!$A$2:$A$88,0)),"")="NO SLOTS",1,IF(AND(IFERROR(INDEX(PARTNERS!$D$2:$D$88,MATCH(B439,PARTNERS!$A$2:$A$88,0)),"")&lt;&gt;"REOPENED",COUNTIFS(LOG!$E$2:$E$2001,B439,LOG!$D$2:$D$2001,"NO_SLOTS")&gt;0),1,0)),0)</f>
        <v>0</v>
      </c>
      <c r="Q439" s="28">
        <f>IF(L439=1,COUNTIFS(LOG!$C$2:$C$2001,F439,LOG!$H$2:$H$2001,1),0)</f>
        <v>1</v>
      </c>
      <c r="R439" s="46">
        <f>IF(Q439&gt;0,_xlfn.MAXIFS(LOG!$G$2:$G$2001,LOG!$C$2:$C$2001,F439,LOG!$H$2:$H$2001,1),0)</f>
        <v>46309.476359650835</v>
      </c>
      <c r="S439" s="28" t="str">
        <f>IF(Q439&gt;0,IFERROR(INDEX(LOG!$D$2:$D$2001,MATCH(F439&amp;"|"&amp;Q439,LOG!$I$2:$I$2001,0)),""),"")</f>
        <v>BOOKED</v>
      </c>
      <c r="T439" s="28">
        <f>IF(S439="",0,IFERROR(VLOOKUP(S439,LISTS!$A$2:$E$10,4,FALSE),0))</f>
        <v>0</v>
      </c>
      <c r="U439" s="46">
        <f t="shared" si="68"/>
        <v>46309.476359650835</v>
      </c>
      <c r="V439" s="46">
        <f>IF(L439=1,H439+SETTINGS!$B$5/24,"")</f>
        <v>46309.82708333333</v>
      </c>
      <c r="W439" s="28">
        <f ca="1">IF(L439=1,(V439-SETTINGS!$B$4)*24,"")</f>
        <v>-1.6666666720993817E-2</v>
      </c>
      <c r="X439" s="28">
        <f ca="1">IF(AND(L439=1,K439="OK",M439=0,N439=0,O439=0,P439=0,SETTINGS!$B$4&lt;V439,Q439&lt;SETTINGS!$B$6),1,0)</f>
        <v>0</v>
      </c>
      <c r="Y439" s="28">
        <f ca="1">IF(AND(X439=1,SETTINGS!$B$4&gt;=H439,SETTINGS!$B$4&gt;=U439,ROUND(MOD(SETTINGS!$B$4,1)*1440,0)&gt;=ROUND(SETTINGS!$B$7*1440,0),ROUND(MOD(SETTINGS!$B$4,1)*1440,0)&lt;ROUND(SETTINGS!$B$8*1440,0)),1,0)</f>
        <v>0</v>
      </c>
      <c r="Z439" s="28" t="str">
        <f ca="1">IF(B439="","",IF(ROUND(MOD(SETTINGS!$B$4,1)*1440,0)&lt;ROUND(SETTINGS!$B$11*1440,0),"Ram",IF(ROUND(MOD(SETTINGS!$B$4,1)*1440,0)&gt;=ROUND(SETTINGS!$B$10*1440,0),"Shyam",IF(MOD(IFERROR(VALUE(RIGHT(F439,2)),0),2)=0,"Ram","Shyam"))))</f>
        <v>Shyam</v>
      </c>
      <c r="AA439" s="28">
        <f t="shared" ca="1" si="69"/>
        <v>0</v>
      </c>
      <c r="AB439" s="28">
        <f ca="1">IF(X439=1,COUNTIFS($F$2:F439,F439,$X$2:X439,1),0)</f>
        <v>0</v>
      </c>
      <c r="AC439" s="28" t="str">
        <f>IF(L439=1,IF(IFERROR(INDEX(PARTNERS!$C$2:$C$88,MATCH(B439,PARTNERS!$A$2:$A$88,0)),"")="YES","YES","NO"),"")</f>
        <v>YES</v>
      </c>
      <c r="AD439" s="28" t="str">
        <f>IF(L439=1,IFERROR(INDEX(PARTNERS!$B$2:$B$88,MATCH(B439,PARTNERS!$A$2:$A$88,0)),""),"")</f>
        <v>https://calendly.com/partner018/interview</v>
      </c>
      <c r="AE439" s="28">
        <f ca="1">IF(X439=1,IFERROR(INDEX(SETTINGS!$B$34:$D$36,MATCH(I439,SETTINGS!$A$34:$A$36,0),MIN(Q439,2)+1),SETTINGS!$B$36),0)</f>
        <v>0</v>
      </c>
      <c r="AF439" s="28">
        <f t="shared" si="70"/>
        <v>1</v>
      </c>
      <c r="AG439" s="28">
        <f ca="1">IF(AND(Y439=1,AB439=1),ROUND(AA439*AE439*IF(AF439&gt;1,SETTINGS!$B$16,1)*IF(W439&lt;=SETTINGS!$B$14,SETTINGS!$B$15,1)*IF(AU439=1,SETTINGS!$B$21,1),6),0)</f>
        <v>0</v>
      </c>
      <c r="AH439" s="28" t="str">
        <f ca="1">IF(AG439&gt;0,COUNTIFS($Z$2:$Z$601,Z439,$AG$2:$AG$601,"&gt;"&amp;AG439)+COUNTIFS($Z$2:Z439,Z439,$AG$2:AG439,AG439),"")</f>
        <v/>
      </c>
      <c r="AI439" s="28" t="str">
        <f t="shared" ca="1" si="71"/>
        <v/>
      </c>
      <c r="AJ439" s="28" t="str">
        <f t="shared" ca="1" si="72"/>
        <v/>
      </c>
      <c r="AK439" s="28">
        <f>IF(L439=1,IF(COUNTIFS($F$2:F439,F439,$L$2:L439,1)=1,1,0),0)</f>
        <v>0</v>
      </c>
      <c r="AL439" s="28" t="str">
        <f>IF(B439="","",IF(K439="DUPLICATE","Duplicate (removed)",IF(AO439=1,"Scheduled within 24h",IF(M439=1,"Scheduled late",IF(K439="BAD CONTACT","Bad contact details",IF(O439=1,"Stopped / wrong number",IF(N439=1,"Not interested",IF(P439=1,"Partner has no slots",IF(SETTINGS!$B$4&gt;=V439,IF(Q439=0,"Missed deadline: never tried","Missed deadline: tried, not booked"),IF(Q439&gt;=SETTINGS!$B$6,"No reply after max tries","Open"))))))))))</f>
        <v>Scheduled within 24h</v>
      </c>
      <c r="AM439" s="46">
        <f>IF(M439=1,IF(_xlfn.MINIFS(LOG!$G$2:$G$2001,LOG!$C$2:$C$2001,F439,LOG!$E$2:$E$2001,B439,LOG!$D$2:$D$2001,"*BOOKED")=0,_xlfn.MINIFS(LOG!$G$2:$G$2001,LOG!$C$2:$C$2001,F439,LOG!$E$2:$E$2001,"",LOG!$D$2:$D$2001,"*BOOKED"),IF(_xlfn.MINIFS(LOG!$G$2:$G$2001,LOG!$C$2:$C$2001,F439,LOG!$E$2:$E$2001,"",LOG!$D$2:$D$2001,"*BOOKED")=0,_xlfn.MINIFS(LOG!$G$2:$G$2001,LOG!$C$2:$C$2001,F439,LOG!$E$2:$E$2001,B439,LOG!$D$2:$D$2001,"*BOOKED"),MIN(_xlfn.MINIFS(LOG!$G$2:$G$2001,LOG!$C$2:$C$2001,F439,LOG!$E$2:$E$2001,B439,LOG!$D$2:$D$2001,"*BOOKED"),_xlfn.MINIFS(LOG!$G$2:$G$2001,LOG!$C$2:$C$2001,F439,LOG!$E$2:$E$2001,"",LOG!$D$2:$D$2001,"*BOOKED")))),"")</f>
        <v>46309.476359650835</v>
      </c>
      <c r="AN439" s="28">
        <f t="shared" si="73"/>
        <v>15.582631620112807</v>
      </c>
      <c r="AO439" s="28">
        <f>IF(AND(M439=1,AN439&lt;&gt;""),IF(AN439&lt;=SETTINGS!$B$5,1,0),0)</f>
        <v>1</v>
      </c>
      <c r="AP439" s="28">
        <f>IF(M439=1,IF(COUNTIFS(LOG!$C$2:$C$2001,F439,LOG!$E$2:$E$2001,B439,LOG!$D$2:$D$2001,"BOOKED")+COUNTIFS(LOG!$C$2:$C$2001,F439,LOG!$E$2:$E$2001,"",LOG!$D$2:$D$2001,"BOOKED")&gt;0,1,0),0)</f>
        <v>1</v>
      </c>
      <c r="AQ439" s="28" t="str">
        <f t="shared" si="74"/>
        <v>Aarav</v>
      </c>
      <c r="AR439" s="28" t="str">
        <f>IF(AND(AK439=1,K439="OK"),COUNTIFS($AK$2:AK439,1,$K$2:K439,"OK"),"")</f>
        <v/>
      </c>
      <c r="AS439" s="28" t="str">
        <f>IF(L439=1,IFERROR(INDEX(MESSAGES!$J$9:$J$1008,MATCH(F439,MESSAGES!$M$9:$M$1008,0))&amp;"",""),"")</f>
        <v/>
      </c>
      <c r="AT439" s="28" t="str">
        <f>IF(L439=1,IFERROR(INDEX(MESSAGES!$K$9:$K$1008,MATCH(F439,MESSAGES!$M$9:$M$1008,0))&amp;"",""),"")</f>
        <v/>
      </c>
      <c r="AU439" s="28">
        <f t="shared" ca="1" si="75"/>
        <v>0</v>
      </c>
      <c r="AV439" s="28" t="str">
        <f t="shared" si="76"/>
        <v>HOLD</v>
      </c>
    </row>
    <row r="440" spans="1:48" x14ac:dyDescent="0.35">
      <c r="A440" s="28">
        <v>439</v>
      </c>
      <c r="B440" s="28" t="str">
        <f>IF(INPUT!A440="","",TRIM(INPUT!A440))</f>
        <v>Partner 095</v>
      </c>
      <c r="C440" s="28" t="str">
        <f>IF(B440="","",INPUT!C440)</f>
        <v>interviewer2@partner095.example.com</v>
      </c>
      <c r="D440" s="28" t="str">
        <f>IF(B440="","",INPUT!D440)</f>
        <v>Pooja L.</v>
      </c>
      <c r="E440" s="28" t="str">
        <f>IF(B440="","",INPUT!E440)</f>
        <v>pooja.l321@example.com</v>
      </c>
      <c r="F440" s="43" t="str">
        <f>IF(B440="","",TRIM(INPUT!F440&amp;""))</f>
        <v>9000004180</v>
      </c>
      <c r="G440" s="28" t="str">
        <f>IF(B440="","",INPUT!H440)</f>
        <v>Round1</v>
      </c>
      <c r="H440" s="46">
        <f>IF(B440="","",INPUT!I440)</f>
        <v>46308.82708333333</v>
      </c>
      <c r="I440" s="28" t="str">
        <f>IF(B440="","",IF(INPUT!J440="","None",INPUT!J440))</f>
        <v>None</v>
      </c>
      <c r="J440" s="28" t="str">
        <f t="shared" si="66"/>
        <v>pooja.l321@example.com|partner 095|Round1|interviewer2@partner095.example.com</v>
      </c>
      <c r="K440" s="28" t="str">
        <f>IF(B440="","",IF(SUMPRODUCT(($J$2:$J$601=J440)*($H$2:$H$601&lt;H440))+SUMPRODUCT(($J$2:J440=J440)*($H$2:H440=H440))-1&gt;0,"DUPLICATE",IF(AND(ISNUMBER(SEARCH("@",E440)),ISNUMBER(SEARCH(".",E440)),LEN(F440)=10,ISNUMBER(VALUE(F440))),"OK","BAD CONTACT")))</f>
        <v>OK</v>
      </c>
      <c r="L440" s="28">
        <f t="shared" si="67"/>
        <v>1</v>
      </c>
      <c r="M440" s="28">
        <f>IF(L440=1,IF(COUNTIFS(LOG!$C$2:$C$2001,F440,LOG!$E$2:$E$2001,B440,LOG!$D$2:$D$2001,"*BOOKED")+COUNTIFS(LOG!$C$2:$C$2001,F440,LOG!$E$2:$E$2001,"",LOG!$D$2:$D$2001,"*BOOKED")&gt;0,1,0),0)</f>
        <v>0</v>
      </c>
      <c r="N440" s="28">
        <f>IF(L440=1,IF(COUNTIFS(LOG!$C$2:$C$2001,F440,LOG!$E$2:$E$2001,B440,LOG!$D$2:$D$2001,"NOT_INTERESTED")+COUNTIFS(LOG!$C$2:$C$2001,F440,LOG!$E$2:$E$2001,"",LOG!$D$2:$D$2001,"NOT_INTERESTED")&gt;0,1,0),0)</f>
        <v>0</v>
      </c>
      <c r="O440" s="28">
        <f>IF(L440=1,IF(COUNTIFS(LOG!$C$2:$C$2001,F440,LOG!$D$2:$D$2001,"STOP")+COUNTIFS(LOG!$C$2:$C$2001,F440,LOG!$D$2:$D$2001,"WRONG_NUMBER")&gt;0,1,IF(ISNUMBER(SEARCH("STOP",AT440)),1,0)),0)</f>
        <v>0</v>
      </c>
      <c r="P440" s="28">
        <f>IF(L440=1,IF(IFERROR(INDEX(PARTNERS!$D$2:$D$88,MATCH(B440,PARTNERS!$A$2:$A$88,0)),"")="NO SLOTS",1,IF(AND(IFERROR(INDEX(PARTNERS!$D$2:$D$88,MATCH(B440,PARTNERS!$A$2:$A$88,0)),"")&lt;&gt;"REOPENED",COUNTIFS(LOG!$E$2:$E$2001,B440,LOG!$D$2:$D$2001,"NO_SLOTS")&gt;0),1,0)),0)</f>
        <v>0</v>
      </c>
      <c r="Q440" s="28">
        <f>IF(L440=1,COUNTIFS(LOG!$C$2:$C$2001,F440,LOG!$H$2:$H$2001,1),0)</f>
        <v>0</v>
      </c>
      <c r="R440" s="46">
        <f>IF(Q440&gt;0,_xlfn.MAXIFS(LOG!$G$2:$G$2001,LOG!$C$2:$C$2001,F440,LOG!$H$2:$H$2001,1),0)</f>
        <v>0</v>
      </c>
      <c r="S440" s="28" t="str">
        <f>IF(Q440&gt;0,IFERROR(INDEX(LOG!$D$2:$D$2001,MATCH(F440&amp;"|"&amp;Q440,LOG!$I$2:$I$2001,0)),""),"")</f>
        <v/>
      </c>
      <c r="T440" s="28">
        <f>IF(S440="",0,IFERROR(VLOOKUP(S440,LISTS!$A$2:$E$10,4,FALSE),0))</f>
        <v>0</v>
      </c>
      <c r="U440" s="46">
        <f t="shared" si="68"/>
        <v>0</v>
      </c>
      <c r="V440" s="46">
        <f>IF(L440=1,H440+SETTINGS!$B$5/24,"")</f>
        <v>46309.82708333333</v>
      </c>
      <c r="W440" s="28">
        <f ca="1">IF(L440=1,(V440-SETTINGS!$B$4)*24,"")</f>
        <v>-1.6666666720993817E-2</v>
      </c>
      <c r="X440" s="28">
        <f ca="1">IF(AND(L440=1,K440="OK",M440=0,N440=0,O440=0,P440=0,SETTINGS!$B$4&lt;V440,Q440&lt;SETTINGS!$B$6),1,0)</f>
        <v>0</v>
      </c>
      <c r="Y440" s="28">
        <f ca="1">IF(AND(X440=1,SETTINGS!$B$4&gt;=H440,SETTINGS!$B$4&gt;=U440,ROUND(MOD(SETTINGS!$B$4,1)*1440,0)&gt;=ROUND(SETTINGS!$B$7*1440,0),ROUND(MOD(SETTINGS!$B$4,1)*1440,0)&lt;ROUND(SETTINGS!$B$8*1440,0)),1,0)</f>
        <v>0</v>
      </c>
      <c r="Z440" s="28" t="str">
        <f ca="1">IF(B440="","",IF(ROUND(MOD(SETTINGS!$B$4,1)*1440,0)&lt;ROUND(SETTINGS!$B$11*1440,0),"Ram",IF(ROUND(MOD(SETTINGS!$B$4,1)*1440,0)&gt;=ROUND(SETTINGS!$B$10*1440,0),"Shyam",IF(MOD(IFERROR(VALUE(RIGHT(F440,2)),0),2)=0,"Ram","Shyam"))))</f>
        <v>Shyam</v>
      </c>
      <c r="AA440" s="28">
        <f t="shared" ca="1" si="69"/>
        <v>0</v>
      </c>
      <c r="AB440" s="28">
        <f ca="1">IF(X440=1,COUNTIFS($F$2:F440,F440,$X$2:X440,1),0)</f>
        <v>0</v>
      </c>
      <c r="AC440" s="28" t="str">
        <f>IF(L440=1,IF(IFERROR(INDEX(PARTNERS!$C$2:$C$88,MATCH(B440,PARTNERS!$A$2:$A$88,0)),"")="YES","YES","NO"),"")</f>
        <v>NO</v>
      </c>
      <c r="AD440" s="28" t="str">
        <f>IF(L440=1,IFERROR(INDEX(PARTNERS!$B$2:$B$88,MATCH(B440,PARTNERS!$A$2:$A$88,0)),""),"")</f>
        <v>https://calendly.com/partner095/interview</v>
      </c>
      <c r="AE440" s="28">
        <f ca="1">IF(X440=1,IFERROR(INDEX(SETTINGS!$B$34:$D$36,MATCH(I440,SETTINGS!$A$34:$A$36,0),MIN(Q440,2)+1),SETTINGS!$B$36),0)</f>
        <v>0</v>
      </c>
      <c r="AF440" s="28">
        <f t="shared" si="70"/>
        <v>1</v>
      </c>
      <c r="AG440" s="28">
        <f ca="1">IF(AND(Y440=1,AB440=1),ROUND(AA440*AE440*IF(AF440&gt;1,SETTINGS!$B$16,1)*IF(W440&lt;=SETTINGS!$B$14,SETTINGS!$B$15,1)*IF(AU440=1,SETTINGS!$B$21,1),6),0)</f>
        <v>0</v>
      </c>
      <c r="AH440" s="28" t="str">
        <f ca="1">IF(AG440&gt;0,COUNTIFS($Z$2:$Z$601,Z440,$AG$2:$AG$601,"&gt;"&amp;AG440)+COUNTIFS($Z$2:Z440,Z440,$AG$2:AG440,AG440),"")</f>
        <v/>
      </c>
      <c r="AI440" s="28" t="str">
        <f t="shared" ca="1" si="71"/>
        <v/>
      </c>
      <c r="AJ440" s="28" t="str">
        <f t="shared" ca="1" si="72"/>
        <v/>
      </c>
      <c r="AK440" s="28">
        <f>IF(L440=1,IF(COUNTIFS($F$2:F440,F440,$L$2:L440,1)=1,1,0),0)</f>
        <v>1</v>
      </c>
      <c r="AL440" s="28" t="str">
        <f ca="1">IF(B440="","",IF(K440="DUPLICATE","Duplicate (removed)",IF(AO440=1,"Scheduled within 24h",IF(M440=1,"Scheduled late",IF(K440="BAD CONTACT","Bad contact details",IF(O440=1,"Stopped / wrong number",IF(N440=1,"Not interested",IF(P440=1,"Partner has no slots",IF(SETTINGS!$B$4&gt;=V440,IF(Q440=0,"Missed deadline: never tried","Missed deadline: tried, not booked"),IF(Q440&gt;=SETTINGS!$B$6,"No reply after max tries","Open"))))))))))</f>
        <v>Missed deadline: never tried</v>
      </c>
      <c r="AM440" s="46" t="str">
        <f>IF(M440=1,IF(_xlfn.MINIFS(LOG!$G$2:$G$2001,LOG!$C$2:$C$2001,F440,LOG!$E$2:$E$2001,B440,LOG!$D$2:$D$2001,"*BOOKED")=0,_xlfn.MINIFS(LOG!$G$2:$G$2001,LOG!$C$2:$C$2001,F440,LOG!$E$2:$E$2001,"",LOG!$D$2:$D$2001,"*BOOKED"),IF(_xlfn.MINIFS(LOG!$G$2:$G$2001,LOG!$C$2:$C$2001,F440,LOG!$E$2:$E$2001,"",LOG!$D$2:$D$2001,"*BOOKED")=0,_xlfn.MINIFS(LOG!$G$2:$G$2001,LOG!$C$2:$C$2001,F440,LOG!$E$2:$E$2001,B440,LOG!$D$2:$D$2001,"*BOOKED"),MIN(_xlfn.MINIFS(LOG!$G$2:$G$2001,LOG!$C$2:$C$2001,F440,LOG!$E$2:$E$2001,B440,LOG!$D$2:$D$2001,"*BOOKED"),_xlfn.MINIFS(LOG!$G$2:$G$2001,LOG!$C$2:$C$2001,F440,LOG!$E$2:$E$2001,"",LOG!$D$2:$D$2001,"*BOOKED")))),"")</f>
        <v/>
      </c>
      <c r="AN440" s="28" t="str">
        <f t="shared" si="73"/>
        <v/>
      </c>
      <c r="AO440" s="28">
        <f>IF(AND(M440=1,AN440&lt;&gt;""),IF(AN440&lt;=SETTINGS!$B$5,1,0),0)</f>
        <v>0</v>
      </c>
      <c r="AP440" s="28">
        <f>IF(M440=1,IF(COUNTIFS(LOG!$C$2:$C$2001,F440,LOG!$E$2:$E$2001,B440,LOG!$D$2:$D$2001,"BOOKED")+COUNTIFS(LOG!$C$2:$C$2001,F440,LOG!$E$2:$E$2001,"",LOG!$D$2:$D$2001,"BOOKED")&gt;0,1,0),0)</f>
        <v>0</v>
      </c>
      <c r="AQ440" s="28" t="str">
        <f t="shared" si="74"/>
        <v>Pooja</v>
      </c>
      <c r="AR440" s="28">
        <f>IF(AND(AK440=1,K440="OK"),COUNTIFS($AK$2:AK440,1,$K$2:K440,"OK"),"")</f>
        <v>362</v>
      </c>
      <c r="AS440" s="28" t="str">
        <f>IF(L440=1,IFERROR(INDEX(MESSAGES!$J$9:$J$1008,MATCH(F440,MESSAGES!$M$9:$M$1008,0))&amp;"",""),"")</f>
        <v/>
      </c>
      <c r="AT440" s="28" t="str">
        <f>IF(L440=1,IFERROR(INDEX(MESSAGES!$K$9:$K$1008,MATCH(F440,MESSAGES!$M$9:$M$1008,0))&amp;"",""),"")</f>
        <v/>
      </c>
      <c r="AU440" s="28">
        <f t="shared" ca="1" si="75"/>
        <v>0</v>
      </c>
      <c r="AV440" s="28" t="str">
        <f t="shared" si="76"/>
        <v>SEND</v>
      </c>
    </row>
    <row r="441" spans="1:48" x14ac:dyDescent="0.35">
      <c r="A441" s="28">
        <v>440</v>
      </c>
      <c r="B441" s="28" t="str">
        <f>IF(INPUT!A441="","",TRIM(INPUT!A441))</f>
        <v>Partner 007</v>
      </c>
      <c r="C441" s="28" t="str">
        <f>IF(B441="","",INPUT!C441)</f>
        <v>interviewer1@partner007.example.com</v>
      </c>
      <c r="D441" s="28" t="str">
        <f>IF(B441="","",INPUT!D441)</f>
        <v>Aarav N.</v>
      </c>
      <c r="E441" s="28" t="str">
        <f>IF(B441="","",INPUT!E441)</f>
        <v>aarav.n360@example.com</v>
      </c>
      <c r="F441" s="43" t="str">
        <f>IF(B441="","",TRIM(INPUT!F441&amp;""))</f>
        <v>9000004687</v>
      </c>
      <c r="G441" s="28" t="str">
        <f>IF(B441="","",INPUT!H441)</f>
        <v>Round1</v>
      </c>
      <c r="H441" s="46">
        <f>IF(B441="","",INPUT!I441)</f>
        <v>46308.82708333333</v>
      </c>
      <c r="I441" s="28" t="str">
        <f>IF(B441="","",IF(INPUT!J441="","None",INPUT!J441))</f>
        <v>None</v>
      </c>
      <c r="J441" s="28" t="str">
        <f t="shared" si="66"/>
        <v>aarav.n360@example.com|partner 007|Round1|interviewer1@partner007.example.com</v>
      </c>
      <c r="K441" s="28" t="str">
        <f>IF(B441="","",IF(SUMPRODUCT(($J$2:$J$601=J441)*($H$2:$H$601&lt;H441))+SUMPRODUCT(($J$2:J441=J441)*($H$2:H441=H441))-1&gt;0,"DUPLICATE",IF(AND(ISNUMBER(SEARCH("@",E441)),ISNUMBER(SEARCH(".",E441)),LEN(F441)=10,ISNUMBER(VALUE(F441))),"OK","BAD CONTACT")))</f>
        <v>OK</v>
      </c>
      <c r="L441" s="28">
        <f t="shared" si="67"/>
        <v>1</v>
      </c>
      <c r="M441" s="28">
        <f>IF(L441=1,IF(COUNTIFS(LOG!$C$2:$C$2001,F441,LOG!$E$2:$E$2001,B441,LOG!$D$2:$D$2001,"*BOOKED")+COUNTIFS(LOG!$C$2:$C$2001,F441,LOG!$E$2:$E$2001,"",LOG!$D$2:$D$2001,"*BOOKED")&gt;0,1,0),0)</f>
        <v>0</v>
      </c>
      <c r="N441" s="28">
        <f>IF(L441=1,IF(COUNTIFS(LOG!$C$2:$C$2001,F441,LOG!$E$2:$E$2001,B441,LOG!$D$2:$D$2001,"NOT_INTERESTED")+COUNTIFS(LOG!$C$2:$C$2001,F441,LOG!$E$2:$E$2001,"",LOG!$D$2:$D$2001,"NOT_INTERESTED")&gt;0,1,0),0)</f>
        <v>0</v>
      </c>
      <c r="O441" s="28">
        <f>IF(L441=1,IF(COUNTIFS(LOG!$C$2:$C$2001,F441,LOG!$D$2:$D$2001,"STOP")+COUNTIFS(LOG!$C$2:$C$2001,F441,LOG!$D$2:$D$2001,"WRONG_NUMBER")&gt;0,1,IF(ISNUMBER(SEARCH("STOP",AT441)),1,0)),0)</f>
        <v>0</v>
      </c>
      <c r="P441" s="28">
        <f>IF(L441=1,IF(IFERROR(INDEX(PARTNERS!$D$2:$D$88,MATCH(B441,PARTNERS!$A$2:$A$88,0)),"")="NO SLOTS",1,IF(AND(IFERROR(INDEX(PARTNERS!$D$2:$D$88,MATCH(B441,PARTNERS!$A$2:$A$88,0)),"")&lt;&gt;"REOPENED",COUNTIFS(LOG!$E$2:$E$2001,B441,LOG!$D$2:$D$2001,"NO_SLOTS")&gt;0),1,0)),0)</f>
        <v>0</v>
      </c>
      <c r="Q441" s="28">
        <f>IF(L441=1,COUNTIFS(LOG!$C$2:$C$2001,F441,LOG!$H$2:$H$2001,1),0)</f>
        <v>0</v>
      </c>
      <c r="R441" s="46">
        <f>IF(Q441&gt;0,_xlfn.MAXIFS(LOG!$G$2:$G$2001,LOG!$C$2:$C$2001,F441,LOG!$H$2:$H$2001,1),0)</f>
        <v>0</v>
      </c>
      <c r="S441" s="28" t="str">
        <f>IF(Q441&gt;0,IFERROR(INDEX(LOG!$D$2:$D$2001,MATCH(F441&amp;"|"&amp;Q441,LOG!$I$2:$I$2001,0)),""),"")</f>
        <v/>
      </c>
      <c r="T441" s="28">
        <f>IF(S441="",0,IFERROR(VLOOKUP(S441,LISTS!$A$2:$E$10,4,FALSE),0))</f>
        <v>0</v>
      </c>
      <c r="U441" s="46">
        <f t="shared" si="68"/>
        <v>0</v>
      </c>
      <c r="V441" s="46">
        <f>IF(L441=1,H441+SETTINGS!$B$5/24,"")</f>
        <v>46309.82708333333</v>
      </c>
      <c r="W441" s="28">
        <f ca="1">IF(L441=1,(V441-SETTINGS!$B$4)*24,"")</f>
        <v>-1.6666666720993817E-2</v>
      </c>
      <c r="X441" s="28">
        <f ca="1">IF(AND(L441=1,K441="OK",M441=0,N441=0,O441=0,P441=0,SETTINGS!$B$4&lt;V441,Q441&lt;SETTINGS!$B$6),1,0)</f>
        <v>0</v>
      </c>
      <c r="Y441" s="28">
        <f ca="1">IF(AND(X441=1,SETTINGS!$B$4&gt;=H441,SETTINGS!$B$4&gt;=U441,ROUND(MOD(SETTINGS!$B$4,1)*1440,0)&gt;=ROUND(SETTINGS!$B$7*1440,0),ROUND(MOD(SETTINGS!$B$4,1)*1440,0)&lt;ROUND(SETTINGS!$B$8*1440,0)),1,0)</f>
        <v>0</v>
      </c>
      <c r="Z441" s="28" t="str">
        <f ca="1">IF(B441="","",IF(ROUND(MOD(SETTINGS!$B$4,1)*1440,0)&lt;ROUND(SETTINGS!$B$11*1440,0),"Ram",IF(ROUND(MOD(SETTINGS!$B$4,1)*1440,0)&gt;=ROUND(SETTINGS!$B$10*1440,0),"Shyam",IF(MOD(IFERROR(VALUE(RIGHT(F441,2)),0),2)=0,"Ram","Shyam"))))</f>
        <v>Shyam</v>
      </c>
      <c r="AA441" s="28">
        <f t="shared" ca="1" si="69"/>
        <v>0</v>
      </c>
      <c r="AB441" s="28">
        <f ca="1">IF(X441=1,COUNTIFS($F$2:F441,F441,$X$2:X441,1),0)</f>
        <v>0</v>
      </c>
      <c r="AC441" s="28" t="str">
        <f>IF(L441=1,IF(IFERROR(INDEX(PARTNERS!$C$2:$C$88,MATCH(B441,PARTNERS!$A$2:$A$88,0)),"")="YES","YES","NO"),"")</f>
        <v>NO</v>
      </c>
      <c r="AD441" s="28" t="str">
        <f>IF(L441=1,IFERROR(INDEX(PARTNERS!$B$2:$B$88,MATCH(B441,PARTNERS!$A$2:$A$88,0)),""),"")</f>
        <v>https://calendly.com/partner007/interview</v>
      </c>
      <c r="AE441" s="28">
        <f ca="1">IF(X441=1,IFERROR(INDEX(SETTINGS!$B$34:$D$36,MATCH(I441,SETTINGS!$A$34:$A$36,0),MIN(Q441,2)+1),SETTINGS!$B$36),0)</f>
        <v>0</v>
      </c>
      <c r="AF441" s="28">
        <f t="shared" si="70"/>
        <v>1</v>
      </c>
      <c r="AG441" s="28">
        <f ca="1">IF(AND(Y441=1,AB441=1),ROUND(AA441*AE441*IF(AF441&gt;1,SETTINGS!$B$16,1)*IF(W441&lt;=SETTINGS!$B$14,SETTINGS!$B$15,1)*IF(AU441=1,SETTINGS!$B$21,1),6),0)</f>
        <v>0</v>
      </c>
      <c r="AH441" s="28" t="str">
        <f ca="1">IF(AG441&gt;0,COUNTIFS($Z$2:$Z$601,Z441,$AG$2:$AG$601,"&gt;"&amp;AG441)+COUNTIFS($Z$2:Z441,Z441,$AG$2:AG441,AG441),"")</f>
        <v/>
      </c>
      <c r="AI441" s="28" t="str">
        <f t="shared" ca="1" si="71"/>
        <v/>
      </c>
      <c r="AJ441" s="28" t="str">
        <f t="shared" ca="1" si="72"/>
        <v/>
      </c>
      <c r="AK441" s="28">
        <f>IF(L441=1,IF(COUNTIFS($F$2:F441,F441,$L$2:L441,1)=1,1,0),0)</f>
        <v>1</v>
      </c>
      <c r="AL441" s="28" t="str">
        <f ca="1">IF(B441="","",IF(K441="DUPLICATE","Duplicate (removed)",IF(AO441=1,"Scheduled within 24h",IF(M441=1,"Scheduled late",IF(K441="BAD CONTACT","Bad contact details",IF(O441=1,"Stopped / wrong number",IF(N441=1,"Not interested",IF(P441=1,"Partner has no slots",IF(SETTINGS!$B$4&gt;=V441,IF(Q441=0,"Missed deadline: never tried","Missed deadline: tried, not booked"),IF(Q441&gt;=SETTINGS!$B$6,"No reply after max tries","Open"))))))))))</f>
        <v>Missed deadline: never tried</v>
      </c>
      <c r="AM441" s="46" t="str">
        <f>IF(M441=1,IF(_xlfn.MINIFS(LOG!$G$2:$G$2001,LOG!$C$2:$C$2001,F441,LOG!$E$2:$E$2001,B441,LOG!$D$2:$D$2001,"*BOOKED")=0,_xlfn.MINIFS(LOG!$G$2:$G$2001,LOG!$C$2:$C$2001,F441,LOG!$E$2:$E$2001,"",LOG!$D$2:$D$2001,"*BOOKED"),IF(_xlfn.MINIFS(LOG!$G$2:$G$2001,LOG!$C$2:$C$2001,F441,LOG!$E$2:$E$2001,"",LOG!$D$2:$D$2001,"*BOOKED")=0,_xlfn.MINIFS(LOG!$G$2:$G$2001,LOG!$C$2:$C$2001,F441,LOG!$E$2:$E$2001,B441,LOG!$D$2:$D$2001,"*BOOKED"),MIN(_xlfn.MINIFS(LOG!$G$2:$G$2001,LOG!$C$2:$C$2001,F441,LOG!$E$2:$E$2001,B441,LOG!$D$2:$D$2001,"*BOOKED"),_xlfn.MINIFS(LOG!$G$2:$G$2001,LOG!$C$2:$C$2001,F441,LOG!$E$2:$E$2001,"",LOG!$D$2:$D$2001,"*BOOKED")))),"")</f>
        <v/>
      </c>
      <c r="AN441" s="28" t="str">
        <f t="shared" si="73"/>
        <v/>
      </c>
      <c r="AO441" s="28">
        <f>IF(AND(M441=1,AN441&lt;&gt;""),IF(AN441&lt;=SETTINGS!$B$5,1,0),0)</f>
        <v>0</v>
      </c>
      <c r="AP441" s="28">
        <f>IF(M441=1,IF(COUNTIFS(LOG!$C$2:$C$2001,F441,LOG!$E$2:$E$2001,B441,LOG!$D$2:$D$2001,"BOOKED")+COUNTIFS(LOG!$C$2:$C$2001,F441,LOG!$E$2:$E$2001,"",LOG!$D$2:$D$2001,"BOOKED")&gt;0,1,0),0)</f>
        <v>0</v>
      </c>
      <c r="AQ441" s="28" t="str">
        <f t="shared" si="74"/>
        <v>Aarav</v>
      </c>
      <c r="AR441" s="28">
        <f>IF(AND(AK441=1,K441="OK"),COUNTIFS($AK$2:AK441,1,$K$2:K441,"OK"),"")</f>
        <v>363</v>
      </c>
      <c r="AS441" s="28" t="str">
        <f>IF(L441=1,IFERROR(INDEX(MESSAGES!$J$9:$J$1008,MATCH(F441,MESSAGES!$M$9:$M$1008,0))&amp;"",""),"")</f>
        <v/>
      </c>
      <c r="AT441" s="28" t="str">
        <f>IF(L441=1,IFERROR(INDEX(MESSAGES!$K$9:$K$1008,MATCH(F441,MESSAGES!$M$9:$M$1008,0))&amp;"",""),"")</f>
        <v/>
      </c>
      <c r="AU441" s="28">
        <f t="shared" ca="1" si="75"/>
        <v>0</v>
      </c>
      <c r="AV441" s="28" t="str">
        <f t="shared" si="76"/>
        <v>SEND</v>
      </c>
    </row>
    <row r="442" spans="1:48" x14ac:dyDescent="0.35">
      <c r="A442" s="28">
        <v>441</v>
      </c>
      <c r="B442" s="28" t="str">
        <f>IF(INPUT!A442="","",TRIM(INPUT!A442))</f>
        <v>Partner 000</v>
      </c>
      <c r="C442" s="28" t="str">
        <f>IF(B442="","",INPUT!C442)</f>
        <v>interviewer2@partner000.example.com</v>
      </c>
      <c r="D442" s="28" t="str">
        <f>IF(B442="","",INPUT!D442)</f>
        <v>Ira K.</v>
      </c>
      <c r="E442" s="28" t="str">
        <f>IF(B442="","",INPUT!E442)</f>
        <v>ira.k275@example.com</v>
      </c>
      <c r="F442" s="43" t="str">
        <f>IF(B442="","",TRIM(INPUT!F442&amp;""))</f>
        <v>9000003582</v>
      </c>
      <c r="G442" s="28" t="str">
        <f>IF(B442="","",INPUT!H442)</f>
        <v>Round1</v>
      </c>
      <c r="H442" s="46">
        <f>IF(B442="","",INPUT!I442)</f>
        <v>46308.82708333333</v>
      </c>
      <c r="I442" s="28" t="str">
        <f>IF(B442="","",IF(INPUT!J442="","None",INPUT!J442))</f>
        <v>None</v>
      </c>
      <c r="J442" s="28" t="str">
        <f t="shared" si="66"/>
        <v>ira.k275@example.com|partner 000|Round1|interviewer2@partner000.example.com</v>
      </c>
      <c r="K442" s="28" t="str">
        <f>IF(B442="","",IF(SUMPRODUCT(($J$2:$J$601=J442)*($H$2:$H$601&lt;H442))+SUMPRODUCT(($J$2:J442=J442)*($H$2:H442=H442))-1&gt;0,"DUPLICATE",IF(AND(ISNUMBER(SEARCH("@",E442)),ISNUMBER(SEARCH(".",E442)),LEN(F442)=10,ISNUMBER(VALUE(F442))),"OK","BAD CONTACT")))</f>
        <v>OK</v>
      </c>
      <c r="L442" s="28">
        <f t="shared" si="67"/>
        <v>1</v>
      </c>
      <c r="M442" s="28">
        <f>IF(L442=1,IF(COUNTIFS(LOG!$C$2:$C$2001,F442,LOG!$E$2:$E$2001,B442,LOG!$D$2:$D$2001,"*BOOKED")+COUNTIFS(LOG!$C$2:$C$2001,F442,LOG!$E$2:$E$2001,"",LOG!$D$2:$D$2001,"*BOOKED")&gt;0,1,0),0)</f>
        <v>0</v>
      </c>
      <c r="N442" s="28">
        <f>IF(L442=1,IF(COUNTIFS(LOG!$C$2:$C$2001,F442,LOG!$E$2:$E$2001,B442,LOG!$D$2:$D$2001,"NOT_INTERESTED")+COUNTIFS(LOG!$C$2:$C$2001,F442,LOG!$E$2:$E$2001,"",LOG!$D$2:$D$2001,"NOT_INTERESTED")&gt;0,1,0),0)</f>
        <v>0</v>
      </c>
      <c r="O442" s="28">
        <f>IF(L442=1,IF(COUNTIFS(LOG!$C$2:$C$2001,F442,LOG!$D$2:$D$2001,"STOP")+COUNTIFS(LOG!$C$2:$C$2001,F442,LOG!$D$2:$D$2001,"WRONG_NUMBER")&gt;0,1,IF(ISNUMBER(SEARCH("STOP",AT442)),1,0)),0)</f>
        <v>0</v>
      </c>
      <c r="P442" s="28">
        <f>IF(L442=1,IF(IFERROR(INDEX(PARTNERS!$D$2:$D$88,MATCH(B442,PARTNERS!$A$2:$A$88,0)),"")="NO SLOTS",1,IF(AND(IFERROR(INDEX(PARTNERS!$D$2:$D$88,MATCH(B442,PARTNERS!$A$2:$A$88,0)),"")&lt;&gt;"REOPENED",COUNTIFS(LOG!$E$2:$E$2001,B442,LOG!$D$2:$D$2001,"NO_SLOTS")&gt;0),1,0)),0)</f>
        <v>0</v>
      </c>
      <c r="Q442" s="28">
        <f>IF(L442=1,COUNTIFS(LOG!$C$2:$C$2001,F442,LOG!$H$2:$H$2001,1),0)</f>
        <v>0</v>
      </c>
      <c r="R442" s="46">
        <f>IF(Q442&gt;0,_xlfn.MAXIFS(LOG!$G$2:$G$2001,LOG!$C$2:$C$2001,F442,LOG!$H$2:$H$2001,1),0)</f>
        <v>0</v>
      </c>
      <c r="S442" s="28" t="str">
        <f>IF(Q442&gt;0,IFERROR(INDEX(LOG!$D$2:$D$2001,MATCH(F442&amp;"|"&amp;Q442,LOG!$I$2:$I$2001,0)),""),"")</f>
        <v/>
      </c>
      <c r="T442" s="28">
        <f>IF(S442="",0,IFERROR(VLOOKUP(S442,LISTS!$A$2:$E$10,4,FALSE),0))</f>
        <v>0</v>
      </c>
      <c r="U442" s="46">
        <f t="shared" si="68"/>
        <v>0</v>
      </c>
      <c r="V442" s="46">
        <f>IF(L442=1,H442+SETTINGS!$B$5/24,"")</f>
        <v>46309.82708333333</v>
      </c>
      <c r="W442" s="28">
        <f ca="1">IF(L442=1,(V442-SETTINGS!$B$4)*24,"")</f>
        <v>-1.6666666720993817E-2</v>
      </c>
      <c r="X442" s="28">
        <f ca="1">IF(AND(L442=1,K442="OK",M442=0,N442=0,O442=0,P442=0,SETTINGS!$B$4&lt;V442,Q442&lt;SETTINGS!$B$6),1,0)</f>
        <v>0</v>
      </c>
      <c r="Y442" s="28">
        <f ca="1">IF(AND(X442=1,SETTINGS!$B$4&gt;=H442,SETTINGS!$B$4&gt;=U442,ROUND(MOD(SETTINGS!$B$4,1)*1440,0)&gt;=ROUND(SETTINGS!$B$7*1440,0),ROUND(MOD(SETTINGS!$B$4,1)*1440,0)&lt;ROUND(SETTINGS!$B$8*1440,0)),1,0)</f>
        <v>0</v>
      </c>
      <c r="Z442" s="28" t="str">
        <f ca="1">IF(B442="","",IF(ROUND(MOD(SETTINGS!$B$4,1)*1440,0)&lt;ROUND(SETTINGS!$B$11*1440,0),"Ram",IF(ROUND(MOD(SETTINGS!$B$4,1)*1440,0)&gt;=ROUND(SETTINGS!$B$10*1440,0),"Shyam",IF(MOD(IFERROR(VALUE(RIGHT(F442,2)),0),2)=0,"Ram","Shyam"))))</f>
        <v>Shyam</v>
      </c>
      <c r="AA442" s="28">
        <f t="shared" ca="1" si="69"/>
        <v>0</v>
      </c>
      <c r="AB442" s="28">
        <f ca="1">IF(X442=1,COUNTIFS($F$2:F442,F442,$X$2:X442,1),0)</f>
        <v>0</v>
      </c>
      <c r="AC442" s="28" t="str">
        <f>IF(L442=1,IF(IFERROR(INDEX(PARTNERS!$C$2:$C$88,MATCH(B442,PARTNERS!$A$2:$A$88,0)),"")="YES","YES","NO"),"")</f>
        <v>NO</v>
      </c>
      <c r="AD442" s="28" t="str">
        <f>IF(L442=1,IFERROR(INDEX(PARTNERS!$B$2:$B$88,MATCH(B442,PARTNERS!$A$2:$A$88,0)),""),"")</f>
        <v>https://calendly.com/partner000/interview</v>
      </c>
      <c r="AE442" s="28">
        <f ca="1">IF(X442=1,IFERROR(INDEX(SETTINGS!$B$34:$D$36,MATCH(I442,SETTINGS!$A$34:$A$36,0),MIN(Q442,2)+1),SETTINGS!$B$36),0)</f>
        <v>0</v>
      </c>
      <c r="AF442" s="28">
        <f t="shared" si="70"/>
        <v>1</v>
      </c>
      <c r="AG442" s="28">
        <f ca="1">IF(AND(Y442=1,AB442=1),ROUND(AA442*AE442*IF(AF442&gt;1,SETTINGS!$B$16,1)*IF(W442&lt;=SETTINGS!$B$14,SETTINGS!$B$15,1)*IF(AU442=1,SETTINGS!$B$21,1),6),0)</f>
        <v>0</v>
      </c>
      <c r="AH442" s="28" t="str">
        <f ca="1">IF(AG442&gt;0,COUNTIFS($Z$2:$Z$601,Z442,$AG$2:$AG$601,"&gt;"&amp;AG442)+COUNTIFS($Z$2:Z442,Z442,$AG$2:AG442,AG442),"")</f>
        <v/>
      </c>
      <c r="AI442" s="28" t="str">
        <f t="shared" ca="1" si="71"/>
        <v/>
      </c>
      <c r="AJ442" s="28" t="str">
        <f t="shared" ca="1" si="72"/>
        <v/>
      </c>
      <c r="AK442" s="28">
        <f>IF(L442=1,IF(COUNTIFS($F$2:F442,F442,$L$2:L442,1)=1,1,0),0)</f>
        <v>1</v>
      </c>
      <c r="AL442" s="28" t="str">
        <f ca="1">IF(B442="","",IF(K442="DUPLICATE","Duplicate (removed)",IF(AO442=1,"Scheduled within 24h",IF(M442=1,"Scheduled late",IF(K442="BAD CONTACT","Bad contact details",IF(O442=1,"Stopped / wrong number",IF(N442=1,"Not interested",IF(P442=1,"Partner has no slots",IF(SETTINGS!$B$4&gt;=V442,IF(Q442=0,"Missed deadline: never tried","Missed deadline: tried, not booked"),IF(Q442&gt;=SETTINGS!$B$6,"No reply after max tries","Open"))))))))))</f>
        <v>Missed deadline: never tried</v>
      </c>
      <c r="AM442" s="46" t="str">
        <f>IF(M442=1,IF(_xlfn.MINIFS(LOG!$G$2:$G$2001,LOG!$C$2:$C$2001,F442,LOG!$E$2:$E$2001,B442,LOG!$D$2:$D$2001,"*BOOKED")=0,_xlfn.MINIFS(LOG!$G$2:$G$2001,LOG!$C$2:$C$2001,F442,LOG!$E$2:$E$2001,"",LOG!$D$2:$D$2001,"*BOOKED"),IF(_xlfn.MINIFS(LOG!$G$2:$G$2001,LOG!$C$2:$C$2001,F442,LOG!$E$2:$E$2001,"",LOG!$D$2:$D$2001,"*BOOKED")=0,_xlfn.MINIFS(LOG!$G$2:$G$2001,LOG!$C$2:$C$2001,F442,LOG!$E$2:$E$2001,B442,LOG!$D$2:$D$2001,"*BOOKED"),MIN(_xlfn.MINIFS(LOG!$G$2:$G$2001,LOG!$C$2:$C$2001,F442,LOG!$E$2:$E$2001,B442,LOG!$D$2:$D$2001,"*BOOKED"),_xlfn.MINIFS(LOG!$G$2:$G$2001,LOG!$C$2:$C$2001,F442,LOG!$E$2:$E$2001,"",LOG!$D$2:$D$2001,"*BOOKED")))),"")</f>
        <v/>
      </c>
      <c r="AN442" s="28" t="str">
        <f t="shared" si="73"/>
        <v/>
      </c>
      <c r="AO442" s="28">
        <f>IF(AND(M442=1,AN442&lt;&gt;""),IF(AN442&lt;=SETTINGS!$B$5,1,0),0)</f>
        <v>0</v>
      </c>
      <c r="AP442" s="28">
        <f>IF(M442=1,IF(COUNTIFS(LOG!$C$2:$C$2001,F442,LOG!$E$2:$E$2001,B442,LOG!$D$2:$D$2001,"BOOKED")+COUNTIFS(LOG!$C$2:$C$2001,F442,LOG!$E$2:$E$2001,"",LOG!$D$2:$D$2001,"BOOKED")&gt;0,1,0),0)</f>
        <v>0</v>
      </c>
      <c r="AQ442" s="28" t="str">
        <f t="shared" si="74"/>
        <v>Ira</v>
      </c>
      <c r="AR442" s="28">
        <f>IF(AND(AK442=1,K442="OK"),COUNTIFS($AK$2:AK442,1,$K$2:K442,"OK"),"")</f>
        <v>364</v>
      </c>
      <c r="AS442" s="28" t="str">
        <f>IF(L442=1,IFERROR(INDEX(MESSAGES!$J$9:$J$1008,MATCH(F442,MESSAGES!$M$9:$M$1008,0))&amp;"",""),"")</f>
        <v/>
      </c>
      <c r="AT442" s="28" t="str">
        <f>IF(L442=1,IFERROR(INDEX(MESSAGES!$K$9:$K$1008,MATCH(F442,MESSAGES!$M$9:$M$1008,0))&amp;"",""),"")</f>
        <v/>
      </c>
      <c r="AU442" s="28">
        <f t="shared" ca="1" si="75"/>
        <v>0</v>
      </c>
      <c r="AV442" s="28" t="str">
        <f t="shared" si="76"/>
        <v>SEND</v>
      </c>
    </row>
    <row r="443" spans="1:48" x14ac:dyDescent="0.35">
      <c r="A443" s="28">
        <v>442</v>
      </c>
      <c r="B443" s="28" t="str">
        <f>IF(INPUT!A443="","",TRIM(INPUT!A443))</f>
        <v>Partner 000</v>
      </c>
      <c r="C443" s="28" t="str">
        <f>IF(B443="","",INPUT!C443)</f>
        <v>interviewer2@partner000.example.com</v>
      </c>
      <c r="D443" s="28" t="str">
        <f>IF(B443="","",INPUT!D443)</f>
        <v>Sneha A.</v>
      </c>
      <c r="E443" s="28" t="str">
        <f>IF(B443="","",INPUT!E443)</f>
        <v>sneha.a023@example.com</v>
      </c>
      <c r="F443" s="43" t="str">
        <f>IF(B443="","",TRIM(INPUT!F443&amp;""))</f>
        <v>9000000306</v>
      </c>
      <c r="G443" s="28" t="str">
        <f>IF(B443="","",INPUT!H443)</f>
        <v>Round1</v>
      </c>
      <c r="H443" s="46">
        <f>IF(B443="","",INPUT!I443)</f>
        <v>46308.82708333333</v>
      </c>
      <c r="I443" s="28" t="str">
        <f>IF(B443="","",IF(INPUT!J443="","None",INPUT!J443))</f>
        <v>Clicked</v>
      </c>
      <c r="J443" s="28" t="str">
        <f t="shared" si="66"/>
        <v>sneha.a023@example.com|partner 000|Round1|interviewer2@partner000.example.com</v>
      </c>
      <c r="K443" s="28" t="str">
        <f>IF(B443="","",IF(SUMPRODUCT(($J$2:$J$601=J443)*($H$2:$H$601&lt;H443))+SUMPRODUCT(($J$2:J443=J443)*($H$2:H443=H443))-1&gt;0,"DUPLICATE",IF(AND(ISNUMBER(SEARCH("@",E443)),ISNUMBER(SEARCH(".",E443)),LEN(F443)=10,ISNUMBER(VALUE(F443))),"OK","BAD CONTACT")))</f>
        <v>OK</v>
      </c>
      <c r="L443" s="28">
        <f t="shared" si="67"/>
        <v>1</v>
      </c>
      <c r="M443" s="28">
        <f>IF(L443=1,IF(COUNTIFS(LOG!$C$2:$C$2001,F443,LOG!$E$2:$E$2001,B443,LOG!$D$2:$D$2001,"*BOOKED")+COUNTIFS(LOG!$C$2:$C$2001,F443,LOG!$E$2:$E$2001,"",LOG!$D$2:$D$2001,"*BOOKED")&gt;0,1,0),0)</f>
        <v>1</v>
      </c>
      <c r="N443" s="28">
        <f>IF(L443=1,IF(COUNTIFS(LOG!$C$2:$C$2001,F443,LOG!$E$2:$E$2001,B443,LOG!$D$2:$D$2001,"NOT_INTERESTED")+COUNTIFS(LOG!$C$2:$C$2001,F443,LOG!$E$2:$E$2001,"",LOG!$D$2:$D$2001,"NOT_INTERESTED")&gt;0,1,0),0)</f>
        <v>0</v>
      </c>
      <c r="O443" s="28">
        <f>IF(L443=1,IF(COUNTIFS(LOG!$C$2:$C$2001,F443,LOG!$D$2:$D$2001,"STOP")+COUNTIFS(LOG!$C$2:$C$2001,F443,LOG!$D$2:$D$2001,"WRONG_NUMBER")&gt;0,1,IF(ISNUMBER(SEARCH("STOP",AT443)),1,0)),0)</f>
        <v>0</v>
      </c>
      <c r="P443" s="28">
        <f>IF(L443=1,IF(IFERROR(INDEX(PARTNERS!$D$2:$D$88,MATCH(B443,PARTNERS!$A$2:$A$88,0)),"")="NO SLOTS",1,IF(AND(IFERROR(INDEX(PARTNERS!$D$2:$D$88,MATCH(B443,PARTNERS!$A$2:$A$88,0)),"")&lt;&gt;"REOPENED",COUNTIFS(LOG!$E$2:$E$2001,B443,LOG!$D$2:$D$2001,"NO_SLOTS")&gt;0),1,0)),0)</f>
        <v>0</v>
      </c>
      <c r="Q443" s="28">
        <f>IF(L443=1,COUNTIFS(LOG!$C$2:$C$2001,F443,LOG!$H$2:$H$2001,1),0)</f>
        <v>0</v>
      </c>
      <c r="R443" s="46">
        <f>IF(Q443&gt;0,_xlfn.MAXIFS(LOG!$G$2:$G$2001,LOG!$C$2:$C$2001,F443,LOG!$H$2:$H$2001,1),0)</f>
        <v>0</v>
      </c>
      <c r="S443" s="28" t="str">
        <f>IF(Q443&gt;0,IFERROR(INDEX(LOG!$D$2:$D$2001,MATCH(F443&amp;"|"&amp;Q443,LOG!$I$2:$I$2001,0)),""),"")</f>
        <v/>
      </c>
      <c r="T443" s="28">
        <f>IF(S443="",0,IFERROR(VLOOKUP(S443,LISTS!$A$2:$E$10,4,FALSE),0))</f>
        <v>0</v>
      </c>
      <c r="U443" s="46">
        <f t="shared" si="68"/>
        <v>0</v>
      </c>
      <c r="V443" s="46">
        <f>IF(L443=1,H443+SETTINGS!$B$5/24,"")</f>
        <v>46309.82708333333</v>
      </c>
      <c r="W443" s="28">
        <f ca="1">IF(L443=1,(V443-SETTINGS!$B$4)*24,"")</f>
        <v>-1.6666666720993817E-2</v>
      </c>
      <c r="X443" s="28">
        <f ca="1">IF(AND(L443=1,K443="OK",M443=0,N443=0,O443=0,P443=0,SETTINGS!$B$4&lt;V443,Q443&lt;SETTINGS!$B$6),1,0)</f>
        <v>0</v>
      </c>
      <c r="Y443" s="28">
        <f ca="1">IF(AND(X443=1,SETTINGS!$B$4&gt;=H443,SETTINGS!$B$4&gt;=U443,ROUND(MOD(SETTINGS!$B$4,1)*1440,0)&gt;=ROUND(SETTINGS!$B$7*1440,0),ROUND(MOD(SETTINGS!$B$4,1)*1440,0)&lt;ROUND(SETTINGS!$B$8*1440,0)),1,0)</f>
        <v>0</v>
      </c>
      <c r="Z443" s="28" t="str">
        <f ca="1">IF(B443="","",IF(ROUND(MOD(SETTINGS!$B$4,1)*1440,0)&lt;ROUND(SETTINGS!$B$11*1440,0),"Ram",IF(ROUND(MOD(SETTINGS!$B$4,1)*1440,0)&gt;=ROUND(SETTINGS!$B$10*1440,0),"Shyam",IF(MOD(IFERROR(VALUE(RIGHT(F443,2)),0),2)=0,"Ram","Shyam"))))</f>
        <v>Shyam</v>
      </c>
      <c r="AA443" s="28">
        <f t="shared" ca="1" si="69"/>
        <v>0</v>
      </c>
      <c r="AB443" s="28">
        <f ca="1">IF(X443=1,COUNTIFS($F$2:F443,F443,$X$2:X443,1),0)</f>
        <v>0</v>
      </c>
      <c r="AC443" s="28" t="str">
        <f>IF(L443=1,IF(IFERROR(INDEX(PARTNERS!$C$2:$C$88,MATCH(B443,PARTNERS!$A$2:$A$88,0)),"")="YES","YES","NO"),"")</f>
        <v>NO</v>
      </c>
      <c r="AD443" s="28" t="str">
        <f>IF(L443=1,IFERROR(INDEX(PARTNERS!$B$2:$B$88,MATCH(B443,PARTNERS!$A$2:$A$88,0)),""),"")</f>
        <v>https://calendly.com/partner000/interview</v>
      </c>
      <c r="AE443" s="28">
        <f ca="1">IF(X443=1,IFERROR(INDEX(SETTINGS!$B$34:$D$36,MATCH(I443,SETTINGS!$A$34:$A$36,0),MIN(Q443,2)+1),SETTINGS!$B$36),0)</f>
        <v>0</v>
      </c>
      <c r="AF443" s="28">
        <f t="shared" si="70"/>
        <v>1</v>
      </c>
      <c r="AG443" s="28">
        <f ca="1">IF(AND(Y443=1,AB443=1),ROUND(AA443*AE443*IF(AF443&gt;1,SETTINGS!$B$16,1)*IF(W443&lt;=SETTINGS!$B$14,SETTINGS!$B$15,1)*IF(AU443=1,SETTINGS!$B$21,1),6),0)</f>
        <v>0</v>
      </c>
      <c r="AH443" s="28" t="str">
        <f ca="1">IF(AG443&gt;0,COUNTIFS($Z$2:$Z$601,Z443,$AG$2:$AG$601,"&gt;"&amp;AG443)+COUNTIFS($Z$2:Z443,Z443,$AG$2:AG443,AG443),"")</f>
        <v/>
      </c>
      <c r="AI443" s="28" t="str">
        <f t="shared" ca="1" si="71"/>
        <v/>
      </c>
      <c r="AJ443" s="28" t="str">
        <f t="shared" ca="1" si="72"/>
        <v/>
      </c>
      <c r="AK443" s="28">
        <f>IF(L443=1,IF(COUNTIFS($F$2:F443,F443,$L$2:L443,1)=1,1,0),0)</f>
        <v>1</v>
      </c>
      <c r="AL443" s="28" t="str">
        <f>IF(B443="","",IF(K443="DUPLICATE","Duplicate (removed)",IF(AO443=1,"Scheduled within 24h",IF(M443=1,"Scheduled late",IF(K443="BAD CONTACT","Bad contact details",IF(O443=1,"Stopped / wrong number",IF(N443=1,"Not interested",IF(P443=1,"Partner has no slots",IF(SETTINGS!$B$4&gt;=V443,IF(Q443=0,"Missed deadline: never tried","Missed deadline: tried, not booked"),IF(Q443&gt;=SETTINGS!$B$6,"No reply after max tries","Open"))))))))))</f>
        <v>Scheduled within 24h</v>
      </c>
      <c r="AM443" s="46">
        <f>IF(M443=1,IF(_xlfn.MINIFS(LOG!$G$2:$G$2001,LOG!$C$2:$C$2001,F443,LOG!$E$2:$E$2001,B443,LOG!$D$2:$D$2001,"*BOOKED")=0,_xlfn.MINIFS(LOG!$G$2:$G$2001,LOG!$C$2:$C$2001,F443,LOG!$E$2:$E$2001,"",LOG!$D$2:$D$2001,"*BOOKED"),IF(_xlfn.MINIFS(LOG!$G$2:$G$2001,LOG!$C$2:$C$2001,F443,LOG!$E$2:$E$2001,"",LOG!$D$2:$D$2001,"*BOOKED")=0,_xlfn.MINIFS(LOG!$G$2:$G$2001,LOG!$C$2:$C$2001,F443,LOG!$E$2:$E$2001,B443,LOG!$D$2:$D$2001,"*BOOKED"),MIN(_xlfn.MINIFS(LOG!$G$2:$G$2001,LOG!$C$2:$C$2001,F443,LOG!$E$2:$E$2001,B443,LOG!$D$2:$D$2001,"*BOOKED"),_xlfn.MINIFS(LOG!$G$2:$G$2001,LOG!$C$2:$C$2001,F443,LOG!$E$2:$E$2001,"",LOG!$D$2:$D$2001,"*BOOKED")))),"")</f>
        <v>46309.344534617208</v>
      </c>
      <c r="AN443" s="28">
        <f t="shared" si="73"/>
        <v>12.418830813083332</v>
      </c>
      <c r="AO443" s="28">
        <f>IF(AND(M443=1,AN443&lt;&gt;""),IF(AN443&lt;=SETTINGS!$B$5,1,0),0)</f>
        <v>1</v>
      </c>
      <c r="AP443" s="28">
        <f>IF(M443=1,IF(COUNTIFS(LOG!$C$2:$C$2001,F443,LOG!$E$2:$E$2001,B443,LOG!$D$2:$D$2001,"BOOKED")+COUNTIFS(LOG!$C$2:$C$2001,F443,LOG!$E$2:$E$2001,"",LOG!$D$2:$D$2001,"BOOKED")&gt;0,1,0),0)</f>
        <v>0</v>
      </c>
      <c r="AQ443" s="28" t="str">
        <f t="shared" si="74"/>
        <v>Sneha</v>
      </c>
      <c r="AR443" s="28">
        <f>IF(AND(AK443=1,K443="OK"),COUNTIFS($AK$2:AK443,1,$K$2:K443,"OK"),"")</f>
        <v>365</v>
      </c>
      <c r="AS443" s="28" t="str">
        <f>IF(L443=1,IFERROR(INDEX(MESSAGES!$J$9:$J$1008,MATCH(F443,MESSAGES!$M$9:$M$1008,0))&amp;"",""),"")</f>
        <v/>
      </c>
      <c r="AT443" s="28" t="str">
        <f>IF(L443=1,IFERROR(INDEX(MESSAGES!$K$9:$K$1008,MATCH(F443,MESSAGES!$M$9:$M$1008,0))&amp;"",""),"")</f>
        <v/>
      </c>
      <c r="AU443" s="28">
        <f t="shared" ca="1" si="75"/>
        <v>0</v>
      </c>
      <c r="AV443" s="28" t="str">
        <f t="shared" si="76"/>
        <v>SEND</v>
      </c>
    </row>
    <row r="444" spans="1:48" x14ac:dyDescent="0.35">
      <c r="A444" s="28">
        <v>443</v>
      </c>
      <c r="B444" s="28" t="str">
        <f>IF(INPUT!A444="","",TRIM(INPUT!A444))</f>
        <v>Partner 000</v>
      </c>
      <c r="C444" s="28" t="str">
        <f>IF(B444="","",INPUT!C444)</f>
        <v>interviewer0@partner000.example.com</v>
      </c>
      <c r="D444" s="28" t="str">
        <f>IF(B444="","",INPUT!D444)</f>
        <v>Neil M.</v>
      </c>
      <c r="E444" s="28" t="str">
        <f>IF(B444="","",INPUT!E444)</f>
        <v>neil.m348@example.com</v>
      </c>
      <c r="F444" s="43" t="str">
        <f>IF(B444="","",TRIM(INPUT!F444&amp;""))</f>
        <v>9000004531</v>
      </c>
      <c r="G444" s="28" t="str">
        <f>IF(B444="","",INPUT!H444)</f>
        <v>Round1</v>
      </c>
      <c r="H444" s="46">
        <f>IF(B444="","",INPUT!I444)</f>
        <v>46308.82708333333</v>
      </c>
      <c r="I444" s="28" t="str">
        <f>IF(B444="","",IF(INPUT!J444="","None",INPUT!J444))</f>
        <v>Opened</v>
      </c>
      <c r="J444" s="28" t="str">
        <f t="shared" si="66"/>
        <v>neil.m348@example.com|partner 000|Round1|interviewer0@partner000.example.com</v>
      </c>
      <c r="K444" s="28" t="str">
        <f>IF(B444="","",IF(SUMPRODUCT(($J$2:$J$601=J444)*($H$2:$H$601&lt;H444))+SUMPRODUCT(($J$2:J444=J444)*($H$2:H444=H444))-1&gt;0,"DUPLICATE",IF(AND(ISNUMBER(SEARCH("@",E444)),ISNUMBER(SEARCH(".",E444)),LEN(F444)=10,ISNUMBER(VALUE(F444))),"OK","BAD CONTACT")))</f>
        <v>OK</v>
      </c>
      <c r="L444" s="28">
        <f t="shared" si="67"/>
        <v>1</v>
      </c>
      <c r="M444" s="28">
        <f>IF(L444=1,IF(COUNTIFS(LOG!$C$2:$C$2001,F444,LOG!$E$2:$E$2001,B444,LOG!$D$2:$D$2001,"*BOOKED")+COUNTIFS(LOG!$C$2:$C$2001,F444,LOG!$E$2:$E$2001,"",LOG!$D$2:$D$2001,"*BOOKED")&gt;0,1,0),0)</f>
        <v>0</v>
      </c>
      <c r="N444" s="28">
        <f>IF(L444=1,IF(COUNTIFS(LOG!$C$2:$C$2001,F444,LOG!$E$2:$E$2001,B444,LOG!$D$2:$D$2001,"NOT_INTERESTED")+COUNTIFS(LOG!$C$2:$C$2001,F444,LOG!$E$2:$E$2001,"",LOG!$D$2:$D$2001,"NOT_INTERESTED")&gt;0,1,0),0)</f>
        <v>0</v>
      </c>
      <c r="O444" s="28">
        <f>IF(L444=1,IF(COUNTIFS(LOG!$C$2:$C$2001,F444,LOG!$D$2:$D$2001,"STOP")+COUNTIFS(LOG!$C$2:$C$2001,F444,LOG!$D$2:$D$2001,"WRONG_NUMBER")&gt;0,1,IF(ISNUMBER(SEARCH("STOP",AT444)),1,0)),0)</f>
        <v>0</v>
      </c>
      <c r="P444" s="28">
        <f>IF(L444=1,IF(IFERROR(INDEX(PARTNERS!$D$2:$D$88,MATCH(B444,PARTNERS!$A$2:$A$88,0)),"")="NO SLOTS",1,IF(AND(IFERROR(INDEX(PARTNERS!$D$2:$D$88,MATCH(B444,PARTNERS!$A$2:$A$88,0)),"")&lt;&gt;"REOPENED",COUNTIFS(LOG!$E$2:$E$2001,B444,LOG!$D$2:$D$2001,"NO_SLOTS")&gt;0),1,0)),0)</f>
        <v>0</v>
      </c>
      <c r="Q444" s="28">
        <f>IF(L444=1,COUNTIFS(LOG!$C$2:$C$2001,F444,LOG!$H$2:$H$2001,1),0)</f>
        <v>0</v>
      </c>
      <c r="R444" s="46">
        <f>IF(Q444&gt;0,_xlfn.MAXIFS(LOG!$G$2:$G$2001,LOG!$C$2:$C$2001,F444,LOG!$H$2:$H$2001,1),0)</f>
        <v>0</v>
      </c>
      <c r="S444" s="28" t="str">
        <f>IF(Q444&gt;0,IFERROR(INDEX(LOG!$D$2:$D$2001,MATCH(F444&amp;"|"&amp;Q444,LOG!$I$2:$I$2001,0)),""),"")</f>
        <v/>
      </c>
      <c r="T444" s="28">
        <f>IF(S444="",0,IFERROR(VLOOKUP(S444,LISTS!$A$2:$E$10,4,FALSE),0))</f>
        <v>0</v>
      </c>
      <c r="U444" s="46">
        <f t="shared" si="68"/>
        <v>0</v>
      </c>
      <c r="V444" s="46">
        <f>IF(L444=1,H444+SETTINGS!$B$5/24,"")</f>
        <v>46309.82708333333</v>
      </c>
      <c r="W444" s="28">
        <f ca="1">IF(L444=1,(V444-SETTINGS!$B$4)*24,"")</f>
        <v>-1.6666666720993817E-2</v>
      </c>
      <c r="X444" s="28">
        <f ca="1">IF(AND(L444=1,K444="OK",M444=0,N444=0,O444=0,P444=0,SETTINGS!$B$4&lt;V444,Q444&lt;SETTINGS!$B$6),1,0)</f>
        <v>0</v>
      </c>
      <c r="Y444" s="28">
        <f ca="1">IF(AND(X444=1,SETTINGS!$B$4&gt;=H444,SETTINGS!$B$4&gt;=U444,ROUND(MOD(SETTINGS!$B$4,1)*1440,0)&gt;=ROUND(SETTINGS!$B$7*1440,0),ROUND(MOD(SETTINGS!$B$4,1)*1440,0)&lt;ROUND(SETTINGS!$B$8*1440,0)),1,0)</f>
        <v>0</v>
      </c>
      <c r="Z444" s="28" t="str">
        <f ca="1">IF(B444="","",IF(ROUND(MOD(SETTINGS!$B$4,1)*1440,0)&lt;ROUND(SETTINGS!$B$11*1440,0),"Ram",IF(ROUND(MOD(SETTINGS!$B$4,1)*1440,0)&gt;=ROUND(SETTINGS!$B$10*1440,0),"Shyam",IF(MOD(IFERROR(VALUE(RIGHT(F444,2)),0),2)=0,"Ram","Shyam"))))</f>
        <v>Shyam</v>
      </c>
      <c r="AA444" s="28">
        <f t="shared" ca="1" si="69"/>
        <v>0</v>
      </c>
      <c r="AB444" s="28">
        <f ca="1">IF(X444=1,COUNTIFS($F$2:F444,F444,$X$2:X444,1),0)</f>
        <v>0</v>
      </c>
      <c r="AC444" s="28" t="str">
        <f>IF(L444=1,IF(IFERROR(INDEX(PARTNERS!$C$2:$C$88,MATCH(B444,PARTNERS!$A$2:$A$88,0)),"")="YES","YES","NO"),"")</f>
        <v>NO</v>
      </c>
      <c r="AD444" s="28" t="str">
        <f>IF(L444=1,IFERROR(INDEX(PARTNERS!$B$2:$B$88,MATCH(B444,PARTNERS!$A$2:$A$88,0)),""),"")</f>
        <v>https://calendly.com/partner000/interview</v>
      </c>
      <c r="AE444" s="28">
        <f ca="1">IF(X444=1,IFERROR(INDEX(SETTINGS!$B$34:$D$36,MATCH(I444,SETTINGS!$A$34:$A$36,0),MIN(Q444,2)+1),SETTINGS!$B$36),0)</f>
        <v>0</v>
      </c>
      <c r="AF444" s="28">
        <f t="shared" si="70"/>
        <v>1</v>
      </c>
      <c r="AG444" s="28">
        <f ca="1">IF(AND(Y444=1,AB444=1),ROUND(AA444*AE444*IF(AF444&gt;1,SETTINGS!$B$16,1)*IF(W444&lt;=SETTINGS!$B$14,SETTINGS!$B$15,1)*IF(AU444=1,SETTINGS!$B$21,1),6),0)</f>
        <v>0</v>
      </c>
      <c r="AH444" s="28" t="str">
        <f ca="1">IF(AG444&gt;0,COUNTIFS($Z$2:$Z$601,Z444,$AG$2:$AG$601,"&gt;"&amp;AG444)+COUNTIFS($Z$2:Z444,Z444,$AG$2:AG444,AG444),"")</f>
        <v/>
      </c>
      <c r="AI444" s="28" t="str">
        <f t="shared" ca="1" si="71"/>
        <v/>
      </c>
      <c r="AJ444" s="28" t="str">
        <f t="shared" ca="1" si="72"/>
        <v/>
      </c>
      <c r="AK444" s="28">
        <f>IF(L444=1,IF(COUNTIFS($F$2:F444,F444,$L$2:L444,1)=1,1,0),0)</f>
        <v>1</v>
      </c>
      <c r="AL444" s="28" t="str">
        <f ca="1">IF(B444="","",IF(K444="DUPLICATE","Duplicate (removed)",IF(AO444=1,"Scheduled within 24h",IF(M444=1,"Scheduled late",IF(K444="BAD CONTACT","Bad contact details",IF(O444=1,"Stopped / wrong number",IF(N444=1,"Not interested",IF(P444=1,"Partner has no slots",IF(SETTINGS!$B$4&gt;=V444,IF(Q444=0,"Missed deadline: never tried","Missed deadline: tried, not booked"),IF(Q444&gt;=SETTINGS!$B$6,"No reply after max tries","Open"))))))))))</f>
        <v>Missed deadline: never tried</v>
      </c>
      <c r="AM444" s="46" t="str">
        <f>IF(M444=1,IF(_xlfn.MINIFS(LOG!$G$2:$G$2001,LOG!$C$2:$C$2001,F444,LOG!$E$2:$E$2001,B444,LOG!$D$2:$D$2001,"*BOOKED")=0,_xlfn.MINIFS(LOG!$G$2:$G$2001,LOG!$C$2:$C$2001,F444,LOG!$E$2:$E$2001,"",LOG!$D$2:$D$2001,"*BOOKED"),IF(_xlfn.MINIFS(LOG!$G$2:$G$2001,LOG!$C$2:$C$2001,F444,LOG!$E$2:$E$2001,"",LOG!$D$2:$D$2001,"*BOOKED")=0,_xlfn.MINIFS(LOG!$G$2:$G$2001,LOG!$C$2:$C$2001,F444,LOG!$E$2:$E$2001,B444,LOG!$D$2:$D$2001,"*BOOKED"),MIN(_xlfn.MINIFS(LOG!$G$2:$G$2001,LOG!$C$2:$C$2001,F444,LOG!$E$2:$E$2001,B444,LOG!$D$2:$D$2001,"*BOOKED"),_xlfn.MINIFS(LOG!$G$2:$G$2001,LOG!$C$2:$C$2001,F444,LOG!$E$2:$E$2001,"",LOG!$D$2:$D$2001,"*BOOKED")))),"")</f>
        <v/>
      </c>
      <c r="AN444" s="28" t="str">
        <f t="shared" si="73"/>
        <v/>
      </c>
      <c r="AO444" s="28">
        <f>IF(AND(M444=1,AN444&lt;&gt;""),IF(AN444&lt;=SETTINGS!$B$5,1,0),0)</f>
        <v>0</v>
      </c>
      <c r="AP444" s="28">
        <f>IF(M444=1,IF(COUNTIFS(LOG!$C$2:$C$2001,F444,LOG!$E$2:$E$2001,B444,LOG!$D$2:$D$2001,"BOOKED")+COUNTIFS(LOG!$C$2:$C$2001,F444,LOG!$E$2:$E$2001,"",LOG!$D$2:$D$2001,"BOOKED")&gt;0,1,0),0)</f>
        <v>0</v>
      </c>
      <c r="AQ444" s="28" t="str">
        <f t="shared" si="74"/>
        <v>Neil</v>
      </c>
      <c r="AR444" s="28">
        <f>IF(AND(AK444=1,K444="OK"),COUNTIFS($AK$2:AK444,1,$K$2:K444,"OK"),"")</f>
        <v>366</v>
      </c>
      <c r="AS444" s="28" t="str">
        <f>IF(L444=1,IFERROR(INDEX(MESSAGES!$J$9:$J$1008,MATCH(F444,MESSAGES!$M$9:$M$1008,0))&amp;"",""),"")</f>
        <v/>
      </c>
      <c r="AT444" s="28" t="str">
        <f>IF(L444=1,IFERROR(INDEX(MESSAGES!$K$9:$K$1008,MATCH(F444,MESSAGES!$M$9:$M$1008,0))&amp;"",""),"")</f>
        <v/>
      </c>
      <c r="AU444" s="28">
        <f t="shared" ca="1" si="75"/>
        <v>0</v>
      </c>
      <c r="AV444" s="28" t="str">
        <f t="shared" si="76"/>
        <v>HOLD</v>
      </c>
    </row>
    <row r="445" spans="1:48" x14ac:dyDescent="0.35">
      <c r="A445" s="28">
        <v>444</v>
      </c>
      <c r="B445" s="28" t="str">
        <f>IF(INPUT!A445="","",TRIM(INPUT!A445))</f>
        <v>Partner 000</v>
      </c>
      <c r="C445" s="28" t="str">
        <f>IF(B445="","",INPUT!C445)</f>
        <v>interviewer1@partner000.example.com</v>
      </c>
      <c r="D445" s="28" t="str">
        <f>IF(B445="","",INPUT!D445)</f>
        <v>Diya D.</v>
      </c>
      <c r="E445" s="28" t="str">
        <f>IF(B445="","",INPUT!E445)</f>
        <v>diya.d091@example.com</v>
      </c>
      <c r="F445" s="43" t="str">
        <f>IF(B445="","",TRIM(INPUT!F445&amp;""))</f>
        <v>9000001190</v>
      </c>
      <c r="G445" s="28" t="str">
        <f>IF(B445="","",INPUT!H445)</f>
        <v>Round1</v>
      </c>
      <c r="H445" s="46">
        <f>IF(B445="","",INPUT!I445)</f>
        <v>46308.82708333333</v>
      </c>
      <c r="I445" s="28" t="str">
        <f>IF(B445="","",IF(INPUT!J445="","None",INPUT!J445))</f>
        <v>Clicked</v>
      </c>
      <c r="J445" s="28" t="str">
        <f t="shared" si="66"/>
        <v>diya.d091@example.com|partner 000|Round1|interviewer1@partner000.example.com</v>
      </c>
      <c r="K445" s="28" t="str">
        <f>IF(B445="","",IF(SUMPRODUCT(($J$2:$J$601=J445)*($H$2:$H$601&lt;H445))+SUMPRODUCT(($J$2:J445=J445)*($H$2:H445=H445))-1&gt;0,"DUPLICATE",IF(AND(ISNUMBER(SEARCH("@",E445)),ISNUMBER(SEARCH(".",E445)),LEN(F445)=10,ISNUMBER(VALUE(F445))),"OK","BAD CONTACT")))</f>
        <v>OK</v>
      </c>
      <c r="L445" s="28">
        <f t="shared" si="67"/>
        <v>1</v>
      </c>
      <c r="M445" s="28">
        <f>IF(L445=1,IF(COUNTIFS(LOG!$C$2:$C$2001,F445,LOG!$E$2:$E$2001,B445,LOG!$D$2:$D$2001,"*BOOKED")+COUNTIFS(LOG!$C$2:$C$2001,F445,LOG!$E$2:$E$2001,"",LOG!$D$2:$D$2001,"*BOOKED")&gt;0,1,0),0)</f>
        <v>1</v>
      </c>
      <c r="N445" s="28">
        <f>IF(L445=1,IF(COUNTIFS(LOG!$C$2:$C$2001,F445,LOG!$E$2:$E$2001,B445,LOG!$D$2:$D$2001,"NOT_INTERESTED")+COUNTIFS(LOG!$C$2:$C$2001,F445,LOG!$E$2:$E$2001,"",LOG!$D$2:$D$2001,"NOT_INTERESTED")&gt;0,1,0),0)</f>
        <v>0</v>
      </c>
      <c r="O445" s="28">
        <f>IF(L445=1,IF(COUNTIFS(LOG!$C$2:$C$2001,F445,LOG!$D$2:$D$2001,"STOP")+COUNTIFS(LOG!$C$2:$C$2001,F445,LOG!$D$2:$D$2001,"WRONG_NUMBER")&gt;0,1,IF(ISNUMBER(SEARCH("STOP",AT445)),1,0)),0)</f>
        <v>0</v>
      </c>
      <c r="P445" s="28">
        <f>IF(L445=1,IF(IFERROR(INDEX(PARTNERS!$D$2:$D$88,MATCH(B445,PARTNERS!$A$2:$A$88,0)),"")="NO SLOTS",1,IF(AND(IFERROR(INDEX(PARTNERS!$D$2:$D$88,MATCH(B445,PARTNERS!$A$2:$A$88,0)),"")&lt;&gt;"REOPENED",COUNTIFS(LOG!$E$2:$E$2001,B445,LOG!$D$2:$D$2001,"NO_SLOTS")&gt;0),1,0)),0)</f>
        <v>0</v>
      </c>
      <c r="Q445" s="28">
        <f>IF(L445=1,COUNTIFS(LOG!$C$2:$C$2001,F445,LOG!$H$2:$H$2001,1),0)</f>
        <v>1</v>
      </c>
      <c r="R445" s="46">
        <f>IF(Q445&gt;0,_xlfn.MAXIFS(LOG!$G$2:$G$2001,LOG!$C$2:$C$2001,F445,LOG!$H$2:$H$2001,1),0)</f>
        <v>46309.676372968061</v>
      </c>
      <c r="S445" s="28" t="str">
        <f>IF(Q445&gt;0,IFERROR(INDEX(LOG!$D$2:$D$2001,MATCH(F445&amp;"|"&amp;Q445,LOG!$I$2:$I$2001,0)),""),"")</f>
        <v>SENT_LINK</v>
      </c>
      <c r="T445" s="28">
        <f>IF(S445="",0,IFERROR(VLOOKUP(S445,LISTS!$A$2:$E$10,4,FALSE),0))</f>
        <v>180</v>
      </c>
      <c r="U445" s="46">
        <f t="shared" si="68"/>
        <v>46309.801372968061</v>
      </c>
      <c r="V445" s="46">
        <f>IF(L445=1,H445+SETTINGS!$B$5/24,"")</f>
        <v>46309.82708333333</v>
      </c>
      <c r="W445" s="28">
        <f ca="1">IF(L445=1,(V445-SETTINGS!$B$4)*24,"")</f>
        <v>-1.6666666720993817E-2</v>
      </c>
      <c r="X445" s="28">
        <f ca="1">IF(AND(L445=1,K445="OK",M445=0,N445=0,O445=0,P445=0,SETTINGS!$B$4&lt;V445,Q445&lt;SETTINGS!$B$6),1,0)</f>
        <v>0</v>
      </c>
      <c r="Y445" s="28">
        <f ca="1">IF(AND(X445=1,SETTINGS!$B$4&gt;=H445,SETTINGS!$B$4&gt;=U445,ROUND(MOD(SETTINGS!$B$4,1)*1440,0)&gt;=ROUND(SETTINGS!$B$7*1440,0),ROUND(MOD(SETTINGS!$B$4,1)*1440,0)&lt;ROUND(SETTINGS!$B$8*1440,0)),1,0)</f>
        <v>0</v>
      </c>
      <c r="Z445" s="28" t="str">
        <f ca="1">IF(B445="","",IF(ROUND(MOD(SETTINGS!$B$4,1)*1440,0)&lt;ROUND(SETTINGS!$B$11*1440,0),"Ram",IF(ROUND(MOD(SETTINGS!$B$4,1)*1440,0)&gt;=ROUND(SETTINGS!$B$10*1440,0),"Shyam",IF(MOD(IFERROR(VALUE(RIGHT(F445,2)),0),2)=0,"Ram","Shyam"))))</f>
        <v>Shyam</v>
      </c>
      <c r="AA445" s="28">
        <f t="shared" ca="1" si="69"/>
        <v>0</v>
      </c>
      <c r="AB445" s="28">
        <f ca="1">IF(X445=1,COUNTIFS($F$2:F445,F445,$X$2:X445,1),0)</f>
        <v>0</v>
      </c>
      <c r="AC445" s="28" t="str">
        <f>IF(L445=1,IF(IFERROR(INDEX(PARTNERS!$C$2:$C$88,MATCH(B445,PARTNERS!$A$2:$A$88,0)),"")="YES","YES","NO"),"")</f>
        <v>NO</v>
      </c>
      <c r="AD445" s="28" t="str">
        <f>IF(L445=1,IFERROR(INDEX(PARTNERS!$B$2:$B$88,MATCH(B445,PARTNERS!$A$2:$A$88,0)),""),"")</f>
        <v>https://calendly.com/partner000/interview</v>
      </c>
      <c r="AE445" s="28">
        <f ca="1">IF(X445=1,IFERROR(INDEX(SETTINGS!$B$34:$D$36,MATCH(I445,SETTINGS!$A$34:$A$36,0),MIN(Q445,2)+1),SETTINGS!$B$36),0)</f>
        <v>0</v>
      </c>
      <c r="AF445" s="28">
        <f t="shared" si="70"/>
        <v>1</v>
      </c>
      <c r="AG445" s="28">
        <f ca="1">IF(AND(Y445=1,AB445=1),ROUND(AA445*AE445*IF(AF445&gt;1,SETTINGS!$B$16,1)*IF(W445&lt;=SETTINGS!$B$14,SETTINGS!$B$15,1)*IF(AU445=1,SETTINGS!$B$21,1),6),0)</f>
        <v>0</v>
      </c>
      <c r="AH445" s="28" t="str">
        <f ca="1">IF(AG445&gt;0,COUNTIFS($Z$2:$Z$601,Z445,$AG$2:$AG$601,"&gt;"&amp;AG445)+COUNTIFS($Z$2:Z445,Z445,$AG$2:AG445,AG445),"")</f>
        <v/>
      </c>
      <c r="AI445" s="28" t="str">
        <f t="shared" ca="1" si="71"/>
        <v/>
      </c>
      <c r="AJ445" s="28" t="str">
        <f t="shared" ca="1" si="72"/>
        <v/>
      </c>
      <c r="AK445" s="28">
        <f>IF(L445=1,IF(COUNTIFS($F$2:F445,F445,$L$2:L445,1)=1,1,0),0)</f>
        <v>1</v>
      </c>
      <c r="AL445" s="28" t="str">
        <f>IF(B445="","",IF(K445="DUPLICATE","Duplicate (removed)",IF(AO445=1,"Scheduled within 24h",IF(M445=1,"Scheduled late",IF(K445="BAD CONTACT","Bad contact details",IF(O445=1,"Stopped / wrong number",IF(N445=1,"Not interested",IF(P445=1,"Partner has no slots",IF(SETTINGS!$B$4&gt;=V445,IF(Q445=0,"Missed deadline: never tried","Missed deadline: tried, not booked"),IF(Q445&gt;=SETTINGS!$B$6,"No reply after max tries","Open"))))))))))</f>
        <v>Scheduled within 24h</v>
      </c>
      <c r="AM445" s="46">
        <f>IF(M445=1,IF(_xlfn.MINIFS(LOG!$G$2:$G$2001,LOG!$C$2:$C$2001,F445,LOG!$E$2:$E$2001,B445,LOG!$D$2:$D$2001,"*BOOKED")=0,_xlfn.MINIFS(LOG!$G$2:$G$2001,LOG!$C$2:$C$2001,F445,LOG!$E$2:$E$2001,"",LOG!$D$2:$D$2001,"*BOOKED"),IF(_xlfn.MINIFS(LOG!$G$2:$G$2001,LOG!$C$2:$C$2001,F445,LOG!$E$2:$E$2001,"",LOG!$D$2:$D$2001,"*BOOKED")=0,_xlfn.MINIFS(LOG!$G$2:$G$2001,LOG!$C$2:$C$2001,F445,LOG!$E$2:$E$2001,B445,LOG!$D$2:$D$2001,"*BOOKED"),MIN(_xlfn.MINIFS(LOG!$G$2:$G$2001,LOG!$C$2:$C$2001,F445,LOG!$E$2:$E$2001,B445,LOG!$D$2:$D$2001,"*BOOKED"),_xlfn.MINIFS(LOG!$G$2:$G$2001,LOG!$C$2:$C$2001,F445,LOG!$E$2:$E$2001,"",LOG!$D$2:$D$2001,"*BOOKED")))),"")</f>
        <v>46309.690511270797</v>
      </c>
      <c r="AN445" s="28">
        <f t="shared" si="73"/>
        <v>20.722270499216393</v>
      </c>
      <c r="AO445" s="28">
        <f>IF(AND(M445=1,AN445&lt;&gt;""),IF(AN445&lt;=SETTINGS!$B$5,1,0),0)</f>
        <v>1</v>
      </c>
      <c r="AP445" s="28">
        <f>IF(M445=1,IF(COUNTIFS(LOG!$C$2:$C$2001,F445,LOG!$E$2:$E$2001,B445,LOG!$D$2:$D$2001,"BOOKED")+COUNTIFS(LOG!$C$2:$C$2001,F445,LOG!$E$2:$E$2001,"",LOG!$D$2:$D$2001,"BOOKED")&gt;0,1,0),0)</f>
        <v>0</v>
      </c>
      <c r="AQ445" s="28" t="str">
        <f t="shared" si="74"/>
        <v>Diya</v>
      </c>
      <c r="AR445" s="28">
        <f>IF(AND(AK445=1,K445="OK"),COUNTIFS($AK$2:AK445,1,$K$2:K445,"OK"),"")</f>
        <v>367</v>
      </c>
      <c r="AS445" s="28" t="str">
        <f>IF(L445=1,IFERROR(INDEX(MESSAGES!$J$9:$J$1008,MATCH(F445,MESSAGES!$M$9:$M$1008,0))&amp;"",""),"")</f>
        <v/>
      </c>
      <c r="AT445" s="28" t="str">
        <f>IF(L445=1,IFERROR(INDEX(MESSAGES!$K$9:$K$1008,MATCH(F445,MESSAGES!$M$9:$M$1008,0))&amp;"",""),"")</f>
        <v/>
      </c>
      <c r="AU445" s="28">
        <f t="shared" ca="1" si="75"/>
        <v>0</v>
      </c>
      <c r="AV445" s="28" t="str">
        <f t="shared" si="76"/>
        <v>HOLD</v>
      </c>
    </row>
    <row r="446" spans="1:48" x14ac:dyDescent="0.35">
      <c r="A446" s="28">
        <v>445</v>
      </c>
      <c r="B446" s="28" t="str">
        <f>IF(INPUT!A446="","",TRIM(INPUT!A446))</f>
        <v>Partner 005</v>
      </c>
      <c r="C446" s="28" t="str">
        <f>IF(B446="","",INPUT!C446)</f>
        <v>interviewer0@partner005.example.com</v>
      </c>
      <c r="D446" s="28" t="str">
        <f>IF(B446="","",INPUT!D446)</f>
        <v>Vihaan L.</v>
      </c>
      <c r="E446" s="28" t="str">
        <f>IF(B446="","",INPUT!E446)</f>
        <v>vihaan.l304@example.com</v>
      </c>
      <c r="F446" s="43" t="str">
        <f>IF(B446="","",TRIM(INPUT!F446&amp;""))</f>
        <v>9000003959</v>
      </c>
      <c r="G446" s="28" t="str">
        <f>IF(B446="","",INPUT!H446)</f>
        <v>Round1</v>
      </c>
      <c r="H446" s="46">
        <f>IF(B446="","",INPUT!I446)</f>
        <v>46308.82916666667</v>
      </c>
      <c r="I446" s="28" t="str">
        <f>IF(B446="","",IF(INPUT!J446="","None",INPUT!J446))</f>
        <v>Clicked</v>
      </c>
      <c r="J446" s="28" t="str">
        <f t="shared" si="66"/>
        <v>vihaan.l304@example.com|partner 005|Round1|interviewer0@partner005.example.com</v>
      </c>
      <c r="K446" s="28" t="str">
        <f>IF(B446="","",IF(SUMPRODUCT(($J$2:$J$601=J446)*($H$2:$H$601&lt;H446))+SUMPRODUCT(($J$2:J446=J446)*($H$2:H446=H446))-1&gt;0,"DUPLICATE",IF(AND(ISNUMBER(SEARCH("@",E446)),ISNUMBER(SEARCH(".",E446)),LEN(F446)=10,ISNUMBER(VALUE(F446))),"OK","BAD CONTACT")))</f>
        <v>DUPLICATE</v>
      </c>
      <c r="L446" s="28">
        <f t="shared" si="67"/>
        <v>0</v>
      </c>
      <c r="M446" s="28">
        <f>IF(L446=1,IF(COUNTIFS(LOG!$C$2:$C$2001,F446,LOG!$E$2:$E$2001,B446,LOG!$D$2:$D$2001,"*BOOKED")+COUNTIFS(LOG!$C$2:$C$2001,F446,LOG!$E$2:$E$2001,"",LOG!$D$2:$D$2001,"*BOOKED")&gt;0,1,0),0)</f>
        <v>0</v>
      </c>
      <c r="N446" s="28">
        <f>IF(L446=1,IF(COUNTIFS(LOG!$C$2:$C$2001,F446,LOG!$E$2:$E$2001,B446,LOG!$D$2:$D$2001,"NOT_INTERESTED")+COUNTIFS(LOG!$C$2:$C$2001,F446,LOG!$E$2:$E$2001,"",LOG!$D$2:$D$2001,"NOT_INTERESTED")&gt;0,1,0),0)</f>
        <v>0</v>
      </c>
      <c r="O446" s="28">
        <f>IF(L446=1,IF(COUNTIFS(LOG!$C$2:$C$2001,F446,LOG!$D$2:$D$2001,"STOP")+COUNTIFS(LOG!$C$2:$C$2001,F446,LOG!$D$2:$D$2001,"WRONG_NUMBER")&gt;0,1,IF(ISNUMBER(SEARCH("STOP",AT446)),1,0)),0)</f>
        <v>0</v>
      </c>
      <c r="P446" s="28">
        <f>IF(L446=1,IF(IFERROR(INDEX(PARTNERS!$D$2:$D$88,MATCH(B446,PARTNERS!$A$2:$A$88,0)),"")="NO SLOTS",1,IF(AND(IFERROR(INDEX(PARTNERS!$D$2:$D$88,MATCH(B446,PARTNERS!$A$2:$A$88,0)),"")&lt;&gt;"REOPENED",COUNTIFS(LOG!$E$2:$E$2001,B446,LOG!$D$2:$D$2001,"NO_SLOTS")&gt;0),1,0)),0)</f>
        <v>0</v>
      </c>
      <c r="Q446" s="28">
        <f>IF(L446=1,COUNTIFS(LOG!$C$2:$C$2001,F446,LOG!$H$2:$H$2001,1),0)</f>
        <v>0</v>
      </c>
      <c r="R446" s="46">
        <f>IF(Q446&gt;0,_xlfn.MAXIFS(LOG!$G$2:$G$2001,LOG!$C$2:$C$2001,F446,LOG!$H$2:$H$2001,1),0)</f>
        <v>0</v>
      </c>
      <c r="S446" s="28" t="str">
        <f>IF(Q446&gt;0,IFERROR(INDEX(LOG!$D$2:$D$2001,MATCH(F446&amp;"|"&amp;Q446,LOG!$I$2:$I$2001,0)),""),"")</f>
        <v/>
      </c>
      <c r="T446" s="28">
        <f>IF(S446="",0,IFERROR(VLOOKUP(S446,LISTS!$A$2:$E$10,4,FALSE),0))</f>
        <v>0</v>
      </c>
      <c r="U446" s="46">
        <f t="shared" si="68"/>
        <v>0</v>
      </c>
      <c r="V446" s="46" t="str">
        <f>IF(L446=1,H446+SETTINGS!$B$5/24,"")</f>
        <v/>
      </c>
      <c r="W446" s="28" t="str">
        <f>IF(L446=1,(V446-SETTINGS!$B$4)*24,"")</f>
        <v/>
      </c>
      <c r="X446" s="28">
        <f ca="1">IF(AND(L446=1,K446="OK",M446=0,N446=0,O446=0,P446=0,SETTINGS!$B$4&lt;V446,Q446&lt;SETTINGS!$B$6),1,0)</f>
        <v>0</v>
      </c>
      <c r="Y446" s="28">
        <f ca="1">IF(AND(X446=1,SETTINGS!$B$4&gt;=H446,SETTINGS!$B$4&gt;=U446,ROUND(MOD(SETTINGS!$B$4,1)*1440,0)&gt;=ROUND(SETTINGS!$B$7*1440,0),ROUND(MOD(SETTINGS!$B$4,1)*1440,0)&lt;ROUND(SETTINGS!$B$8*1440,0)),1,0)</f>
        <v>0</v>
      </c>
      <c r="Z446" s="28" t="str">
        <f ca="1">IF(B446="","",IF(ROUND(MOD(SETTINGS!$B$4,1)*1440,0)&lt;ROUND(SETTINGS!$B$11*1440,0),"Ram",IF(ROUND(MOD(SETTINGS!$B$4,1)*1440,0)&gt;=ROUND(SETTINGS!$B$10*1440,0),"Shyam",IF(MOD(IFERROR(VALUE(RIGHT(F446,2)),0),2)=0,"Ram","Shyam"))))</f>
        <v>Shyam</v>
      </c>
      <c r="AA446" s="28">
        <f t="shared" ca="1" si="69"/>
        <v>0</v>
      </c>
      <c r="AB446" s="28">
        <f ca="1">IF(X446=1,COUNTIFS($F$2:F446,F446,$X$2:X446,1),0)</f>
        <v>0</v>
      </c>
      <c r="AC446" s="28" t="str">
        <f>IF(L446=1,IF(IFERROR(INDEX(PARTNERS!$C$2:$C$88,MATCH(B446,PARTNERS!$A$2:$A$88,0)),"")="YES","YES","NO"),"")</f>
        <v/>
      </c>
      <c r="AD446" s="28" t="str">
        <f>IF(L446=1,IFERROR(INDEX(PARTNERS!$B$2:$B$88,MATCH(B446,PARTNERS!$A$2:$A$88,0)),""),"")</f>
        <v/>
      </c>
      <c r="AE446" s="28">
        <f ca="1">IF(X446=1,IFERROR(INDEX(SETTINGS!$B$34:$D$36,MATCH(I446,SETTINGS!$A$34:$A$36,0),MIN(Q446,2)+1),SETTINGS!$B$36),0)</f>
        <v>0</v>
      </c>
      <c r="AF446" s="28">
        <f t="shared" si="70"/>
        <v>0</v>
      </c>
      <c r="AG446" s="28">
        <f ca="1">IF(AND(Y446=1,AB446=1),ROUND(AA446*AE446*IF(AF446&gt;1,SETTINGS!$B$16,1)*IF(W446&lt;=SETTINGS!$B$14,SETTINGS!$B$15,1)*IF(AU446=1,SETTINGS!$B$21,1),6),0)</f>
        <v>0</v>
      </c>
      <c r="AH446" s="28" t="str">
        <f ca="1">IF(AG446&gt;0,COUNTIFS($Z$2:$Z$601,Z446,$AG$2:$AG$601,"&gt;"&amp;AG446)+COUNTIFS($Z$2:Z446,Z446,$AG$2:AG446,AG446),"")</f>
        <v/>
      </c>
      <c r="AI446" s="28" t="str">
        <f t="shared" ca="1" si="71"/>
        <v/>
      </c>
      <c r="AJ446" s="28" t="str">
        <f t="shared" ca="1" si="72"/>
        <v/>
      </c>
      <c r="AK446" s="28">
        <f>IF(L446=1,IF(COUNTIFS($F$2:F446,F446,$L$2:L446,1)=1,1,0),0)</f>
        <v>0</v>
      </c>
      <c r="AL446" s="28" t="str">
        <f>IF(B446="","",IF(K446="DUPLICATE","Duplicate (removed)",IF(AO446=1,"Scheduled within 24h",IF(M446=1,"Scheduled late",IF(K446="BAD CONTACT","Bad contact details",IF(O446=1,"Stopped / wrong number",IF(N446=1,"Not interested",IF(P446=1,"Partner has no slots",IF(SETTINGS!$B$4&gt;=V446,IF(Q446=0,"Missed deadline: never tried","Missed deadline: tried, not booked"),IF(Q446&gt;=SETTINGS!$B$6,"No reply after max tries","Open"))))))))))</f>
        <v>Duplicate (removed)</v>
      </c>
      <c r="AM446" s="46" t="str">
        <f>IF(M446=1,IF(_xlfn.MINIFS(LOG!$G$2:$G$2001,LOG!$C$2:$C$2001,F446,LOG!$E$2:$E$2001,B446,LOG!$D$2:$D$2001,"*BOOKED")=0,_xlfn.MINIFS(LOG!$G$2:$G$2001,LOG!$C$2:$C$2001,F446,LOG!$E$2:$E$2001,"",LOG!$D$2:$D$2001,"*BOOKED"),IF(_xlfn.MINIFS(LOG!$G$2:$G$2001,LOG!$C$2:$C$2001,F446,LOG!$E$2:$E$2001,"",LOG!$D$2:$D$2001,"*BOOKED")=0,_xlfn.MINIFS(LOG!$G$2:$G$2001,LOG!$C$2:$C$2001,F446,LOG!$E$2:$E$2001,B446,LOG!$D$2:$D$2001,"*BOOKED"),MIN(_xlfn.MINIFS(LOG!$G$2:$G$2001,LOG!$C$2:$C$2001,F446,LOG!$E$2:$E$2001,B446,LOG!$D$2:$D$2001,"*BOOKED"),_xlfn.MINIFS(LOG!$G$2:$G$2001,LOG!$C$2:$C$2001,F446,LOG!$E$2:$E$2001,"",LOG!$D$2:$D$2001,"*BOOKED")))),"")</f>
        <v/>
      </c>
      <c r="AN446" s="28" t="str">
        <f t="shared" si="73"/>
        <v/>
      </c>
      <c r="AO446" s="28">
        <f>IF(AND(M446=1,AN446&lt;&gt;""),IF(AN446&lt;=SETTINGS!$B$5,1,0),0)</f>
        <v>0</v>
      </c>
      <c r="AP446" s="28">
        <f>IF(M446=1,IF(COUNTIFS(LOG!$C$2:$C$2001,F446,LOG!$E$2:$E$2001,B446,LOG!$D$2:$D$2001,"BOOKED")+COUNTIFS(LOG!$C$2:$C$2001,F446,LOG!$E$2:$E$2001,"",LOG!$D$2:$D$2001,"BOOKED")&gt;0,1,0),0)</f>
        <v>0</v>
      </c>
      <c r="AQ446" s="28" t="str">
        <f t="shared" si="74"/>
        <v>Vihaan</v>
      </c>
      <c r="AR446" s="28" t="str">
        <f>IF(AND(AK446=1,K446="OK"),COUNTIFS($AK$2:AK446,1,$K$2:K446,"OK"),"")</f>
        <v/>
      </c>
      <c r="AS446" s="28" t="str">
        <f>IF(L446=1,IFERROR(INDEX(MESSAGES!$J$9:$J$1008,MATCH(F446,MESSAGES!$M$9:$M$1008,0))&amp;"",""),"")</f>
        <v/>
      </c>
      <c r="AT446" s="28" t="str">
        <f>IF(L446=1,IFERROR(INDEX(MESSAGES!$K$9:$K$1008,MATCH(F446,MESSAGES!$M$9:$M$1008,0))&amp;"",""),"")</f>
        <v/>
      </c>
      <c r="AU446" s="28">
        <f t="shared" ca="1" si="75"/>
        <v>0</v>
      </c>
      <c r="AV446" s="28" t="str">
        <f t="shared" si="76"/>
        <v/>
      </c>
    </row>
    <row r="447" spans="1:48" x14ac:dyDescent="0.35">
      <c r="A447" s="28">
        <v>446</v>
      </c>
      <c r="B447" s="28" t="str">
        <f>IF(INPUT!A447="","",TRIM(INPUT!A447))</f>
        <v>Partner 000</v>
      </c>
      <c r="C447" s="28" t="str">
        <f>IF(B447="","",INPUT!C447)</f>
        <v>interviewer1@partner000.example.com</v>
      </c>
      <c r="D447" s="28" t="str">
        <f>IF(B447="","",INPUT!D447)</f>
        <v>Navya N.</v>
      </c>
      <c r="E447" s="28" t="str">
        <f>IF(B447="","",INPUT!E447)</f>
        <v>navya.n373@example.com</v>
      </c>
      <c r="F447" s="43" t="str">
        <f>IF(B447="","",TRIM(INPUT!F447&amp;""))</f>
        <v>9000004856</v>
      </c>
      <c r="G447" s="28" t="str">
        <f>IF(B447="","",INPUT!H447)</f>
        <v>Round1</v>
      </c>
      <c r="H447" s="46">
        <f>IF(B447="","",INPUT!I447)</f>
        <v>46308.830555555563</v>
      </c>
      <c r="I447" s="28" t="str">
        <f>IF(B447="","",IF(INPUT!J447="","None",INPUT!J447))</f>
        <v>Clicked</v>
      </c>
      <c r="J447" s="28" t="str">
        <f t="shared" si="66"/>
        <v>navya.n373@example.com|partner 000|Round1|interviewer1@partner000.example.com</v>
      </c>
      <c r="K447" s="28" t="str">
        <f>IF(B447="","",IF(SUMPRODUCT(($J$2:$J$601=J447)*($H$2:$H$601&lt;H447))+SUMPRODUCT(($J$2:J447=J447)*($H$2:H447=H447))-1&gt;0,"DUPLICATE",IF(AND(ISNUMBER(SEARCH("@",E447)),ISNUMBER(SEARCH(".",E447)),LEN(F447)=10,ISNUMBER(VALUE(F447))),"OK","BAD CONTACT")))</f>
        <v>DUPLICATE</v>
      </c>
      <c r="L447" s="28">
        <f t="shared" si="67"/>
        <v>0</v>
      </c>
      <c r="M447" s="28">
        <f>IF(L447=1,IF(COUNTIFS(LOG!$C$2:$C$2001,F447,LOG!$E$2:$E$2001,B447,LOG!$D$2:$D$2001,"*BOOKED")+COUNTIFS(LOG!$C$2:$C$2001,F447,LOG!$E$2:$E$2001,"",LOG!$D$2:$D$2001,"*BOOKED")&gt;0,1,0),0)</f>
        <v>0</v>
      </c>
      <c r="N447" s="28">
        <f>IF(L447=1,IF(COUNTIFS(LOG!$C$2:$C$2001,F447,LOG!$E$2:$E$2001,B447,LOG!$D$2:$D$2001,"NOT_INTERESTED")+COUNTIFS(LOG!$C$2:$C$2001,F447,LOG!$E$2:$E$2001,"",LOG!$D$2:$D$2001,"NOT_INTERESTED")&gt;0,1,0),0)</f>
        <v>0</v>
      </c>
      <c r="O447" s="28">
        <f>IF(L447=1,IF(COUNTIFS(LOG!$C$2:$C$2001,F447,LOG!$D$2:$D$2001,"STOP")+COUNTIFS(LOG!$C$2:$C$2001,F447,LOG!$D$2:$D$2001,"WRONG_NUMBER")&gt;0,1,IF(ISNUMBER(SEARCH("STOP",AT447)),1,0)),0)</f>
        <v>0</v>
      </c>
      <c r="P447" s="28">
        <f>IF(L447=1,IF(IFERROR(INDEX(PARTNERS!$D$2:$D$88,MATCH(B447,PARTNERS!$A$2:$A$88,0)),"")="NO SLOTS",1,IF(AND(IFERROR(INDEX(PARTNERS!$D$2:$D$88,MATCH(B447,PARTNERS!$A$2:$A$88,0)),"")&lt;&gt;"REOPENED",COUNTIFS(LOG!$E$2:$E$2001,B447,LOG!$D$2:$D$2001,"NO_SLOTS")&gt;0),1,0)),0)</f>
        <v>0</v>
      </c>
      <c r="Q447" s="28">
        <f>IF(L447=1,COUNTIFS(LOG!$C$2:$C$2001,F447,LOG!$H$2:$H$2001,1),0)</f>
        <v>0</v>
      </c>
      <c r="R447" s="46">
        <f>IF(Q447&gt;0,_xlfn.MAXIFS(LOG!$G$2:$G$2001,LOG!$C$2:$C$2001,F447,LOG!$H$2:$H$2001,1),0)</f>
        <v>0</v>
      </c>
      <c r="S447" s="28" t="str">
        <f>IF(Q447&gt;0,IFERROR(INDEX(LOG!$D$2:$D$2001,MATCH(F447&amp;"|"&amp;Q447,LOG!$I$2:$I$2001,0)),""),"")</f>
        <v/>
      </c>
      <c r="T447" s="28">
        <f>IF(S447="",0,IFERROR(VLOOKUP(S447,LISTS!$A$2:$E$10,4,FALSE),0))</f>
        <v>0</v>
      </c>
      <c r="U447" s="46">
        <f t="shared" si="68"/>
        <v>0</v>
      </c>
      <c r="V447" s="46" t="str">
        <f>IF(L447=1,H447+SETTINGS!$B$5/24,"")</f>
        <v/>
      </c>
      <c r="W447" s="28" t="str">
        <f>IF(L447=1,(V447-SETTINGS!$B$4)*24,"")</f>
        <v/>
      </c>
      <c r="X447" s="28">
        <f ca="1">IF(AND(L447=1,K447="OK",M447=0,N447=0,O447=0,P447=0,SETTINGS!$B$4&lt;V447,Q447&lt;SETTINGS!$B$6),1,0)</f>
        <v>0</v>
      </c>
      <c r="Y447" s="28">
        <f ca="1">IF(AND(X447=1,SETTINGS!$B$4&gt;=H447,SETTINGS!$B$4&gt;=U447,ROUND(MOD(SETTINGS!$B$4,1)*1440,0)&gt;=ROUND(SETTINGS!$B$7*1440,0),ROUND(MOD(SETTINGS!$B$4,1)*1440,0)&lt;ROUND(SETTINGS!$B$8*1440,0)),1,0)</f>
        <v>0</v>
      </c>
      <c r="Z447" s="28" t="str">
        <f ca="1">IF(B447="","",IF(ROUND(MOD(SETTINGS!$B$4,1)*1440,0)&lt;ROUND(SETTINGS!$B$11*1440,0),"Ram",IF(ROUND(MOD(SETTINGS!$B$4,1)*1440,0)&gt;=ROUND(SETTINGS!$B$10*1440,0),"Shyam",IF(MOD(IFERROR(VALUE(RIGHT(F447,2)),0),2)=0,"Ram","Shyam"))))</f>
        <v>Shyam</v>
      </c>
      <c r="AA447" s="28">
        <f t="shared" ca="1" si="69"/>
        <v>0</v>
      </c>
      <c r="AB447" s="28">
        <f ca="1">IF(X447=1,COUNTIFS($F$2:F447,F447,$X$2:X447,1),0)</f>
        <v>0</v>
      </c>
      <c r="AC447" s="28" t="str">
        <f>IF(L447=1,IF(IFERROR(INDEX(PARTNERS!$C$2:$C$88,MATCH(B447,PARTNERS!$A$2:$A$88,0)),"")="YES","YES","NO"),"")</f>
        <v/>
      </c>
      <c r="AD447" s="28" t="str">
        <f>IF(L447=1,IFERROR(INDEX(PARTNERS!$B$2:$B$88,MATCH(B447,PARTNERS!$A$2:$A$88,0)),""),"")</f>
        <v/>
      </c>
      <c r="AE447" s="28">
        <f ca="1">IF(X447=1,IFERROR(INDEX(SETTINGS!$B$34:$D$36,MATCH(I447,SETTINGS!$A$34:$A$36,0),MIN(Q447,2)+1),SETTINGS!$B$36),0)</f>
        <v>0</v>
      </c>
      <c r="AF447" s="28">
        <f t="shared" si="70"/>
        <v>0</v>
      </c>
      <c r="AG447" s="28">
        <f ca="1">IF(AND(Y447=1,AB447=1),ROUND(AA447*AE447*IF(AF447&gt;1,SETTINGS!$B$16,1)*IF(W447&lt;=SETTINGS!$B$14,SETTINGS!$B$15,1)*IF(AU447=1,SETTINGS!$B$21,1),6),0)</f>
        <v>0</v>
      </c>
      <c r="AH447" s="28" t="str">
        <f ca="1">IF(AG447&gt;0,COUNTIFS($Z$2:$Z$601,Z447,$AG$2:$AG$601,"&gt;"&amp;AG447)+COUNTIFS($Z$2:Z447,Z447,$AG$2:AG447,AG447),"")</f>
        <v/>
      </c>
      <c r="AI447" s="28" t="str">
        <f t="shared" ca="1" si="71"/>
        <v/>
      </c>
      <c r="AJ447" s="28" t="str">
        <f t="shared" ca="1" si="72"/>
        <v/>
      </c>
      <c r="AK447" s="28">
        <f>IF(L447=1,IF(COUNTIFS($F$2:F447,F447,$L$2:L447,1)=1,1,0),0)</f>
        <v>0</v>
      </c>
      <c r="AL447" s="28" t="str">
        <f>IF(B447="","",IF(K447="DUPLICATE","Duplicate (removed)",IF(AO447=1,"Scheduled within 24h",IF(M447=1,"Scheduled late",IF(K447="BAD CONTACT","Bad contact details",IF(O447=1,"Stopped / wrong number",IF(N447=1,"Not interested",IF(P447=1,"Partner has no slots",IF(SETTINGS!$B$4&gt;=V447,IF(Q447=0,"Missed deadline: never tried","Missed deadline: tried, not booked"),IF(Q447&gt;=SETTINGS!$B$6,"No reply after max tries","Open"))))))))))</f>
        <v>Duplicate (removed)</v>
      </c>
      <c r="AM447" s="46" t="str">
        <f>IF(M447=1,IF(_xlfn.MINIFS(LOG!$G$2:$G$2001,LOG!$C$2:$C$2001,F447,LOG!$E$2:$E$2001,B447,LOG!$D$2:$D$2001,"*BOOKED")=0,_xlfn.MINIFS(LOG!$G$2:$G$2001,LOG!$C$2:$C$2001,F447,LOG!$E$2:$E$2001,"",LOG!$D$2:$D$2001,"*BOOKED"),IF(_xlfn.MINIFS(LOG!$G$2:$G$2001,LOG!$C$2:$C$2001,F447,LOG!$E$2:$E$2001,"",LOG!$D$2:$D$2001,"*BOOKED")=0,_xlfn.MINIFS(LOG!$G$2:$G$2001,LOG!$C$2:$C$2001,F447,LOG!$E$2:$E$2001,B447,LOG!$D$2:$D$2001,"*BOOKED"),MIN(_xlfn.MINIFS(LOG!$G$2:$G$2001,LOG!$C$2:$C$2001,F447,LOG!$E$2:$E$2001,B447,LOG!$D$2:$D$2001,"*BOOKED"),_xlfn.MINIFS(LOG!$G$2:$G$2001,LOG!$C$2:$C$2001,F447,LOG!$E$2:$E$2001,"",LOG!$D$2:$D$2001,"*BOOKED")))),"")</f>
        <v/>
      </c>
      <c r="AN447" s="28" t="str">
        <f t="shared" si="73"/>
        <v/>
      </c>
      <c r="AO447" s="28">
        <f>IF(AND(M447=1,AN447&lt;&gt;""),IF(AN447&lt;=SETTINGS!$B$5,1,0),0)</f>
        <v>0</v>
      </c>
      <c r="AP447" s="28">
        <f>IF(M447=1,IF(COUNTIFS(LOG!$C$2:$C$2001,F447,LOG!$E$2:$E$2001,B447,LOG!$D$2:$D$2001,"BOOKED")+COUNTIFS(LOG!$C$2:$C$2001,F447,LOG!$E$2:$E$2001,"",LOG!$D$2:$D$2001,"BOOKED")&gt;0,1,0),0)</f>
        <v>0</v>
      </c>
      <c r="AQ447" s="28" t="str">
        <f t="shared" si="74"/>
        <v>Navya</v>
      </c>
      <c r="AR447" s="28" t="str">
        <f>IF(AND(AK447=1,K447="OK"),COUNTIFS($AK$2:AK447,1,$K$2:K447,"OK"),"")</f>
        <v/>
      </c>
      <c r="AS447" s="28" t="str">
        <f>IF(L447=1,IFERROR(INDEX(MESSAGES!$J$9:$J$1008,MATCH(F447,MESSAGES!$M$9:$M$1008,0))&amp;"",""),"")</f>
        <v/>
      </c>
      <c r="AT447" s="28" t="str">
        <f>IF(L447=1,IFERROR(INDEX(MESSAGES!$K$9:$K$1008,MATCH(F447,MESSAGES!$M$9:$M$1008,0))&amp;"",""),"")</f>
        <v/>
      </c>
      <c r="AU447" s="28">
        <f t="shared" ca="1" si="75"/>
        <v>0</v>
      </c>
      <c r="AV447" s="28" t="str">
        <f t="shared" si="76"/>
        <v/>
      </c>
    </row>
    <row r="448" spans="1:48" x14ac:dyDescent="0.35">
      <c r="A448" s="28">
        <v>447</v>
      </c>
      <c r="B448" s="28" t="str">
        <f>IF(INPUT!A448="","",TRIM(INPUT!A448))</f>
        <v>Partner 037</v>
      </c>
      <c r="C448" s="28" t="str">
        <f>IF(B448="","",INPUT!C448)</f>
        <v>interviewer1@partner037.example.com</v>
      </c>
      <c r="D448" s="28" t="str">
        <f>IF(B448="","",INPUT!D448)</f>
        <v>Nisha K.</v>
      </c>
      <c r="E448" s="28" t="str">
        <f>IF(B448="","",INPUT!E448)</f>
        <v>nisha.k297@example.com</v>
      </c>
      <c r="F448" s="43" t="str">
        <f>IF(B448="","",TRIM(INPUT!F448&amp;""))</f>
        <v>9000003868</v>
      </c>
      <c r="G448" s="28" t="str">
        <f>IF(B448="","",INPUT!H448)</f>
        <v>Round1</v>
      </c>
      <c r="H448" s="46">
        <f>IF(B448="","",INPUT!I448)</f>
        <v>46308.82708333333</v>
      </c>
      <c r="I448" s="28" t="str">
        <f>IF(B448="","",IF(INPUT!J448="","None",INPUT!J448))</f>
        <v>Clicked</v>
      </c>
      <c r="J448" s="28" t="str">
        <f t="shared" si="66"/>
        <v>nisha.k297@example.com|partner 037|Round1|interviewer1@partner037.example.com</v>
      </c>
      <c r="K448" s="28" t="str">
        <f>IF(B448="","",IF(SUMPRODUCT(($J$2:$J$601=J448)*($H$2:$H$601&lt;H448))+SUMPRODUCT(($J$2:J448=J448)*($H$2:H448=H448))-1&gt;0,"DUPLICATE",IF(AND(ISNUMBER(SEARCH("@",E448)),ISNUMBER(SEARCH(".",E448)),LEN(F448)=10,ISNUMBER(VALUE(F448))),"OK","BAD CONTACT")))</f>
        <v>OK</v>
      </c>
      <c r="L448" s="28">
        <f t="shared" si="67"/>
        <v>1</v>
      </c>
      <c r="M448" s="28">
        <f>IF(L448=1,IF(COUNTIFS(LOG!$C$2:$C$2001,F448,LOG!$E$2:$E$2001,B448,LOG!$D$2:$D$2001,"*BOOKED")+COUNTIFS(LOG!$C$2:$C$2001,F448,LOG!$E$2:$E$2001,"",LOG!$D$2:$D$2001,"*BOOKED")&gt;0,1,0),0)</f>
        <v>1</v>
      </c>
      <c r="N448" s="28">
        <f>IF(L448=1,IF(COUNTIFS(LOG!$C$2:$C$2001,F448,LOG!$E$2:$E$2001,B448,LOG!$D$2:$D$2001,"NOT_INTERESTED")+COUNTIFS(LOG!$C$2:$C$2001,F448,LOG!$E$2:$E$2001,"",LOG!$D$2:$D$2001,"NOT_INTERESTED")&gt;0,1,0),0)</f>
        <v>0</v>
      </c>
      <c r="O448" s="28">
        <f>IF(L448=1,IF(COUNTIFS(LOG!$C$2:$C$2001,F448,LOG!$D$2:$D$2001,"STOP")+COUNTIFS(LOG!$C$2:$C$2001,F448,LOG!$D$2:$D$2001,"WRONG_NUMBER")&gt;0,1,IF(ISNUMBER(SEARCH("STOP",AT448)),1,0)),0)</f>
        <v>0</v>
      </c>
      <c r="P448" s="28">
        <f>IF(L448=1,IF(IFERROR(INDEX(PARTNERS!$D$2:$D$88,MATCH(B448,PARTNERS!$A$2:$A$88,0)),"")="NO SLOTS",1,IF(AND(IFERROR(INDEX(PARTNERS!$D$2:$D$88,MATCH(B448,PARTNERS!$A$2:$A$88,0)),"")&lt;&gt;"REOPENED",COUNTIFS(LOG!$E$2:$E$2001,B448,LOG!$D$2:$D$2001,"NO_SLOTS")&gt;0),1,0)),0)</f>
        <v>0</v>
      </c>
      <c r="Q448" s="28">
        <f>IF(L448=1,COUNTIFS(LOG!$C$2:$C$2001,F448,LOG!$H$2:$H$2001,1),0)</f>
        <v>0</v>
      </c>
      <c r="R448" s="46">
        <f>IF(Q448&gt;0,_xlfn.MAXIFS(LOG!$G$2:$G$2001,LOG!$C$2:$C$2001,F448,LOG!$H$2:$H$2001,1),0)</f>
        <v>0</v>
      </c>
      <c r="S448" s="28" t="str">
        <f>IF(Q448&gt;0,IFERROR(INDEX(LOG!$D$2:$D$2001,MATCH(F448&amp;"|"&amp;Q448,LOG!$I$2:$I$2001,0)),""),"")</f>
        <v/>
      </c>
      <c r="T448" s="28">
        <f>IF(S448="",0,IFERROR(VLOOKUP(S448,LISTS!$A$2:$E$10,4,FALSE),0))</f>
        <v>0</v>
      </c>
      <c r="U448" s="46">
        <f t="shared" si="68"/>
        <v>0</v>
      </c>
      <c r="V448" s="46">
        <f>IF(L448=1,H448+SETTINGS!$B$5/24,"")</f>
        <v>46309.82708333333</v>
      </c>
      <c r="W448" s="28">
        <f ca="1">IF(L448=1,(V448-SETTINGS!$B$4)*24,"")</f>
        <v>-1.6666666720993817E-2</v>
      </c>
      <c r="X448" s="28">
        <f ca="1">IF(AND(L448=1,K448="OK",M448=0,N448=0,O448=0,P448=0,SETTINGS!$B$4&lt;V448,Q448&lt;SETTINGS!$B$6),1,0)</f>
        <v>0</v>
      </c>
      <c r="Y448" s="28">
        <f ca="1">IF(AND(X448=1,SETTINGS!$B$4&gt;=H448,SETTINGS!$B$4&gt;=U448,ROUND(MOD(SETTINGS!$B$4,1)*1440,0)&gt;=ROUND(SETTINGS!$B$7*1440,0),ROUND(MOD(SETTINGS!$B$4,1)*1440,0)&lt;ROUND(SETTINGS!$B$8*1440,0)),1,0)</f>
        <v>0</v>
      </c>
      <c r="Z448" s="28" t="str">
        <f ca="1">IF(B448="","",IF(ROUND(MOD(SETTINGS!$B$4,1)*1440,0)&lt;ROUND(SETTINGS!$B$11*1440,0),"Ram",IF(ROUND(MOD(SETTINGS!$B$4,1)*1440,0)&gt;=ROUND(SETTINGS!$B$10*1440,0),"Shyam",IF(MOD(IFERROR(VALUE(RIGHT(F448,2)),0),2)=0,"Ram","Shyam"))))</f>
        <v>Shyam</v>
      </c>
      <c r="AA448" s="28">
        <f t="shared" ca="1" si="69"/>
        <v>0</v>
      </c>
      <c r="AB448" s="28">
        <f ca="1">IF(X448=1,COUNTIFS($F$2:F448,F448,$X$2:X448,1),0)</f>
        <v>0</v>
      </c>
      <c r="AC448" s="28" t="str">
        <f>IF(L448=1,IF(IFERROR(INDEX(PARTNERS!$C$2:$C$88,MATCH(B448,PARTNERS!$A$2:$A$88,0)),"")="YES","YES","NO"),"")</f>
        <v>YES</v>
      </c>
      <c r="AD448" s="28" t="str">
        <f>IF(L448=1,IFERROR(INDEX(PARTNERS!$B$2:$B$88,MATCH(B448,PARTNERS!$A$2:$A$88,0)),""),"")</f>
        <v>https://calendly.com/partner037/interview</v>
      </c>
      <c r="AE448" s="28">
        <f ca="1">IF(X448=1,IFERROR(INDEX(SETTINGS!$B$34:$D$36,MATCH(I448,SETTINGS!$A$34:$A$36,0),MIN(Q448,2)+1),SETTINGS!$B$36),0)</f>
        <v>0</v>
      </c>
      <c r="AF448" s="28">
        <f t="shared" si="70"/>
        <v>1</v>
      </c>
      <c r="AG448" s="28">
        <f ca="1">IF(AND(Y448=1,AB448=1),ROUND(AA448*AE448*IF(AF448&gt;1,SETTINGS!$B$16,1)*IF(W448&lt;=SETTINGS!$B$14,SETTINGS!$B$15,1)*IF(AU448=1,SETTINGS!$B$21,1),6),0)</f>
        <v>0</v>
      </c>
      <c r="AH448" s="28" t="str">
        <f ca="1">IF(AG448&gt;0,COUNTIFS($Z$2:$Z$601,Z448,$AG$2:$AG$601,"&gt;"&amp;AG448)+COUNTIFS($Z$2:Z448,Z448,$AG$2:AG448,AG448),"")</f>
        <v/>
      </c>
      <c r="AI448" s="28" t="str">
        <f t="shared" ca="1" si="71"/>
        <v/>
      </c>
      <c r="AJ448" s="28" t="str">
        <f t="shared" ca="1" si="72"/>
        <v/>
      </c>
      <c r="AK448" s="28">
        <f>IF(L448=1,IF(COUNTIFS($F$2:F448,F448,$L$2:L448,1)=1,1,0),0)</f>
        <v>1</v>
      </c>
      <c r="AL448" s="28" t="str">
        <f>IF(B448="","",IF(K448="DUPLICATE","Duplicate (removed)",IF(AO448=1,"Scheduled within 24h",IF(M448=1,"Scheduled late",IF(K448="BAD CONTACT","Bad contact details",IF(O448=1,"Stopped / wrong number",IF(N448=1,"Not interested",IF(P448=1,"Partner has no slots",IF(SETTINGS!$B$4&gt;=V448,IF(Q448=0,"Missed deadline: never tried","Missed deadline: tried, not booked"),IF(Q448&gt;=SETTINGS!$B$6,"No reply after max tries","Open"))))))))))</f>
        <v>Scheduled within 24h</v>
      </c>
      <c r="AM448" s="46">
        <f>IF(M448=1,IF(_xlfn.MINIFS(LOG!$G$2:$G$2001,LOG!$C$2:$C$2001,F448,LOG!$E$2:$E$2001,B448,LOG!$D$2:$D$2001,"*BOOKED")=0,_xlfn.MINIFS(LOG!$G$2:$G$2001,LOG!$C$2:$C$2001,F448,LOG!$E$2:$E$2001,"",LOG!$D$2:$D$2001,"*BOOKED"),IF(_xlfn.MINIFS(LOG!$G$2:$G$2001,LOG!$C$2:$C$2001,F448,LOG!$E$2:$E$2001,"",LOG!$D$2:$D$2001,"*BOOKED")=0,_xlfn.MINIFS(LOG!$G$2:$G$2001,LOG!$C$2:$C$2001,F448,LOG!$E$2:$E$2001,B448,LOG!$D$2:$D$2001,"*BOOKED"),MIN(_xlfn.MINIFS(LOG!$G$2:$G$2001,LOG!$C$2:$C$2001,F448,LOG!$E$2:$E$2001,B448,LOG!$D$2:$D$2001,"*BOOKED"),_xlfn.MINIFS(LOG!$G$2:$G$2001,LOG!$C$2:$C$2001,F448,LOG!$E$2:$E$2001,"",LOG!$D$2:$D$2001,"*BOOKED")))),"")</f>
        <v>46308.956166919568</v>
      </c>
      <c r="AN448" s="28">
        <f t="shared" si="73"/>
        <v>3.0980060697183944</v>
      </c>
      <c r="AO448" s="28">
        <f>IF(AND(M448=1,AN448&lt;&gt;""),IF(AN448&lt;=SETTINGS!$B$5,1,0),0)</f>
        <v>1</v>
      </c>
      <c r="AP448" s="28">
        <f>IF(M448=1,IF(COUNTIFS(LOG!$C$2:$C$2001,F448,LOG!$E$2:$E$2001,B448,LOG!$D$2:$D$2001,"BOOKED")+COUNTIFS(LOG!$C$2:$C$2001,F448,LOG!$E$2:$E$2001,"",LOG!$D$2:$D$2001,"BOOKED")&gt;0,1,0),0)</f>
        <v>0</v>
      </c>
      <c r="AQ448" s="28" t="str">
        <f t="shared" si="74"/>
        <v>Nisha</v>
      </c>
      <c r="AR448" s="28">
        <f>IF(AND(AK448=1,K448="OK"),COUNTIFS($AK$2:AK448,1,$K$2:K448,"OK"),"")</f>
        <v>368</v>
      </c>
      <c r="AS448" s="28" t="str">
        <f>IF(L448=1,IFERROR(INDEX(MESSAGES!$J$9:$J$1008,MATCH(F448,MESSAGES!$M$9:$M$1008,0))&amp;"",""),"")</f>
        <v/>
      </c>
      <c r="AT448" s="28" t="str">
        <f>IF(L448=1,IFERROR(INDEX(MESSAGES!$K$9:$K$1008,MATCH(F448,MESSAGES!$M$9:$M$1008,0))&amp;"",""),"")</f>
        <v/>
      </c>
      <c r="AU448" s="28">
        <f t="shared" ca="1" si="75"/>
        <v>0</v>
      </c>
      <c r="AV448" s="28" t="str">
        <f t="shared" si="76"/>
        <v>SEND</v>
      </c>
    </row>
    <row r="449" spans="1:48" x14ac:dyDescent="0.35">
      <c r="A449" s="28">
        <v>448</v>
      </c>
      <c r="B449" s="28" t="str">
        <f>IF(INPUT!A449="","",TRIM(INPUT!A449))</f>
        <v>Partner 003</v>
      </c>
      <c r="C449" s="28" t="str">
        <f>IF(B449="","",INPUT!C449)</f>
        <v>interviewer0@partner003.example.com</v>
      </c>
      <c r="D449" s="28" t="str">
        <f>IF(B449="","",INPUT!D449)</f>
        <v>Nisha N.</v>
      </c>
      <c r="E449" s="28" t="str">
        <f>IF(B449="","",INPUT!E449)</f>
        <v>nisha.n387@example.com</v>
      </c>
      <c r="F449" s="43" t="str">
        <f>IF(B449="","",TRIM(INPUT!F449&amp;""))</f>
        <v>9000005038</v>
      </c>
      <c r="G449" s="28" t="str">
        <f>IF(B449="","",INPUT!H449)</f>
        <v>Round3</v>
      </c>
      <c r="H449" s="46">
        <f>IF(B449="","",INPUT!I449)</f>
        <v>46308.82708333333</v>
      </c>
      <c r="I449" s="28" t="str">
        <f>IF(B449="","",IF(INPUT!J449="","None",INPUT!J449))</f>
        <v>Opened</v>
      </c>
      <c r="J449" s="28" t="str">
        <f t="shared" si="66"/>
        <v>nisha.n387@example.com|partner 003|Round3|interviewer0@partner003.example.com</v>
      </c>
      <c r="K449" s="28" t="str">
        <f>IF(B449="","",IF(SUMPRODUCT(($J$2:$J$601=J449)*($H$2:$H$601&lt;H449))+SUMPRODUCT(($J$2:J449=J449)*($H$2:H449=H449))-1&gt;0,"DUPLICATE",IF(AND(ISNUMBER(SEARCH("@",E449)),ISNUMBER(SEARCH(".",E449)),LEN(F449)=10,ISNUMBER(VALUE(F449))),"OK","BAD CONTACT")))</f>
        <v>OK</v>
      </c>
      <c r="L449" s="28">
        <f t="shared" si="67"/>
        <v>1</v>
      </c>
      <c r="M449" s="28">
        <f>IF(L449=1,IF(COUNTIFS(LOG!$C$2:$C$2001,F449,LOG!$E$2:$E$2001,B449,LOG!$D$2:$D$2001,"*BOOKED")+COUNTIFS(LOG!$C$2:$C$2001,F449,LOG!$E$2:$E$2001,"",LOG!$D$2:$D$2001,"*BOOKED")&gt;0,1,0),0)</f>
        <v>0</v>
      </c>
      <c r="N449" s="28">
        <f>IF(L449=1,IF(COUNTIFS(LOG!$C$2:$C$2001,F449,LOG!$E$2:$E$2001,B449,LOG!$D$2:$D$2001,"NOT_INTERESTED")+COUNTIFS(LOG!$C$2:$C$2001,F449,LOG!$E$2:$E$2001,"",LOG!$D$2:$D$2001,"NOT_INTERESTED")&gt;0,1,0),0)</f>
        <v>0</v>
      </c>
      <c r="O449" s="28">
        <f>IF(L449=1,IF(COUNTIFS(LOG!$C$2:$C$2001,F449,LOG!$D$2:$D$2001,"STOP")+COUNTIFS(LOG!$C$2:$C$2001,F449,LOG!$D$2:$D$2001,"WRONG_NUMBER")&gt;0,1,IF(ISNUMBER(SEARCH("STOP",AT449)),1,0)),0)</f>
        <v>0</v>
      </c>
      <c r="P449" s="28">
        <f>IF(L449=1,IF(IFERROR(INDEX(PARTNERS!$D$2:$D$88,MATCH(B449,PARTNERS!$A$2:$A$88,0)),"")="NO SLOTS",1,IF(AND(IFERROR(INDEX(PARTNERS!$D$2:$D$88,MATCH(B449,PARTNERS!$A$2:$A$88,0)),"")&lt;&gt;"REOPENED",COUNTIFS(LOG!$E$2:$E$2001,B449,LOG!$D$2:$D$2001,"NO_SLOTS")&gt;0),1,0)),0)</f>
        <v>0</v>
      </c>
      <c r="Q449" s="28">
        <f>IF(L449=1,COUNTIFS(LOG!$C$2:$C$2001,F449,LOG!$H$2:$H$2001,1),0)</f>
        <v>3</v>
      </c>
      <c r="R449" s="46">
        <f>IF(Q449&gt;0,_xlfn.MAXIFS(LOG!$G$2:$G$2001,LOG!$C$2:$C$2001,F449,LOG!$H$2:$H$2001,1),0)</f>
        <v>46309.721806097397</v>
      </c>
      <c r="S449" s="28" t="str">
        <f>IF(Q449&gt;0,IFERROR(INDEX(LOG!$D$2:$D$2001,MATCH(F449&amp;"|"&amp;Q449,LOG!$I$2:$I$2001,0)),""),"")</f>
        <v>NO_ANSWER</v>
      </c>
      <c r="T449" s="28">
        <f>IF(S449="",0,IFERROR(VLOOKUP(S449,LISTS!$A$2:$E$10,4,FALSE),0))</f>
        <v>120</v>
      </c>
      <c r="U449" s="46">
        <f t="shared" si="68"/>
        <v>46309.805139430733</v>
      </c>
      <c r="V449" s="46">
        <f>IF(L449=1,H449+SETTINGS!$B$5/24,"")</f>
        <v>46309.82708333333</v>
      </c>
      <c r="W449" s="28">
        <f ca="1">IF(L449=1,(V449-SETTINGS!$B$4)*24,"")</f>
        <v>-1.6666666720993817E-2</v>
      </c>
      <c r="X449" s="28">
        <f ca="1">IF(AND(L449=1,K449="OK",M449=0,N449=0,O449=0,P449=0,SETTINGS!$B$4&lt;V449,Q449&lt;SETTINGS!$B$6),1,0)</f>
        <v>0</v>
      </c>
      <c r="Y449" s="28">
        <f ca="1">IF(AND(X449=1,SETTINGS!$B$4&gt;=H449,SETTINGS!$B$4&gt;=U449,ROUND(MOD(SETTINGS!$B$4,1)*1440,0)&gt;=ROUND(SETTINGS!$B$7*1440,0),ROUND(MOD(SETTINGS!$B$4,1)*1440,0)&lt;ROUND(SETTINGS!$B$8*1440,0)),1,0)</f>
        <v>0</v>
      </c>
      <c r="Z449" s="28" t="str">
        <f ca="1">IF(B449="","",IF(ROUND(MOD(SETTINGS!$B$4,1)*1440,0)&lt;ROUND(SETTINGS!$B$11*1440,0),"Ram",IF(ROUND(MOD(SETTINGS!$B$4,1)*1440,0)&gt;=ROUND(SETTINGS!$B$10*1440,0),"Shyam",IF(MOD(IFERROR(VALUE(RIGHT(F449,2)),0),2)=0,"Ram","Shyam"))))</f>
        <v>Shyam</v>
      </c>
      <c r="AA449" s="28">
        <f t="shared" ca="1" si="69"/>
        <v>0</v>
      </c>
      <c r="AB449" s="28">
        <f ca="1">IF(X449=1,COUNTIFS($F$2:F449,F449,$X$2:X449,1),0)</f>
        <v>0</v>
      </c>
      <c r="AC449" s="28" t="str">
        <f>IF(L449=1,IF(IFERROR(INDEX(PARTNERS!$C$2:$C$88,MATCH(B449,PARTNERS!$A$2:$A$88,0)),"")="YES","YES","NO"),"")</f>
        <v>NO</v>
      </c>
      <c r="AD449" s="28" t="str">
        <f>IF(L449=1,IFERROR(INDEX(PARTNERS!$B$2:$B$88,MATCH(B449,PARTNERS!$A$2:$A$88,0)),""),"")</f>
        <v>https://calendly.com/partner003/interview</v>
      </c>
      <c r="AE449" s="28">
        <f ca="1">IF(X449=1,IFERROR(INDEX(SETTINGS!$B$34:$D$36,MATCH(I449,SETTINGS!$A$34:$A$36,0),MIN(Q449,2)+1),SETTINGS!$B$36),0)</f>
        <v>0</v>
      </c>
      <c r="AF449" s="28">
        <f t="shared" si="70"/>
        <v>3</v>
      </c>
      <c r="AG449" s="28">
        <f ca="1">IF(AND(Y449=1,AB449=1),ROUND(AA449*AE449*IF(AF449&gt;1,SETTINGS!$B$16,1)*IF(W449&lt;=SETTINGS!$B$14,SETTINGS!$B$15,1)*IF(AU449=1,SETTINGS!$B$21,1),6),0)</f>
        <v>0</v>
      </c>
      <c r="AH449" s="28" t="str">
        <f ca="1">IF(AG449&gt;0,COUNTIFS($Z$2:$Z$601,Z449,$AG$2:$AG$601,"&gt;"&amp;AG449)+COUNTIFS($Z$2:Z449,Z449,$AG$2:AG449,AG449),"")</f>
        <v/>
      </c>
      <c r="AI449" s="28" t="str">
        <f t="shared" ca="1" si="71"/>
        <v/>
      </c>
      <c r="AJ449" s="28" t="str">
        <f t="shared" ca="1" si="72"/>
        <v/>
      </c>
      <c r="AK449" s="28">
        <f>IF(L449=1,IF(COUNTIFS($F$2:F449,F449,$L$2:L449,1)=1,1,0),0)</f>
        <v>0</v>
      </c>
      <c r="AL449" s="28" t="str">
        <f ca="1">IF(B449="","",IF(K449="DUPLICATE","Duplicate (removed)",IF(AO449=1,"Scheduled within 24h",IF(M449=1,"Scheduled late",IF(K449="BAD CONTACT","Bad contact details",IF(O449=1,"Stopped / wrong number",IF(N449=1,"Not interested",IF(P449=1,"Partner has no slots",IF(SETTINGS!$B$4&gt;=V449,IF(Q449=0,"Missed deadline: never tried","Missed deadline: tried, not booked"),IF(Q449&gt;=SETTINGS!$B$6,"No reply after max tries","Open"))))))))))</f>
        <v>Missed deadline: tried, not booked</v>
      </c>
      <c r="AM449" s="46" t="str">
        <f>IF(M449=1,IF(_xlfn.MINIFS(LOG!$G$2:$G$2001,LOG!$C$2:$C$2001,F449,LOG!$E$2:$E$2001,B449,LOG!$D$2:$D$2001,"*BOOKED")=0,_xlfn.MINIFS(LOG!$G$2:$G$2001,LOG!$C$2:$C$2001,F449,LOG!$E$2:$E$2001,"",LOG!$D$2:$D$2001,"*BOOKED"),IF(_xlfn.MINIFS(LOG!$G$2:$G$2001,LOG!$C$2:$C$2001,F449,LOG!$E$2:$E$2001,"",LOG!$D$2:$D$2001,"*BOOKED")=0,_xlfn.MINIFS(LOG!$G$2:$G$2001,LOG!$C$2:$C$2001,F449,LOG!$E$2:$E$2001,B449,LOG!$D$2:$D$2001,"*BOOKED"),MIN(_xlfn.MINIFS(LOG!$G$2:$G$2001,LOG!$C$2:$C$2001,F449,LOG!$E$2:$E$2001,B449,LOG!$D$2:$D$2001,"*BOOKED"),_xlfn.MINIFS(LOG!$G$2:$G$2001,LOG!$C$2:$C$2001,F449,LOG!$E$2:$E$2001,"",LOG!$D$2:$D$2001,"*BOOKED")))),"")</f>
        <v/>
      </c>
      <c r="AN449" s="28" t="str">
        <f t="shared" si="73"/>
        <v/>
      </c>
      <c r="AO449" s="28">
        <f>IF(AND(M449=1,AN449&lt;&gt;""),IF(AN449&lt;=SETTINGS!$B$5,1,0),0)</f>
        <v>0</v>
      </c>
      <c r="AP449" s="28">
        <f>IF(M449=1,IF(COUNTIFS(LOG!$C$2:$C$2001,F449,LOG!$E$2:$E$2001,B449,LOG!$D$2:$D$2001,"BOOKED")+COUNTIFS(LOG!$C$2:$C$2001,F449,LOG!$E$2:$E$2001,"",LOG!$D$2:$D$2001,"BOOKED")&gt;0,1,0),0)</f>
        <v>0</v>
      </c>
      <c r="AQ449" s="28" t="str">
        <f t="shared" si="74"/>
        <v>Nisha</v>
      </c>
      <c r="AR449" s="28" t="str">
        <f>IF(AND(AK449=1,K449="OK"),COUNTIFS($AK$2:AK449,1,$K$2:K449,"OK"),"")</f>
        <v/>
      </c>
      <c r="AS449" s="28" t="str">
        <f>IF(L449=1,IFERROR(INDEX(MESSAGES!$J$9:$J$1008,MATCH(F449,MESSAGES!$M$9:$M$1008,0))&amp;"",""),"")</f>
        <v/>
      </c>
      <c r="AT449" s="28" t="str">
        <f>IF(L449=1,IFERROR(INDEX(MESSAGES!$K$9:$K$1008,MATCH(F449,MESSAGES!$M$9:$M$1008,0))&amp;"",""),"")</f>
        <v/>
      </c>
      <c r="AU449" s="28">
        <f t="shared" ca="1" si="75"/>
        <v>0</v>
      </c>
      <c r="AV449" s="28" t="str">
        <f t="shared" si="76"/>
        <v>HOLD</v>
      </c>
    </row>
    <row r="450" spans="1:48" x14ac:dyDescent="0.35">
      <c r="A450" s="28">
        <v>449</v>
      </c>
      <c r="B450" s="28" t="str">
        <f>IF(INPUT!A450="","",TRIM(INPUT!A450))</f>
        <v>Partner 002</v>
      </c>
      <c r="C450" s="28" t="str">
        <f>IF(B450="","",INPUT!C450)</f>
        <v>interviewer1@partner002.example.com</v>
      </c>
      <c r="D450" s="28" t="str">
        <f>IF(B450="","",INPUT!D450)</f>
        <v>Kavya N.</v>
      </c>
      <c r="E450" s="28" t="str">
        <f>IF(B450="","",INPUT!E450)</f>
        <v>kavya.n389@example.com</v>
      </c>
      <c r="F450" s="43" t="str">
        <f>IF(B450="","",TRIM(INPUT!F450&amp;""))</f>
        <v>9000005064</v>
      </c>
      <c r="G450" s="28" t="str">
        <f>IF(B450="","",INPUT!H450)</f>
        <v>Round1</v>
      </c>
      <c r="H450" s="46">
        <f>IF(B450="","",INPUT!I450)</f>
        <v>46308.82708333333</v>
      </c>
      <c r="I450" s="28" t="str">
        <f>IF(B450="","",IF(INPUT!J450="","None",INPUT!J450))</f>
        <v>None</v>
      </c>
      <c r="J450" s="28" t="str">
        <f t="shared" ref="J450:J513" si="77">IF(B450="","",LOWER(E450)&amp;"|"&amp;LOWER(B450)&amp;"|"&amp;G450&amp;"|"&amp;LOWER(C450))</f>
        <v>kavya.n389@example.com|partner 002|Round1|interviewer1@partner002.example.com</v>
      </c>
      <c r="K450" s="28" t="str">
        <f>IF(B450="","",IF(SUMPRODUCT(($J$2:$J$601=J450)*($H$2:$H$601&lt;H450))+SUMPRODUCT(($J$2:J450=J450)*($H$2:H450=H450))-1&gt;0,"DUPLICATE",IF(AND(ISNUMBER(SEARCH("@",E450)),ISNUMBER(SEARCH(".",E450)),LEN(F450)=10,ISNUMBER(VALUE(F450))),"OK","BAD CONTACT")))</f>
        <v>OK</v>
      </c>
      <c r="L450" s="28">
        <f t="shared" ref="L450:L513" si="78">IF(B450="",0,IF(K450="DUPLICATE",0,1))</f>
        <v>1</v>
      </c>
      <c r="M450" s="28">
        <f>IF(L450=1,IF(COUNTIFS(LOG!$C$2:$C$2001,F450,LOG!$E$2:$E$2001,B450,LOG!$D$2:$D$2001,"*BOOKED")+COUNTIFS(LOG!$C$2:$C$2001,F450,LOG!$E$2:$E$2001,"",LOG!$D$2:$D$2001,"*BOOKED")&gt;0,1,0),0)</f>
        <v>0</v>
      </c>
      <c r="N450" s="28">
        <f>IF(L450=1,IF(COUNTIFS(LOG!$C$2:$C$2001,F450,LOG!$E$2:$E$2001,B450,LOG!$D$2:$D$2001,"NOT_INTERESTED")+COUNTIFS(LOG!$C$2:$C$2001,F450,LOG!$E$2:$E$2001,"",LOG!$D$2:$D$2001,"NOT_INTERESTED")&gt;0,1,0),0)</f>
        <v>0</v>
      </c>
      <c r="O450" s="28">
        <f>IF(L450=1,IF(COUNTIFS(LOG!$C$2:$C$2001,F450,LOG!$D$2:$D$2001,"STOP")+COUNTIFS(LOG!$C$2:$C$2001,F450,LOG!$D$2:$D$2001,"WRONG_NUMBER")&gt;0,1,IF(ISNUMBER(SEARCH("STOP",AT450)),1,0)),0)</f>
        <v>0</v>
      </c>
      <c r="P450" s="28">
        <f>IF(L450=1,IF(IFERROR(INDEX(PARTNERS!$D$2:$D$88,MATCH(B450,PARTNERS!$A$2:$A$88,0)),"")="NO SLOTS",1,IF(AND(IFERROR(INDEX(PARTNERS!$D$2:$D$88,MATCH(B450,PARTNERS!$A$2:$A$88,0)),"")&lt;&gt;"REOPENED",COUNTIFS(LOG!$E$2:$E$2001,B450,LOG!$D$2:$D$2001,"NO_SLOTS")&gt;0),1,0)),0)</f>
        <v>0</v>
      </c>
      <c r="Q450" s="28">
        <f>IF(L450=1,COUNTIFS(LOG!$C$2:$C$2001,F450,LOG!$H$2:$H$2001,1),0)</f>
        <v>0</v>
      </c>
      <c r="R450" s="46">
        <f>IF(Q450&gt;0,_xlfn.MAXIFS(LOG!$G$2:$G$2001,LOG!$C$2:$C$2001,F450,LOG!$H$2:$H$2001,1),0)</f>
        <v>0</v>
      </c>
      <c r="S450" s="28" t="str">
        <f>IF(Q450&gt;0,IFERROR(INDEX(LOG!$D$2:$D$2001,MATCH(F450&amp;"|"&amp;Q450,LOG!$I$2:$I$2001,0)),""),"")</f>
        <v/>
      </c>
      <c r="T450" s="28">
        <f>IF(S450="",0,IFERROR(VLOOKUP(S450,LISTS!$A$2:$E$10,4,FALSE),0))</f>
        <v>0</v>
      </c>
      <c r="U450" s="46">
        <f t="shared" ref="U450:U513" si="79">IF(Q450=0,0,R450+T450/1440)</f>
        <v>0</v>
      </c>
      <c r="V450" s="46">
        <f>IF(L450=1,H450+SETTINGS!$B$5/24,"")</f>
        <v>46309.82708333333</v>
      </c>
      <c r="W450" s="28">
        <f ca="1">IF(L450=1,(V450-SETTINGS!$B$4)*24,"")</f>
        <v>-1.6666666720993817E-2</v>
      </c>
      <c r="X450" s="28">
        <f ca="1">IF(AND(L450=1,K450="OK",M450=0,N450=0,O450=0,P450=0,SETTINGS!$B$4&lt;V450,Q450&lt;SETTINGS!$B$6),1,0)</f>
        <v>0</v>
      </c>
      <c r="Y450" s="28">
        <f ca="1">IF(AND(X450=1,SETTINGS!$B$4&gt;=H450,SETTINGS!$B$4&gt;=U450,ROUND(MOD(SETTINGS!$B$4,1)*1440,0)&gt;=ROUND(SETTINGS!$B$7*1440,0),ROUND(MOD(SETTINGS!$B$4,1)*1440,0)&lt;ROUND(SETTINGS!$B$8*1440,0)),1,0)</f>
        <v>0</v>
      </c>
      <c r="Z450" s="28" t="str">
        <f ca="1">IF(B450="","",IF(ROUND(MOD(SETTINGS!$B$4,1)*1440,0)&lt;ROUND(SETTINGS!$B$11*1440,0),"Ram",IF(ROUND(MOD(SETTINGS!$B$4,1)*1440,0)&gt;=ROUND(SETTINGS!$B$10*1440,0),"Shyam",IF(MOD(IFERROR(VALUE(RIGHT(F450,2)),0),2)=0,"Ram","Shyam"))))</f>
        <v>Shyam</v>
      </c>
      <c r="AA450" s="28">
        <f t="shared" ref="AA450:AA513" ca="1" si="80">IF(X450=1,COUNTIFS($F$2:$F$601,F450,$X$2:$X$601,1),0)</f>
        <v>0</v>
      </c>
      <c r="AB450" s="28">
        <f ca="1">IF(X450=1,COUNTIFS($F$2:F450,F450,$X$2:X450,1),0)</f>
        <v>0</v>
      </c>
      <c r="AC450" s="28" t="str">
        <f>IF(L450=1,IF(IFERROR(INDEX(PARTNERS!$C$2:$C$88,MATCH(B450,PARTNERS!$A$2:$A$88,0)),"")="YES","YES","NO"),"")</f>
        <v>YES</v>
      </c>
      <c r="AD450" s="28" t="str">
        <f>IF(L450=1,IFERROR(INDEX(PARTNERS!$B$2:$B$88,MATCH(B450,PARTNERS!$A$2:$A$88,0)),""),"")</f>
        <v>https://calendly.com/partner002/interview</v>
      </c>
      <c r="AE450" s="28">
        <f ca="1">IF(X450=1,IFERROR(INDEX(SETTINGS!$B$34:$D$36,MATCH(I450,SETTINGS!$A$34:$A$36,0),MIN(Q450,2)+1),SETTINGS!$B$36),0)</f>
        <v>0</v>
      </c>
      <c r="AF450" s="28">
        <f t="shared" ref="AF450:AF513" si="81">IF(L450=1,IFERROR(VALUE(RIGHT(G450,1)),1),0)</f>
        <v>1</v>
      </c>
      <c r="AG450" s="28">
        <f ca="1">IF(AND(Y450=1,AB450=1),ROUND(AA450*AE450*IF(AF450&gt;1,SETTINGS!$B$16,1)*IF(W450&lt;=SETTINGS!$B$14,SETTINGS!$B$15,1)*IF(AU450=1,SETTINGS!$B$21,1),6),0)</f>
        <v>0</v>
      </c>
      <c r="AH450" s="28" t="str">
        <f ca="1">IF(AG450&gt;0,COUNTIFS($Z$2:$Z$601,Z450,$AG$2:$AG$601,"&gt;"&amp;AG450)+COUNTIFS($Z$2:Z450,Z450,$AG$2:AG450,AG450),"")</f>
        <v/>
      </c>
      <c r="AI450" s="28" t="str">
        <f t="shared" ref="AI450:AI513" ca="1" si="82">IF(AH450&lt;&gt;"",Z450&amp;"|"&amp;AH450,"")</f>
        <v/>
      </c>
      <c r="AJ450" s="28" t="str">
        <f t="shared" ref="AJ450:AJ513" ca="1" si="83">IF(X450=1,F450&amp;"|"&amp;AB450,"")</f>
        <v/>
      </c>
      <c r="AK450" s="28">
        <f>IF(L450=1,IF(COUNTIFS($F$2:F450,F450,$L$2:L450,1)=1,1,0),0)</f>
        <v>1</v>
      </c>
      <c r="AL450" s="28" t="str">
        <f ca="1">IF(B450="","",IF(K450="DUPLICATE","Duplicate (removed)",IF(AO450=1,"Scheduled within 24h",IF(M450=1,"Scheduled late",IF(K450="BAD CONTACT","Bad contact details",IF(O450=1,"Stopped / wrong number",IF(N450=1,"Not interested",IF(P450=1,"Partner has no slots",IF(SETTINGS!$B$4&gt;=V450,IF(Q450=0,"Missed deadline: never tried","Missed deadline: tried, not booked"),IF(Q450&gt;=SETTINGS!$B$6,"No reply after max tries","Open"))))))))))</f>
        <v>Missed deadline: never tried</v>
      </c>
      <c r="AM450" s="46" t="str">
        <f>IF(M450=1,IF(_xlfn.MINIFS(LOG!$G$2:$G$2001,LOG!$C$2:$C$2001,F450,LOG!$E$2:$E$2001,B450,LOG!$D$2:$D$2001,"*BOOKED")=0,_xlfn.MINIFS(LOG!$G$2:$G$2001,LOG!$C$2:$C$2001,F450,LOG!$E$2:$E$2001,"",LOG!$D$2:$D$2001,"*BOOKED"),IF(_xlfn.MINIFS(LOG!$G$2:$G$2001,LOG!$C$2:$C$2001,F450,LOG!$E$2:$E$2001,"",LOG!$D$2:$D$2001,"*BOOKED")=0,_xlfn.MINIFS(LOG!$G$2:$G$2001,LOG!$C$2:$C$2001,F450,LOG!$E$2:$E$2001,B450,LOG!$D$2:$D$2001,"*BOOKED"),MIN(_xlfn.MINIFS(LOG!$G$2:$G$2001,LOG!$C$2:$C$2001,F450,LOG!$E$2:$E$2001,B450,LOG!$D$2:$D$2001,"*BOOKED"),_xlfn.MINIFS(LOG!$G$2:$G$2001,LOG!$C$2:$C$2001,F450,LOG!$E$2:$E$2001,"",LOG!$D$2:$D$2001,"*BOOKED")))),"")</f>
        <v/>
      </c>
      <c r="AN450" s="28" t="str">
        <f t="shared" ref="AN450:AN513" si="84">IF(M450=1,(AM450-H450)*24,"")</f>
        <v/>
      </c>
      <c r="AO450" s="28">
        <f>IF(AND(M450=1,AN450&lt;&gt;""),IF(AN450&lt;=SETTINGS!$B$5,1,0),0)</f>
        <v>0</v>
      </c>
      <c r="AP450" s="28">
        <f>IF(M450=1,IF(COUNTIFS(LOG!$C$2:$C$2001,F450,LOG!$E$2:$E$2001,B450,LOG!$D$2:$D$2001,"BOOKED")+COUNTIFS(LOG!$C$2:$C$2001,F450,LOG!$E$2:$E$2001,"",LOG!$D$2:$D$2001,"BOOKED")&gt;0,1,0),0)</f>
        <v>0</v>
      </c>
      <c r="AQ450" s="28" t="str">
        <f t="shared" ref="AQ450:AQ513" si="85">IF(B450="","",LEFT(D450,FIND(" ",D450&amp;" ")-1))</f>
        <v>Kavya</v>
      </c>
      <c r="AR450" s="28">
        <f>IF(AND(AK450=1,K450="OK"),COUNTIFS($AK$2:AK450,1,$K$2:K450,"OK"),"")</f>
        <v>369</v>
      </c>
      <c r="AS450" s="28" t="str">
        <f>IF(L450=1,IFERROR(INDEX(MESSAGES!$J$9:$J$1008,MATCH(F450,MESSAGES!$M$9:$M$1008,0))&amp;"",""),"")</f>
        <v/>
      </c>
      <c r="AT450" s="28" t="str">
        <f>IF(L450=1,IFERROR(INDEX(MESSAGES!$K$9:$K$1008,MATCH(F450,MESSAGES!$M$9:$M$1008,0))&amp;"",""),"")</f>
        <v/>
      </c>
      <c r="AU450" s="28">
        <f t="shared" ref="AU450:AU513" ca="1" si="86">IF(AND(X450=1,ISNUMBER(SEARCH("YES",AT450))),1,0)</f>
        <v>0</v>
      </c>
      <c r="AV450" s="28" t="str">
        <f t="shared" ref="AV450:AV513" si="87">IF(L450=1,IF(MOD(IFERROR(VALUE(MID(F450,9,1)),0),2)=0,"SEND","HOLD"),"")</f>
        <v>SEND</v>
      </c>
    </row>
    <row r="451" spans="1:48" x14ac:dyDescent="0.35">
      <c r="A451" s="28">
        <v>450</v>
      </c>
      <c r="B451" s="28" t="str">
        <f>IF(INPUT!A451="","",TRIM(INPUT!A451))</f>
        <v>Partner 000</v>
      </c>
      <c r="C451" s="28" t="str">
        <f>IF(B451="","",INPUT!C451)</f>
        <v>interviewer0@partner000.example.com</v>
      </c>
      <c r="D451" s="28" t="str">
        <f>IF(B451="","",INPUT!D451)</f>
        <v>Tara C.</v>
      </c>
      <c r="E451" s="28" t="str">
        <f>IF(B451="","",INPUT!E451)</f>
        <v>tara.c075example.com</v>
      </c>
      <c r="F451" s="43" t="str">
        <f>IF(B451="","",TRIM(INPUT!F451&amp;""))</f>
        <v>9000000982</v>
      </c>
      <c r="G451" s="28" t="str">
        <f>IF(B451="","",INPUT!H451)</f>
        <v>Round1</v>
      </c>
      <c r="H451" s="46">
        <f>IF(B451="","",INPUT!I451)</f>
        <v>46308.82708333333</v>
      </c>
      <c r="I451" s="28" t="str">
        <f>IF(B451="","",IF(INPUT!J451="","None",INPUT!J451))</f>
        <v>None</v>
      </c>
      <c r="J451" s="28" t="str">
        <f t="shared" si="77"/>
        <v>tara.c075example.com|partner 000|Round1|interviewer0@partner000.example.com</v>
      </c>
      <c r="K451" s="28" t="str">
        <f>IF(B451="","",IF(SUMPRODUCT(($J$2:$J$601=J451)*($H$2:$H$601&lt;H451))+SUMPRODUCT(($J$2:J451=J451)*($H$2:H451=H451))-1&gt;0,"DUPLICATE",IF(AND(ISNUMBER(SEARCH("@",E451)),ISNUMBER(SEARCH(".",E451)),LEN(F451)=10,ISNUMBER(VALUE(F451))),"OK","BAD CONTACT")))</f>
        <v>BAD CONTACT</v>
      </c>
      <c r="L451" s="28">
        <f t="shared" si="78"/>
        <v>1</v>
      </c>
      <c r="M451" s="28">
        <f>IF(L451=1,IF(COUNTIFS(LOG!$C$2:$C$2001,F451,LOG!$E$2:$E$2001,B451,LOG!$D$2:$D$2001,"*BOOKED")+COUNTIFS(LOG!$C$2:$C$2001,F451,LOG!$E$2:$E$2001,"",LOG!$D$2:$D$2001,"*BOOKED")&gt;0,1,0),0)</f>
        <v>0</v>
      </c>
      <c r="N451" s="28">
        <f>IF(L451=1,IF(COUNTIFS(LOG!$C$2:$C$2001,F451,LOG!$E$2:$E$2001,B451,LOG!$D$2:$D$2001,"NOT_INTERESTED")+COUNTIFS(LOG!$C$2:$C$2001,F451,LOG!$E$2:$E$2001,"",LOG!$D$2:$D$2001,"NOT_INTERESTED")&gt;0,1,0),0)</f>
        <v>0</v>
      </c>
      <c r="O451" s="28">
        <f>IF(L451=1,IF(COUNTIFS(LOG!$C$2:$C$2001,F451,LOG!$D$2:$D$2001,"STOP")+COUNTIFS(LOG!$C$2:$C$2001,F451,LOG!$D$2:$D$2001,"WRONG_NUMBER")&gt;0,1,IF(ISNUMBER(SEARCH("STOP",AT451)),1,0)),0)</f>
        <v>0</v>
      </c>
      <c r="P451" s="28">
        <f>IF(L451=1,IF(IFERROR(INDEX(PARTNERS!$D$2:$D$88,MATCH(B451,PARTNERS!$A$2:$A$88,0)),"")="NO SLOTS",1,IF(AND(IFERROR(INDEX(PARTNERS!$D$2:$D$88,MATCH(B451,PARTNERS!$A$2:$A$88,0)),"")&lt;&gt;"REOPENED",COUNTIFS(LOG!$E$2:$E$2001,B451,LOG!$D$2:$D$2001,"NO_SLOTS")&gt;0),1,0)),0)</f>
        <v>0</v>
      </c>
      <c r="Q451" s="28">
        <f>IF(L451=1,COUNTIFS(LOG!$C$2:$C$2001,F451,LOG!$H$2:$H$2001,1),0)</f>
        <v>0</v>
      </c>
      <c r="R451" s="46">
        <f>IF(Q451&gt;0,_xlfn.MAXIFS(LOG!$G$2:$G$2001,LOG!$C$2:$C$2001,F451,LOG!$H$2:$H$2001,1),0)</f>
        <v>0</v>
      </c>
      <c r="S451" s="28" t="str">
        <f>IF(Q451&gt;0,IFERROR(INDEX(LOG!$D$2:$D$2001,MATCH(F451&amp;"|"&amp;Q451,LOG!$I$2:$I$2001,0)),""),"")</f>
        <v/>
      </c>
      <c r="T451" s="28">
        <f>IF(S451="",0,IFERROR(VLOOKUP(S451,LISTS!$A$2:$E$10,4,FALSE),0))</f>
        <v>0</v>
      </c>
      <c r="U451" s="46">
        <f t="shared" si="79"/>
        <v>0</v>
      </c>
      <c r="V451" s="46">
        <f>IF(L451=1,H451+SETTINGS!$B$5/24,"")</f>
        <v>46309.82708333333</v>
      </c>
      <c r="W451" s="28">
        <f ca="1">IF(L451=1,(V451-SETTINGS!$B$4)*24,"")</f>
        <v>-1.6666666720993817E-2</v>
      </c>
      <c r="X451" s="28">
        <f ca="1">IF(AND(L451=1,K451="OK",M451=0,N451=0,O451=0,P451=0,SETTINGS!$B$4&lt;V451,Q451&lt;SETTINGS!$B$6),1,0)</f>
        <v>0</v>
      </c>
      <c r="Y451" s="28">
        <f ca="1">IF(AND(X451=1,SETTINGS!$B$4&gt;=H451,SETTINGS!$B$4&gt;=U451,ROUND(MOD(SETTINGS!$B$4,1)*1440,0)&gt;=ROUND(SETTINGS!$B$7*1440,0),ROUND(MOD(SETTINGS!$B$4,1)*1440,0)&lt;ROUND(SETTINGS!$B$8*1440,0)),1,0)</f>
        <v>0</v>
      </c>
      <c r="Z451" s="28" t="str">
        <f ca="1">IF(B451="","",IF(ROUND(MOD(SETTINGS!$B$4,1)*1440,0)&lt;ROUND(SETTINGS!$B$11*1440,0),"Ram",IF(ROUND(MOD(SETTINGS!$B$4,1)*1440,0)&gt;=ROUND(SETTINGS!$B$10*1440,0),"Shyam",IF(MOD(IFERROR(VALUE(RIGHT(F451,2)),0),2)=0,"Ram","Shyam"))))</f>
        <v>Shyam</v>
      </c>
      <c r="AA451" s="28">
        <f t="shared" ca="1" si="80"/>
        <v>0</v>
      </c>
      <c r="AB451" s="28">
        <f ca="1">IF(X451=1,COUNTIFS($F$2:F451,F451,$X$2:X451,1),0)</f>
        <v>0</v>
      </c>
      <c r="AC451" s="28" t="str">
        <f>IF(L451=1,IF(IFERROR(INDEX(PARTNERS!$C$2:$C$88,MATCH(B451,PARTNERS!$A$2:$A$88,0)),"")="YES","YES","NO"),"")</f>
        <v>NO</v>
      </c>
      <c r="AD451" s="28" t="str">
        <f>IF(L451=1,IFERROR(INDEX(PARTNERS!$B$2:$B$88,MATCH(B451,PARTNERS!$A$2:$A$88,0)),""),"")</f>
        <v>https://calendly.com/partner000/interview</v>
      </c>
      <c r="AE451" s="28">
        <f ca="1">IF(X451=1,IFERROR(INDEX(SETTINGS!$B$34:$D$36,MATCH(I451,SETTINGS!$A$34:$A$36,0),MIN(Q451,2)+1),SETTINGS!$B$36),0)</f>
        <v>0</v>
      </c>
      <c r="AF451" s="28">
        <f t="shared" si="81"/>
        <v>1</v>
      </c>
      <c r="AG451" s="28">
        <f ca="1">IF(AND(Y451=1,AB451=1),ROUND(AA451*AE451*IF(AF451&gt;1,SETTINGS!$B$16,1)*IF(W451&lt;=SETTINGS!$B$14,SETTINGS!$B$15,1)*IF(AU451=1,SETTINGS!$B$21,1),6),0)</f>
        <v>0</v>
      </c>
      <c r="AH451" s="28" t="str">
        <f ca="1">IF(AG451&gt;0,COUNTIFS($Z$2:$Z$601,Z451,$AG$2:$AG$601,"&gt;"&amp;AG451)+COUNTIFS($Z$2:Z451,Z451,$AG$2:AG451,AG451),"")</f>
        <v/>
      </c>
      <c r="AI451" s="28" t="str">
        <f t="shared" ca="1" si="82"/>
        <v/>
      </c>
      <c r="AJ451" s="28" t="str">
        <f t="shared" ca="1" si="83"/>
        <v/>
      </c>
      <c r="AK451" s="28">
        <f>IF(L451=1,IF(COUNTIFS($F$2:F451,F451,$L$2:L451,1)=1,1,0),0)</f>
        <v>1</v>
      </c>
      <c r="AL451" s="28" t="str">
        <f>IF(B451="","",IF(K451="DUPLICATE","Duplicate (removed)",IF(AO451=1,"Scheduled within 24h",IF(M451=1,"Scheduled late",IF(K451="BAD CONTACT","Bad contact details",IF(O451=1,"Stopped / wrong number",IF(N451=1,"Not interested",IF(P451=1,"Partner has no slots",IF(SETTINGS!$B$4&gt;=V451,IF(Q451=0,"Missed deadline: never tried","Missed deadline: tried, not booked"),IF(Q451&gt;=SETTINGS!$B$6,"No reply after max tries","Open"))))))))))</f>
        <v>Bad contact details</v>
      </c>
      <c r="AM451" s="46" t="str">
        <f>IF(M451=1,IF(_xlfn.MINIFS(LOG!$G$2:$G$2001,LOG!$C$2:$C$2001,F451,LOG!$E$2:$E$2001,B451,LOG!$D$2:$D$2001,"*BOOKED")=0,_xlfn.MINIFS(LOG!$G$2:$G$2001,LOG!$C$2:$C$2001,F451,LOG!$E$2:$E$2001,"",LOG!$D$2:$D$2001,"*BOOKED"),IF(_xlfn.MINIFS(LOG!$G$2:$G$2001,LOG!$C$2:$C$2001,F451,LOG!$E$2:$E$2001,"",LOG!$D$2:$D$2001,"*BOOKED")=0,_xlfn.MINIFS(LOG!$G$2:$G$2001,LOG!$C$2:$C$2001,F451,LOG!$E$2:$E$2001,B451,LOG!$D$2:$D$2001,"*BOOKED"),MIN(_xlfn.MINIFS(LOG!$G$2:$G$2001,LOG!$C$2:$C$2001,F451,LOG!$E$2:$E$2001,B451,LOG!$D$2:$D$2001,"*BOOKED"),_xlfn.MINIFS(LOG!$G$2:$G$2001,LOG!$C$2:$C$2001,F451,LOG!$E$2:$E$2001,"",LOG!$D$2:$D$2001,"*BOOKED")))),"")</f>
        <v/>
      </c>
      <c r="AN451" s="28" t="str">
        <f t="shared" si="84"/>
        <v/>
      </c>
      <c r="AO451" s="28">
        <f>IF(AND(M451=1,AN451&lt;&gt;""),IF(AN451&lt;=SETTINGS!$B$5,1,0),0)</f>
        <v>0</v>
      </c>
      <c r="AP451" s="28">
        <f>IF(M451=1,IF(COUNTIFS(LOG!$C$2:$C$2001,F451,LOG!$E$2:$E$2001,B451,LOG!$D$2:$D$2001,"BOOKED")+COUNTIFS(LOG!$C$2:$C$2001,F451,LOG!$E$2:$E$2001,"",LOG!$D$2:$D$2001,"BOOKED")&gt;0,1,0),0)</f>
        <v>0</v>
      </c>
      <c r="AQ451" s="28" t="str">
        <f t="shared" si="85"/>
        <v>Tara</v>
      </c>
      <c r="AR451" s="28" t="str">
        <f>IF(AND(AK451=1,K451="OK"),COUNTIFS($AK$2:AK451,1,$K$2:K451,"OK"),"")</f>
        <v/>
      </c>
      <c r="AS451" s="28" t="str">
        <f>IF(L451=1,IFERROR(INDEX(MESSAGES!$J$9:$J$1008,MATCH(F451,MESSAGES!$M$9:$M$1008,0))&amp;"",""),"")</f>
        <v/>
      </c>
      <c r="AT451" s="28" t="str">
        <f>IF(L451=1,IFERROR(INDEX(MESSAGES!$K$9:$K$1008,MATCH(F451,MESSAGES!$M$9:$M$1008,0))&amp;"",""),"")</f>
        <v/>
      </c>
      <c r="AU451" s="28">
        <f t="shared" ca="1" si="86"/>
        <v>0</v>
      </c>
      <c r="AV451" s="28" t="str">
        <f t="shared" si="87"/>
        <v>SEND</v>
      </c>
    </row>
    <row r="452" spans="1:48" x14ac:dyDescent="0.35">
      <c r="A452" s="28">
        <v>451</v>
      </c>
      <c r="B452" s="28" t="str">
        <f>IF(INPUT!A452="","",TRIM(INPUT!A452))</f>
        <v>Partner 000</v>
      </c>
      <c r="C452" s="28" t="str">
        <f>IF(B452="","",INPUT!C452)</f>
        <v>interviewer2@partner000.example.com</v>
      </c>
      <c r="D452" s="28" t="str">
        <f>IF(B452="","",INPUT!D452)</f>
        <v>Kiara C.</v>
      </c>
      <c r="E452" s="28" t="str">
        <f>IF(B452="","",INPUT!E452)</f>
        <v>kiara.c071@example.com</v>
      </c>
      <c r="F452" s="43" t="str">
        <f>IF(B452="","",TRIM(INPUT!F452&amp;""))</f>
        <v>9000000930</v>
      </c>
      <c r="G452" s="28" t="str">
        <f>IF(B452="","",INPUT!H452)</f>
        <v>Round1</v>
      </c>
      <c r="H452" s="46">
        <f>IF(B452="","",INPUT!I452)</f>
        <v>46308.82708333333</v>
      </c>
      <c r="I452" s="28" t="str">
        <f>IF(B452="","",IF(INPUT!J452="","None",INPUT!J452))</f>
        <v>None</v>
      </c>
      <c r="J452" s="28" t="str">
        <f t="shared" si="77"/>
        <v>kiara.c071@example.com|partner 000|Round1|interviewer2@partner000.example.com</v>
      </c>
      <c r="K452" s="28" t="str">
        <f>IF(B452="","",IF(SUMPRODUCT(($J$2:$J$601=J452)*($H$2:$H$601&lt;H452))+SUMPRODUCT(($J$2:J452=J452)*($H$2:H452=H452))-1&gt;0,"DUPLICATE",IF(AND(ISNUMBER(SEARCH("@",E452)),ISNUMBER(SEARCH(".",E452)),LEN(F452)=10,ISNUMBER(VALUE(F452))),"OK","BAD CONTACT")))</f>
        <v>OK</v>
      </c>
      <c r="L452" s="28">
        <f t="shared" si="78"/>
        <v>1</v>
      </c>
      <c r="M452" s="28">
        <f>IF(L452=1,IF(COUNTIFS(LOG!$C$2:$C$2001,F452,LOG!$E$2:$E$2001,B452,LOG!$D$2:$D$2001,"*BOOKED")+COUNTIFS(LOG!$C$2:$C$2001,F452,LOG!$E$2:$E$2001,"",LOG!$D$2:$D$2001,"*BOOKED")&gt;0,1,0),0)</f>
        <v>0</v>
      </c>
      <c r="N452" s="28">
        <f>IF(L452=1,IF(COUNTIFS(LOG!$C$2:$C$2001,F452,LOG!$E$2:$E$2001,B452,LOG!$D$2:$D$2001,"NOT_INTERESTED")+COUNTIFS(LOG!$C$2:$C$2001,F452,LOG!$E$2:$E$2001,"",LOG!$D$2:$D$2001,"NOT_INTERESTED")&gt;0,1,0),0)</f>
        <v>0</v>
      </c>
      <c r="O452" s="28">
        <f>IF(L452=1,IF(COUNTIFS(LOG!$C$2:$C$2001,F452,LOG!$D$2:$D$2001,"STOP")+COUNTIFS(LOG!$C$2:$C$2001,F452,LOG!$D$2:$D$2001,"WRONG_NUMBER")&gt;0,1,IF(ISNUMBER(SEARCH("STOP",AT452)),1,0)),0)</f>
        <v>0</v>
      </c>
      <c r="P452" s="28">
        <f>IF(L452=1,IF(IFERROR(INDEX(PARTNERS!$D$2:$D$88,MATCH(B452,PARTNERS!$A$2:$A$88,0)),"")="NO SLOTS",1,IF(AND(IFERROR(INDEX(PARTNERS!$D$2:$D$88,MATCH(B452,PARTNERS!$A$2:$A$88,0)),"")&lt;&gt;"REOPENED",COUNTIFS(LOG!$E$2:$E$2001,B452,LOG!$D$2:$D$2001,"NO_SLOTS")&gt;0),1,0)),0)</f>
        <v>0</v>
      </c>
      <c r="Q452" s="28">
        <f>IF(L452=1,COUNTIFS(LOG!$C$2:$C$2001,F452,LOG!$H$2:$H$2001,1),0)</f>
        <v>0</v>
      </c>
      <c r="R452" s="46">
        <f>IF(Q452&gt;0,_xlfn.MAXIFS(LOG!$G$2:$G$2001,LOG!$C$2:$C$2001,F452,LOG!$H$2:$H$2001,1),0)</f>
        <v>0</v>
      </c>
      <c r="S452" s="28" t="str">
        <f>IF(Q452&gt;0,IFERROR(INDEX(LOG!$D$2:$D$2001,MATCH(F452&amp;"|"&amp;Q452,LOG!$I$2:$I$2001,0)),""),"")</f>
        <v/>
      </c>
      <c r="T452" s="28">
        <f>IF(S452="",0,IFERROR(VLOOKUP(S452,LISTS!$A$2:$E$10,4,FALSE),0))</f>
        <v>0</v>
      </c>
      <c r="U452" s="46">
        <f t="shared" si="79"/>
        <v>0</v>
      </c>
      <c r="V452" s="46">
        <f>IF(L452=1,H452+SETTINGS!$B$5/24,"")</f>
        <v>46309.82708333333</v>
      </c>
      <c r="W452" s="28">
        <f ca="1">IF(L452=1,(V452-SETTINGS!$B$4)*24,"")</f>
        <v>-1.6666666720993817E-2</v>
      </c>
      <c r="X452" s="28">
        <f ca="1">IF(AND(L452=1,K452="OK",M452=0,N452=0,O452=0,P452=0,SETTINGS!$B$4&lt;V452,Q452&lt;SETTINGS!$B$6),1,0)</f>
        <v>0</v>
      </c>
      <c r="Y452" s="28">
        <f ca="1">IF(AND(X452=1,SETTINGS!$B$4&gt;=H452,SETTINGS!$B$4&gt;=U452,ROUND(MOD(SETTINGS!$B$4,1)*1440,0)&gt;=ROUND(SETTINGS!$B$7*1440,0),ROUND(MOD(SETTINGS!$B$4,1)*1440,0)&lt;ROUND(SETTINGS!$B$8*1440,0)),1,0)</f>
        <v>0</v>
      </c>
      <c r="Z452" s="28" t="str">
        <f ca="1">IF(B452="","",IF(ROUND(MOD(SETTINGS!$B$4,1)*1440,0)&lt;ROUND(SETTINGS!$B$11*1440,0),"Ram",IF(ROUND(MOD(SETTINGS!$B$4,1)*1440,0)&gt;=ROUND(SETTINGS!$B$10*1440,0),"Shyam",IF(MOD(IFERROR(VALUE(RIGHT(F452,2)),0),2)=0,"Ram","Shyam"))))</f>
        <v>Shyam</v>
      </c>
      <c r="AA452" s="28">
        <f t="shared" ca="1" si="80"/>
        <v>0</v>
      </c>
      <c r="AB452" s="28">
        <f ca="1">IF(X452=1,COUNTIFS($F$2:F452,F452,$X$2:X452,1),0)</f>
        <v>0</v>
      </c>
      <c r="AC452" s="28" t="str">
        <f>IF(L452=1,IF(IFERROR(INDEX(PARTNERS!$C$2:$C$88,MATCH(B452,PARTNERS!$A$2:$A$88,0)),"")="YES","YES","NO"),"")</f>
        <v>NO</v>
      </c>
      <c r="AD452" s="28" t="str">
        <f>IF(L452=1,IFERROR(INDEX(PARTNERS!$B$2:$B$88,MATCH(B452,PARTNERS!$A$2:$A$88,0)),""),"")</f>
        <v>https://calendly.com/partner000/interview</v>
      </c>
      <c r="AE452" s="28">
        <f ca="1">IF(X452=1,IFERROR(INDEX(SETTINGS!$B$34:$D$36,MATCH(I452,SETTINGS!$A$34:$A$36,0),MIN(Q452,2)+1),SETTINGS!$B$36),0)</f>
        <v>0</v>
      </c>
      <c r="AF452" s="28">
        <f t="shared" si="81"/>
        <v>1</v>
      </c>
      <c r="AG452" s="28">
        <f ca="1">IF(AND(Y452=1,AB452=1),ROUND(AA452*AE452*IF(AF452&gt;1,SETTINGS!$B$16,1)*IF(W452&lt;=SETTINGS!$B$14,SETTINGS!$B$15,1)*IF(AU452=1,SETTINGS!$B$21,1),6),0)</f>
        <v>0</v>
      </c>
      <c r="AH452" s="28" t="str">
        <f ca="1">IF(AG452&gt;0,COUNTIFS($Z$2:$Z$601,Z452,$AG$2:$AG$601,"&gt;"&amp;AG452)+COUNTIFS($Z$2:Z452,Z452,$AG$2:AG452,AG452),"")</f>
        <v/>
      </c>
      <c r="AI452" s="28" t="str">
        <f t="shared" ca="1" si="82"/>
        <v/>
      </c>
      <c r="AJ452" s="28" t="str">
        <f t="shared" ca="1" si="83"/>
        <v/>
      </c>
      <c r="AK452" s="28">
        <f>IF(L452=1,IF(COUNTIFS($F$2:F452,F452,$L$2:L452,1)=1,1,0),0)</f>
        <v>1</v>
      </c>
      <c r="AL452" s="28" t="str">
        <f ca="1">IF(B452="","",IF(K452="DUPLICATE","Duplicate (removed)",IF(AO452=1,"Scheduled within 24h",IF(M452=1,"Scheduled late",IF(K452="BAD CONTACT","Bad contact details",IF(O452=1,"Stopped / wrong number",IF(N452=1,"Not interested",IF(P452=1,"Partner has no slots",IF(SETTINGS!$B$4&gt;=V452,IF(Q452=0,"Missed deadline: never tried","Missed deadline: tried, not booked"),IF(Q452&gt;=SETTINGS!$B$6,"No reply after max tries","Open"))))))))))</f>
        <v>Missed deadline: never tried</v>
      </c>
      <c r="AM452" s="46" t="str">
        <f>IF(M452=1,IF(_xlfn.MINIFS(LOG!$G$2:$G$2001,LOG!$C$2:$C$2001,F452,LOG!$E$2:$E$2001,B452,LOG!$D$2:$D$2001,"*BOOKED")=0,_xlfn.MINIFS(LOG!$G$2:$G$2001,LOG!$C$2:$C$2001,F452,LOG!$E$2:$E$2001,"",LOG!$D$2:$D$2001,"*BOOKED"),IF(_xlfn.MINIFS(LOG!$G$2:$G$2001,LOG!$C$2:$C$2001,F452,LOG!$E$2:$E$2001,"",LOG!$D$2:$D$2001,"*BOOKED")=0,_xlfn.MINIFS(LOG!$G$2:$G$2001,LOG!$C$2:$C$2001,F452,LOG!$E$2:$E$2001,B452,LOG!$D$2:$D$2001,"*BOOKED"),MIN(_xlfn.MINIFS(LOG!$G$2:$G$2001,LOG!$C$2:$C$2001,F452,LOG!$E$2:$E$2001,B452,LOG!$D$2:$D$2001,"*BOOKED"),_xlfn.MINIFS(LOG!$G$2:$G$2001,LOG!$C$2:$C$2001,F452,LOG!$E$2:$E$2001,"",LOG!$D$2:$D$2001,"*BOOKED")))),"")</f>
        <v/>
      </c>
      <c r="AN452" s="28" t="str">
        <f t="shared" si="84"/>
        <v/>
      </c>
      <c r="AO452" s="28">
        <f>IF(AND(M452=1,AN452&lt;&gt;""),IF(AN452&lt;=SETTINGS!$B$5,1,0),0)</f>
        <v>0</v>
      </c>
      <c r="AP452" s="28">
        <f>IF(M452=1,IF(COUNTIFS(LOG!$C$2:$C$2001,F452,LOG!$E$2:$E$2001,B452,LOG!$D$2:$D$2001,"BOOKED")+COUNTIFS(LOG!$C$2:$C$2001,F452,LOG!$E$2:$E$2001,"",LOG!$D$2:$D$2001,"BOOKED")&gt;0,1,0),0)</f>
        <v>0</v>
      </c>
      <c r="AQ452" s="28" t="str">
        <f t="shared" si="85"/>
        <v>Kiara</v>
      </c>
      <c r="AR452" s="28">
        <f>IF(AND(AK452=1,K452="OK"),COUNTIFS($AK$2:AK452,1,$K$2:K452,"OK"),"")</f>
        <v>370</v>
      </c>
      <c r="AS452" s="28" t="str">
        <f>IF(L452=1,IFERROR(INDEX(MESSAGES!$J$9:$J$1008,MATCH(F452,MESSAGES!$M$9:$M$1008,0))&amp;"",""),"")</f>
        <v/>
      </c>
      <c r="AT452" s="28" t="str">
        <f>IF(L452=1,IFERROR(INDEX(MESSAGES!$K$9:$K$1008,MATCH(F452,MESSAGES!$M$9:$M$1008,0))&amp;"",""),"")</f>
        <v/>
      </c>
      <c r="AU452" s="28">
        <f t="shared" ca="1" si="86"/>
        <v>0</v>
      </c>
      <c r="AV452" s="28" t="str">
        <f t="shared" si="87"/>
        <v>HOLD</v>
      </c>
    </row>
    <row r="453" spans="1:48" x14ac:dyDescent="0.35">
      <c r="A453" s="28">
        <v>452</v>
      </c>
      <c r="B453" s="28" t="str">
        <f>IF(INPUT!A453="","",TRIM(INPUT!A453))</f>
        <v>Partner 034</v>
      </c>
      <c r="C453" s="28" t="str">
        <f>IF(B453="","",INPUT!C453)</f>
        <v>interviewer0@partner034.example.com</v>
      </c>
      <c r="D453" s="28" t="str">
        <f>IF(B453="","",INPUT!D453)</f>
        <v>Sneha L.</v>
      </c>
      <c r="E453" s="28" t="str">
        <f>IF(B453="","",INPUT!E453)</f>
        <v>sneha.l323@example.com</v>
      </c>
      <c r="F453" s="43" t="str">
        <f>IF(B453="","",TRIM(INPUT!F453&amp;""))</f>
        <v>9000004206</v>
      </c>
      <c r="G453" s="28" t="str">
        <f>IF(B453="","",INPUT!H453)</f>
        <v>Round1</v>
      </c>
      <c r="H453" s="46">
        <f>IF(B453="","",INPUT!I453)</f>
        <v>46308.82708333333</v>
      </c>
      <c r="I453" s="28" t="str">
        <f>IF(B453="","",IF(INPUT!J453="","None",INPUT!J453))</f>
        <v>Clicked</v>
      </c>
      <c r="J453" s="28" t="str">
        <f t="shared" si="77"/>
        <v>sneha.l323@example.com|partner 034|Round1|interviewer0@partner034.example.com</v>
      </c>
      <c r="K453" s="28" t="str">
        <f>IF(B453="","",IF(SUMPRODUCT(($J$2:$J$601=J453)*($H$2:$H$601&lt;H453))+SUMPRODUCT(($J$2:J453=J453)*($H$2:H453=H453))-1&gt;0,"DUPLICATE",IF(AND(ISNUMBER(SEARCH("@",E453)),ISNUMBER(SEARCH(".",E453)),LEN(F453)=10,ISNUMBER(VALUE(F453))),"OK","BAD CONTACT")))</f>
        <v>OK</v>
      </c>
      <c r="L453" s="28">
        <f t="shared" si="78"/>
        <v>1</v>
      </c>
      <c r="M453" s="28">
        <f>IF(L453=1,IF(COUNTIFS(LOG!$C$2:$C$2001,F453,LOG!$E$2:$E$2001,B453,LOG!$D$2:$D$2001,"*BOOKED")+COUNTIFS(LOG!$C$2:$C$2001,F453,LOG!$E$2:$E$2001,"",LOG!$D$2:$D$2001,"*BOOKED")&gt;0,1,0),0)</f>
        <v>1</v>
      </c>
      <c r="N453" s="28">
        <f>IF(L453=1,IF(COUNTIFS(LOG!$C$2:$C$2001,F453,LOG!$E$2:$E$2001,B453,LOG!$D$2:$D$2001,"NOT_INTERESTED")+COUNTIFS(LOG!$C$2:$C$2001,F453,LOG!$E$2:$E$2001,"",LOG!$D$2:$D$2001,"NOT_INTERESTED")&gt;0,1,0),0)</f>
        <v>0</v>
      </c>
      <c r="O453" s="28">
        <f>IF(L453=1,IF(COUNTIFS(LOG!$C$2:$C$2001,F453,LOG!$D$2:$D$2001,"STOP")+COUNTIFS(LOG!$C$2:$C$2001,F453,LOG!$D$2:$D$2001,"WRONG_NUMBER")&gt;0,1,IF(ISNUMBER(SEARCH("STOP",AT453)),1,0)),0)</f>
        <v>0</v>
      </c>
      <c r="P453" s="28">
        <f>IF(L453=1,IF(IFERROR(INDEX(PARTNERS!$D$2:$D$88,MATCH(B453,PARTNERS!$A$2:$A$88,0)),"")="NO SLOTS",1,IF(AND(IFERROR(INDEX(PARTNERS!$D$2:$D$88,MATCH(B453,PARTNERS!$A$2:$A$88,0)),"")&lt;&gt;"REOPENED",COUNTIFS(LOG!$E$2:$E$2001,B453,LOG!$D$2:$D$2001,"NO_SLOTS")&gt;0),1,0)),0)</f>
        <v>0</v>
      </c>
      <c r="Q453" s="28">
        <f>IF(L453=1,COUNTIFS(LOG!$C$2:$C$2001,F453,LOG!$H$2:$H$2001,1),0)</f>
        <v>0</v>
      </c>
      <c r="R453" s="46">
        <f>IF(Q453&gt;0,_xlfn.MAXIFS(LOG!$G$2:$G$2001,LOG!$C$2:$C$2001,F453,LOG!$H$2:$H$2001,1),0)</f>
        <v>0</v>
      </c>
      <c r="S453" s="28" t="str">
        <f>IF(Q453&gt;0,IFERROR(INDEX(LOG!$D$2:$D$2001,MATCH(F453&amp;"|"&amp;Q453,LOG!$I$2:$I$2001,0)),""),"")</f>
        <v/>
      </c>
      <c r="T453" s="28">
        <f>IF(S453="",0,IFERROR(VLOOKUP(S453,LISTS!$A$2:$E$10,4,FALSE),0))</f>
        <v>0</v>
      </c>
      <c r="U453" s="46">
        <f t="shared" si="79"/>
        <v>0</v>
      </c>
      <c r="V453" s="46">
        <f>IF(L453=1,H453+SETTINGS!$B$5/24,"")</f>
        <v>46309.82708333333</v>
      </c>
      <c r="W453" s="28">
        <f ca="1">IF(L453=1,(V453-SETTINGS!$B$4)*24,"")</f>
        <v>-1.6666666720993817E-2</v>
      </c>
      <c r="X453" s="28">
        <f ca="1">IF(AND(L453=1,K453="OK",M453=0,N453=0,O453=0,P453=0,SETTINGS!$B$4&lt;V453,Q453&lt;SETTINGS!$B$6),1,0)</f>
        <v>0</v>
      </c>
      <c r="Y453" s="28">
        <f ca="1">IF(AND(X453=1,SETTINGS!$B$4&gt;=H453,SETTINGS!$B$4&gt;=U453,ROUND(MOD(SETTINGS!$B$4,1)*1440,0)&gt;=ROUND(SETTINGS!$B$7*1440,0),ROUND(MOD(SETTINGS!$B$4,1)*1440,0)&lt;ROUND(SETTINGS!$B$8*1440,0)),1,0)</f>
        <v>0</v>
      </c>
      <c r="Z453" s="28" t="str">
        <f ca="1">IF(B453="","",IF(ROUND(MOD(SETTINGS!$B$4,1)*1440,0)&lt;ROUND(SETTINGS!$B$11*1440,0),"Ram",IF(ROUND(MOD(SETTINGS!$B$4,1)*1440,0)&gt;=ROUND(SETTINGS!$B$10*1440,0),"Shyam",IF(MOD(IFERROR(VALUE(RIGHT(F453,2)),0),2)=0,"Ram","Shyam"))))</f>
        <v>Shyam</v>
      </c>
      <c r="AA453" s="28">
        <f t="shared" ca="1" si="80"/>
        <v>0</v>
      </c>
      <c r="AB453" s="28">
        <f ca="1">IF(X453=1,COUNTIFS($F$2:F453,F453,$X$2:X453,1),0)</f>
        <v>0</v>
      </c>
      <c r="AC453" s="28" t="str">
        <f>IF(L453=1,IF(IFERROR(INDEX(PARTNERS!$C$2:$C$88,MATCH(B453,PARTNERS!$A$2:$A$88,0)),"")="YES","YES","NO"),"")</f>
        <v>YES</v>
      </c>
      <c r="AD453" s="28" t="str">
        <f>IF(L453=1,IFERROR(INDEX(PARTNERS!$B$2:$B$88,MATCH(B453,PARTNERS!$A$2:$A$88,0)),""),"")</f>
        <v>https://calendly.com/partner034/interview</v>
      </c>
      <c r="AE453" s="28">
        <f ca="1">IF(X453=1,IFERROR(INDEX(SETTINGS!$B$34:$D$36,MATCH(I453,SETTINGS!$A$34:$A$36,0),MIN(Q453,2)+1),SETTINGS!$B$36),0)</f>
        <v>0</v>
      </c>
      <c r="AF453" s="28">
        <f t="shared" si="81"/>
        <v>1</v>
      </c>
      <c r="AG453" s="28">
        <f ca="1">IF(AND(Y453=1,AB453=1),ROUND(AA453*AE453*IF(AF453&gt;1,SETTINGS!$B$16,1)*IF(W453&lt;=SETTINGS!$B$14,SETTINGS!$B$15,1)*IF(AU453=1,SETTINGS!$B$21,1),6),0)</f>
        <v>0</v>
      </c>
      <c r="AH453" s="28" t="str">
        <f ca="1">IF(AG453&gt;0,COUNTIFS($Z$2:$Z$601,Z453,$AG$2:$AG$601,"&gt;"&amp;AG453)+COUNTIFS($Z$2:Z453,Z453,$AG$2:AG453,AG453),"")</f>
        <v/>
      </c>
      <c r="AI453" s="28" t="str">
        <f t="shared" ca="1" si="82"/>
        <v/>
      </c>
      <c r="AJ453" s="28" t="str">
        <f t="shared" ca="1" si="83"/>
        <v/>
      </c>
      <c r="AK453" s="28">
        <f>IF(L453=1,IF(COUNTIFS($F$2:F453,F453,$L$2:L453,1)=1,1,0),0)</f>
        <v>1</v>
      </c>
      <c r="AL453" s="28" t="str">
        <f>IF(B453="","",IF(K453="DUPLICATE","Duplicate (removed)",IF(AO453=1,"Scheduled within 24h",IF(M453=1,"Scheduled late",IF(K453="BAD CONTACT","Bad contact details",IF(O453=1,"Stopped / wrong number",IF(N453=1,"Not interested",IF(P453=1,"Partner has no slots",IF(SETTINGS!$B$4&gt;=V453,IF(Q453=0,"Missed deadline: never tried","Missed deadline: tried, not booked"),IF(Q453&gt;=SETTINGS!$B$6,"No reply after max tries","Open"))))))))))</f>
        <v>Scheduled within 24h</v>
      </c>
      <c r="AM453" s="46">
        <f>IF(M453=1,IF(_xlfn.MINIFS(LOG!$G$2:$G$2001,LOG!$C$2:$C$2001,F453,LOG!$E$2:$E$2001,B453,LOG!$D$2:$D$2001,"*BOOKED")=0,_xlfn.MINIFS(LOG!$G$2:$G$2001,LOG!$C$2:$C$2001,F453,LOG!$E$2:$E$2001,"",LOG!$D$2:$D$2001,"*BOOKED"),IF(_xlfn.MINIFS(LOG!$G$2:$G$2001,LOG!$C$2:$C$2001,F453,LOG!$E$2:$E$2001,"",LOG!$D$2:$D$2001,"*BOOKED")=0,_xlfn.MINIFS(LOG!$G$2:$G$2001,LOG!$C$2:$C$2001,F453,LOG!$E$2:$E$2001,B453,LOG!$D$2:$D$2001,"*BOOKED"),MIN(_xlfn.MINIFS(LOG!$G$2:$G$2001,LOG!$C$2:$C$2001,F453,LOG!$E$2:$E$2001,B453,LOG!$D$2:$D$2001,"*BOOKED"),_xlfn.MINIFS(LOG!$G$2:$G$2001,LOG!$C$2:$C$2001,F453,LOG!$E$2:$E$2001,"",LOG!$D$2:$D$2001,"*BOOKED")))),"")</f>
        <v>46309.347794726702</v>
      </c>
      <c r="AN453" s="28">
        <f t="shared" si="84"/>
        <v>12.497073440928943</v>
      </c>
      <c r="AO453" s="28">
        <f>IF(AND(M453=1,AN453&lt;&gt;""),IF(AN453&lt;=SETTINGS!$B$5,1,0),0)</f>
        <v>1</v>
      </c>
      <c r="AP453" s="28">
        <f>IF(M453=1,IF(COUNTIFS(LOG!$C$2:$C$2001,F453,LOG!$E$2:$E$2001,B453,LOG!$D$2:$D$2001,"BOOKED")+COUNTIFS(LOG!$C$2:$C$2001,F453,LOG!$E$2:$E$2001,"",LOG!$D$2:$D$2001,"BOOKED")&gt;0,1,0),0)</f>
        <v>0</v>
      </c>
      <c r="AQ453" s="28" t="str">
        <f t="shared" si="85"/>
        <v>Sneha</v>
      </c>
      <c r="AR453" s="28">
        <f>IF(AND(AK453=1,K453="OK"),COUNTIFS($AK$2:AK453,1,$K$2:K453,"OK"),"")</f>
        <v>371</v>
      </c>
      <c r="AS453" s="28" t="str">
        <f>IF(L453=1,IFERROR(INDEX(MESSAGES!$J$9:$J$1008,MATCH(F453,MESSAGES!$M$9:$M$1008,0))&amp;"",""),"")</f>
        <v/>
      </c>
      <c r="AT453" s="28" t="str">
        <f>IF(L453=1,IFERROR(INDEX(MESSAGES!$K$9:$K$1008,MATCH(F453,MESSAGES!$M$9:$M$1008,0))&amp;"",""),"")</f>
        <v/>
      </c>
      <c r="AU453" s="28">
        <f t="shared" ca="1" si="86"/>
        <v>0</v>
      </c>
      <c r="AV453" s="28" t="str">
        <f t="shared" si="87"/>
        <v>SEND</v>
      </c>
    </row>
    <row r="454" spans="1:48" x14ac:dyDescent="0.35">
      <c r="A454" s="28">
        <v>453</v>
      </c>
      <c r="B454" s="28" t="str">
        <f>IF(INPUT!A454="","",TRIM(INPUT!A454))</f>
        <v>Partner 073</v>
      </c>
      <c r="C454" s="28" t="str">
        <f>IF(B454="","",INPUT!C454)</f>
        <v>interviewer0@partner073.example.com</v>
      </c>
      <c r="D454" s="28" t="str">
        <f>IF(B454="","",INPUT!D454)</f>
        <v>Ishaan K.</v>
      </c>
      <c r="E454" s="28" t="str">
        <f>IF(B454="","",INPUT!E454)</f>
        <v>ishaan.k284@example.com</v>
      </c>
      <c r="F454" s="43" t="str">
        <f>IF(B454="","",TRIM(INPUT!F454&amp;""))</f>
        <v>9000003699</v>
      </c>
      <c r="G454" s="28" t="str">
        <f>IF(B454="","",INPUT!H454)</f>
        <v>Round1</v>
      </c>
      <c r="H454" s="46">
        <f>IF(B454="","",INPUT!I454)</f>
        <v>46308.82708333333</v>
      </c>
      <c r="I454" s="28" t="str">
        <f>IF(B454="","",IF(INPUT!J454="","None",INPUT!J454))</f>
        <v>Clicked</v>
      </c>
      <c r="J454" s="28" t="str">
        <f t="shared" si="77"/>
        <v>ishaan.k284@example.com|partner 073|Round1|interviewer0@partner073.example.com</v>
      </c>
      <c r="K454" s="28" t="str">
        <f>IF(B454="","",IF(SUMPRODUCT(($J$2:$J$601=J454)*($H$2:$H$601&lt;H454))+SUMPRODUCT(($J$2:J454=J454)*($H$2:H454=H454))-1&gt;0,"DUPLICATE",IF(AND(ISNUMBER(SEARCH("@",E454)),ISNUMBER(SEARCH(".",E454)),LEN(F454)=10,ISNUMBER(VALUE(F454))),"OK","BAD CONTACT")))</f>
        <v>OK</v>
      </c>
      <c r="L454" s="28">
        <f t="shared" si="78"/>
        <v>1</v>
      </c>
      <c r="M454" s="28">
        <f>IF(L454=1,IF(COUNTIFS(LOG!$C$2:$C$2001,F454,LOG!$E$2:$E$2001,B454,LOG!$D$2:$D$2001,"*BOOKED")+COUNTIFS(LOG!$C$2:$C$2001,F454,LOG!$E$2:$E$2001,"",LOG!$D$2:$D$2001,"*BOOKED")&gt;0,1,0),0)</f>
        <v>0</v>
      </c>
      <c r="N454" s="28">
        <f>IF(L454=1,IF(COUNTIFS(LOG!$C$2:$C$2001,F454,LOG!$E$2:$E$2001,B454,LOG!$D$2:$D$2001,"NOT_INTERESTED")+COUNTIFS(LOG!$C$2:$C$2001,F454,LOG!$E$2:$E$2001,"",LOG!$D$2:$D$2001,"NOT_INTERESTED")&gt;0,1,0),0)</f>
        <v>0</v>
      </c>
      <c r="O454" s="28">
        <f>IF(L454=1,IF(COUNTIFS(LOG!$C$2:$C$2001,F454,LOG!$D$2:$D$2001,"STOP")+COUNTIFS(LOG!$C$2:$C$2001,F454,LOG!$D$2:$D$2001,"WRONG_NUMBER")&gt;0,1,IF(ISNUMBER(SEARCH("STOP",AT454)),1,0)),0)</f>
        <v>1</v>
      </c>
      <c r="P454" s="28">
        <f>IF(L454=1,IF(IFERROR(INDEX(PARTNERS!$D$2:$D$88,MATCH(B454,PARTNERS!$A$2:$A$88,0)),"")="NO SLOTS",1,IF(AND(IFERROR(INDEX(PARTNERS!$D$2:$D$88,MATCH(B454,PARTNERS!$A$2:$A$88,0)),"")&lt;&gt;"REOPENED",COUNTIFS(LOG!$E$2:$E$2001,B454,LOG!$D$2:$D$2001,"NO_SLOTS")&gt;0),1,0)),0)</f>
        <v>0</v>
      </c>
      <c r="Q454" s="28">
        <f>IF(L454=1,COUNTIFS(LOG!$C$2:$C$2001,F454,LOG!$H$2:$H$2001,1),0)</f>
        <v>1</v>
      </c>
      <c r="R454" s="46">
        <f>IF(Q454&gt;0,_xlfn.MAXIFS(LOG!$G$2:$G$2001,LOG!$C$2:$C$2001,F454,LOG!$H$2:$H$2001,1),0)</f>
        <v>46309.44967991743</v>
      </c>
      <c r="S454" s="28" t="str">
        <f>IF(Q454&gt;0,IFERROR(INDEX(LOG!$D$2:$D$2001,MATCH(F454&amp;"|"&amp;Q454,LOG!$I$2:$I$2001,0)),""),"")</f>
        <v>STOP</v>
      </c>
      <c r="T454" s="28">
        <f>IF(S454="",0,IFERROR(VLOOKUP(S454,LISTS!$A$2:$E$10,4,FALSE),0))</f>
        <v>0</v>
      </c>
      <c r="U454" s="46">
        <f t="shared" si="79"/>
        <v>46309.44967991743</v>
      </c>
      <c r="V454" s="46">
        <f>IF(L454=1,H454+SETTINGS!$B$5/24,"")</f>
        <v>46309.82708333333</v>
      </c>
      <c r="W454" s="28">
        <f ca="1">IF(L454=1,(V454-SETTINGS!$B$4)*24,"")</f>
        <v>-1.6666666720993817E-2</v>
      </c>
      <c r="X454" s="28">
        <f ca="1">IF(AND(L454=1,K454="OK",M454=0,N454=0,O454=0,P454=0,SETTINGS!$B$4&lt;V454,Q454&lt;SETTINGS!$B$6),1,0)</f>
        <v>0</v>
      </c>
      <c r="Y454" s="28">
        <f ca="1">IF(AND(X454=1,SETTINGS!$B$4&gt;=H454,SETTINGS!$B$4&gt;=U454,ROUND(MOD(SETTINGS!$B$4,1)*1440,0)&gt;=ROUND(SETTINGS!$B$7*1440,0),ROUND(MOD(SETTINGS!$B$4,1)*1440,0)&lt;ROUND(SETTINGS!$B$8*1440,0)),1,0)</f>
        <v>0</v>
      </c>
      <c r="Z454" s="28" t="str">
        <f ca="1">IF(B454="","",IF(ROUND(MOD(SETTINGS!$B$4,1)*1440,0)&lt;ROUND(SETTINGS!$B$11*1440,0),"Ram",IF(ROUND(MOD(SETTINGS!$B$4,1)*1440,0)&gt;=ROUND(SETTINGS!$B$10*1440,0),"Shyam",IF(MOD(IFERROR(VALUE(RIGHT(F454,2)),0),2)=0,"Ram","Shyam"))))</f>
        <v>Shyam</v>
      </c>
      <c r="AA454" s="28">
        <f t="shared" ca="1" si="80"/>
        <v>0</v>
      </c>
      <c r="AB454" s="28">
        <f ca="1">IF(X454=1,COUNTIFS($F$2:F454,F454,$X$2:X454,1),0)</f>
        <v>0</v>
      </c>
      <c r="AC454" s="28" t="str">
        <f>IF(L454=1,IF(IFERROR(INDEX(PARTNERS!$C$2:$C$88,MATCH(B454,PARTNERS!$A$2:$A$88,0)),"")="YES","YES","NO"),"")</f>
        <v>YES</v>
      </c>
      <c r="AD454" s="28" t="str">
        <f>IF(L454=1,IFERROR(INDEX(PARTNERS!$B$2:$B$88,MATCH(B454,PARTNERS!$A$2:$A$88,0)),""),"")</f>
        <v>https://calendly.com/partner073/interview</v>
      </c>
      <c r="AE454" s="28">
        <f ca="1">IF(X454=1,IFERROR(INDEX(SETTINGS!$B$34:$D$36,MATCH(I454,SETTINGS!$A$34:$A$36,0),MIN(Q454,2)+1),SETTINGS!$B$36),0)</f>
        <v>0</v>
      </c>
      <c r="AF454" s="28">
        <f t="shared" si="81"/>
        <v>1</v>
      </c>
      <c r="AG454" s="28">
        <f ca="1">IF(AND(Y454=1,AB454=1),ROUND(AA454*AE454*IF(AF454&gt;1,SETTINGS!$B$16,1)*IF(W454&lt;=SETTINGS!$B$14,SETTINGS!$B$15,1)*IF(AU454=1,SETTINGS!$B$21,1),6),0)</f>
        <v>0</v>
      </c>
      <c r="AH454" s="28" t="str">
        <f ca="1">IF(AG454&gt;0,COUNTIFS($Z$2:$Z$601,Z454,$AG$2:$AG$601,"&gt;"&amp;AG454)+COUNTIFS($Z$2:Z454,Z454,$AG$2:AG454,AG454),"")</f>
        <v/>
      </c>
      <c r="AI454" s="28" t="str">
        <f t="shared" ca="1" si="82"/>
        <v/>
      </c>
      <c r="AJ454" s="28" t="str">
        <f t="shared" ca="1" si="83"/>
        <v/>
      </c>
      <c r="AK454" s="28">
        <f>IF(L454=1,IF(COUNTIFS($F$2:F454,F454,$L$2:L454,1)=1,1,0),0)</f>
        <v>0</v>
      </c>
      <c r="AL454" s="28" t="str">
        <f>IF(B454="","",IF(K454="DUPLICATE","Duplicate (removed)",IF(AO454=1,"Scheduled within 24h",IF(M454=1,"Scheduled late",IF(K454="BAD CONTACT","Bad contact details",IF(O454=1,"Stopped / wrong number",IF(N454=1,"Not interested",IF(P454=1,"Partner has no slots",IF(SETTINGS!$B$4&gt;=V454,IF(Q454=0,"Missed deadline: never tried","Missed deadline: tried, not booked"),IF(Q454&gt;=SETTINGS!$B$6,"No reply after max tries","Open"))))))))))</f>
        <v>Stopped / wrong number</v>
      </c>
      <c r="AM454" s="46" t="str">
        <f>IF(M454=1,IF(_xlfn.MINIFS(LOG!$G$2:$G$2001,LOG!$C$2:$C$2001,F454,LOG!$E$2:$E$2001,B454,LOG!$D$2:$D$2001,"*BOOKED")=0,_xlfn.MINIFS(LOG!$G$2:$G$2001,LOG!$C$2:$C$2001,F454,LOG!$E$2:$E$2001,"",LOG!$D$2:$D$2001,"*BOOKED"),IF(_xlfn.MINIFS(LOG!$G$2:$G$2001,LOG!$C$2:$C$2001,F454,LOG!$E$2:$E$2001,"",LOG!$D$2:$D$2001,"*BOOKED")=0,_xlfn.MINIFS(LOG!$G$2:$G$2001,LOG!$C$2:$C$2001,F454,LOG!$E$2:$E$2001,B454,LOG!$D$2:$D$2001,"*BOOKED"),MIN(_xlfn.MINIFS(LOG!$G$2:$G$2001,LOG!$C$2:$C$2001,F454,LOG!$E$2:$E$2001,B454,LOG!$D$2:$D$2001,"*BOOKED"),_xlfn.MINIFS(LOG!$G$2:$G$2001,LOG!$C$2:$C$2001,F454,LOG!$E$2:$E$2001,"",LOG!$D$2:$D$2001,"*BOOKED")))),"")</f>
        <v/>
      </c>
      <c r="AN454" s="28" t="str">
        <f t="shared" si="84"/>
        <v/>
      </c>
      <c r="AO454" s="28">
        <f>IF(AND(M454=1,AN454&lt;&gt;""),IF(AN454&lt;=SETTINGS!$B$5,1,0),0)</f>
        <v>0</v>
      </c>
      <c r="AP454" s="28">
        <f>IF(M454=1,IF(COUNTIFS(LOG!$C$2:$C$2001,F454,LOG!$E$2:$E$2001,B454,LOG!$D$2:$D$2001,"BOOKED")+COUNTIFS(LOG!$C$2:$C$2001,F454,LOG!$E$2:$E$2001,"",LOG!$D$2:$D$2001,"BOOKED")&gt;0,1,0),0)</f>
        <v>0</v>
      </c>
      <c r="AQ454" s="28" t="str">
        <f t="shared" si="85"/>
        <v>Ishaan</v>
      </c>
      <c r="AR454" s="28" t="str">
        <f>IF(AND(AK454=1,K454="OK"),COUNTIFS($AK$2:AK454,1,$K$2:K454,"OK"),"")</f>
        <v/>
      </c>
      <c r="AS454" s="28" t="str">
        <f>IF(L454=1,IFERROR(INDEX(MESSAGES!$J$9:$J$1008,MATCH(F454,MESSAGES!$M$9:$M$1008,0))&amp;"",""),"")</f>
        <v/>
      </c>
      <c r="AT454" s="28" t="str">
        <f>IF(L454=1,IFERROR(INDEX(MESSAGES!$K$9:$K$1008,MATCH(F454,MESSAGES!$M$9:$M$1008,0))&amp;"",""),"")</f>
        <v/>
      </c>
      <c r="AU454" s="28">
        <f t="shared" ca="1" si="86"/>
        <v>0</v>
      </c>
      <c r="AV454" s="28" t="str">
        <f t="shared" si="87"/>
        <v>HOLD</v>
      </c>
    </row>
    <row r="455" spans="1:48" x14ac:dyDescent="0.35">
      <c r="A455" s="28">
        <v>454</v>
      </c>
      <c r="B455" s="28" t="str">
        <f>IF(INPUT!A455="","",TRIM(INPUT!A455))</f>
        <v>Partner 018</v>
      </c>
      <c r="C455" s="28" t="str">
        <f>IF(B455="","",INPUT!C455)</f>
        <v>interviewer1@partner018.example.com</v>
      </c>
      <c r="D455" s="28" t="str">
        <f>IF(B455="","",INPUT!D455)</f>
        <v>Diya M.</v>
      </c>
      <c r="E455" s="28" t="str">
        <f>IF(B455="","",INPUT!E455)</f>
        <v>diya.m331@example.com</v>
      </c>
      <c r="F455" s="43" t="str">
        <f>IF(B455="","",TRIM(INPUT!F455&amp;""))</f>
        <v>9000004310</v>
      </c>
      <c r="G455" s="28" t="str">
        <f>IF(B455="","",INPUT!H455)</f>
        <v>Round1</v>
      </c>
      <c r="H455" s="46">
        <f>IF(B455="","",INPUT!I455)</f>
        <v>46308.82708333333</v>
      </c>
      <c r="I455" s="28" t="str">
        <f>IF(B455="","",IF(INPUT!J455="","None",INPUT!J455))</f>
        <v>Opened</v>
      </c>
      <c r="J455" s="28" t="str">
        <f t="shared" si="77"/>
        <v>diya.m331@example.com|partner 018|Round1|interviewer1@partner018.example.com</v>
      </c>
      <c r="K455" s="28" t="str">
        <f>IF(B455="","",IF(SUMPRODUCT(($J$2:$J$601=J455)*($H$2:$H$601&lt;H455))+SUMPRODUCT(($J$2:J455=J455)*($H$2:H455=H455))-1&gt;0,"DUPLICATE",IF(AND(ISNUMBER(SEARCH("@",E455)),ISNUMBER(SEARCH(".",E455)),LEN(F455)=10,ISNUMBER(VALUE(F455))),"OK","BAD CONTACT")))</f>
        <v>OK</v>
      </c>
      <c r="L455" s="28">
        <f t="shared" si="78"/>
        <v>1</v>
      </c>
      <c r="M455" s="28">
        <f>IF(L455=1,IF(COUNTIFS(LOG!$C$2:$C$2001,F455,LOG!$E$2:$E$2001,B455,LOG!$D$2:$D$2001,"*BOOKED")+COUNTIFS(LOG!$C$2:$C$2001,F455,LOG!$E$2:$E$2001,"",LOG!$D$2:$D$2001,"*BOOKED")&gt;0,1,0),0)</f>
        <v>0</v>
      </c>
      <c r="N455" s="28">
        <f>IF(L455=1,IF(COUNTIFS(LOG!$C$2:$C$2001,F455,LOG!$E$2:$E$2001,B455,LOG!$D$2:$D$2001,"NOT_INTERESTED")+COUNTIFS(LOG!$C$2:$C$2001,F455,LOG!$E$2:$E$2001,"",LOG!$D$2:$D$2001,"NOT_INTERESTED")&gt;0,1,0),0)</f>
        <v>0</v>
      </c>
      <c r="O455" s="28">
        <f>IF(L455=1,IF(COUNTIFS(LOG!$C$2:$C$2001,F455,LOG!$D$2:$D$2001,"STOP")+COUNTIFS(LOG!$C$2:$C$2001,F455,LOG!$D$2:$D$2001,"WRONG_NUMBER")&gt;0,1,IF(ISNUMBER(SEARCH("STOP",AT455)),1,0)),0)</f>
        <v>0</v>
      </c>
      <c r="P455" s="28">
        <f>IF(L455=1,IF(IFERROR(INDEX(PARTNERS!$D$2:$D$88,MATCH(B455,PARTNERS!$A$2:$A$88,0)),"")="NO SLOTS",1,IF(AND(IFERROR(INDEX(PARTNERS!$D$2:$D$88,MATCH(B455,PARTNERS!$A$2:$A$88,0)),"")&lt;&gt;"REOPENED",COUNTIFS(LOG!$E$2:$E$2001,B455,LOG!$D$2:$D$2001,"NO_SLOTS")&gt;0),1,0)),0)</f>
        <v>0</v>
      </c>
      <c r="Q455" s="28">
        <f>IF(L455=1,COUNTIFS(LOG!$C$2:$C$2001,F455,LOG!$H$2:$H$2001,1),0)</f>
        <v>3</v>
      </c>
      <c r="R455" s="46">
        <f>IF(Q455&gt;0,_xlfn.MAXIFS(LOG!$G$2:$G$2001,LOG!$C$2:$C$2001,F455,LOG!$H$2:$H$2001,1),0)</f>
        <v>46309.717381614013</v>
      </c>
      <c r="S455" s="28" t="str">
        <f>IF(Q455&gt;0,IFERROR(INDEX(LOG!$D$2:$D$2001,MATCH(F455&amp;"|"&amp;Q455,LOG!$I$2:$I$2001,0)),""),"")</f>
        <v>NO_ANSWER</v>
      </c>
      <c r="T455" s="28">
        <f>IF(S455="",0,IFERROR(VLOOKUP(S455,LISTS!$A$2:$E$10,4,FALSE),0))</f>
        <v>120</v>
      </c>
      <c r="U455" s="46">
        <f t="shared" si="79"/>
        <v>46309.800714947349</v>
      </c>
      <c r="V455" s="46">
        <f>IF(L455=1,H455+SETTINGS!$B$5/24,"")</f>
        <v>46309.82708333333</v>
      </c>
      <c r="W455" s="28">
        <f ca="1">IF(L455=1,(V455-SETTINGS!$B$4)*24,"")</f>
        <v>-1.6666666720993817E-2</v>
      </c>
      <c r="X455" s="28">
        <f ca="1">IF(AND(L455=1,K455="OK",M455=0,N455=0,O455=0,P455=0,SETTINGS!$B$4&lt;V455,Q455&lt;SETTINGS!$B$6),1,0)</f>
        <v>0</v>
      </c>
      <c r="Y455" s="28">
        <f ca="1">IF(AND(X455=1,SETTINGS!$B$4&gt;=H455,SETTINGS!$B$4&gt;=U455,ROUND(MOD(SETTINGS!$B$4,1)*1440,0)&gt;=ROUND(SETTINGS!$B$7*1440,0),ROUND(MOD(SETTINGS!$B$4,1)*1440,0)&lt;ROUND(SETTINGS!$B$8*1440,0)),1,0)</f>
        <v>0</v>
      </c>
      <c r="Z455" s="28" t="str">
        <f ca="1">IF(B455="","",IF(ROUND(MOD(SETTINGS!$B$4,1)*1440,0)&lt;ROUND(SETTINGS!$B$11*1440,0),"Ram",IF(ROUND(MOD(SETTINGS!$B$4,1)*1440,0)&gt;=ROUND(SETTINGS!$B$10*1440,0),"Shyam",IF(MOD(IFERROR(VALUE(RIGHT(F455,2)),0),2)=0,"Ram","Shyam"))))</f>
        <v>Shyam</v>
      </c>
      <c r="AA455" s="28">
        <f t="shared" ca="1" si="80"/>
        <v>0</v>
      </c>
      <c r="AB455" s="28">
        <f ca="1">IF(X455=1,COUNTIFS($F$2:F455,F455,$X$2:X455,1),0)</f>
        <v>0</v>
      </c>
      <c r="AC455" s="28" t="str">
        <f>IF(L455=1,IF(IFERROR(INDEX(PARTNERS!$C$2:$C$88,MATCH(B455,PARTNERS!$A$2:$A$88,0)),"")="YES","YES","NO"),"")</f>
        <v>YES</v>
      </c>
      <c r="AD455" s="28" t="str">
        <f>IF(L455=1,IFERROR(INDEX(PARTNERS!$B$2:$B$88,MATCH(B455,PARTNERS!$A$2:$A$88,0)),""),"")</f>
        <v>https://calendly.com/partner018/interview</v>
      </c>
      <c r="AE455" s="28">
        <f ca="1">IF(X455=1,IFERROR(INDEX(SETTINGS!$B$34:$D$36,MATCH(I455,SETTINGS!$A$34:$A$36,0),MIN(Q455,2)+1),SETTINGS!$B$36),0)</f>
        <v>0</v>
      </c>
      <c r="AF455" s="28">
        <f t="shared" si="81"/>
        <v>1</v>
      </c>
      <c r="AG455" s="28">
        <f ca="1">IF(AND(Y455=1,AB455=1),ROUND(AA455*AE455*IF(AF455&gt;1,SETTINGS!$B$16,1)*IF(W455&lt;=SETTINGS!$B$14,SETTINGS!$B$15,1)*IF(AU455=1,SETTINGS!$B$21,1),6),0)</f>
        <v>0</v>
      </c>
      <c r="AH455" s="28" t="str">
        <f ca="1">IF(AG455&gt;0,COUNTIFS($Z$2:$Z$601,Z455,$AG$2:$AG$601,"&gt;"&amp;AG455)+COUNTIFS($Z$2:Z455,Z455,$AG$2:AG455,AG455),"")</f>
        <v/>
      </c>
      <c r="AI455" s="28" t="str">
        <f t="shared" ca="1" si="82"/>
        <v/>
      </c>
      <c r="AJ455" s="28" t="str">
        <f t="shared" ca="1" si="83"/>
        <v/>
      </c>
      <c r="AK455" s="28">
        <f>IF(L455=1,IF(COUNTIFS($F$2:F455,F455,$L$2:L455,1)=1,1,0),0)</f>
        <v>0</v>
      </c>
      <c r="AL455" s="28" t="str">
        <f ca="1">IF(B455="","",IF(K455="DUPLICATE","Duplicate (removed)",IF(AO455=1,"Scheduled within 24h",IF(M455=1,"Scheduled late",IF(K455="BAD CONTACT","Bad contact details",IF(O455=1,"Stopped / wrong number",IF(N455=1,"Not interested",IF(P455=1,"Partner has no slots",IF(SETTINGS!$B$4&gt;=V455,IF(Q455=0,"Missed deadline: never tried","Missed deadline: tried, not booked"),IF(Q455&gt;=SETTINGS!$B$6,"No reply after max tries","Open"))))))))))</f>
        <v>Missed deadline: tried, not booked</v>
      </c>
      <c r="AM455" s="46" t="str">
        <f>IF(M455=1,IF(_xlfn.MINIFS(LOG!$G$2:$G$2001,LOG!$C$2:$C$2001,F455,LOG!$E$2:$E$2001,B455,LOG!$D$2:$D$2001,"*BOOKED")=0,_xlfn.MINIFS(LOG!$G$2:$G$2001,LOG!$C$2:$C$2001,F455,LOG!$E$2:$E$2001,"",LOG!$D$2:$D$2001,"*BOOKED"),IF(_xlfn.MINIFS(LOG!$G$2:$G$2001,LOG!$C$2:$C$2001,F455,LOG!$E$2:$E$2001,"",LOG!$D$2:$D$2001,"*BOOKED")=0,_xlfn.MINIFS(LOG!$G$2:$G$2001,LOG!$C$2:$C$2001,F455,LOG!$E$2:$E$2001,B455,LOG!$D$2:$D$2001,"*BOOKED"),MIN(_xlfn.MINIFS(LOG!$G$2:$G$2001,LOG!$C$2:$C$2001,F455,LOG!$E$2:$E$2001,B455,LOG!$D$2:$D$2001,"*BOOKED"),_xlfn.MINIFS(LOG!$G$2:$G$2001,LOG!$C$2:$C$2001,F455,LOG!$E$2:$E$2001,"",LOG!$D$2:$D$2001,"*BOOKED")))),"")</f>
        <v/>
      </c>
      <c r="AN455" s="28" t="str">
        <f t="shared" si="84"/>
        <v/>
      </c>
      <c r="AO455" s="28">
        <f>IF(AND(M455=1,AN455&lt;&gt;""),IF(AN455&lt;=SETTINGS!$B$5,1,0),0)</f>
        <v>0</v>
      </c>
      <c r="AP455" s="28">
        <f>IF(M455=1,IF(COUNTIFS(LOG!$C$2:$C$2001,F455,LOG!$E$2:$E$2001,B455,LOG!$D$2:$D$2001,"BOOKED")+COUNTIFS(LOG!$C$2:$C$2001,F455,LOG!$E$2:$E$2001,"",LOG!$D$2:$D$2001,"BOOKED")&gt;0,1,0),0)</f>
        <v>0</v>
      </c>
      <c r="AQ455" s="28" t="str">
        <f t="shared" si="85"/>
        <v>Diya</v>
      </c>
      <c r="AR455" s="28" t="str">
        <f>IF(AND(AK455=1,K455="OK"),COUNTIFS($AK$2:AK455,1,$K$2:K455,"OK"),"")</f>
        <v/>
      </c>
      <c r="AS455" s="28" t="str">
        <f>IF(L455=1,IFERROR(INDEX(MESSAGES!$J$9:$J$1008,MATCH(F455,MESSAGES!$M$9:$M$1008,0))&amp;"",""),"")</f>
        <v/>
      </c>
      <c r="AT455" s="28" t="str">
        <f>IF(L455=1,IFERROR(INDEX(MESSAGES!$K$9:$K$1008,MATCH(F455,MESSAGES!$M$9:$M$1008,0))&amp;"",""),"")</f>
        <v/>
      </c>
      <c r="AU455" s="28">
        <f t="shared" ca="1" si="86"/>
        <v>0</v>
      </c>
      <c r="AV455" s="28" t="str">
        <f t="shared" si="87"/>
        <v>HOLD</v>
      </c>
    </row>
    <row r="456" spans="1:48" x14ac:dyDescent="0.35">
      <c r="A456" s="28">
        <v>455</v>
      </c>
      <c r="B456" s="28" t="str">
        <f>IF(INPUT!A456="","",TRIM(INPUT!A456))</f>
        <v>Partner 000</v>
      </c>
      <c r="C456" s="28" t="str">
        <f>IF(B456="","",INPUT!C456)</f>
        <v>interviewer2@partner000.example.com</v>
      </c>
      <c r="D456" s="28" t="str">
        <f>IF(B456="","",INPUT!D456)</f>
        <v>Arjun G.</v>
      </c>
      <c r="E456" s="28" t="str">
        <f>IF(B456="","",INPUT!E456)</f>
        <v>arjun.g188@example.com</v>
      </c>
      <c r="F456" s="43" t="str">
        <f>IF(B456="","",TRIM(INPUT!F456&amp;""))</f>
        <v>9000002451</v>
      </c>
      <c r="G456" s="28" t="str">
        <f>IF(B456="","",INPUT!H456)</f>
        <v>Round1</v>
      </c>
      <c r="H456" s="46">
        <f>IF(B456="","",INPUT!I456)</f>
        <v>46308.82708333333</v>
      </c>
      <c r="I456" s="28" t="str">
        <f>IF(B456="","",IF(INPUT!J456="","None",INPUT!J456))</f>
        <v>None</v>
      </c>
      <c r="J456" s="28" t="str">
        <f t="shared" si="77"/>
        <v>arjun.g188@example.com|partner 000|Round1|interviewer2@partner000.example.com</v>
      </c>
      <c r="K456" s="28" t="str">
        <f>IF(B456="","",IF(SUMPRODUCT(($J$2:$J$601=J456)*($H$2:$H$601&lt;H456))+SUMPRODUCT(($J$2:J456=J456)*($H$2:H456=H456))-1&gt;0,"DUPLICATE",IF(AND(ISNUMBER(SEARCH("@",E456)),ISNUMBER(SEARCH(".",E456)),LEN(F456)=10,ISNUMBER(VALUE(F456))),"OK","BAD CONTACT")))</f>
        <v>OK</v>
      </c>
      <c r="L456" s="28">
        <f t="shared" si="78"/>
        <v>1</v>
      </c>
      <c r="M456" s="28">
        <f>IF(L456=1,IF(COUNTIFS(LOG!$C$2:$C$2001,F456,LOG!$E$2:$E$2001,B456,LOG!$D$2:$D$2001,"*BOOKED")+COUNTIFS(LOG!$C$2:$C$2001,F456,LOG!$E$2:$E$2001,"",LOG!$D$2:$D$2001,"*BOOKED")&gt;0,1,0),0)</f>
        <v>0</v>
      </c>
      <c r="N456" s="28">
        <f>IF(L456=1,IF(COUNTIFS(LOG!$C$2:$C$2001,F456,LOG!$E$2:$E$2001,B456,LOG!$D$2:$D$2001,"NOT_INTERESTED")+COUNTIFS(LOG!$C$2:$C$2001,F456,LOG!$E$2:$E$2001,"",LOG!$D$2:$D$2001,"NOT_INTERESTED")&gt;0,1,0),0)</f>
        <v>0</v>
      </c>
      <c r="O456" s="28">
        <f>IF(L456=1,IF(COUNTIFS(LOG!$C$2:$C$2001,F456,LOG!$D$2:$D$2001,"STOP")+COUNTIFS(LOG!$C$2:$C$2001,F456,LOG!$D$2:$D$2001,"WRONG_NUMBER")&gt;0,1,IF(ISNUMBER(SEARCH("STOP",AT456)),1,0)),0)</f>
        <v>0</v>
      </c>
      <c r="P456" s="28">
        <f>IF(L456=1,IF(IFERROR(INDEX(PARTNERS!$D$2:$D$88,MATCH(B456,PARTNERS!$A$2:$A$88,0)),"")="NO SLOTS",1,IF(AND(IFERROR(INDEX(PARTNERS!$D$2:$D$88,MATCH(B456,PARTNERS!$A$2:$A$88,0)),"")&lt;&gt;"REOPENED",COUNTIFS(LOG!$E$2:$E$2001,B456,LOG!$D$2:$D$2001,"NO_SLOTS")&gt;0),1,0)),0)</f>
        <v>0</v>
      </c>
      <c r="Q456" s="28">
        <f>IF(L456=1,COUNTIFS(LOG!$C$2:$C$2001,F456,LOG!$H$2:$H$2001,1),0)</f>
        <v>0</v>
      </c>
      <c r="R456" s="46">
        <f>IF(Q456&gt;0,_xlfn.MAXIFS(LOG!$G$2:$G$2001,LOG!$C$2:$C$2001,F456,LOG!$H$2:$H$2001,1),0)</f>
        <v>0</v>
      </c>
      <c r="S456" s="28" t="str">
        <f>IF(Q456&gt;0,IFERROR(INDEX(LOG!$D$2:$D$2001,MATCH(F456&amp;"|"&amp;Q456,LOG!$I$2:$I$2001,0)),""),"")</f>
        <v/>
      </c>
      <c r="T456" s="28">
        <f>IF(S456="",0,IFERROR(VLOOKUP(S456,LISTS!$A$2:$E$10,4,FALSE),0))</f>
        <v>0</v>
      </c>
      <c r="U456" s="46">
        <f t="shared" si="79"/>
        <v>0</v>
      </c>
      <c r="V456" s="46">
        <f>IF(L456=1,H456+SETTINGS!$B$5/24,"")</f>
        <v>46309.82708333333</v>
      </c>
      <c r="W456" s="28">
        <f ca="1">IF(L456=1,(V456-SETTINGS!$B$4)*24,"")</f>
        <v>-1.6666666720993817E-2</v>
      </c>
      <c r="X456" s="28">
        <f ca="1">IF(AND(L456=1,K456="OK",M456=0,N456=0,O456=0,P456=0,SETTINGS!$B$4&lt;V456,Q456&lt;SETTINGS!$B$6),1,0)</f>
        <v>0</v>
      </c>
      <c r="Y456" s="28">
        <f ca="1">IF(AND(X456=1,SETTINGS!$B$4&gt;=H456,SETTINGS!$B$4&gt;=U456,ROUND(MOD(SETTINGS!$B$4,1)*1440,0)&gt;=ROUND(SETTINGS!$B$7*1440,0),ROUND(MOD(SETTINGS!$B$4,1)*1440,0)&lt;ROUND(SETTINGS!$B$8*1440,0)),1,0)</f>
        <v>0</v>
      </c>
      <c r="Z456" s="28" t="str">
        <f ca="1">IF(B456="","",IF(ROUND(MOD(SETTINGS!$B$4,1)*1440,0)&lt;ROUND(SETTINGS!$B$11*1440,0),"Ram",IF(ROUND(MOD(SETTINGS!$B$4,1)*1440,0)&gt;=ROUND(SETTINGS!$B$10*1440,0),"Shyam",IF(MOD(IFERROR(VALUE(RIGHT(F456,2)),0),2)=0,"Ram","Shyam"))))</f>
        <v>Shyam</v>
      </c>
      <c r="AA456" s="28">
        <f t="shared" ca="1" si="80"/>
        <v>0</v>
      </c>
      <c r="AB456" s="28">
        <f ca="1">IF(X456=1,COUNTIFS($F$2:F456,F456,$X$2:X456,1),0)</f>
        <v>0</v>
      </c>
      <c r="AC456" s="28" t="str">
        <f>IF(L456=1,IF(IFERROR(INDEX(PARTNERS!$C$2:$C$88,MATCH(B456,PARTNERS!$A$2:$A$88,0)),"")="YES","YES","NO"),"")</f>
        <v>NO</v>
      </c>
      <c r="AD456" s="28" t="str">
        <f>IF(L456=1,IFERROR(INDEX(PARTNERS!$B$2:$B$88,MATCH(B456,PARTNERS!$A$2:$A$88,0)),""),"")</f>
        <v>https://calendly.com/partner000/interview</v>
      </c>
      <c r="AE456" s="28">
        <f ca="1">IF(X456=1,IFERROR(INDEX(SETTINGS!$B$34:$D$36,MATCH(I456,SETTINGS!$A$34:$A$36,0),MIN(Q456,2)+1),SETTINGS!$B$36),0)</f>
        <v>0</v>
      </c>
      <c r="AF456" s="28">
        <f t="shared" si="81"/>
        <v>1</v>
      </c>
      <c r="AG456" s="28">
        <f ca="1">IF(AND(Y456=1,AB456=1),ROUND(AA456*AE456*IF(AF456&gt;1,SETTINGS!$B$16,1)*IF(W456&lt;=SETTINGS!$B$14,SETTINGS!$B$15,1)*IF(AU456=1,SETTINGS!$B$21,1),6),0)</f>
        <v>0</v>
      </c>
      <c r="AH456" s="28" t="str">
        <f ca="1">IF(AG456&gt;0,COUNTIFS($Z$2:$Z$601,Z456,$AG$2:$AG$601,"&gt;"&amp;AG456)+COUNTIFS($Z$2:Z456,Z456,$AG$2:AG456,AG456),"")</f>
        <v/>
      </c>
      <c r="AI456" s="28" t="str">
        <f t="shared" ca="1" si="82"/>
        <v/>
      </c>
      <c r="AJ456" s="28" t="str">
        <f t="shared" ca="1" si="83"/>
        <v/>
      </c>
      <c r="AK456" s="28">
        <f>IF(L456=1,IF(COUNTIFS($F$2:F456,F456,$L$2:L456,1)=1,1,0),0)</f>
        <v>1</v>
      </c>
      <c r="AL456" s="28" t="str">
        <f ca="1">IF(B456="","",IF(K456="DUPLICATE","Duplicate (removed)",IF(AO456=1,"Scheduled within 24h",IF(M456=1,"Scheduled late",IF(K456="BAD CONTACT","Bad contact details",IF(O456=1,"Stopped / wrong number",IF(N456=1,"Not interested",IF(P456=1,"Partner has no slots",IF(SETTINGS!$B$4&gt;=V456,IF(Q456=0,"Missed deadline: never tried","Missed deadline: tried, not booked"),IF(Q456&gt;=SETTINGS!$B$6,"No reply after max tries","Open"))))))))))</f>
        <v>Missed deadline: never tried</v>
      </c>
      <c r="AM456" s="46" t="str">
        <f>IF(M456=1,IF(_xlfn.MINIFS(LOG!$G$2:$G$2001,LOG!$C$2:$C$2001,F456,LOG!$E$2:$E$2001,B456,LOG!$D$2:$D$2001,"*BOOKED")=0,_xlfn.MINIFS(LOG!$G$2:$G$2001,LOG!$C$2:$C$2001,F456,LOG!$E$2:$E$2001,"",LOG!$D$2:$D$2001,"*BOOKED"),IF(_xlfn.MINIFS(LOG!$G$2:$G$2001,LOG!$C$2:$C$2001,F456,LOG!$E$2:$E$2001,"",LOG!$D$2:$D$2001,"*BOOKED")=0,_xlfn.MINIFS(LOG!$G$2:$G$2001,LOG!$C$2:$C$2001,F456,LOG!$E$2:$E$2001,B456,LOG!$D$2:$D$2001,"*BOOKED"),MIN(_xlfn.MINIFS(LOG!$G$2:$G$2001,LOG!$C$2:$C$2001,F456,LOG!$E$2:$E$2001,B456,LOG!$D$2:$D$2001,"*BOOKED"),_xlfn.MINIFS(LOG!$G$2:$G$2001,LOG!$C$2:$C$2001,F456,LOG!$E$2:$E$2001,"",LOG!$D$2:$D$2001,"*BOOKED")))),"")</f>
        <v/>
      </c>
      <c r="AN456" s="28" t="str">
        <f t="shared" si="84"/>
        <v/>
      </c>
      <c r="AO456" s="28">
        <f>IF(AND(M456=1,AN456&lt;&gt;""),IF(AN456&lt;=SETTINGS!$B$5,1,0),0)</f>
        <v>0</v>
      </c>
      <c r="AP456" s="28">
        <f>IF(M456=1,IF(COUNTIFS(LOG!$C$2:$C$2001,F456,LOG!$E$2:$E$2001,B456,LOG!$D$2:$D$2001,"BOOKED")+COUNTIFS(LOG!$C$2:$C$2001,F456,LOG!$E$2:$E$2001,"",LOG!$D$2:$D$2001,"BOOKED")&gt;0,1,0),0)</f>
        <v>0</v>
      </c>
      <c r="AQ456" s="28" t="str">
        <f t="shared" si="85"/>
        <v>Arjun</v>
      </c>
      <c r="AR456" s="28">
        <f>IF(AND(AK456=1,K456="OK"),COUNTIFS($AK$2:AK456,1,$K$2:K456,"OK"),"")</f>
        <v>372</v>
      </c>
      <c r="AS456" s="28" t="str">
        <f>IF(L456=1,IFERROR(INDEX(MESSAGES!$J$9:$J$1008,MATCH(F456,MESSAGES!$M$9:$M$1008,0))&amp;"",""),"")</f>
        <v/>
      </c>
      <c r="AT456" s="28" t="str">
        <f>IF(L456=1,IFERROR(INDEX(MESSAGES!$K$9:$K$1008,MATCH(F456,MESSAGES!$M$9:$M$1008,0))&amp;"",""),"")</f>
        <v/>
      </c>
      <c r="AU456" s="28">
        <f t="shared" ca="1" si="86"/>
        <v>0</v>
      </c>
      <c r="AV456" s="28" t="str">
        <f t="shared" si="87"/>
        <v>HOLD</v>
      </c>
    </row>
    <row r="457" spans="1:48" x14ac:dyDescent="0.35">
      <c r="A457" s="28">
        <v>456</v>
      </c>
      <c r="B457" s="28" t="str">
        <f>IF(INPUT!A457="","",TRIM(INPUT!A457))</f>
        <v>Partner 000</v>
      </c>
      <c r="C457" s="28" t="str">
        <f>IF(B457="","",INPUT!C457)</f>
        <v>interviewer1@partner000.example.com</v>
      </c>
      <c r="D457" s="28" t="str">
        <f>IF(B457="","",INPUT!D457)</f>
        <v>Riya F.</v>
      </c>
      <c r="E457" s="28" t="str">
        <f>IF(B457="","",INPUT!E457)</f>
        <v>riya.f169@example.com</v>
      </c>
      <c r="F457" s="43" t="str">
        <f>IF(B457="","",TRIM(INPUT!F457&amp;""))</f>
        <v>9000002204</v>
      </c>
      <c r="G457" s="28" t="str">
        <f>IF(B457="","",INPUT!H457)</f>
        <v>Round1</v>
      </c>
      <c r="H457" s="46">
        <f>IF(B457="","",INPUT!I457)</f>
        <v>46308.82708333333</v>
      </c>
      <c r="I457" s="28" t="str">
        <f>IF(B457="","",IF(INPUT!J457="","None",INPUT!J457))</f>
        <v>Opened</v>
      </c>
      <c r="J457" s="28" t="str">
        <f t="shared" si="77"/>
        <v>riya.f169@example.com|partner 000|Round1|interviewer1@partner000.example.com</v>
      </c>
      <c r="K457" s="28" t="str">
        <f>IF(B457="","",IF(SUMPRODUCT(($J$2:$J$601=J457)*($H$2:$H$601&lt;H457))+SUMPRODUCT(($J$2:J457=J457)*($H$2:H457=H457))-1&gt;0,"DUPLICATE",IF(AND(ISNUMBER(SEARCH("@",E457)),ISNUMBER(SEARCH(".",E457)),LEN(F457)=10,ISNUMBER(VALUE(F457))),"OK","BAD CONTACT")))</f>
        <v>OK</v>
      </c>
      <c r="L457" s="28">
        <f t="shared" si="78"/>
        <v>1</v>
      </c>
      <c r="M457" s="28">
        <f>IF(L457=1,IF(COUNTIFS(LOG!$C$2:$C$2001,F457,LOG!$E$2:$E$2001,B457,LOG!$D$2:$D$2001,"*BOOKED")+COUNTIFS(LOG!$C$2:$C$2001,F457,LOG!$E$2:$E$2001,"",LOG!$D$2:$D$2001,"*BOOKED")&gt;0,1,0),0)</f>
        <v>0</v>
      </c>
      <c r="N457" s="28">
        <f>IF(L457=1,IF(COUNTIFS(LOG!$C$2:$C$2001,F457,LOG!$E$2:$E$2001,B457,LOG!$D$2:$D$2001,"NOT_INTERESTED")+COUNTIFS(LOG!$C$2:$C$2001,F457,LOG!$E$2:$E$2001,"",LOG!$D$2:$D$2001,"NOT_INTERESTED")&gt;0,1,0),0)</f>
        <v>0</v>
      </c>
      <c r="O457" s="28">
        <f>IF(L457=1,IF(COUNTIFS(LOG!$C$2:$C$2001,F457,LOG!$D$2:$D$2001,"STOP")+COUNTIFS(LOG!$C$2:$C$2001,F457,LOG!$D$2:$D$2001,"WRONG_NUMBER")&gt;0,1,IF(ISNUMBER(SEARCH("STOP",AT457)),1,0)),0)</f>
        <v>0</v>
      </c>
      <c r="P457" s="28">
        <f>IF(L457=1,IF(IFERROR(INDEX(PARTNERS!$D$2:$D$88,MATCH(B457,PARTNERS!$A$2:$A$88,0)),"")="NO SLOTS",1,IF(AND(IFERROR(INDEX(PARTNERS!$D$2:$D$88,MATCH(B457,PARTNERS!$A$2:$A$88,0)),"")&lt;&gt;"REOPENED",COUNTIFS(LOG!$E$2:$E$2001,B457,LOG!$D$2:$D$2001,"NO_SLOTS")&gt;0),1,0)),0)</f>
        <v>0</v>
      </c>
      <c r="Q457" s="28">
        <f>IF(L457=1,COUNTIFS(LOG!$C$2:$C$2001,F457,LOG!$H$2:$H$2001,1),0)</f>
        <v>0</v>
      </c>
      <c r="R457" s="46">
        <f>IF(Q457&gt;0,_xlfn.MAXIFS(LOG!$G$2:$G$2001,LOG!$C$2:$C$2001,F457,LOG!$H$2:$H$2001,1),0)</f>
        <v>0</v>
      </c>
      <c r="S457" s="28" t="str">
        <f>IF(Q457&gt;0,IFERROR(INDEX(LOG!$D$2:$D$2001,MATCH(F457&amp;"|"&amp;Q457,LOG!$I$2:$I$2001,0)),""),"")</f>
        <v/>
      </c>
      <c r="T457" s="28">
        <f>IF(S457="",0,IFERROR(VLOOKUP(S457,LISTS!$A$2:$E$10,4,FALSE),0))</f>
        <v>0</v>
      </c>
      <c r="U457" s="46">
        <f t="shared" si="79"/>
        <v>0</v>
      </c>
      <c r="V457" s="46">
        <f>IF(L457=1,H457+SETTINGS!$B$5/24,"")</f>
        <v>46309.82708333333</v>
      </c>
      <c r="W457" s="28">
        <f ca="1">IF(L457=1,(V457-SETTINGS!$B$4)*24,"")</f>
        <v>-1.6666666720993817E-2</v>
      </c>
      <c r="X457" s="28">
        <f ca="1">IF(AND(L457=1,K457="OK",M457=0,N457=0,O457=0,P457=0,SETTINGS!$B$4&lt;V457,Q457&lt;SETTINGS!$B$6),1,0)</f>
        <v>0</v>
      </c>
      <c r="Y457" s="28">
        <f ca="1">IF(AND(X457=1,SETTINGS!$B$4&gt;=H457,SETTINGS!$B$4&gt;=U457,ROUND(MOD(SETTINGS!$B$4,1)*1440,0)&gt;=ROUND(SETTINGS!$B$7*1440,0),ROUND(MOD(SETTINGS!$B$4,1)*1440,0)&lt;ROUND(SETTINGS!$B$8*1440,0)),1,0)</f>
        <v>0</v>
      </c>
      <c r="Z457" s="28" t="str">
        <f ca="1">IF(B457="","",IF(ROUND(MOD(SETTINGS!$B$4,1)*1440,0)&lt;ROUND(SETTINGS!$B$11*1440,0),"Ram",IF(ROUND(MOD(SETTINGS!$B$4,1)*1440,0)&gt;=ROUND(SETTINGS!$B$10*1440,0),"Shyam",IF(MOD(IFERROR(VALUE(RIGHT(F457,2)),0),2)=0,"Ram","Shyam"))))</f>
        <v>Shyam</v>
      </c>
      <c r="AA457" s="28">
        <f t="shared" ca="1" si="80"/>
        <v>0</v>
      </c>
      <c r="AB457" s="28">
        <f ca="1">IF(X457=1,COUNTIFS($F$2:F457,F457,$X$2:X457,1),0)</f>
        <v>0</v>
      </c>
      <c r="AC457" s="28" t="str">
        <f>IF(L457=1,IF(IFERROR(INDEX(PARTNERS!$C$2:$C$88,MATCH(B457,PARTNERS!$A$2:$A$88,0)),"")="YES","YES","NO"),"")</f>
        <v>NO</v>
      </c>
      <c r="AD457" s="28" t="str">
        <f>IF(L457=1,IFERROR(INDEX(PARTNERS!$B$2:$B$88,MATCH(B457,PARTNERS!$A$2:$A$88,0)),""),"")</f>
        <v>https://calendly.com/partner000/interview</v>
      </c>
      <c r="AE457" s="28">
        <f ca="1">IF(X457=1,IFERROR(INDEX(SETTINGS!$B$34:$D$36,MATCH(I457,SETTINGS!$A$34:$A$36,0),MIN(Q457,2)+1),SETTINGS!$B$36),0)</f>
        <v>0</v>
      </c>
      <c r="AF457" s="28">
        <f t="shared" si="81"/>
        <v>1</v>
      </c>
      <c r="AG457" s="28">
        <f ca="1">IF(AND(Y457=1,AB457=1),ROUND(AA457*AE457*IF(AF457&gt;1,SETTINGS!$B$16,1)*IF(W457&lt;=SETTINGS!$B$14,SETTINGS!$B$15,1)*IF(AU457=1,SETTINGS!$B$21,1),6),0)</f>
        <v>0</v>
      </c>
      <c r="AH457" s="28" t="str">
        <f ca="1">IF(AG457&gt;0,COUNTIFS($Z$2:$Z$601,Z457,$AG$2:$AG$601,"&gt;"&amp;AG457)+COUNTIFS($Z$2:Z457,Z457,$AG$2:AG457,AG457),"")</f>
        <v/>
      </c>
      <c r="AI457" s="28" t="str">
        <f t="shared" ca="1" si="82"/>
        <v/>
      </c>
      <c r="AJ457" s="28" t="str">
        <f t="shared" ca="1" si="83"/>
        <v/>
      </c>
      <c r="AK457" s="28">
        <f>IF(L457=1,IF(COUNTIFS($F$2:F457,F457,$L$2:L457,1)=1,1,0),0)</f>
        <v>1</v>
      </c>
      <c r="AL457" s="28" t="str">
        <f ca="1">IF(B457="","",IF(K457="DUPLICATE","Duplicate (removed)",IF(AO457=1,"Scheduled within 24h",IF(M457=1,"Scheduled late",IF(K457="BAD CONTACT","Bad contact details",IF(O457=1,"Stopped / wrong number",IF(N457=1,"Not interested",IF(P457=1,"Partner has no slots",IF(SETTINGS!$B$4&gt;=V457,IF(Q457=0,"Missed deadline: never tried","Missed deadline: tried, not booked"),IF(Q457&gt;=SETTINGS!$B$6,"No reply after max tries","Open"))))))))))</f>
        <v>Missed deadline: never tried</v>
      </c>
      <c r="AM457" s="46" t="str">
        <f>IF(M457=1,IF(_xlfn.MINIFS(LOG!$G$2:$G$2001,LOG!$C$2:$C$2001,F457,LOG!$E$2:$E$2001,B457,LOG!$D$2:$D$2001,"*BOOKED")=0,_xlfn.MINIFS(LOG!$G$2:$G$2001,LOG!$C$2:$C$2001,F457,LOG!$E$2:$E$2001,"",LOG!$D$2:$D$2001,"*BOOKED"),IF(_xlfn.MINIFS(LOG!$G$2:$G$2001,LOG!$C$2:$C$2001,F457,LOG!$E$2:$E$2001,"",LOG!$D$2:$D$2001,"*BOOKED")=0,_xlfn.MINIFS(LOG!$G$2:$G$2001,LOG!$C$2:$C$2001,F457,LOG!$E$2:$E$2001,B457,LOG!$D$2:$D$2001,"*BOOKED"),MIN(_xlfn.MINIFS(LOG!$G$2:$G$2001,LOG!$C$2:$C$2001,F457,LOG!$E$2:$E$2001,B457,LOG!$D$2:$D$2001,"*BOOKED"),_xlfn.MINIFS(LOG!$G$2:$G$2001,LOG!$C$2:$C$2001,F457,LOG!$E$2:$E$2001,"",LOG!$D$2:$D$2001,"*BOOKED")))),"")</f>
        <v/>
      </c>
      <c r="AN457" s="28" t="str">
        <f t="shared" si="84"/>
        <v/>
      </c>
      <c r="AO457" s="28">
        <f>IF(AND(M457=1,AN457&lt;&gt;""),IF(AN457&lt;=SETTINGS!$B$5,1,0),0)</f>
        <v>0</v>
      </c>
      <c r="AP457" s="28">
        <f>IF(M457=1,IF(COUNTIFS(LOG!$C$2:$C$2001,F457,LOG!$E$2:$E$2001,B457,LOG!$D$2:$D$2001,"BOOKED")+COUNTIFS(LOG!$C$2:$C$2001,F457,LOG!$E$2:$E$2001,"",LOG!$D$2:$D$2001,"BOOKED")&gt;0,1,0),0)</f>
        <v>0</v>
      </c>
      <c r="AQ457" s="28" t="str">
        <f t="shared" si="85"/>
        <v>Riya</v>
      </c>
      <c r="AR457" s="28">
        <f>IF(AND(AK457=1,K457="OK"),COUNTIFS($AK$2:AK457,1,$K$2:K457,"OK"),"")</f>
        <v>373</v>
      </c>
      <c r="AS457" s="28" t="str">
        <f>IF(L457=1,IFERROR(INDEX(MESSAGES!$J$9:$J$1008,MATCH(F457,MESSAGES!$M$9:$M$1008,0))&amp;"",""),"")</f>
        <v/>
      </c>
      <c r="AT457" s="28" t="str">
        <f>IF(L457=1,IFERROR(INDEX(MESSAGES!$K$9:$K$1008,MATCH(F457,MESSAGES!$M$9:$M$1008,0))&amp;"",""),"")</f>
        <v/>
      </c>
      <c r="AU457" s="28">
        <f t="shared" ca="1" si="86"/>
        <v>0</v>
      </c>
      <c r="AV457" s="28" t="str">
        <f t="shared" si="87"/>
        <v>SEND</v>
      </c>
    </row>
    <row r="458" spans="1:48" x14ac:dyDescent="0.35">
      <c r="A458" s="28">
        <v>457</v>
      </c>
      <c r="B458" s="28" t="str">
        <f>IF(INPUT!A458="","",TRIM(INPUT!A458))</f>
        <v>Partner 003</v>
      </c>
      <c r="C458" s="28" t="str">
        <f>IF(B458="","",INPUT!C458)</f>
        <v>interviewer2@partner003.example.com</v>
      </c>
      <c r="D458" s="28" t="str">
        <f>IF(B458="","",INPUT!D458)</f>
        <v>Sneha E.</v>
      </c>
      <c r="E458" s="28" t="str">
        <f>IF(B458="","",INPUT!E458)</f>
        <v>sneha.e143@example.com</v>
      </c>
      <c r="F458" s="43" t="str">
        <f>IF(B458="","",TRIM(INPUT!F458&amp;""))</f>
        <v>9000001866</v>
      </c>
      <c r="G458" s="28" t="str">
        <f>IF(B458="","",INPUT!H458)</f>
        <v>Round1</v>
      </c>
      <c r="H458" s="46">
        <f>IF(B458="","",INPUT!I458)</f>
        <v>46308.82708333333</v>
      </c>
      <c r="I458" s="28" t="str">
        <f>IF(B458="","",IF(INPUT!J458="","None",INPUT!J458))</f>
        <v>Opened</v>
      </c>
      <c r="J458" s="28" t="str">
        <f t="shared" si="77"/>
        <v>sneha.e143@example.com|partner 003|Round1|interviewer2@partner003.example.com</v>
      </c>
      <c r="K458" s="28" t="str">
        <f>IF(B458="","",IF(SUMPRODUCT(($J$2:$J$601=J458)*($H$2:$H$601&lt;H458))+SUMPRODUCT(($J$2:J458=J458)*($H$2:H458=H458))-1&gt;0,"DUPLICATE",IF(AND(ISNUMBER(SEARCH("@",E458)),ISNUMBER(SEARCH(".",E458)),LEN(F458)=10,ISNUMBER(VALUE(F458))),"OK","BAD CONTACT")))</f>
        <v>OK</v>
      </c>
      <c r="L458" s="28">
        <f t="shared" si="78"/>
        <v>1</v>
      </c>
      <c r="M458" s="28">
        <f>IF(L458=1,IF(COUNTIFS(LOG!$C$2:$C$2001,F458,LOG!$E$2:$E$2001,B458,LOG!$D$2:$D$2001,"*BOOKED")+COUNTIFS(LOG!$C$2:$C$2001,F458,LOG!$E$2:$E$2001,"",LOG!$D$2:$D$2001,"*BOOKED")&gt;0,1,0),0)</f>
        <v>0</v>
      </c>
      <c r="N458" s="28">
        <f>IF(L458=1,IF(COUNTIFS(LOG!$C$2:$C$2001,F458,LOG!$E$2:$E$2001,B458,LOG!$D$2:$D$2001,"NOT_INTERESTED")+COUNTIFS(LOG!$C$2:$C$2001,F458,LOG!$E$2:$E$2001,"",LOG!$D$2:$D$2001,"NOT_INTERESTED")&gt;0,1,0),0)</f>
        <v>0</v>
      </c>
      <c r="O458" s="28">
        <f>IF(L458=1,IF(COUNTIFS(LOG!$C$2:$C$2001,F458,LOG!$D$2:$D$2001,"STOP")+COUNTIFS(LOG!$C$2:$C$2001,F458,LOG!$D$2:$D$2001,"WRONG_NUMBER")&gt;0,1,IF(ISNUMBER(SEARCH("STOP",AT458)),1,0)),0)</f>
        <v>0</v>
      </c>
      <c r="P458" s="28">
        <f>IF(L458=1,IF(IFERROR(INDEX(PARTNERS!$D$2:$D$88,MATCH(B458,PARTNERS!$A$2:$A$88,0)),"")="NO SLOTS",1,IF(AND(IFERROR(INDEX(PARTNERS!$D$2:$D$88,MATCH(B458,PARTNERS!$A$2:$A$88,0)),"")&lt;&gt;"REOPENED",COUNTIFS(LOG!$E$2:$E$2001,B458,LOG!$D$2:$D$2001,"NO_SLOTS")&gt;0),1,0)),0)</f>
        <v>0</v>
      </c>
      <c r="Q458" s="28">
        <f>IF(L458=1,COUNTIFS(LOG!$C$2:$C$2001,F458,LOG!$H$2:$H$2001,1),0)</f>
        <v>0</v>
      </c>
      <c r="R458" s="46">
        <f>IF(Q458&gt;0,_xlfn.MAXIFS(LOG!$G$2:$G$2001,LOG!$C$2:$C$2001,F458,LOG!$H$2:$H$2001,1),0)</f>
        <v>0</v>
      </c>
      <c r="S458" s="28" t="str">
        <f>IF(Q458&gt;0,IFERROR(INDEX(LOG!$D$2:$D$2001,MATCH(F458&amp;"|"&amp;Q458,LOG!$I$2:$I$2001,0)),""),"")</f>
        <v/>
      </c>
      <c r="T458" s="28">
        <f>IF(S458="",0,IFERROR(VLOOKUP(S458,LISTS!$A$2:$E$10,4,FALSE),0))</f>
        <v>0</v>
      </c>
      <c r="U458" s="46">
        <f t="shared" si="79"/>
        <v>0</v>
      </c>
      <c r="V458" s="46">
        <f>IF(L458=1,H458+SETTINGS!$B$5/24,"")</f>
        <v>46309.82708333333</v>
      </c>
      <c r="W458" s="28">
        <f ca="1">IF(L458=1,(V458-SETTINGS!$B$4)*24,"")</f>
        <v>-1.6666666720993817E-2</v>
      </c>
      <c r="X458" s="28">
        <f ca="1">IF(AND(L458=1,K458="OK",M458=0,N458=0,O458=0,P458=0,SETTINGS!$B$4&lt;V458,Q458&lt;SETTINGS!$B$6),1,0)</f>
        <v>0</v>
      </c>
      <c r="Y458" s="28">
        <f ca="1">IF(AND(X458=1,SETTINGS!$B$4&gt;=H458,SETTINGS!$B$4&gt;=U458,ROUND(MOD(SETTINGS!$B$4,1)*1440,0)&gt;=ROUND(SETTINGS!$B$7*1440,0),ROUND(MOD(SETTINGS!$B$4,1)*1440,0)&lt;ROUND(SETTINGS!$B$8*1440,0)),1,0)</f>
        <v>0</v>
      </c>
      <c r="Z458" s="28" t="str">
        <f ca="1">IF(B458="","",IF(ROUND(MOD(SETTINGS!$B$4,1)*1440,0)&lt;ROUND(SETTINGS!$B$11*1440,0),"Ram",IF(ROUND(MOD(SETTINGS!$B$4,1)*1440,0)&gt;=ROUND(SETTINGS!$B$10*1440,0),"Shyam",IF(MOD(IFERROR(VALUE(RIGHT(F458,2)),0),2)=0,"Ram","Shyam"))))</f>
        <v>Shyam</v>
      </c>
      <c r="AA458" s="28">
        <f t="shared" ca="1" si="80"/>
        <v>0</v>
      </c>
      <c r="AB458" s="28">
        <f ca="1">IF(X458=1,COUNTIFS($F$2:F458,F458,$X$2:X458,1),0)</f>
        <v>0</v>
      </c>
      <c r="AC458" s="28" t="str">
        <f>IF(L458=1,IF(IFERROR(INDEX(PARTNERS!$C$2:$C$88,MATCH(B458,PARTNERS!$A$2:$A$88,0)),"")="YES","YES","NO"),"")</f>
        <v>NO</v>
      </c>
      <c r="AD458" s="28" t="str">
        <f>IF(L458=1,IFERROR(INDEX(PARTNERS!$B$2:$B$88,MATCH(B458,PARTNERS!$A$2:$A$88,0)),""),"")</f>
        <v>https://calendly.com/partner003/interview</v>
      </c>
      <c r="AE458" s="28">
        <f ca="1">IF(X458=1,IFERROR(INDEX(SETTINGS!$B$34:$D$36,MATCH(I458,SETTINGS!$A$34:$A$36,0),MIN(Q458,2)+1),SETTINGS!$B$36),0)</f>
        <v>0</v>
      </c>
      <c r="AF458" s="28">
        <f t="shared" si="81"/>
        <v>1</v>
      </c>
      <c r="AG458" s="28">
        <f ca="1">IF(AND(Y458=1,AB458=1),ROUND(AA458*AE458*IF(AF458&gt;1,SETTINGS!$B$16,1)*IF(W458&lt;=SETTINGS!$B$14,SETTINGS!$B$15,1)*IF(AU458=1,SETTINGS!$B$21,1),6),0)</f>
        <v>0</v>
      </c>
      <c r="AH458" s="28" t="str">
        <f ca="1">IF(AG458&gt;0,COUNTIFS($Z$2:$Z$601,Z458,$AG$2:$AG$601,"&gt;"&amp;AG458)+COUNTIFS($Z$2:Z458,Z458,$AG$2:AG458,AG458),"")</f>
        <v/>
      </c>
      <c r="AI458" s="28" t="str">
        <f t="shared" ca="1" si="82"/>
        <v/>
      </c>
      <c r="AJ458" s="28" t="str">
        <f t="shared" ca="1" si="83"/>
        <v/>
      </c>
      <c r="AK458" s="28">
        <f>IF(L458=1,IF(COUNTIFS($F$2:F458,F458,$L$2:L458,1)=1,1,0),0)</f>
        <v>1</v>
      </c>
      <c r="AL458" s="28" t="str">
        <f ca="1">IF(B458="","",IF(K458="DUPLICATE","Duplicate (removed)",IF(AO458=1,"Scheduled within 24h",IF(M458=1,"Scheduled late",IF(K458="BAD CONTACT","Bad contact details",IF(O458=1,"Stopped / wrong number",IF(N458=1,"Not interested",IF(P458=1,"Partner has no slots",IF(SETTINGS!$B$4&gt;=V458,IF(Q458=0,"Missed deadline: never tried","Missed deadline: tried, not booked"),IF(Q458&gt;=SETTINGS!$B$6,"No reply after max tries","Open"))))))))))</f>
        <v>Missed deadline: never tried</v>
      </c>
      <c r="AM458" s="46" t="str">
        <f>IF(M458=1,IF(_xlfn.MINIFS(LOG!$G$2:$G$2001,LOG!$C$2:$C$2001,F458,LOG!$E$2:$E$2001,B458,LOG!$D$2:$D$2001,"*BOOKED")=0,_xlfn.MINIFS(LOG!$G$2:$G$2001,LOG!$C$2:$C$2001,F458,LOG!$E$2:$E$2001,"",LOG!$D$2:$D$2001,"*BOOKED"),IF(_xlfn.MINIFS(LOG!$G$2:$G$2001,LOG!$C$2:$C$2001,F458,LOG!$E$2:$E$2001,"",LOG!$D$2:$D$2001,"*BOOKED")=0,_xlfn.MINIFS(LOG!$G$2:$G$2001,LOG!$C$2:$C$2001,F458,LOG!$E$2:$E$2001,B458,LOG!$D$2:$D$2001,"*BOOKED"),MIN(_xlfn.MINIFS(LOG!$G$2:$G$2001,LOG!$C$2:$C$2001,F458,LOG!$E$2:$E$2001,B458,LOG!$D$2:$D$2001,"*BOOKED"),_xlfn.MINIFS(LOG!$G$2:$G$2001,LOG!$C$2:$C$2001,F458,LOG!$E$2:$E$2001,"",LOG!$D$2:$D$2001,"*BOOKED")))),"")</f>
        <v/>
      </c>
      <c r="AN458" s="28" t="str">
        <f t="shared" si="84"/>
        <v/>
      </c>
      <c r="AO458" s="28">
        <f>IF(AND(M458=1,AN458&lt;&gt;""),IF(AN458&lt;=SETTINGS!$B$5,1,0),0)</f>
        <v>0</v>
      </c>
      <c r="AP458" s="28">
        <f>IF(M458=1,IF(COUNTIFS(LOG!$C$2:$C$2001,F458,LOG!$E$2:$E$2001,B458,LOG!$D$2:$D$2001,"BOOKED")+COUNTIFS(LOG!$C$2:$C$2001,F458,LOG!$E$2:$E$2001,"",LOG!$D$2:$D$2001,"BOOKED")&gt;0,1,0),0)</f>
        <v>0</v>
      </c>
      <c r="AQ458" s="28" t="str">
        <f t="shared" si="85"/>
        <v>Sneha</v>
      </c>
      <c r="AR458" s="28">
        <f>IF(AND(AK458=1,K458="OK"),COUNTIFS($AK$2:AK458,1,$K$2:K458,"OK"),"")</f>
        <v>374</v>
      </c>
      <c r="AS458" s="28" t="str">
        <f>IF(L458=1,IFERROR(INDEX(MESSAGES!$J$9:$J$1008,MATCH(F458,MESSAGES!$M$9:$M$1008,0))&amp;"",""),"")</f>
        <v/>
      </c>
      <c r="AT458" s="28" t="str">
        <f>IF(L458=1,IFERROR(INDEX(MESSAGES!$K$9:$K$1008,MATCH(F458,MESSAGES!$M$9:$M$1008,0))&amp;"",""),"")</f>
        <v/>
      </c>
      <c r="AU458" s="28">
        <f t="shared" ca="1" si="86"/>
        <v>0</v>
      </c>
      <c r="AV458" s="28" t="str">
        <f t="shared" si="87"/>
        <v>SEND</v>
      </c>
    </row>
    <row r="459" spans="1:48" x14ac:dyDescent="0.35">
      <c r="A459" s="28">
        <v>458</v>
      </c>
      <c r="B459" s="28" t="str">
        <f>IF(INPUT!A459="","",TRIM(INPUT!A459))</f>
        <v>Partner 004</v>
      </c>
      <c r="C459" s="28" t="str">
        <f>IF(B459="","",INPUT!C459)</f>
        <v>interviewer0@partner004.example.com</v>
      </c>
      <c r="D459" s="28" t="str">
        <f>IF(B459="","",INPUT!D459)</f>
        <v>Ishaan A.</v>
      </c>
      <c r="E459" s="28" t="str">
        <f>IF(B459="","",INPUT!E459)</f>
        <v>ishaan.a014@example.com</v>
      </c>
      <c r="F459" s="43" t="str">
        <f>IF(B459="","",TRIM(INPUT!F459&amp;""))</f>
        <v>9000000189</v>
      </c>
      <c r="G459" s="28" t="str">
        <f>IF(B459="","",INPUT!H459)</f>
        <v>Round1</v>
      </c>
      <c r="H459" s="46">
        <f>IF(B459="","",INPUT!I459)</f>
        <v>46308.82708333333</v>
      </c>
      <c r="I459" s="28" t="str">
        <f>IF(B459="","",IF(INPUT!J459="","None",INPUT!J459))</f>
        <v>None</v>
      </c>
      <c r="J459" s="28" t="str">
        <f t="shared" si="77"/>
        <v>ishaan.a014@example.com|partner 004|Round1|interviewer0@partner004.example.com</v>
      </c>
      <c r="K459" s="28" t="str">
        <f>IF(B459="","",IF(SUMPRODUCT(($J$2:$J$601=J459)*($H$2:$H$601&lt;H459))+SUMPRODUCT(($J$2:J459=J459)*($H$2:H459=H459))-1&gt;0,"DUPLICATE",IF(AND(ISNUMBER(SEARCH("@",E459)),ISNUMBER(SEARCH(".",E459)),LEN(F459)=10,ISNUMBER(VALUE(F459))),"OK","BAD CONTACT")))</f>
        <v>OK</v>
      </c>
      <c r="L459" s="28">
        <f t="shared" si="78"/>
        <v>1</v>
      </c>
      <c r="M459" s="28">
        <f>IF(L459=1,IF(COUNTIFS(LOG!$C$2:$C$2001,F459,LOG!$E$2:$E$2001,B459,LOG!$D$2:$D$2001,"*BOOKED")+COUNTIFS(LOG!$C$2:$C$2001,F459,LOG!$E$2:$E$2001,"",LOG!$D$2:$D$2001,"*BOOKED")&gt;0,1,0),0)</f>
        <v>0</v>
      </c>
      <c r="N459" s="28">
        <f>IF(L459=1,IF(COUNTIFS(LOG!$C$2:$C$2001,F459,LOG!$E$2:$E$2001,B459,LOG!$D$2:$D$2001,"NOT_INTERESTED")+COUNTIFS(LOG!$C$2:$C$2001,F459,LOG!$E$2:$E$2001,"",LOG!$D$2:$D$2001,"NOT_INTERESTED")&gt;0,1,0),0)</f>
        <v>0</v>
      </c>
      <c r="O459" s="28">
        <f>IF(L459=1,IF(COUNTIFS(LOG!$C$2:$C$2001,F459,LOG!$D$2:$D$2001,"STOP")+COUNTIFS(LOG!$C$2:$C$2001,F459,LOG!$D$2:$D$2001,"WRONG_NUMBER")&gt;0,1,IF(ISNUMBER(SEARCH("STOP",AT459)),1,0)),0)</f>
        <v>0</v>
      </c>
      <c r="P459" s="28">
        <f>IF(L459=1,IF(IFERROR(INDEX(PARTNERS!$D$2:$D$88,MATCH(B459,PARTNERS!$A$2:$A$88,0)),"")="NO SLOTS",1,IF(AND(IFERROR(INDEX(PARTNERS!$D$2:$D$88,MATCH(B459,PARTNERS!$A$2:$A$88,0)),"")&lt;&gt;"REOPENED",COUNTIFS(LOG!$E$2:$E$2001,B459,LOG!$D$2:$D$2001,"NO_SLOTS")&gt;0),1,0)),0)</f>
        <v>0</v>
      </c>
      <c r="Q459" s="28">
        <f>IF(L459=1,COUNTIFS(LOG!$C$2:$C$2001,F459,LOG!$H$2:$H$2001,1),0)</f>
        <v>0</v>
      </c>
      <c r="R459" s="46">
        <f>IF(Q459&gt;0,_xlfn.MAXIFS(LOG!$G$2:$G$2001,LOG!$C$2:$C$2001,F459,LOG!$H$2:$H$2001,1),0)</f>
        <v>0</v>
      </c>
      <c r="S459" s="28" t="str">
        <f>IF(Q459&gt;0,IFERROR(INDEX(LOG!$D$2:$D$2001,MATCH(F459&amp;"|"&amp;Q459,LOG!$I$2:$I$2001,0)),""),"")</f>
        <v/>
      </c>
      <c r="T459" s="28">
        <f>IF(S459="",0,IFERROR(VLOOKUP(S459,LISTS!$A$2:$E$10,4,FALSE),0))</f>
        <v>0</v>
      </c>
      <c r="U459" s="46">
        <f t="shared" si="79"/>
        <v>0</v>
      </c>
      <c r="V459" s="46">
        <f>IF(L459=1,H459+SETTINGS!$B$5/24,"")</f>
        <v>46309.82708333333</v>
      </c>
      <c r="W459" s="28">
        <f ca="1">IF(L459=1,(V459-SETTINGS!$B$4)*24,"")</f>
        <v>-1.6666666720993817E-2</v>
      </c>
      <c r="X459" s="28">
        <f ca="1">IF(AND(L459=1,K459="OK",M459=0,N459=0,O459=0,P459=0,SETTINGS!$B$4&lt;V459,Q459&lt;SETTINGS!$B$6),1,0)</f>
        <v>0</v>
      </c>
      <c r="Y459" s="28">
        <f ca="1">IF(AND(X459=1,SETTINGS!$B$4&gt;=H459,SETTINGS!$B$4&gt;=U459,ROUND(MOD(SETTINGS!$B$4,1)*1440,0)&gt;=ROUND(SETTINGS!$B$7*1440,0),ROUND(MOD(SETTINGS!$B$4,1)*1440,0)&lt;ROUND(SETTINGS!$B$8*1440,0)),1,0)</f>
        <v>0</v>
      </c>
      <c r="Z459" s="28" t="str">
        <f ca="1">IF(B459="","",IF(ROUND(MOD(SETTINGS!$B$4,1)*1440,0)&lt;ROUND(SETTINGS!$B$11*1440,0),"Ram",IF(ROUND(MOD(SETTINGS!$B$4,1)*1440,0)&gt;=ROUND(SETTINGS!$B$10*1440,0),"Shyam",IF(MOD(IFERROR(VALUE(RIGHT(F459,2)),0),2)=0,"Ram","Shyam"))))</f>
        <v>Shyam</v>
      </c>
      <c r="AA459" s="28">
        <f t="shared" ca="1" si="80"/>
        <v>0</v>
      </c>
      <c r="AB459" s="28">
        <f ca="1">IF(X459=1,COUNTIFS($F$2:F459,F459,$X$2:X459,1),0)</f>
        <v>0</v>
      </c>
      <c r="AC459" s="28" t="str">
        <f>IF(L459=1,IF(IFERROR(INDEX(PARTNERS!$C$2:$C$88,MATCH(B459,PARTNERS!$A$2:$A$88,0)),"")="YES","YES","NO"),"")</f>
        <v>YES</v>
      </c>
      <c r="AD459" s="28" t="str">
        <f>IF(L459=1,IFERROR(INDEX(PARTNERS!$B$2:$B$88,MATCH(B459,PARTNERS!$A$2:$A$88,0)),""),"")</f>
        <v>https://calendly.com/partner004/interview</v>
      </c>
      <c r="AE459" s="28">
        <f ca="1">IF(X459=1,IFERROR(INDEX(SETTINGS!$B$34:$D$36,MATCH(I459,SETTINGS!$A$34:$A$36,0),MIN(Q459,2)+1),SETTINGS!$B$36),0)</f>
        <v>0</v>
      </c>
      <c r="AF459" s="28">
        <f t="shared" si="81"/>
        <v>1</v>
      </c>
      <c r="AG459" s="28">
        <f ca="1">IF(AND(Y459=1,AB459=1),ROUND(AA459*AE459*IF(AF459&gt;1,SETTINGS!$B$16,1)*IF(W459&lt;=SETTINGS!$B$14,SETTINGS!$B$15,1)*IF(AU459=1,SETTINGS!$B$21,1),6),0)</f>
        <v>0</v>
      </c>
      <c r="AH459" s="28" t="str">
        <f ca="1">IF(AG459&gt;0,COUNTIFS($Z$2:$Z$601,Z459,$AG$2:$AG$601,"&gt;"&amp;AG459)+COUNTIFS($Z$2:Z459,Z459,$AG$2:AG459,AG459),"")</f>
        <v/>
      </c>
      <c r="AI459" s="28" t="str">
        <f t="shared" ca="1" si="82"/>
        <v/>
      </c>
      <c r="AJ459" s="28" t="str">
        <f t="shared" ca="1" si="83"/>
        <v/>
      </c>
      <c r="AK459" s="28">
        <f>IF(L459=1,IF(COUNTIFS($F$2:F459,F459,$L$2:L459,1)=1,1,0),0)</f>
        <v>1</v>
      </c>
      <c r="AL459" s="28" t="str">
        <f ca="1">IF(B459="","",IF(K459="DUPLICATE","Duplicate (removed)",IF(AO459=1,"Scheduled within 24h",IF(M459=1,"Scheduled late",IF(K459="BAD CONTACT","Bad contact details",IF(O459=1,"Stopped / wrong number",IF(N459=1,"Not interested",IF(P459=1,"Partner has no slots",IF(SETTINGS!$B$4&gt;=V459,IF(Q459=0,"Missed deadline: never tried","Missed deadline: tried, not booked"),IF(Q459&gt;=SETTINGS!$B$6,"No reply after max tries","Open"))))))))))</f>
        <v>Missed deadline: never tried</v>
      </c>
      <c r="AM459" s="46" t="str">
        <f>IF(M459=1,IF(_xlfn.MINIFS(LOG!$G$2:$G$2001,LOG!$C$2:$C$2001,F459,LOG!$E$2:$E$2001,B459,LOG!$D$2:$D$2001,"*BOOKED")=0,_xlfn.MINIFS(LOG!$G$2:$G$2001,LOG!$C$2:$C$2001,F459,LOG!$E$2:$E$2001,"",LOG!$D$2:$D$2001,"*BOOKED"),IF(_xlfn.MINIFS(LOG!$G$2:$G$2001,LOG!$C$2:$C$2001,F459,LOG!$E$2:$E$2001,"",LOG!$D$2:$D$2001,"*BOOKED")=0,_xlfn.MINIFS(LOG!$G$2:$G$2001,LOG!$C$2:$C$2001,F459,LOG!$E$2:$E$2001,B459,LOG!$D$2:$D$2001,"*BOOKED"),MIN(_xlfn.MINIFS(LOG!$G$2:$G$2001,LOG!$C$2:$C$2001,F459,LOG!$E$2:$E$2001,B459,LOG!$D$2:$D$2001,"*BOOKED"),_xlfn.MINIFS(LOG!$G$2:$G$2001,LOG!$C$2:$C$2001,F459,LOG!$E$2:$E$2001,"",LOG!$D$2:$D$2001,"*BOOKED")))),"")</f>
        <v/>
      </c>
      <c r="AN459" s="28" t="str">
        <f t="shared" si="84"/>
        <v/>
      </c>
      <c r="AO459" s="28">
        <f>IF(AND(M459=1,AN459&lt;&gt;""),IF(AN459&lt;=SETTINGS!$B$5,1,0),0)</f>
        <v>0</v>
      </c>
      <c r="AP459" s="28">
        <f>IF(M459=1,IF(COUNTIFS(LOG!$C$2:$C$2001,F459,LOG!$E$2:$E$2001,B459,LOG!$D$2:$D$2001,"BOOKED")+COUNTIFS(LOG!$C$2:$C$2001,F459,LOG!$E$2:$E$2001,"",LOG!$D$2:$D$2001,"BOOKED")&gt;0,1,0),0)</f>
        <v>0</v>
      </c>
      <c r="AQ459" s="28" t="str">
        <f t="shared" si="85"/>
        <v>Ishaan</v>
      </c>
      <c r="AR459" s="28">
        <f>IF(AND(AK459=1,K459="OK"),COUNTIFS($AK$2:AK459,1,$K$2:K459,"OK"),"")</f>
        <v>375</v>
      </c>
      <c r="AS459" s="28" t="str">
        <f>IF(L459=1,IFERROR(INDEX(MESSAGES!$J$9:$J$1008,MATCH(F459,MESSAGES!$M$9:$M$1008,0))&amp;"",""),"")</f>
        <v/>
      </c>
      <c r="AT459" s="28" t="str">
        <f>IF(L459=1,IFERROR(INDEX(MESSAGES!$K$9:$K$1008,MATCH(F459,MESSAGES!$M$9:$M$1008,0))&amp;"",""),"")</f>
        <v/>
      </c>
      <c r="AU459" s="28">
        <f t="shared" ca="1" si="86"/>
        <v>0</v>
      </c>
      <c r="AV459" s="28" t="str">
        <f t="shared" si="87"/>
        <v>SEND</v>
      </c>
    </row>
    <row r="460" spans="1:48" x14ac:dyDescent="0.35">
      <c r="A460" s="28">
        <v>459</v>
      </c>
      <c r="B460" s="28" t="str">
        <f>IF(INPUT!A460="","",TRIM(INPUT!A460))</f>
        <v>Partner 072</v>
      </c>
      <c r="C460" s="28" t="str">
        <f>IF(B460="","",INPUT!C460)</f>
        <v>interviewer2@partner072.example.com</v>
      </c>
      <c r="D460" s="28" t="str">
        <f>IF(B460="","",INPUT!D460)</f>
        <v>Kavya G.</v>
      </c>
      <c r="E460" s="28" t="str">
        <f>IF(B460="","",INPUT!E460)</f>
        <v>kavya.g209@example.com</v>
      </c>
      <c r="F460" s="43" t="str">
        <f>IF(B460="","",TRIM(INPUT!F460&amp;""))</f>
        <v>9000002724</v>
      </c>
      <c r="G460" s="28" t="str">
        <f>IF(B460="","",INPUT!H460)</f>
        <v>Round1</v>
      </c>
      <c r="H460" s="46">
        <f>IF(B460="","",INPUT!I460)</f>
        <v>46308.82708333333</v>
      </c>
      <c r="I460" s="28" t="str">
        <f>IF(B460="","",IF(INPUT!J460="","None",INPUT!J460))</f>
        <v>Opened</v>
      </c>
      <c r="J460" s="28" t="str">
        <f t="shared" si="77"/>
        <v>kavya.g209@example.com|partner 072|Round1|interviewer2@partner072.example.com</v>
      </c>
      <c r="K460" s="28" t="str">
        <f>IF(B460="","",IF(SUMPRODUCT(($J$2:$J$601=J460)*($H$2:$H$601&lt;H460))+SUMPRODUCT(($J$2:J460=J460)*($H$2:H460=H460))-1&gt;0,"DUPLICATE",IF(AND(ISNUMBER(SEARCH("@",E460)),ISNUMBER(SEARCH(".",E460)),LEN(F460)=10,ISNUMBER(VALUE(F460))),"OK","BAD CONTACT")))</f>
        <v>OK</v>
      </c>
      <c r="L460" s="28">
        <f t="shared" si="78"/>
        <v>1</v>
      </c>
      <c r="M460" s="28">
        <f>IF(L460=1,IF(COUNTIFS(LOG!$C$2:$C$2001,F460,LOG!$E$2:$E$2001,B460,LOG!$D$2:$D$2001,"*BOOKED")+COUNTIFS(LOG!$C$2:$C$2001,F460,LOG!$E$2:$E$2001,"",LOG!$D$2:$D$2001,"*BOOKED")&gt;0,1,0),0)</f>
        <v>0</v>
      </c>
      <c r="N460" s="28">
        <f>IF(L460=1,IF(COUNTIFS(LOG!$C$2:$C$2001,F460,LOG!$E$2:$E$2001,B460,LOG!$D$2:$D$2001,"NOT_INTERESTED")+COUNTIFS(LOG!$C$2:$C$2001,F460,LOG!$E$2:$E$2001,"",LOG!$D$2:$D$2001,"NOT_INTERESTED")&gt;0,1,0),0)</f>
        <v>0</v>
      </c>
      <c r="O460" s="28">
        <f>IF(L460=1,IF(COUNTIFS(LOG!$C$2:$C$2001,F460,LOG!$D$2:$D$2001,"STOP")+COUNTIFS(LOG!$C$2:$C$2001,F460,LOG!$D$2:$D$2001,"WRONG_NUMBER")&gt;0,1,IF(ISNUMBER(SEARCH("STOP",AT460)),1,0)),0)</f>
        <v>0</v>
      </c>
      <c r="P460" s="28">
        <f>IF(L460=1,IF(IFERROR(INDEX(PARTNERS!$D$2:$D$88,MATCH(B460,PARTNERS!$A$2:$A$88,0)),"")="NO SLOTS",1,IF(AND(IFERROR(INDEX(PARTNERS!$D$2:$D$88,MATCH(B460,PARTNERS!$A$2:$A$88,0)),"")&lt;&gt;"REOPENED",COUNTIFS(LOG!$E$2:$E$2001,B460,LOG!$D$2:$D$2001,"NO_SLOTS")&gt;0),1,0)),0)</f>
        <v>0</v>
      </c>
      <c r="Q460" s="28">
        <f>IF(L460=1,COUNTIFS(LOG!$C$2:$C$2001,F460,LOG!$H$2:$H$2001,1),0)</f>
        <v>3</v>
      </c>
      <c r="R460" s="46">
        <f>IF(Q460&gt;0,_xlfn.MAXIFS(LOG!$G$2:$G$2001,LOG!$C$2:$C$2001,F460,LOG!$H$2:$H$2001,1),0)</f>
        <v>46309.733211218263</v>
      </c>
      <c r="S460" s="28" t="str">
        <f>IF(Q460&gt;0,IFERROR(INDEX(LOG!$D$2:$D$2001,MATCH(F460&amp;"|"&amp;Q460,LOG!$I$2:$I$2001,0)),""),"")</f>
        <v>CALL_BACK</v>
      </c>
      <c r="T460" s="28">
        <f>IF(S460="",0,IFERROR(VLOOKUP(S460,LISTS!$A$2:$E$10,4,FALSE),0))</f>
        <v>120</v>
      </c>
      <c r="U460" s="46">
        <f t="shared" si="79"/>
        <v>46309.816544551599</v>
      </c>
      <c r="V460" s="46">
        <f>IF(L460=1,H460+SETTINGS!$B$5/24,"")</f>
        <v>46309.82708333333</v>
      </c>
      <c r="W460" s="28">
        <f ca="1">IF(L460=1,(V460-SETTINGS!$B$4)*24,"")</f>
        <v>-1.6666666720993817E-2</v>
      </c>
      <c r="X460" s="28">
        <f ca="1">IF(AND(L460=1,K460="OK",M460=0,N460=0,O460=0,P460=0,SETTINGS!$B$4&lt;V460,Q460&lt;SETTINGS!$B$6),1,0)</f>
        <v>0</v>
      </c>
      <c r="Y460" s="28">
        <f ca="1">IF(AND(X460=1,SETTINGS!$B$4&gt;=H460,SETTINGS!$B$4&gt;=U460,ROUND(MOD(SETTINGS!$B$4,1)*1440,0)&gt;=ROUND(SETTINGS!$B$7*1440,0),ROUND(MOD(SETTINGS!$B$4,1)*1440,0)&lt;ROUND(SETTINGS!$B$8*1440,0)),1,0)</f>
        <v>0</v>
      </c>
      <c r="Z460" s="28" t="str">
        <f ca="1">IF(B460="","",IF(ROUND(MOD(SETTINGS!$B$4,1)*1440,0)&lt;ROUND(SETTINGS!$B$11*1440,0),"Ram",IF(ROUND(MOD(SETTINGS!$B$4,1)*1440,0)&gt;=ROUND(SETTINGS!$B$10*1440,0),"Shyam",IF(MOD(IFERROR(VALUE(RIGHT(F460,2)),0),2)=0,"Ram","Shyam"))))</f>
        <v>Shyam</v>
      </c>
      <c r="AA460" s="28">
        <f t="shared" ca="1" si="80"/>
        <v>0</v>
      </c>
      <c r="AB460" s="28">
        <f ca="1">IF(X460=1,COUNTIFS($F$2:F460,F460,$X$2:X460,1),0)</f>
        <v>0</v>
      </c>
      <c r="AC460" s="28" t="str">
        <f>IF(L460=1,IF(IFERROR(INDEX(PARTNERS!$C$2:$C$88,MATCH(B460,PARTNERS!$A$2:$A$88,0)),"")="YES","YES","NO"),"")</f>
        <v>YES</v>
      </c>
      <c r="AD460" s="28" t="str">
        <f>IF(L460=1,IFERROR(INDEX(PARTNERS!$B$2:$B$88,MATCH(B460,PARTNERS!$A$2:$A$88,0)),""),"")</f>
        <v>https://calendly.com/partner072/interview</v>
      </c>
      <c r="AE460" s="28">
        <f ca="1">IF(X460=1,IFERROR(INDEX(SETTINGS!$B$34:$D$36,MATCH(I460,SETTINGS!$A$34:$A$36,0),MIN(Q460,2)+1),SETTINGS!$B$36),0)</f>
        <v>0</v>
      </c>
      <c r="AF460" s="28">
        <f t="shared" si="81"/>
        <v>1</v>
      </c>
      <c r="AG460" s="28">
        <f ca="1">IF(AND(Y460=1,AB460=1),ROUND(AA460*AE460*IF(AF460&gt;1,SETTINGS!$B$16,1)*IF(W460&lt;=SETTINGS!$B$14,SETTINGS!$B$15,1)*IF(AU460=1,SETTINGS!$B$21,1),6),0)</f>
        <v>0</v>
      </c>
      <c r="AH460" s="28" t="str">
        <f ca="1">IF(AG460&gt;0,COUNTIFS($Z$2:$Z$601,Z460,$AG$2:$AG$601,"&gt;"&amp;AG460)+COUNTIFS($Z$2:Z460,Z460,$AG$2:AG460,AG460),"")</f>
        <v/>
      </c>
      <c r="AI460" s="28" t="str">
        <f t="shared" ca="1" si="82"/>
        <v/>
      </c>
      <c r="AJ460" s="28" t="str">
        <f t="shared" ca="1" si="83"/>
        <v/>
      </c>
      <c r="AK460" s="28">
        <f>IF(L460=1,IF(COUNTIFS($F$2:F460,F460,$L$2:L460,1)=1,1,0),0)</f>
        <v>1</v>
      </c>
      <c r="AL460" s="28" t="str">
        <f ca="1">IF(B460="","",IF(K460="DUPLICATE","Duplicate (removed)",IF(AO460=1,"Scheduled within 24h",IF(M460=1,"Scheduled late",IF(K460="BAD CONTACT","Bad contact details",IF(O460=1,"Stopped / wrong number",IF(N460=1,"Not interested",IF(P460=1,"Partner has no slots",IF(SETTINGS!$B$4&gt;=V460,IF(Q460=0,"Missed deadline: never tried","Missed deadline: tried, not booked"),IF(Q460&gt;=SETTINGS!$B$6,"No reply after max tries","Open"))))))))))</f>
        <v>Missed deadline: tried, not booked</v>
      </c>
      <c r="AM460" s="46" t="str">
        <f>IF(M460=1,IF(_xlfn.MINIFS(LOG!$G$2:$G$2001,LOG!$C$2:$C$2001,F460,LOG!$E$2:$E$2001,B460,LOG!$D$2:$D$2001,"*BOOKED")=0,_xlfn.MINIFS(LOG!$G$2:$G$2001,LOG!$C$2:$C$2001,F460,LOG!$E$2:$E$2001,"",LOG!$D$2:$D$2001,"*BOOKED"),IF(_xlfn.MINIFS(LOG!$G$2:$G$2001,LOG!$C$2:$C$2001,F460,LOG!$E$2:$E$2001,"",LOG!$D$2:$D$2001,"*BOOKED")=0,_xlfn.MINIFS(LOG!$G$2:$G$2001,LOG!$C$2:$C$2001,F460,LOG!$E$2:$E$2001,B460,LOG!$D$2:$D$2001,"*BOOKED"),MIN(_xlfn.MINIFS(LOG!$G$2:$G$2001,LOG!$C$2:$C$2001,F460,LOG!$E$2:$E$2001,B460,LOG!$D$2:$D$2001,"*BOOKED"),_xlfn.MINIFS(LOG!$G$2:$G$2001,LOG!$C$2:$C$2001,F460,LOG!$E$2:$E$2001,"",LOG!$D$2:$D$2001,"*BOOKED")))),"")</f>
        <v/>
      </c>
      <c r="AN460" s="28" t="str">
        <f t="shared" si="84"/>
        <v/>
      </c>
      <c r="AO460" s="28">
        <f>IF(AND(M460=1,AN460&lt;&gt;""),IF(AN460&lt;=SETTINGS!$B$5,1,0),0)</f>
        <v>0</v>
      </c>
      <c r="AP460" s="28">
        <f>IF(M460=1,IF(COUNTIFS(LOG!$C$2:$C$2001,F460,LOG!$E$2:$E$2001,B460,LOG!$D$2:$D$2001,"BOOKED")+COUNTIFS(LOG!$C$2:$C$2001,F460,LOG!$E$2:$E$2001,"",LOG!$D$2:$D$2001,"BOOKED")&gt;0,1,0),0)</f>
        <v>0</v>
      </c>
      <c r="AQ460" s="28" t="str">
        <f t="shared" si="85"/>
        <v>Kavya</v>
      </c>
      <c r="AR460" s="28">
        <f>IF(AND(AK460=1,K460="OK"),COUNTIFS($AK$2:AK460,1,$K$2:K460,"OK"),"")</f>
        <v>376</v>
      </c>
      <c r="AS460" s="28" t="str">
        <f>IF(L460=1,IFERROR(INDEX(MESSAGES!$J$9:$J$1008,MATCH(F460,MESSAGES!$M$9:$M$1008,0))&amp;"",""),"")</f>
        <v/>
      </c>
      <c r="AT460" s="28" t="str">
        <f>IF(L460=1,IFERROR(INDEX(MESSAGES!$K$9:$K$1008,MATCH(F460,MESSAGES!$M$9:$M$1008,0))&amp;"",""),"")</f>
        <v/>
      </c>
      <c r="AU460" s="28">
        <f t="shared" ca="1" si="86"/>
        <v>0</v>
      </c>
      <c r="AV460" s="28" t="str">
        <f t="shared" si="87"/>
        <v>SEND</v>
      </c>
    </row>
    <row r="461" spans="1:48" x14ac:dyDescent="0.35">
      <c r="A461" s="28">
        <v>460</v>
      </c>
      <c r="B461" s="28" t="str">
        <f>IF(INPUT!A461="","",TRIM(INPUT!A461))</f>
        <v>Partner 005</v>
      </c>
      <c r="C461" s="28" t="str">
        <f>IF(B461="","",INPUT!C461)</f>
        <v>interviewer0@partner005.example.com</v>
      </c>
      <c r="D461" s="28" t="str">
        <f>IF(B461="","",INPUT!D461)</f>
        <v>Varun J.</v>
      </c>
      <c r="E461" s="28" t="str">
        <f>IF(B461="","",INPUT!E461)</f>
        <v>varun.j268@example.com</v>
      </c>
      <c r="F461" s="43" t="str">
        <f>IF(B461="","",TRIM(INPUT!F461&amp;""))</f>
        <v>9000003491</v>
      </c>
      <c r="G461" s="28" t="str">
        <f>IF(B461="","",INPUT!H461)</f>
        <v>Round1</v>
      </c>
      <c r="H461" s="46">
        <f>IF(B461="","",INPUT!I461)</f>
        <v>46308.82708333333</v>
      </c>
      <c r="I461" s="28" t="str">
        <f>IF(B461="","",IF(INPUT!J461="","None",INPUT!J461))</f>
        <v>Opened</v>
      </c>
      <c r="J461" s="28" t="str">
        <f t="shared" si="77"/>
        <v>varun.j268@example.com|partner 005|Round1|interviewer0@partner005.example.com</v>
      </c>
      <c r="K461" s="28" t="str">
        <f>IF(B461="","",IF(SUMPRODUCT(($J$2:$J$601=J461)*($H$2:$H$601&lt;H461))+SUMPRODUCT(($J$2:J461=J461)*($H$2:H461=H461))-1&gt;0,"DUPLICATE",IF(AND(ISNUMBER(SEARCH("@",E461)),ISNUMBER(SEARCH(".",E461)),LEN(F461)=10,ISNUMBER(VALUE(F461))),"OK","BAD CONTACT")))</f>
        <v>OK</v>
      </c>
      <c r="L461" s="28">
        <f t="shared" si="78"/>
        <v>1</v>
      </c>
      <c r="M461" s="28">
        <f>IF(L461=1,IF(COUNTIFS(LOG!$C$2:$C$2001,F461,LOG!$E$2:$E$2001,B461,LOG!$D$2:$D$2001,"*BOOKED")+COUNTIFS(LOG!$C$2:$C$2001,F461,LOG!$E$2:$E$2001,"",LOG!$D$2:$D$2001,"*BOOKED")&gt;0,1,0),0)</f>
        <v>1</v>
      </c>
      <c r="N461" s="28">
        <f>IF(L461=1,IF(COUNTIFS(LOG!$C$2:$C$2001,F461,LOG!$E$2:$E$2001,B461,LOG!$D$2:$D$2001,"NOT_INTERESTED")+COUNTIFS(LOG!$C$2:$C$2001,F461,LOG!$E$2:$E$2001,"",LOG!$D$2:$D$2001,"NOT_INTERESTED")&gt;0,1,0),0)</f>
        <v>0</v>
      </c>
      <c r="O461" s="28">
        <f>IF(L461=1,IF(COUNTIFS(LOG!$C$2:$C$2001,F461,LOG!$D$2:$D$2001,"STOP")+COUNTIFS(LOG!$C$2:$C$2001,F461,LOG!$D$2:$D$2001,"WRONG_NUMBER")&gt;0,1,IF(ISNUMBER(SEARCH("STOP",AT461)),1,0)),0)</f>
        <v>0</v>
      </c>
      <c r="P461" s="28">
        <f>IF(L461=1,IF(IFERROR(INDEX(PARTNERS!$D$2:$D$88,MATCH(B461,PARTNERS!$A$2:$A$88,0)),"")="NO SLOTS",1,IF(AND(IFERROR(INDEX(PARTNERS!$D$2:$D$88,MATCH(B461,PARTNERS!$A$2:$A$88,0)),"")&lt;&gt;"REOPENED",COUNTIFS(LOG!$E$2:$E$2001,B461,LOG!$D$2:$D$2001,"NO_SLOTS")&gt;0),1,0)),0)</f>
        <v>0</v>
      </c>
      <c r="Q461" s="28">
        <f>IF(L461=1,COUNTIFS(LOG!$C$2:$C$2001,F461,LOG!$H$2:$H$2001,1),0)</f>
        <v>1</v>
      </c>
      <c r="R461" s="46">
        <f>IF(Q461&gt;0,_xlfn.MAXIFS(LOG!$G$2:$G$2001,LOG!$C$2:$C$2001,F461,LOG!$H$2:$H$2001,1),0)</f>
        <v>46309.490362378245</v>
      </c>
      <c r="S461" s="28" t="str">
        <f>IF(Q461&gt;0,IFERROR(INDEX(LOG!$D$2:$D$2001,MATCH(F461&amp;"|"&amp;Q461,LOG!$I$2:$I$2001,0)),""),"")</f>
        <v>BOOKED</v>
      </c>
      <c r="T461" s="28">
        <f>IF(S461="",0,IFERROR(VLOOKUP(S461,LISTS!$A$2:$E$10,4,FALSE),0))</f>
        <v>0</v>
      </c>
      <c r="U461" s="46">
        <f t="shared" si="79"/>
        <v>46309.490362378245</v>
      </c>
      <c r="V461" s="46">
        <f>IF(L461=1,H461+SETTINGS!$B$5/24,"")</f>
        <v>46309.82708333333</v>
      </c>
      <c r="W461" s="28">
        <f ca="1">IF(L461=1,(V461-SETTINGS!$B$4)*24,"")</f>
        <v>-1.6666666720993817E-2</v>
      </c>
      <c r="X461" s="28">
        <f ca="1">IF(AND(L461=1,K461="OK",M461=0,N461=0,O461=0,P461=0,SETTINGS!$B$4&lt;V461,Q461&lt;SETTINGS!$B$6),1,0)</f>
        <v>0</v>
      </c>
      <c r="Y461" s="28">
        <f ca="1">IF(AND(X461=1,SETTINGS!$B$4&gt;=H461,SETTINGS!$B$4&gt;=U461,ROUND(MOD(SETTINGS!$B$4,1)*1440,0)&gt;=ROUND(SETTINGS!$B$7*1440,0),ROUND(MOD(SETTINGS!$B$4,1)*1440,0)&lt;ROUND(SETTINGS!$B$8*1440,0)),1,0)</f>
        <v>0</v>
      </c>
      <c r="Z461" s="28" t="str">
        <f ca="1">IF(B461="","",IF(ROUND(MOD(SETTINGS!$B$4,1)*1440,0)&lt;ROUND(SETTINGS!$B$11*1440,0),"Ram",IF(ROUND(MOD(SETTINGS!$B$4,1)*1440,0)&gt;=ROUND(SETTINGS!$B$10*1440,0),"Shyam",IF(MOD(IFERROR(VALUE(RIGHT(F461,2)),0),2)=0,"Ram","Shyam"))))</f>
        <v>Shyam</v>
      </c>
      <c r="AA461" s="28">
        <f t="shared" ca="1" si="80"/>
        <v>0</v>
      </c>
      <c r="AB461" s="28">
        <f ca="1">IF(X461=1,COUNTIFS($F$2:F461,F461,$X$2:X461,1),0)</f>
        <v>0</v>
      </c>
      <c r="AC461" s="28" t="str">
        <f>IF(L461=1,IF(IFERROR(INDEX(PARTNERS!$C$2:$C$88,MATCH(B461,PARTNERS!$A$2:$A$88,0)),"")="YES","YES","NO"),"")</f>
        <v>YES</v>
      </c>
      <c r="AD461" s="28" t="str">
        <f>IF(L461=1,IFERROR(INDEX(PARTNERS!$B$2:$B$88,MATCH(B461,PARTNERS!$A$2:$A$88,0)),""),"")</f>
        <v>https://calendly.com/partner005/interview</v>
      </c>
      <c r="AE461" s="28">
        <f ca="1">IF(X461=1,IFERROR(INDEX(SETTINGS!$B$34:$D$36,MATCH(I461,SETTINGS!$A$34:$A$36,0),MIN(Q461,2)+1),SETTINGS!$B$36),0)</f>
        <v>0</v>
      </c>
      <c r="AF461" s="28">
        <f t="shared" si="81"/>
        <v>1</v>
      </c>
      <c r="AG461" s="28">
        <f ca="1">IF(AND(Y461=1,AB461=1),ROUND(AA461*AE461*IF(AF461&gt;1,SETTINGS!$B$16,1)*IF(W461&lt;=SETTINGS!$B$14,SETTINGS!$B$15,1)*IF(AU461=1,SETTINGS!$B$21,1),6),0)</f>
        <v>0</v>
      </c>
      <c r="AH461" s="28" t="str">
        <f ca="1">IF(AG461&gt;0,COUNTIFS($Z$2:$Z$601,Z461,$AG$2:$AG$601,"&gt;"&amp;AG461)+COUNTIFS($Z$2:Z461,Z461,$AG$2:AG461,AG461),"")</f>
        <v/>
      </c>
      <c r="AI461" s="28" t="str">
        <f t="shared" ca="1" si="82"/>
        <v/>
      </c>
      <c r="AJ461" s="28" t="str">
        <f t="shared" ca="1" si="83"/>
        <v/>
      </c>
      <c r="AK461" s="28">
        <f>IF(L461=1,IF(COUNTIFS($F$2:F461,F461,$L$2:L461,1)=1,1,0),0)</f>
        <v>0</v>
      </c>
      <c r="AL461" s="28" t="str">
        <f>IF(B461="","",IF(K461="DUPLICATE","Duplicate (removed)",IF(AO461=1,"Scheduled within 24h",IF(M461=1,"Scheduled late",IF(K461="BAD CONTACT","Bad contact details",IF(O461=1,"Stopped / wrong number",IF(N461=1,"Not interested",IF(P461=1,"Partner has no slots",IF(SETTINGS!$B$4&gt;=V461,IF(Q461=0,"Missed deadline: never tried","Missed deadline: tried, not booked"),IF(Q461&gt;=SETTINGS!$B$6,"No reply after max tries","Open"))))))))))</f>
        <v>Scheduled within 24h</v>
      </c>
      <c r="AM461" s="46">
        <f>IF(M461=1,IF(_xlfn.MINIFS(LOG!$G$2:$G$2001,LOG!$C$2:$C$2001,F461,LOG!$E$2:$E$2001,B461,LOG!$D$2:$D$2001,"*BOOKED")=0,_xlfn.MINIFS(LOG!$G$2:$G$2001,LOG!$C$2:$C$2001,F461,LOG!$E$2:$E$2001,"",LOG!$D$2:$D$2001,"*BOOKED"),IF(_xlfn.MINIFS(LOG!$G$2:$G$2001,LOG!$C$2:$C$2001,F461,LOG!$E$2:$E$2001,"",LOG!$D$2:$D$2001,"*BOOKED")=0,_xlfn.MINIFS(LOG!$G$2:$G$2001,LOG!$C$2:$C$2001,F461,LOG!$E$2:$E$2001,B461,LOG!$D$2:$D$2001,"*BOOKED"),MIN(_xlfn.MINIFS(LOG!$G$2:$G$2001,LOG!$C$2:$C$2001,F461,LOG!$E$2:$E$2001,B461,LOG!$D$2:$D$2001,"*BOOKED"),_xlfn.MINIFS(LOG!$G$2:$G$2001,LOG!$C$2:$C$2001,F461,LOG!$E$2:$E$2001,"",LOG!$D$2:$D$2001,"*BOOKED")))),"")</f>
        <v>46309.459538439194</v>
      </c>
      <c r="AN461" s="28">
        <f t="shared" si="84"/>
        <v>15.178922540741041</v>
      </c>
      <c r="AO461" s="28">
        <f>IF(AND(M461=1,AN461&lt;&gt;""),IF(AN461&lt;=SETTINGS!$B$5,1,0),0)</f>
        <v>1</v>
      </c>
      <c r="AP461" s="28">
        <f>IF(M461=1,IF(COUNTIFS(LOG!$C$2:$C$2001,F461,LOG!$E$2:$E$2001,B461,LOG!$D$2:$D$2001,"BOOKED")+COUNTIFS(LOG!$C$2:$C$2001,F461,LOG!$E$2:$E$2001,"",LOG!$D$2:$D$2001,"BOOKED")&gt;0,1,0),0)</f>
        <v>1</v>
      </c>
      <c r="AQ461" s="28" t="str">
        <f t="shared" si="85"/>
        <v>Varun</v>
      </c>
      <c r="AR461" s="28" t="str">
        <f>IF(AND(AK461=1,K461="OK"),COUNTIFS($AK$2:AK461,1,$K$2:K461,"OK"),"")</f>
        <v/>
      </c>
      <c r="AS461" s="28" t="str">
        <f>IF(L461=1,IFERROR(INDEX(MESSAGES!$J$9:$J$1008,MATCH(F461,MESSAGES!$M$9:$M$1008,0))&amp;"",""),"")</f>
        <v/>
      </c>
      <c r="AT461" s="28" t="str">
        <f>IF(L461=1,IFERROR(INDEX(MESSAGES!$K$9:$K$1008,MATCH(F461,MESSAGES!$M$9:$M$1008,0))&amp;"",""),"")</f>
        <v/>
      </c>
      <c r="AU461" s="28">
        <f t="shared" ca="1" si="86"/>
        <v>0</v>
      </c>
      <c r="AV461" s="28" t="str">
        <f t="shared" si="87"/>
        <v>HOLD</v>
      </c>
    </row>
    <row r="462" spans="1:48" x14ac:dyDescent="0.35">
      <c r="A462" s="28">
        <v>461</v>
      </c>
      <c r="B462" s="28" t="str">
        <f>IF(INPUT!A462="","",TRIM(INPUT!A462))</f>
        <v>Partner 038</v>
      </c>
      <c r="C462" s="28" t="str">
        <f>IF(B462="","",INPUT!C462)</f>
        <v>interviewer1@partner038.example.com</v>
      </c>
      <c r="D462" s="28" t="str">
        <f>IF(B462="","",INPUT!D462)</f>
        <v>Kabir K.</v>
      </c>
      <c r="E462" s="28" t="str">
        <f>IF(B462="","",INPUT!E462)</f>
        <v>kabir.k272@example.com</v>
      </c>
      <c r="F462" s="43" t="str">
        <f>IF(B462="","",TRIM(INPUT!F462&amp;""))</f>
        <v>9000003543</v>
      </c>
      <c r="G462" s="28" t="str">
        <f>IF(B462="","",INPUT!H462)</f>
        <v>Round1</v>
      </c>
      <c r="H462" s="46">
        <f>IF(B462="","",INPUT!I462)</f>
        <v>46308.82708333333</v>
      </c>
      <c r="I462" s="28" t="str">
        <f>IF(B462="","",IF(INPUT!J462="","None",INPUT!J462))</f>
        <v>Opened</v>
      </c>
      <c r="J462" s="28" t="str">
        <f t="shared" si="77"/>
        <v>kabir.k272@example.com|partner 038|Round1|interviewer1@partner038.example.com</v>
      </c>
      <c r="K462" s="28" t="str">
        <f>IF(B462="","",IF(SUMPRODUCT(($J$2:$J$601=J462)*($H$2:$H$601&lt;H462))+SUMPRODUCT(($J$2:J462=J462)*($H$2:H462=H462))-1&gt;0,"DUPLICATE",IF(AND(ISNUMBER(SEARCH("@",E462)),ISNUMBER(SEARCH(".",E462)),LEN(F462)=10,ISNUMBER(VALUE(F462))),"OK","BAD CONTACT")))</f>
        <v>OK</v>
      </c>
      <c r="L462" s="28">
        <f t="shared" si="78"/>
        <v>1</v>
      </c>
      <c r="M462" s="28">
        <f>IF(L462=1,IF(COUNTIFS(LOG!$C$2:$C$2001,F462,LOG!$E$2:$E$2001,B462,LOG!$D$2:$D$2001,"*BOOKED")+COUNTIFS(LOG!$C$2:$C$2001,F462,LOG!$E$2:$E$2001,"",LOG!$D$2:$D$2001,"*BOOKED")&gt;0,1,0),0)</f>
        <v>1</v>
      </c>
      <c r="N462" s="28">
        <f>IF(L462=1,IF(COUNTIFS(LOG!$C$2:$C$2001,F462,LOG!$E$2:$E$2001,B462,LOG!$D$2:$D$2001,"NOT_INTERESTED")+COUNTIFS(LOG!$C$2:$C$2001,F462,LOG!$E$2:$E$2001,"",LOG!$D$2:$D$2001,"NOT_INTERESTED")&gt;0,1,0),0)</f>
        <v>0</v>
      </c>
      <c r="O462" s="28">
        <f>IF(L462=1,IF(COUNTIFS(LOG!$C$2:$C$2001,F462,LOG!$D$2:$D$2001,"STOP")+COUNTIFS(LOG!$C$2:$C$2001,F462,LOG!$D$2:$D$2001,"WRONG_NUMBER")&gt;0,1,IF(ISNUMBER(SEARCH("STOP",AT462)),1,0)),0)</f>
        <v>0</v>
      </c>
      <c r="P462" s="28">
        <f>IF(L462=1,IF(IFERROR(INDEX(PARTNERS!$D$2:$D$88,MATCH(B462,PARTNERS!$A$2:$A$88,0)),"")="NO SLOTS",1,IF(AND(IFERROR(INDEX(PARTNERS!$D$2:$D$88,MATCH(B462,PARTNERS!$A$2:$A$88,0)),"")&lt;&gt;"REOPENED",COUNTIFS(LOG!$E$2:$E$2001,B462,LOG!$D$2:$D$2001,"NO_SLOTS")&gt;0),1,0)),0)</f>
        <v>0</v>
      </c>
      <c r="Q462" s="28">
        <f>IF(L462=1,COUNTIFS(LOG!$C$2:$C$2001,F462,LOG!$H$2:$H$2001,1),0)</f>
        <v>2</v>
      </c>
      <c r="R462" s="46">
        <f>IF(Q462&gt;0,_xlfn.MAXIFS(LOG!$G$2:$G$2001,LOG!$C$2:$C$2001,F462,LOG!$H$2:$H$2001,1),0)</f>
        <v>46309.535009124564</v>
      </c>
      <c r="S462" s="28" t="str">
        <f>IF(Q462&gt;0,IFERROR(INDEX(LOG!$D$2:$D$2001,MATCH(F462&amp;"|"&amp;Q462,LOG!$I$2:$I$2001,0)),""),"")</f>
        <v>SENT_LINK</v>
      </c>
      <c r="T462" s="28">
        <f>IF(S462="",0,IFERROR(VLOOKUP(S462,LISTS!$A$2:$E$10,4,FALSE),0))</f>
        <v>180</v>
      </c>
      <c r="U462" s="46">
        <f t="shared" si="79"/>
        <v>46309.660009124564</v>
      </c>
      <c r="V462" s="46">
        <f>IF(L462=1,H462+SETTINGS!$B$5/24,"")</f>
        <v>46309.82708333333</v>
      </c>
      <c r="W462" s="28">
        <f ca="1">IF(L462=1,(V462-SETTINGS!$B$4)*24,"")</f>
        <v>-1.6666666720993817E-2</v>
      </c>
      <c r="X462" s="28">
        <f ca="1">IF(AND(L462=1,K462="OK",M462=0,N462=0,O462=0,P462=0,SETTINGS!$B$4&lt;V462,Q462&lt;SETTINGS!$B$6),1,0)</f>
        <v>0</v>
      </c>
      <c r="Y462" s="28">
        <f ca="1">IF(AND(X462=1,SETTINGS!$B$4&gt;=H462,SETTINGS!$B$4&gt;=U462,ROUND(MOD(SETTINGS!$B$4,1)*1440,0)&gt;=ROUND(SETTINGS!$B$7*1440,0),ROUND(MOD(SETTINGS!$B$4,1)*1440,0)&lt;ROUND(SETTINGS!$B$8*1440,0)),1,0)</f>
        <v>0</v>
      </c>
      <c r="Z462" s="28" t="str">
        <f ca="1">IF(B462="","",IF(ROUND(MOD(SETTINGS!$B$4,1)*1440,0)&lt;ROUND(SETTINGS!$B$11*1440,0),"Ram",IF(ROUND(MOD(SETTINGS!$B$4,1)*1440,0)&gt;=ROUND(SETTINGS!$B$10*1440,0),"Shyam",IF(MOD(IFERROR(VALUE(RIGHT(F462,2)),0),2)=0,"Ram","Shyam"))))</f>
        <v>Shyam</v>
      </c>
      <c r="AA462" s="28">
        <f t="shared" ca="1" si="80"/>
        <v>0</v>
      </c>
      <c r="AB462" s="28">
        <f ca="1">IF(X462=1,COUNTIFS($F$2:F462,F462,$X$2:X462,1),0)</f>
        <v>0</v>
      </c>
      <c r="AC462" s="28" t="str">
        <f>IF(L462=1,IF(IFERROR(INDEX(PARTNERS!$C$2:$C$88,MATCH(B462,PARTNERS!$A$2:$A$88,0)),"")="YES","YES","NO"),"")</f>
        <v>NO</v>
      </c>
      <c r="AD462" s="28" t="str">
        <f>IF(L462=1,IFERROR(INDEX(PARTNERS!$B$2:$B$88,MATCH(B462,PARTNERS!$A$2:$A$88,0)),""),"")</f>
        <v>https://calendly.com/partner038/interview</v>
      </c>
      <c r="AE462" s="28">
        <f ca="1">IF(X462=1,IFERROR(INDEX(SETTINGS!$B$34:$D$36,MATCH(I462,SETTINGS!$A$34:$A$36,0),MIN(Q462,2)+1),SETTINGS!$B$36),0)</f>
        <v>0</v>
      </c>
      <c r="AF462" s="28">
        <f t="shared" si="81"/>
        <v>1</v>
      </c>
      <c r="AG462" s="28">
        <f ca="1">IF(AND(Y462=1,AB462=1),ROUND(AA462*AE462*IF(AF462&gt;1,SETTINGS!$B$16,1)*IF(W462&lt;=SETTINGS!$B$14,SETTINGS!$B$15,1)*IF(AU462=1,SETTINGS!$B$21,1),6),0)</f>
        <v>0</v>
      </c>
      <c r="AH462" s="28" t="str">
        <f ca="1">IF(AG462&gt;0,COUNTIFS($Z$2:$Z$601,Z462,$AG$2:$AG$601,"&gt;"&amp;AG462)+COUNTIFS($Z$2:Z462,Z462,$AG$2:AG462,AG462),"")</f>
        <v/>
      </c>
      <c r="AI462" s="28" t="str">
        <f t="shared" ca="1" si="82"/>
        <v/>
      </c>
      <c r="AJ462" s="28" t="str">
        <f t="shared" ca="1" si="83"/>
        <v/>
      </c>
      <c r="AK462" s="28">
        <f>IF(L462=1,IF(COUNTIFS($F$2:F462,F462,$L$2:L462,1)=1,1,0),0)</f>
        <v>0</v>
      </c>
      <c r="AL462" s="28" t="str">
        <f>IF(B462="","",IF(K462="DUPLICATE","Duplicate (removed)",IF(AO462=1,"Scheduled within 24h",IF(M462=1,"Scheduled late",IF(K462="BAD CONTACT","Bad contact details",IF(O462=1,"Stopped / wrong number",IF(N462=1,"Not interested",IF(P462=1,"Partner has no slots",IF(SETTINGS!$B$4&gt;=V462,IF(Q462=0,"Missed deadline: never tried","Missed deadline: tried, not booked"),IF(Q462&gt;=SETTINGS!$B$6,"No reply after max tries","Open"))))))))))</f>
        <v>Scheduled within 24h</v>
      </c>
      <c r="AM462" s="46">
        <f>IF(M462=1,IF(_xlfn.MINIFS(LOG!$G$2:$G$2001,LOG!$C$2:$C$2001,F462,LOG!$E$2:$E$2001,B462,LOG!$D$2:$D$2001,"*BOOKED")=0,_xlfn.MINIFS(LOG!$G$2:$G$2001,LOG!$C$2:$C$2001,F462,LOG!$E$2:$E$2001,"",LOG!$D$2:$D$2001,"*BOOKED"),IF(_xlfn.MINIFS(LOG!$G$2:$G$2001,LOG!$C$2:$C$2001,F462,LOG!$E$2:$E$2001,"",LOG!$D$2:$D$2001,"*BOOKED")=0,_xlfn.MINIFS(LOG!$G$2:$G$2001,LOG!$C$2:$C$2001,F462,LOG!$E$2:$E$2001,B462,LOG!$D$2:$D$2001,"*BOOKED"),MIN(_xlfn.MINIFS(LOG!$G$2:$G$2001,LOG!$C$2:$C$2001,F462,LOG!$E$2:$E$2001,B462,LOG!$D$2:$D$2001,"*BOOKED"),_xlfn.MINIFS(LOG!$G$2:$G$2001,LOG!$C$2:$C$2001,F462,LOG!$E$2:$E$2001,"",LOG!$D$2:$D$2001,"*BOOKED")))),"")</f>
        <v>46309.538017578103</v>
      </c>
      <c r="AN462" s="28">
        <f t="shared" si="84"/>
        <v>17.062421874550637</v>
      </c>
      <c r="AO462" s="28">
        <f>IF(AND(M462=1,AN462&lt;&gt;""),IF(AN462&lt;=SETTINGS!$B$5,1,0),0)</f>
        <v>1</v>
      </c>
      <c r="AP462" s="28">
        <f>IF(M462=1,IF(COUNTIFS(LOG!$C$2:$C$2001,F462,LOG!$E$2:$E$2001,B462,LOG!$D$2:$D$2001,"BOOKED")+COUNTIFS(LOG!$C$2:$C$2001,F462,LOG!$E$2:$E$2001,"",LOG!$D$2:$D$2001,"BOOKED")&gt;0,1,0),0)</f>
        <v>0</v>
      </c>
      <c r="AQ462" s="28" t="str">
        <f t="shared" si="85"/>
        <v>Kabir</v>
      </c>
      <c r="AR462" s="28" t="str">
        <f>IF(AND(AK462=1,K462="OK"),COUNTIFS($AK$2:AK462,1,$K$2:K462,"OK"),"")</f>
        <v/>
      </c>
      <c r="AS462" s="28" t="str">
        <f>IF(L462=1,IFERROR(INDEX(MESSAGES!$J$9:$J$1008,MATCH(F462,MESSAGES!$M$9:$M$1008,0))&amp;"",""),"")</f>
        <v/>
      </c>
      <c r="AT462" s="28" t="str">
        <f>IF(L462=1,IFERROR(INDEX(MESSAGES!$K$9:$K$1008,MATCH(F462,MESSAGES!$M$9:$M$1008,0))&amp;"",""),"")</f>
        <v/>
      </c>
      <c r="AU462" s="28">
        <f t="shared" ca="1" si="86"/>
        <v>0</v>
      </c>
      <c r="AV462" s="28" t="str">
        <f t="shared" si="87"/>
        <v>SEND</v>
      </c>
    </row>
    <row r="463" spans="1:48" x14ac:dyDescent="0.35">
      <c r="A463" s="28">
        <v>462</v>
      </c>
      <c r="B463" s="28" t="str">
        <f>IF(INPUT!A463="","",TRIM(INPUT!A463))</f>
        <v>Partner 020</v>
      </c>
      <c r="C463" s="28" t="str">
        <f>IF(B463="","",INPUT!C463)</f>
        <v>interviewer1@partner020.example.com</v>
      </c>
      <c r="D463" s="28" t="str">
        <f>IF(B463="","",INPUT!D463)</f>
        <v>Karan H.</v>
      </c>
      <c r="E463" s="28" t="str">
        <f>IF(B463="","",INPUT!E463)</f>
        <v>karan.h230@example.com</v>
      </c>
      <c r="F463" s="43" t="str">
        <f>IF(B463="","",TRIM(INPUT!F463&amp;""))</f>
        <v>9000002997</v>
      </c>
      <c r="G463" s="28" t="str">
        <f>IF(B463="","",INPUT!H463)</f>
        <v>Round1</v>
      </c>
      <c r="H463" s="46">
        <f>IF(B463="","",INPUT!I463)</f>
        <v>46308.82708333333</v>
      </c>
      <c r="I463" s="28" t="str">
        <f>IF(B463="","",IF(INPUT!J463="","None",INPUT!J463))</f>
        <v>None</v>
      </c>
      <c r="J463" s="28" t="str">
        <f t="shared" si="77"/>
        <v>karan.h230@example.com|partner 020|Round1|interviewer1@partner020.example.com</v>
      </c>
      <c r="K463" s="28" t="str">
        <f>IF(B463="","",IF(SUMPRODUCT(($J$2:$J$601=J463)*($H$2:$H$601&lt;H463))+SUMPRODUCT(($J$2:J463=J463)*($H$2:H463=H463))-1&gt;0,"DUPLICATE",IF(AND(ISNUMBER(SEARCH("@",E463)),ISNUMBER(SEARCH(".",E463)),LEN(F463)=10,ISNUMBER(VALUE(F463))),"OK","BAD CONTACT")))</f>
        <v>OK</v>
      </c>
      <c r="L463" s="28">
        <f t="shared" si="78"/>
        <v>1</v>
      </c>
      <c r="M463" s="28">
        <f>IF(L463=1,IF(COUNTIFS(LOG!$C$2:$C$2001,F463,LOG!$E$2:$E$2001,B463,LOG!$D$2:$D$2001,"*BOOKED")+COUNTIFS(LOG!$C$2:$C$2001,F463,LOG!$E$2:$E$2001,"",LOG!$D$2:$D$2001,"*BOOKED")&gt;0,1,0),0)</f>
        <v>1</v>
      </c>
      <c r="N463" s="28">
        <f>IF(L463=1,IF(COUNTIFS(LOG!$C$2:$C$2001,F463,LOG!$E$2:$E$2001,B463,LOG!$D$2:$D$2001,"NOT_INTERESTED")+COUNTIFS(LOG!$C$2:$C$2001,F463,LOG!$E$2:$E$2001,"",LOG!$D$2:$D$2001,"NOT_INTERESTED")&gt;0,1,0),0)</f>
        <v>0</v>
      </c>
      <c r="O463" s="28">
        <f>IF(L463=1,IF(COUNTIFS(LOG!$C$2:$C$2001,F463,LOG!$D$2:$D$2001,"STOP")+COUNTIFS(LOG!$C$2:$C$2001,F463,LOG!$D$2:$D$2001,"WRONG_NUMBER")&gt;0,1,IF(ISNUMBER(SEARCH("STOP",AT463)),1,0)),0)</f>
        <v>0</v>
      </c>
      <c r="P463" s="28">
        <f>IF(L463=1,IF(IFERROR(INDEX(PARTNERS!$D$2:$D$88,MATCH(B463,PARTNERS!$A$2:$A$88,0)),"")="NO SLOTS",1,IF(AND(IFERROR(INDEX(PARTNERS!$D$2:$D$88,MATCH(B463,PARTNERS!$A$2:$A$88,0)),"")&lt;&gt;"REOPENED",COUNTIFS(LOG!$E$2:$E$2001,B463,LOG!$D$2:$D$2001,"NO_SLOTS")&gt;0),1,0)),0)</f>
        <v>0</v>
      </c>
      <c r="Q463" s="28">
        <f>IF(L463=1,COUNTIFS(LOG!$C$2:$C$2001,F463,LOG!$H$2:$H$2001,1),0)</f>
        <v>0</v>
      </c>
      <c r="R463" s="46">
        <f>IF(Q463&gt;0,_xlfn.MAXIFS(LOG!$G$2:$G$2001,LOG!$C$2:$C$2001,F463,LOG!$H$2:$H$2001,1),0)</f>
        <v>0</v>
      </c>
      <c r="S463" s="28" t="str">
        <f>IF(Q463&gt;0,IFERROR(INDEX(LOG!$D$2:$D$2001,MATCH(F463&amp;"|"&amp;Q463,LOG!$I$2:$I$2001,0)),""),"")</f>
        <v/>
      </c>
      <c r="T463" s="28">
        <f>IF(S463="",0,IFERROR(VLOOKUP(S463,LISTS!$A$2:$E$10,4,FALSE),0))</f>
        <v>0</v>
      </c>
      <c r="U463" s="46">
        <f t="shared" si="79"/>
        <v>0</v>
      </c>
      <c r="V463" s="46">
        <f>IF(L463=1,H463+SETTINGS!$B$5/24,"")</f>
        <v>46309.82708333333</v>
      </c>
      <c r="W463" s="28">
        <f ca="1">IF(L463=1,(V463-SETTINGS!$B$4)*24,"")</f>
        <v>-1.6666666720993817E-2</v>
      </c>
      <c r="X463" s="28">
        <f ca="1">IF(AND(L463=1,K463="OK",M463=0,N463=0,O463=0,P463=0,SETTINGS!$B$4&lt;V463,Q463&lt;SETTINGS!$B$6),1,0)</f>
        <v>0</v>
      </c>
      <c r="Y463" s="28">
        <f ca="1">IF(AND(X463=1,SETTINGS!$B$4&gt;=H463,SETTINGS!$B$4&gt;=U463,ROUND(MOD(SETTINGS!$B$4,1)*1440,0)&gt;=ROUND(SETTINGS!$B$7*1440,0),ROUND(MOD(SETTINGS!$B$4,1)*1440,0)&lt;ROUND(SETTINGS!$B$8*1440,0)),1,0)</f>
        <v>0</v>
      </c>
      <c r="Z463" s="28" t="str">
        <f ca="1">IF(B463="","",IF(ROUND(MOD(SETTINGS!$B$4,1)*1440,0)&lt;ROUND(SETTINGS!$B$11*1440,0),"Ram",IF(ROUND(MOD(SETTINGS!$B$4,1)*1440,0)&gt;=ROUND(SETTINGS!$B$10*1440,0),"Shyam",IF(MOD(IFERROR(VALUE(RIGHT(F463,2)),0),2)=0,"Ram","Shyam"))))</f>
        <v>Shyam</v>
      </c>
      <c r="AA463" s="28">
        <f t="shared" ca="1" si="80"/>
        <v>0</v>
      </c>
      <c r="AB463" s="28">
        <f ca="1">IF(X463=1,COUNTIFS($F$2:F463,F463,$X$2:X463,1),0)</f>
        <v>0</v>
      </c>
      <c r="AC463" s="28" t="str">
        <f>IF(L463=1,IF(IFERROR(INDEX(PARTNERS!$C$2:$C$88,MATCH(B463,PARTNERS!$A$2:$A$88,0)),"")="YES","YES","NO"),"")</f>
        <v>YES</v>
      </c>
      <c r="AD463" s="28" t="str">
        <f>IF(L463=1,IFERROR(INDEX(PARTNERS!$B$2:$B$88,MATCH(B463,PARTNERS!$A$2:$A$88,0)),""),"")</f>
        <v>https://calendly.com/partner020/interview</v>
      </c>
      <c r="AE463" s="28">
        <f ca="1">IF(X463=1,IFERROR(INDEX(SETTINGS!$B$34:$D$36,MATCH(I463,SETTINGS!$A$34:$A$36,0),MIN(Q463,2)+1),SETTINGS!$B$36),0)</f>
        <v>0</v>
      </c>
      <c r="AF463" s="28">
        <f t="shared" si="81"/>
        <v>1</v>
      </c>
      <c r="AG463" s="28">
        <f ca="1">IF(AND(Y463=1,AB463=1),ROUND(AA463*AE463*IF(AF463&gt;1,SETTINGS!$B$16,1)*IF(W463&lt;=SETTINGS!$B$14,SETTINGS!$B$15,1)*IF(AU463=1,SETTINGS!$B$21,1),6),0)</f>
        <v>0</v>
      </c>
      <c r="AH463" s="28" t="str">
        <f ca="1">IF(AG463&gt;0,COUNTIFS($Z$2:$Z$601,Z463,$AG$2:$AG$601,"&gt;"&amp;AG463)+COUNTIFS($Z$2:Z463,Z463,$AG$2:AG463,AG463),"")</f>
        <v/>
      </c>
      <c r="AI463" s="28" t="str">
        <f t="shared" ca="1" si="82"/>
        <v/>
      </c>
      <c r="AJ463" s="28" t="str">
        <f t="shared" ca="1" si="83"/>
        <v/>
      </c>
      <c r="AK463" s="28">
        <f>IF(L463=1,IF(COUNTIFS($F$2:F463,F463,$L$2:L463,1)=1,1,0),0)</f>
        <v>1</v>
      </c>
      <c r="AL463" s="28" t="str">
        <f>IF(B463="","",IF(K463="DUPLICATE","Duplicate (removed)",IF(AO463=1,"Scheduled within 24h",IF(M463=1,"Scheduled late",IF(K463="BAD CONTACT","Bad contact details",IF(O463=1,"Stopped / wrong number",IF(N463=1,"Not interested",IF(P463=1,"Partner has no slots",IF(SETTINGS!$B$4&gt;=V463,IF(Q463=0,"Missed deadline: never tried","Missed deadline: tried, not booked"),IF(Q463&gt;=SETTINGS!$B$6,"No reply after max tries","Open"))))))))))</f>
        <v>Scheduled within 24h</v>
      </c>
      <c r="AM463" s="46">
        <f>IF(M463=1,IF(_xlfn.MINIFS(LOG!$G$2:$G$2001,LOG!$C$2:$C$2001,F463,LOG!$E$2:$E$2001,B463,LOG!$D$2:$D$2001,"*BOOKED")=0,_xlfn.MINIFS(LOG!$G$2:$G$2001,LOG!$C$2:$C$2001,F463,LOG!$E$2:$E$2001,"",LOG!$D$2:$D$2001,"*BOOKED"),IF(_xlfn.MINIFS(LOG!$G$2:$G$2001,LOG!$C$2:$C$2001,F463,LOG!$E$2:$E$2001,"",LOG!$D$2:$D$2001,"*BOOKED")=0,_xlfn.MINIFS(LOG!$G$2:$G$2001,LOG!$C$2:$C$2001,F463,LOG!$E$2:$E$2001,B463,LOG!$D$2:$D$2001,"*BOOKED"),MIN(_xlfn.MINIFS(LOG!$G$2:$G$2001,LOG!$C$2:$C$2001,F463,LOG!$E$2:$E$2001,B463,LOG!$D$2:$D$2001,"*BOOKED"),_xlfn.MINIFS(LOG!$G$2:$G$2001,LOG!$C$2:$C$2001,F463,LOG!$E$2:$E$2001,"",LOG!$D$2:$D$2001,"*BOOKED")))),"")</f>
        <v>46309.313927629883</v>
      </c>
      <c r="AN463" s="28">
        <f t="shared" si="84"/>
        <v>11.684263117262162</v>
      </c>
      <c r="AO463" s="28">
        <f>IF(AND(M463=1,AN463&lt;&gt;""),IF(AN463&lt;=SETTINGS!$B$5,1,0),0)</f>
        <v>1</v>
      </c>
      <c r="AP463" s="28">
        <f>IF(M463=1,IF(COUNTIFS(LOG!$C$2:$C$2001,F463,LOG!$E$2:$E$2001,B463,LOG!$D$2:$D$2001,"BOOKED")+COUNTIFS(LOG!$C$2:$C$2001,F463,LOG!$E$2:$E$2001,"",LOG!$D$2:$D$2001,"BOOKED")&gt;0,1,0),0)</f>
        <v>0</v>
      </c>
      <c r="AQ463" s="28" t="str">
        <f t="shared" si="85"/>
        <v>Karan</v>
      </c>
      <c r="AR463" s="28">
        <f>IF(AND(AK463=1,K463="OK"),COUNTIFS($AK$2:AK463,1,$K$2:K463,"OK"),"")</f>
        <v>377</v>
      </c>
      <c r="AS463" s="28" t="str">
        <f>IF(L463=1,IFERROR(INDEX(MESSAGES!$J$9:$J$1008,MATCH(F463,MESSAGES!$M$9:$M$1008,0))&amp;"",""),"")</f>
        <v/>
      </c>
      <c r="AT463" s="28" t="str">
        <f>IF(L463=1,IFERROR(INDEX(MESSAGES!$K$9:$K$1008,MATCH(F463,MESSAGES!$M$9:$M$1008,0))&amp;"",""),"")</f>
        <v/>
      </c>
      <c r="AU463" s="28">
        <f t="shared" ca="1" si="86"/>
        <v>0</v>
      </c>
      <c r="AV463" s="28" t="str">
        <f t="shared" si="87"/>
        <v>HOLD</v>
      </c>
    </row>
    <row r="464" spans="1:48" x14ac:dyDescent="0.35">
      <c r="A464" s="28">
        <v>463</v>
      </c>
      <c r="B464" s="28" t="str">
        <f>IF(INPUT!A464="","",TRIM(INPUT!A464))</f>
        <v>Partner 000</v>
      </c>
      <c r="C464" s="28" t="str">
        <f>IF(B464="","",INPUT!C464)</f>
        <v>interviewer0@partner000.example.com</v>
      </c>
      <c r="D464" s="28" t="str">
        <f>IF(B464="","",INPUT!D464)</f>
        <v>Aarav B.</v>
      </c>
      <c r="E464" s="28" t="str">
        <f>IF(B464="","",INPUT!E464)</f>
        <v>aarav.b030@example.com</v>
      </c>
      <c r="F464" s="43" t="str">
        <f>IF(B464="","",TRIM(INPUT!F464&amp;""))</f>
        <v>9000000397</v>
      </c>
      <c r="G464" s="28" t="str">
        <f>IF(B464="","",INPUT!H464)</f>
        <v>Round1</v>
      </c>
      <c r="H464" s="46">
        <f>IF(B464="","",INPUT!I464)</f>
        <v>46308.82708333333</v>
      </c>
      <c r="I464" s="28" t="str">
        <f>IF(B464="","",IF(INPUT!J464="","None",INPUT!J464))</f>
        <v>Clicked</v>
      </c>
      <c r="J464" s="28" t="str">
        <f t="shared" si="77"/>
        <v>aarav.b030@example.com|partner 000|Round1|interviewer0@partner000.example.com</v>
      </c>
      <c r="K464" s="28" t="str">
        <f>IF(B464="","",IF(SUMPRODUCT(($J$2:$J$601=J464)*($H$2:$H$601&lt;H464))+SUMPRODUCT(($J$2:J464=J464)*($H$2:H464=H464))-1&gt;0,"DUPLICATE",IF(AND(ISNUMBER(SEARCH("@",E464)),ISNUMBER(SEARCH(".",E464)),LEN(F464)=10,ISNUMBER(VALUE(F464))),"OK","BAD CONTACT")))</f>
        <v>OK</v>
      </c>
      <c r="L464" s="28">
        <f t="shared" si="78"/>
        <v>1</v>
      </c>
      <c r="M464" s="28">
        <f>IF(L464=1,IF(COUNTIFS(LOG!$C$2:$C$2001,F464,LOG!$E$2:$E$2001,B464,LOG!$D$2:$D$2001,"*BOOKED")+COUNTIFS(LOG!$C$2:$C$2001,F464,LOG!$E$2:$E$2001,"",LOG!$D$2:$D$2001,"*BOOKED")&gt;0,1,0),0)</f>
        <v>0</v>
      </c>
      <c r="N464" s="28">
        <f>IF(L464=1,IF(COUNTIFS(LOG!$C$2:$C$2001,F464,LOG!$E$2:$E$2001,B464,LOG!$D$2:$D$2001,"NOT_INTERESTED")+COUNTIFS(LOG!$C$2:$C$2001,F464,LOG!$E$2:$E$2001,"",LOG!$D$2:$D$2001,"NOT_INTERESTED")&gt;0,1,0),0)</f>
        <v>0</v>
      </c>
      <c r="O464" s="28">
        <f>IF(L464=1,IF(COUNTIFS(LOG!$C$2:$C$2001,F464,LOG!$D$2:$D$2001,"STOP")+COUNTIFS(LOG!$C$2:$C$2001,F464,LOG!$D$2:$D$2001,"WRONG_NUMBER")&gt;0,1,IF(ISNUMBER(SEARCH("STOP",AT464)),1,0)),0)</f>
        <v>0</v>
      </c>
      <c r="P464" s="28">
        <f>IF(L464=1,IF(IFERROR(INDEX(PARTNERS!$D$2:$D$88,MATCH(B464,PARTNERS!$A$2:$A$88,0)),"")="NO SLOTS",1,IF(AND(IFERROR(INDEX(PARTNERS!$D$2:$D$88,MATCH(B464,PARTNERS!$A$2:$A$88,0)),"")&lt;&gt;"REOPENED",COUNTIFS(LOG!$E$2:$E$2001,B464,LOG!$D$2:$D$2001,"NO_SLOTS")&gt;0),1,0)),0)</f>
        <v>0</v>
      </c>
      <c r="Q464" s="28">
        <f>IF(L464=1,COUNTIFS(LOG!$C$2:$C$2001,F464,LOG!$H$2:$H$2001,1),0)</f>
        <v>2</v>
      </c>
      <c r="R464" s="46">
        <f>IF(Q464&gt;0,_xlfn.MAXIFS(LOG!$G$2:$G$2001,LOG!$C$2:$C$2001,F464,LOG!$H$2:$H$2001,1),0)</f>
        <v>46309.794440407684</v>
      </c>
      <c r="S464" s="28" t="str">
        <f>IF(Q464&gt;0,IFERROR(INDEX(LOG!$D$2:$D$2001,MATCH(F464&amp;"|"&amp;Q464,LOG!$I$2:$I$2001,0)),""),"")</f>
        <v>CALL_BACK</v>
      </c>
      <c r="T464" s="28">
        <f>IF(S464="",0,IFERROR(VLOOKUP(S464,LISTS!$A$2:$E$10,4,FALSE),0))</f>
        <v>120</v>
      </c>
      <c r="U464" s="46">
        <f t="shared" si="79"/>
        <v>46309.87777374102</v>
      </c>
      <c r="V464" s="46">
        <f>IF(L464=1,H464+SETTINGS!$B$5/24,"")</f>
        <v>46309.82708333333</v>
      </c>
      <c r="W464" s="28">
        <f ca="1">IF(L464=1,(V464-SETTINGS!$B$4)*24,"")</f>
        <v>-1.6666666720993817E-2</v>
      </c>
      <c r="X464" s="28">
        <f ca="1">IF(AND(L464=1,K464="OK",M464=0,N464=0,O464=0,P464=0,SETTINGS!$B$4&lt;V464,Q464&lt;SETTINGS!$B$6),1,0)</f>
        <v>0</v>
      </c>
      <c r="Y464" s="28">
        <f ca="1">IF(AND(X464=1,SETTINGS!$B$4&gt;=H464,SETTINGS!$B$4&gt;=U464,ROUND(MOD(SETTINGS!$B$4,1)*1440,0)&gt;=ROUND(SETTINGS!$B$7*1440,0),ROUND(MOD(SETTINGS!$B$4,1)*1440,0)&lt;ROUND(SETTINGS!$B$8*1440,0)),1,0)</f>
        <v>0</v>
      </c>
      <c r="Z464" s="28" t="str">
        <f ca="1">IF(B464="","",IF(ROUND(MOD(SETTINGS!$B$4,1)*1440,0)&lt;ROUND(SETTINGS!$B$11*1440,0),"Ram",IF(ROUND(MOD(SETTINGS!$B$4,1)*1440,0)&gt;=ROUND(SETTINGS!$B$10*1440,0),"Shyam",IF(MOD(IFERROR(VALUE(RIGHT(F464,2)),0),2)=0,"Ram","Shyam"))))</f>
        <v>Shyam</v>
      </c>
      <c r="AA464" s="28">
        <f t="shared" ca="1" si="80"/>
        <v>0</v>
      </c>
      <c r="AB464" s="28">
        <f ca="1">IF(X464=1,COUNTIFS($F$2:F464,F464,$X$2:X464,1),0)</f>
        <v>0</v>
      </c>
      <c r="AC464" s="28" t="str">
        <f>IF(L464=1,IF(IFERROR(INDEX(PARTNERS!$C$2:$C$88,MATCH(B464,PARTNERS!$A$2:$A$88,0)),"")="YES","YES","NO"),"")</f>
        <v>NO</v>
      </c>
      <c r="AD464" s="28" t="str">
        <f>IF(L464=1,IFERROR(INDEX(PARTNERS!$B$2:$B$88,MATCH(B464,PARTNERS!$A$2:$A$88,0)),""),"")</f>
        <v>https://calendly.com/partner000/interview</v>
      </c>
      <c r="AE464" s="28">
        <f ca="1">IF(X464=1,IFERROR(INDEX(SETTINGS!$B$34:$D$36,MATCH(I464,SETTINGS!$A$34:$A$36,0),MIN(Q464,2)+1),SETTINGS!$B$36),0)</f>
        <v>0</v>
      </c>
      <c r="AF464" s="28">
        <f t="shared" si="81"/>
        <v>1</v>
      </c>
      <c r="AG464" s="28">
        <f ca="1">IF(AND(Y464=1,AB464=1),ROUND(AA464*AE464*IF(AF464&gt;1,SETTINGS!$B$16,1)*IF(W464&lt;=SETTINGS!$B$14,SETTINGS!$B$15,1)*IF(AU464=1,SETTINGS!$B$21,1),6),0)</f>
        <v>0</v>
      </c>
      <c r="AH464" s="28" t="str">
        <f ca="1">IF(AG464&gt;0,COUNTIFS($Z$2:$Z$601,Z464,$AG$2:$AG$601,"&gt;"&amp;AG464)+COUNTIFS($Z$2:Z464,Z464,$AG$2:AG464,AG464),"")</f>
        <v/>
      </c>
      <c r="AI464" s="28" t="str">
        <f t="shared" ca="1" si="82"/>
        <v/>
      </c>
      <c r="AJ464" s="28" t="str">
        <f t="shared" ca="1" si="83"/>
        <v/>
      </c>
      <c r="AK464" s="28">
        <f>IF(L464=1,IF(COUNTIFS($F$2:F464,F464,$L$2:L464,1)=1,1,0),0)</f>
        <v>1</v>
      </c>
      <c r="AL464" s="28" t="str">
        <f ca="1">IF(B464="","",IF(K464="DUPLICATE","Duplicate (removed)",IF(AO464=1,"Scheduled within 24h",IF(M464=1,"Scheduled late",IF(K464="BAD CONTACT","Bad contact details",IF(O464=1,"Stopped / wrong number",IF(N464=1,"Not interested",IF(P464=1,"Partner has no slots",IF(SETTINGS!$B$4&gt;=V464,IF(Q464=0,"Missed deadline: never tried","Missed deadline: tried, not booked"),IF(Q464&gt;=SETTINGS!$B$6,"No reply after max tries","Open"))))))))))</f>
        <v>Missed deadline: tried, not booked</v>
      </c>
      <c r="AM464" s="46" t="str">
        <f>IF(M464=1,IF(_xlfn.MINIFS(LOG!$G$2:$G$2001,LOG!$C$2:$C$2001,F464,LOG!$E$2:$E$2001,B464,LOG!$D$2:$D$2001,"*BOOKED")=0,_xlfn.MINIFS(LOG!$G$2:$G$2001,LOG!$C$2:$C$2001,F464,LOG!$E$2:$E$2001,"",LOG!$D$2:$D$2001,"*BOOKED"),IF(_xlfn.MINIFS(LOG!$G$2:$G$2001,LOG!$C$2:$C$2001,F464,LOG!$E$2:$E$2001,"",LOG!$D$2:$D$2001,"*BOOKED")=0,_xlfn.MINIFS(LOG!$G$2:$G$2001,LOG!$C$2:$C$2001,F464,LOG!$E$2:$E$2001,B464,LOG!$D$2:$D$2001,"*BOOKED"),MIN(_xlfn.MINIFS(LOG!$G$2:$G$2001,LOG!$C$2:$C$2001,F464,LOG!$E$2:$E$2001,B464,LOG!$D$2:$D$2001,"*BOOKED"),_xlfn.MINIFS(LOG!$G$2:$G$2001,LOG!$C$2:$C$2001,F464,LOG!$E$2:$E$2001,"",LOG!$D$2:$D$2001,"*BOOKED")))),"")</f>
        <v/>
      </c>
      <c r="AN464" s="28" t="str">
        <f t="shared" si="84"/>
        <v/>
      </c>
      <c r="AO464" s="28">
        <f>IF(AND(M464=1,AN464&lt;&gt;""),IF(AN464&lt;=SETTINGS!$B$5,1,0),0)</f>
        <v>0</v>
      </c>
      <c r="AP464" s="28">
        <f>IF(M464=1,IF(COUNTIFS(LOG!$C$2:$C$2001,F464,LOG!$E$2:$E$2001,B464,LOG!$D$2:$D$2001,"BOOKED")+COUNTIFS(LOG!$C$2:$C$2001,F464,LOG!$E$2:$E$2001,"",LOG!$D$2:$D$2001,"BOOKED")&gt;0,1,0),0)</f>
        <v>0</v>
      </c>
      <c r="AQ464" s="28" t="str">
        <f t="shared" si="85"/>
        <v>Aarav</v>
      </c>
      <c r="AR464" s="28">
        <f>IF(AND(AK464=1,K464="OK"),COUNTIFS($AK$2:AK464,1,$K$2:K464,"OK"),"")</f>
        <v>378</v>
      </c>
      <c r="AS464" s="28" t="str">
        <f>IF(L464=1,IFERROR(INDEX(MESSAGES!$J$9:$J$1008,MATCH(F464,MESSAGES!$M$9:$M$1008,0))&amp;"",""),"")</f>
        <v/>
      </c>
      <c r="AT464" s="28" t="str">
        <f>IF(L464=1,IFERROR(INDEX(MESSAGES!$K$9:$K$1008,MATCH(F464,MESSAGES!$M$9:$M$1008,0))&amp;"",""),"")</f>
        <v/>
      </c>
      <c r="AU464" s="28">
        <f t="shared" ca="1" si="86"/>
        <v>0</v>
      </c>
      <c r="AV464" s="28" t="str">
        <f t="shared" si="87"/>
        <v>HOLD</v>
      </c>
    </row>
    <row r="465" spans="1:48" x14ac:dyDescent="0.35">
      <c r="A465" s="28">
        <v>464</v>
      </c>
      <c r="B465" s="28" t="str">
        <f>IF(INPUT!A465="","",TRIM(INPUT!A465))</f>
        <v>Partner 000</v>
      </c>
      <c r="C465" s="28" t="str">
        <f>IF(B465="","",INPUT!C465)</f>
        <v>interviewer2@partner000.example.com</v>
      </c>
      <c r="D465" s="28" t="str">
        <f>IF(B465="","",INPUT!D465)</f>
        <v>Zoya M.</v>
      </c>
      <c r="E465" s="28" t="str">
        <f>IF(B465="","",INPUT!E465)</f>
        <v>zoya.m347@example.com</v>
      </c>
      <c r="F465" s="43" t="str">
        <f>IF(B465="","",TRIM(INPUT!F465&amp;""))</f>
        <v>9000004518</v>
      </c>
      <c r="G465" s="28" t="str">
        <f>IF(B465="","",INPUT!H465)</f>
        <v>Round1</v>
      </c>
      <c r="H465" s="46">
        <f>IF(B465="","",INPUT!I465)</f>
        <v>46308.82708333333</v>
      </c>
      <c r="I465" s="28" t="str">
        <f>IF(B465="","",IF(INPUT!J465="","None",INPUT!J465))</f>
        <v>Clicked</v>
      </c>
      <c r="J465" s="28" t="str">
        <f t="shared" si="77"/>
        <v>zoya.m347@example.com|partner 000|Round1|interviewer2@partner000.example.com</v>
      </c>
      <c r="K465" s="28" t="str">
        <f>IF(B465="","",IF(SUMPRODUCT(($J$2:$J$601=J465)*($H$2:$H$601&lt;H465))+SUMPRODUCT(($J$2:J465=J465)*($H$2:H465=H465))-1&gt;0,"DUPLICATE",IF(AND(ISNUMBER(SEARCH("@",E465)),ISNUMBER(SEARCH(".",E465)),LEN(F465)=10,ISNUMBER(VALUE(F465))),"OK","BAD CONTACT")))</f>
        <v>OK</v>
      </c>
      <c r="L465" s="28">
        <f t="shared" si="78"/>
        <v>1</v>
      </c>
      <c r="M465" s="28">
        <f>IF(L465=1,IF(COUNTIFS(LOG!$C$2:$C$2001,F465,LOG!$E$2:$E$2001,B465,LOG!$D$2:$D$2001,"*BOOKED")+COUNTIFS(LOG!$C$2:$C$2001,F465,LOG!$E$2:$E$2001,"",LOG!$D$2:$D$2001,"*BOOKED")&gt;0,1,0),0)</f>
        <v>1</v>
      </c>
      <c r="N465" s="28">
        <f>IF(L465=1,IF(COUNTIFS(LOG!$C$2:$C$2001,F465,LOG!$E$2:$E$2001,B465,LOG!$D$2:$D$2001,"NOT_INTERESTED")+COUNTIFS(LOG!$C$2:$C$2001,F465,LOG!$E$2:$E$2001,"",LOG!$D$2:$D$2001,"NOT_INTERESTED")&gt;0,1,0),0)</f>
        <v>0</v>
      </c>
      <c r="O465" s="28">
        <f>IF(L465=1,IF(COUNTIFS(LOG!$C$2:$C$2001,F465,LOG!$D$2:$D$2001,"STOP")+COUNTIFS(LOG!$C$2:$C$2001,F465,LOG!$D$2:$D$2001,"WRONG_NUMBER")&gt;0,1,IF(ISNUMBER(SEARCH("STOP",AT465)),1,0)),0)</f>
        <v>0</v>
      </c>
      <c r="P465" s="28">
        <f>IF(L465=1,IF(IFERROR(INDEX(PARTNERS!$D$2:$D$88,MATCH(B465,PARTNERS!$A$2:$A$88,0)),"")="NO SLOTS",1,IF(AND(IFERROR(INDEX(PARTNERS!$D$2:$D$88,MATCH(B465,PARTNERS!$A$2:$A$88,0)),"")&lt;&gt;"REOPENED",COUNTIFS(LOG!$E$2:$E$2001,B465,LOG!$D$2:$D$2001,"NO_SLOTS")&gt;0),1,0)),0)</f>
        <v>0</v>
      </c>
      <c r="Q465" s="28">
        <f>IF(L465=1,COUNTIFS(LOG!$C$2:$C$2001,F465,LOG!$H$2:$H$2001,1),0)</f>
        <v>2</v>
      </c>
      <c r="R465" s="46">
        <f>IF(Q465&gt;0,_xlfn.MAXIFS(LOG!$G$2:$G$2001,LOG!$C$2:$C$2001,F465,LOG!$H$2:$H$2001,1),0)</f>
        <v>46309.783626248558</v>
      </c>
      <c r="S465" s="28" t="str">
        <f>IF(Q465&gt;0,IFERROR(INDEX(LOG!$D$2:$D$2001,MATCH(F465&amp;"|"&amp;Q465,LOG!$I$2:$I$2001,0)),""),"")</f>
        <v>SENT_LINK</v>
      </c>
      <c r="T465" s="28">
        <f>IF(S465="",0,IFERROR(VLOOKUP(S465,LISTS!$A$2:$E$10,4,FALSE),0))</f>
        <v>180</v>
      </c>
      <c r="U465" s="46">
        <f t="shared" si="79"/>
        <v>46309.908626248558</v>
      </c>
      <c r="V465" s="46">
        <f>IF(L465=1,H465+SETTINGS!$B$5/24,"")</f>
        <v>46309.82708333333</v>
      </c>
      <c r="W465" s="28">
        <f ca="1">IF(L465=1,(V465-SETTINGS!$B$4)*24,"")</f>
        <v>-1.6666666720993817E-2</v>
      </c>
      <c r="X465" s="28">
        <f ca="1">IF(AND(L465=1,K465="OK",M465=0,N465=0,O465=0,P465=0,SETTINGS!$B$4&lt;V465,Q465&lt;SETTINGS!$B$6),1,0)</f>
        <v>0</v>
      </c>
      <c r="Y465" s="28">
        <f ca="1">IF(AND(X465=1,SETTINGS!$B$4&gt;=H465,SETTINGS!$B$4&gt;=U465,ROUND(MOD(SETTINGS!$B$4,1)*1440,0)&gt;=ROUND(SETTINGS!$B$7*1440,0),ROUND(MOD(SETTINGS!$B$4,1)*1440,0)&lt;ROUND(SETTINGS!$B$8*1440,0)),1,0)</f>
        <v>0</v>
      </c>
      <c r="Z465" s="28" t="str">
        <f ca="1">IF(B465="","",IF(ROUND(MOD(SETTINGS!$B$4,1)*1440,0)&lt;ROUND(SETTINGS!$B$11*1440,0),"Ram",IF(ROUND(MOD(SETTINGS!$B$4,1)*1440,0)&gt;=ROUND(SETTINGS!$B$10*1440,0),"Shyam",IF(MOD(IFERROR(VALUE(RIGHT(F465,2)),0),2)=0,"Ram","Shyam"))))</f>
        <v>Shyam</v>
      </c>
      <c r="AA465" s="28">
        <f t="shared" ca="1" si="80"/>
        <v>0</v>
      </c>
      <c r="AB465" s="28">
        <f ca="1">IF(X465=1,COUNTIFS($F$2:F465,F465,$X$2:X465,1),0)</f>
        <v>0</v>
      </c>
      <c r="AC465" s="28" t="str">
        <f>IF(L465=1,IF(IFERROR(INDEX(PARTNERS!$C$2:$C$88,MATCH(B465,PARTNERS!$A$2:$A$88,0)),"")="YES","YES","NO"),"")</f>
        <v>NO</v>
      </c>
      <c r="AD465" s="28" t="str">
        <f>IF(L465=1,IFERROR(INDEX(PARTNERS!$B$2:$B$88,MATCH(B465,PARTNERS!$A$2:$A$88,0)),""),"")</f>
        <v>https://calendly.com/partner000/interview</v>
      </c>
      <c r="AE465" s="28">
        <f ca="1">IF(X465=1,IFERROR(INDEX(SETTINGS!$B$34:$D$36,MATCH(I465,SETTINGS!$A$34:$A$36,0),MIN(Q465,2)+1),SETTINGS!$B$36),0)</f>
        <v>0</v>
      </c>
      <c r="AF465" s="28">
        <f t="shared" si="81"/>
        <v>1</v>
      </c>
      <c r="AG465" s="28">
        <f ca="1">IF(AND(Y465=1,AB465=1),ROUND(AA465*AE465*IF(AF465&gt;1,SETTINGS!$B$16,1)*IF(W465&lt;=SETTINGS!$B$14,SETTINGS!$B$15,1)*IF(AU465=1,SETTINGS!$B$21,1),6),0)</f>
        <v>0</v>
      </c>
      <c r="AH465" s="28" t="str">
        <f ca="1">IF(AG465&gt;0,COUNTIFS($Z$2:$Z$601,Z465,$AG$2:$AG$601,"&gt;"&amp;AG465)+COUNTIFS($Z$2:Z465,Z465,$AG$2:AG465,AG465),"")</f>
        <v/>
      </c>
      <c r="AI465" s="28" t="str">
        <f t="shared" ca="1" si="82"/>
        <v/>
      </c>
      <c r="AJ465" s="28" t="str">
        <f t="shared" ca="1" si="83"/>
        <v/>
      </c>
      <c r="AK465" s="28">
        <f>IF(L465=1,IF(COUNTIFS($F$2:F465,F465,$L$2:L465,1)=1,1,0),0)</f>
        <v>1</v>
      </c>
      <c r="AL465" s="28" t="str">
        <f>IF(B465="","",IF(K465="DUPLICATE","Duplicate (removed)",IF(AO465=1,"Scheduled within 24h",IF(M465=1,"Scheduled late",IF(K465="BAD CONTACT","Bad contact details",IF(O465=1,"Stopped / wrong number",IF(N465=1,"Not interested",IF(P465=1,"Partner has no slots",IF(SETTINGS!$B$4&gt;=V465,IF(Q465=0,"Missed deadline: never tried","Missed deadline: tried, not booked"),IF(Q465&gt;=SETTINGS!$B$6,"No reply after max tries","Open"))))))))))</f>
        <v>Scheduled within 24h</v>
      </c>
      <c r="AM465" s="46">
        <f>IF(M465=1,IF(_xlfn.MINIFS(LOG!$G$2:$G$2001,LOG!$C$2:$C$2001,F465,LOG!$E$2:$E$2001,B465,LOG!$D$2:$D$2001,"*BOOKED")=0,_xlfn.MINIFS(LOG!$G$2:$G$2001,LOG!$C$2:$C$2001,F465,LOG!$E$2:$E$2001,"",LOG!$D$2:$D$2001,"*BOOKED"),IF(_xlfn.MINIFS(LOG!$G$2:$G$2001,LOG!$C$2:$C$2001,F465,LOG!$E$2:$E$2001,"",LOG!$D$2:$D$2001,"*BOOKED")=0,_xlfn.MINIFS(LOG!$G$2:$G$2001,LOG!$C$2:$C$2001,F465,LOG!$E$2:$E$2001,B465,LOG!$D$2:$D$2001,"*BOOKED"),MIN(_xlfn.MINIFS(LOG!$G$2:$G$2001,LOG!$C$2:$C$2001,F465,LOG!$E$2:$E$2001,B465,LOG!$D$2:$D$2001,"*BOOKED"),_xlfn.MINIFS(LOG!$G$2:$G$2001,LOG!$C$2:$C$2001,F465,LOG!$E$2:$E$2001,"",LOG!$D$2:$D$2001,"*BOOKED")))),"")</f>
        <v>46309.810508844115</v>
      </c>
      <c r="AN465" s="28">
        <f t="shared" si="84"/>
        <v>23.60221225884743</v>
      </c>
      <c r="AO465" s="28">
        <f>IF(AND(M465=1,AN465&lt;&gt;""),IF(AN465&lt;=SETTINGS!$B$5,1,0),0)</f>
        <v>1</v>
      </c>
      <c r="AP465" s="28">
        <f>IF(M465=1,IF(COUNTIFS(LOG!$C$2:$C$2001,F465,LOG!$E$2:$E$2001,B465,LOG!$D$2:$D$2001,"BOOKED")+COUNTIFS(LOG!$C$2:$C$2001,F465,LOG!$E$2:$E$2001,"",LOG!$D$2:$D$2001,"BOOKED")&gt;0,1,0),0)</f>
        <v>0</v>
      </c>
      <c r="AQ465" s="28" t="str">
        <f t="shared" si="85"/>
        <v>Zoya</v>
      </c>
      <c r="AR465" s="28">
        <f>IF(AND(AK465=1,K465="OK"),COUNTIFS($AK$2:AK465,1,$K$2:K465,"OK"),"")</f>
        <v>379</v>
      </c>
      <c r="AS465" s="28" t="str">
        <f>IF(L465=1,IFERROR(INDEX(MESSAGES!$J$9:$J$1008,MATCH(F465,MESSAGES!$M$9:$M$1008,0))&amp;"",""),"")</f>
        <v/>
      </c>
      <c r="AT465" s="28" t="str">
        <f>IF(L465=1,IFERROR(INDEX(MESSAGES!$K$9:$K$1008,MATCH(F465,MESSAGES!$M$9:$M$1008,0))&amp;"",""),"")</f>
        <v/>
      </c>
      <c r="AU465" s="28">
        <f t="shared" ca="1" si="86"/>
        <v>0</v>
      </c>
      <c r="AV465" s="28" t="str">
        <f t="shared" si="87"/>
        <v>HOLD</v>
      </c>
    </row>
    <row r="466" spans="1:48" x14ac:dyDescent="0.35">
      <c r="A466" s="28">
        <v>465</v>
      </c>
      <c r="B466" s="28" t="str">
        <f>IF(INPUT!A466="","",TRIM(INPUT!A466))</f>
        <v>Partner 008</v>
      </c>
      <c r="C466" s="28" t="str">
        <f>IF(B466="","",INPUT!C466)</f>
        <v>interviewer0@partner008.example.com</v>
      </c>
      <c r="D466" s="28" t="str">
        <f>IF(B466="","",INPUT!D466)</f>
        <v>Isha M.</v>
      </c>
      <c r="E466" s="28" t="str">
        <f>IF(B466="","",INPUT!E466)</f>
        <v>isha.m355@example.com</v>
      </c>
      <c r="F466" s="43" t="str">
        <f>IF(B466="","",TRIM(INPUT!F466&amp;""))</f>
        <v>9000004622</v>
      </c>
      <c r="G466" s="28" t="str">
        <f>IF(B466="","",INPUT!H466)</f>
        <v>Round1</v>
      </c>
      <c r="H466" s="46">
        <f>IF(B466="","",INPUT!I466)</f>
        <v>46308.82708333333</v>
      </c>
      <c r="I466" s="28" t="str">
        <f>IF(B466="","",IF(INPUT!J466="","None",INPUT!J466))</f>
        <v>Clicked</v>
      </c>
      <c r="J466" s="28" t="str">
        <f t="shared" si="77"/>
        <v>isha.m355@example.com|partner 008|Round1|interviewer0@partner008.example.com</v>
      </c>
      <c r="K466" s="28" t="str">
        <f>IF(B466="","",IF(SUMPRODUCT(($J$2:$J$601=J466)*($H$2:$H$601&lt;H466))+SUMPRODUCT(($J$2:J466=J466)*($H$2:H466=H466))-1&gt;0,"DUPLICATE",IF(AND(ISNUMBER(SEARCH("@",E466)),ISNUMBER(SEARCH(".",E466)),LEN(F466)=10,ISNUMBER(VALUE(F466))),"OK","BAD CONTACT")))</f>
        <v>OK</v>
      </c>
      <c r="L466" s="28">
        <f t="shared" si="78"/>
        <v>1</v>
      </c>
      <c r="M466" s="28">
        <f>IF(L466=1,IF(COUNTIFS(LOG!$C$2:$C$2001,F466,LOG!$E$2:$E$2001,B466,LOG!$D$2:$D$2001,"*BOOKED")+COUNTIFS(LOG!$C$2:$C$2001,F466,LOG!$E$2:$E$2001,"",LOG!$D$2:$D$2001,"*BOOKED")&gt;0,1,0),0)</f>
        <v>1</v>
      </c>
      <c r="N466" s="28">
        <f>IF(L466=1,IF(COUNTIFS(LOG!$C$2:$C$2001,F466,LOG!$E$2:$E$2001,B466,LOG!$D$2:$D$2001,"NOT_INTERESTED")+COUNTIFS(LOG!$C$2:$C$2001,F466,LOG!$E$2:$E$2001,"",LOG!$D$2:$D$2001,"NOT_INTERESTED")&gt;0,1,0),0)</f>
        <v>0</v>
      </c>
      <c r="O466" s="28">
        <f>IF(L466=1,IF(COUNTIFS(LOG!$C$2:$C$2001,F466,LOG!$D$2:$D$2001,"STOP")+COUNTIFS(LOG!$C$2:$C$2001,F466,LOG!$D$2:$D$2001,"WRONG_NUMBER")&gt;0,1,IF(ISNUMBER(SEARCH("STOP",AT466)),1,0)),0)</f>
        <v>0</v>
      </c>
      <c r="P466" s="28">
        <f>IF(L466=1,IF(IFERROR(INDEX(PARTNERS!$D$2:$D$88,MATCH(B466,PARTNERS!$A$2:$A$88,0)),"")="NO SLOTS",1,IF(AND(IFERROR(INDEX(PARTNERS!$D$2:$D$88,MATCH(B466,PARTNERS!$A$2:$A$88,0)),"")&lt;&gt;"REOPENED",COUNTIFS(LOG!$E$2:$E$2001,B466,LOG!$D$2:$D$2001,"NO_SLOTS")&gt;0),1,0)),0)</f>
        <v>0</v>
      </c>
      <c r="Q466" s="28">
        <f>IF(L466=1,COUNTIFS(LOG!$C$2:$C$2001,F466,LOG!$H$2:$H$2001,1),0)</f>
        <v>1</v>
      </c>
      <c r="R466" s="46">
        <f>IF(Q466&gt;0,_xlfn.MAXIFS(LOG!$G$2:$G$2001,LOG!$C$2:$C$2001,F466,LOG!$H$2:$H$2001,1),0)</f>
        <v>46309.682436715673</v>
      </c>
      <c r="S466" s="28" t="str">
        <f>IF(Q466&gt;0,IFERROR(INDEX(LOG!$D$2:$D$2001,MATCH(F466&amp;"|"&amp;Q466,LOG!$I$2:$I$2001,0)),""),"")</f>
        <v>BOOKED</v>
      </c>
      <c r="T466" s="28">
        <f>IF(S466="",0,IFERROR(VLOOKUP(S466,LISTS!$A$2:$E$10,4,FALSE),0))</f>
        <v>0</v>
      </c>
      <c r="U466" s="46">
        <f t="shared" si="79"/>
        <v>46309.682436715673</v>
      </c>
      <c r="V466" s="46">
        <f>IF(L466=1,H466+SETTINGS!$B$5/24,"")</f>
        <v>46309.82708333333</v>
      </c>
      <c r="W466" s="28">
        <f ca="1">IF(L466=1,(V466-SETTINGS!$B$4)*24,"")</f>
        <v>-1.6666666720993817E-2</v>
      </c>
      <c r="X466" s="28">
        <f ca="1">IF(AND(L466=1,K466="OK",M466=0,N466=0,O466=0,P466=0,SETTINGS!$B$4&lt;V466,Q466&lt;SETTINGS!$B$6),1,0)</f>
        <v>0</v>
      </c>
      <c r="Y466" s="28">
        <f ca="1">IF(AND(X466=1,SETTINGS!$B$4&gt;=H466,SETTINGS!$B$4&gt;=U466,ROUND(MOD(SETTINGS!$B$4,1)*1440,0)&gt;=ROUND(SETTINGS!$B$7*1440,0),ROUND(MOD(SETTINGS!$B$4,1)*1440,0)&lt;ROUND(SETTINGS!$B$8*1440,0)),1,0)</f>
        <v>0</v>
      </c>
      <c r="Z466" s="28" t="str">
        <f ca="1">IF(B466="","",IF(ROUND(MOD(SETTINGS!$B$4,1)*1440,0)&lt;ROUND(SETTINGS!$B$11*1440,0),"Ram",IF(ROUND(MOD(SETTINGS!$B$4,1)*1440,0)&gt;=ROUND(SETTINGS!$B$10*1440,0),"Shyam",IF(MOD(IFERROR(VALUE(RIGHT(F466,2)),0),2)=0,"Ram","Shyam"))))</f>
        <v>Shyam</v>
      </c>
      <c r="AA466" s="28">
        <f t="shared" ca="1" si="80"/>
        <v>0</v>
      </c>
      <c r="AB466" s="28">
        <f ca="1">IF(X466=1,COUNTIFS($F$2:F466,F466,$X$2:X466,1),0)</f>
        <v>0</v>
      </c>
      <c r="AC466" s="28" t="str">
        <f>IF(L466=1,IF(IFERROR(INDEX(PARTNERS!$C$2:$C$88,MATCH(B466,PARTNERS!$A$2:$A$88,0)),"")="YES","YES","NO"),"")</f>
        <v>YES</v>
      </c>
      <c r="AD466" s="28" t="str">
        <f>IF(L466=1,IFERROR(INDEX(PARTNERS!$B$2:$B$88,MATCH(B466,PARTNERS!$A$2:$A$88,0)),""),"")</f>
        <v>https://calendly.com/partner008/interview</v>
      </c>
      <c r="AE466" s="28">
        <f ca="1">IF(X466=1,IFERROR(INDEX(SETTINGS!$B$34:$D$36,MATCH(I466,SETTINGS!$A$34:$A$36,0),MIN(Q466,2)+1),SETTINGS!$B$36),0)</f>
        <v>0</v>
      </c>
      <c r="AF466" s="28">
        <f t="shared" si="81"/>
        <v>1</v>
      </c>
      <c r="AG466" s="28">
        <f ca="1">IF(AND(Y466=1,AB466=1),ROUND(AA466*AE466*IF(AF466&gt;1,SETTINGS!$B$16,1)*IF(W466&lt;=SETTINGS!$B$14,SETTINGS!$B$15,1)*IF(AU466=1,SETTINGS!$B$21,1),6),0)</f>
        <v>0</v>
      </c>
      <c r="AH466" s="28" t="str">
        <f ca="1">IF(AG466&gt;0,COUNTIFS($Z$2:$Z$601,Z466,$AG$2:$AG$601,"&gt;"&amp;AG466)+COUNTIFS($Z$2:Z466,Z466,$AG$2:AG466,AG466),"")</f>
        <v/>
      </c>
      <c r="AI466" s="28" t="str">
        <f t="shared" ca="1" si="82"/>
        <v/>
      </c>
      <c r="AJ466" s="28" t="str">
        <f t="shared" ca="1" si="83"/>
        <v/>
      </c>
      <c r="AK466" s="28">
        <f>IF(L466=1,IF(COUNTIFS($F$2:F466,F466,$L$2:L466,1)=1,1,0),0)</f>
        <v>1</v>
      </c>
      <c r="AL466" s="28" t="str">
        <f>IF(B466="","",IF(K466="DUPLICATE","Duplicate (removed)",IF(AO466=1,"Scheduled within 24h",IF(M466=1,"Scheduled late",IF(K466="BAD CONTACT","Bad contact details",IF(O466=1,"Stopped / wrong number",IF(N466=1,"Not interested",IF(P466=1,"Partner has no slots",IF(SETTINGS!$B$4&gt;=V466,IF(Q466=0,"Missed deadline: never tried","Missed deadline: tried, not booked"),IF(Q466&gt;=SETTINGS!$B$6,"No reply after max tries","Open"))))))))))</f>
        <v>Scheduled within 24h</v>
      </c>
      <c r="AM466" s="46">
        <f>IF(M466=1,IF(_xlfn.MINIFS(LOG!$G$2:$G$2001,LOG!$C$2:$C$2001,F466,LOG!$E$2:$E$2001,B466,LOG!$D$2:$D$2001,"*BOOKED")=0,_xlfn.MINIFS(LOG!$G$2:$G$2001,LOG!$C$2:$C$2001,F466,LOG!$E$2:$E$2001,"",LOG!$D$2:$D$2001,"*BOOKED"),IF(_xlfn.MINIFS(LOG!$G$2:$G$2001,LOG!$C$2:$C$2001,F466,LOG!$E$2:$E$2001,"",LOG!$D$2:$D$2001,"*BOOKED")=0,_xlfn.MINIFS(LOG!$G$2:$G$2001,LOG!$C$2:$C$2001,F466,LOG!$E$2:$E$2001,B466,LOG!$D$2:$D$2001,"*BOOKED"),MIN(_xlfn.MINIFS(LOG!$G$2:$G$2001,LOG!$C$2:$C$2001,F466,LOG!$E$2:$E$2001,B466,LOG!$D$2:$D$2001,"*BOOKED"),_xlfn.MINIFS(LOG!$G$2:$G$2001,LOG!$C$2:$C$2001,F466,LOG!$E$2:$E$2001,"",LOG!$D$2:$D$2001,"*BOOKED")))),"")</f>
        <v>46309.682436715673</v>
      </c>
      <c r="AN466" s="28">
        <f t="shared" si="84"/>
        <v>20.528481176239438</v>
      </c>
      <c r="AO466" s="28">
        <f>IF(AND(M466=1,AN466&lt;&gt;""),IF(AN466&lt;=SETTINGS!$B$5,1,0),0)</f>
        <v>1</v>
      </c>
      <c r="AP466" s="28">
        <f>IF(M466=1,IF(COUNTIFS(LOG!$C$2:$C$2001,F466,LOG!$E$2:$E$2001,B466,LOG!$D$2:$D$2001,"BOOKED")+COUNTIFS(LOG!$C$2:$C$2001,F466,LOG!$E$2:$E$2001,"",LOG!$D$2:$D$2001,"BOOKED")&gt;0,1,0),0)</f>
        <v>1</v>
      </c>
      <c r="AQ466" s="28" t="str">
        <f t="shared" si="85"/>
        <v>Isha</v>
      </c>
      <c r="AR466" s="28">
        <f>IF(AND(AK466=1,K466="OK"),COUNTIFS($AK$2:AK466,1,$K$2:K466,"OK"),"")</f>
        <v>380</v>
      </c>
      <c r="AS466" s="28" t="str">
        <f>IF(L466=1,IFERROR(INDEX(MESSAGES!$J$9:$J$1008,MATCH(F466,MESSAGES!$M$9:$M$1008,0))&amp;"",""),"")</f>
        <v/>
      </c>
      <c r="AT466" s="28" t="str">
        <f>IF(L466=1,IFERROR(INDEX(MESSAGES!$K$9:$K$1008,MATCH(F466,MESSAGES!$M$9:$M$1008,0))&amp;"",""),"")</f>
        <v/>
      </c>
      <c r="AU466" s="28">
        <f t="shared" ca="1" si="86"/>
        <v>0</v>
      </c>
      <c r="AV466" s="28" t="str">
        <f t="shared" si="87"/>
        <v>SEND</v>
      </c>
    </row>
    <row r="467" spans="1:48" x14ac:dyDescent="0.35">
      <c r="A467" s="28">
        <v>466</v>
      </c>
      <c r="B467" s="28" t="str">
        <f>IF(INPUT!A467="","",TRIM(INPUT!A467))</f>
        <v>Partner 087</v>
      </c>
      <c r="C467" s="28" t="str">
        <f>IF(B467="","",INPUT!C467)</f>
        <v>interviewer2@partner087.example.com</v>
      </c>
      <c r="D467" s="28" t="str">
        <f>IF(B467="","",INPUT!D467)</f>
        <v>Kabir L.</v>
      </c>
      <c r="E467" s="28" t="str">
        <f>IF(B467="","",INPUT!E467)</f>
        <v>kabir.l302@example.com</v>
      </c>
      <c r="F467" s="43" t="str">
        <f>IF(B467="","",TRIM(INPUT!F467&amp;""))</f>
        <v>9000003933</v>
      </c>
      <c r="G467" s="28" t="str">
        <f>IF(B467="","",INPUT!H467)</f>
        <v>Round1</v>
      </c>
      <c r="H467" s="46">
        <f>IF(B467="","",INPUT!I467)</f>
        <v>46308.82708333333</v>
      </c>
      <c r="I467" s="28" t="str">
        <f>IF(B467="","",IF(INPUT!J467="","None",INPUT!J467))</f>
        <v>Opened</v>
      </c>
      <c r="J467" s="28" t="str">
        <f t="shared" si="77"/>
        <v>kabir.l302@example.com|partner 087|Round1|interviewer2@partner087.example.com</v>
      </c>
      <c r="K467" s="28" t="str">
        <f>IF(B467="","",IF(SUMPRODUCT(($J$2:$J$601=J467)*($H$2:$H$601&lt;H467))+SUMPRODUCT(($J$2:J467=J467)*($H$2:H467=H467))-1&gt;0,"DUPLICATE",IF(AND(ISNUMBER(SEARCH("@",E467)),ISNUMBER(SEARCH(".",E467)),LEN(F467)=10,ISNUMBER(VALUE(F467))),"OK","BAD CONTACT")))</f>
        <v>OK</v>
      </c>
      <c r="L467" s="28">
        <f t="shared" si="78"/>
        <v>1</v>
      </c>
      <c r="M467" s="28">
        <f>IF(L467=1,IF(COUNTIFS(LOG!$C$2:$C$2001,F467,LOG!$E$2:$E$2001,B467,LOG!$D$2:$D$2001,"*BOOKED")+COUNTIFS(LOG!$C$2:$C$2001,F467,LOG!$E$2:$E$2001,"",LOG!$D$2:$D$2001,"*BOOKED")&gt;0,1,0),0)</f>
        <v>0</v>
      </c>
      <c r="N467" s="28">
        <f>IF(L467=1,IF(COUNTIFS(LOG!$C$2:$C$2001,F467,LOG!$E$2:$E$2001,B467,LOG!$D$2:$D$2001,"NOT_INTERESTED")+COUNTIFS(LOG!$C$2:$C$2001,F467,LOG!$E$2:$E$2001,"",LOG!$D$2:$D$2001,"NOT_INTERESTED")&gt;0,1,0),0)</f>
        <v>0</v>
      </c>
      <c r="O467" s="28">
        <f>IF(L467=1,IF(COUNTIFS(LOG!$C$2:$C$2001,F467,LOG!$D$2:$D$2001,"STOP")+COUNTIFS(LOG!$C$2:$C$2001,F467,LOG!$D$2:$D$2001,"WRONG_NUMBER")&gt;0,1,IF(ISNUMBER(SEARCH("STOP",AT467)),1,0)),0)</f>
        <v>0</v>
      </c>
      <c r="P467" s="28">
        <f>IF(L467=1,IF(IFERROR(INDEX(PARTNERS!$D$2:$D$88,MATCH(B467,PARTNERS!$A$2:$A$88,0)),"")="NO SLOTS",1,IF(AND(IFERROR(INDEX(PARTNERS!$D$2:$D$88,MATCH(B467,PARTNERS!$A$2:$A$88,0)),"")&lt;&gt;"REOPENED",COUNTIFS(LOG!$E$2:$E$2001,B467,LOG!$D$2:$D$2001,"NO_SLOTS")&gt;0),1,0)),0)</f>
        <v>0</v>
      </c>
      <c r="Q467" s="28">
        <f>IF(L467=1,COUNTIFS(LOG!$C$2:$C$2001,F467,LOG!$H$2:$H$2001,1),0)</f>
        <v>0</v>
      </c>
      <c r="R467" s="46">
        <f>IF(Q467&gt;0,_xlfn.MAXIFS(LOG!$G$2:$G$2001,LOG!$C$2:$C$2001,F467,LOG!$H$2:$H$2001,1),0)</f>
        <v>0</v>
      </c>
      <c r="S467" s="28" t="str">
        <f>IF(Q467&gt;0,IFERROR(INDEX(LOG!$D$2:$D$2001,MATCH(F467&amp;"|"&amp;Q467,LOG!$I$2:$I$2001,0)),""),"")</f>
        <v/>
      </c>
      <c r="T467" s="28">
        <f>IF(S467="",0,IFERROR(VLOOKUP(S467,LISTS!$A$2:$E$10,4,FALSE),0))</f>
        <v>0</v>
      </c>
      <c r="U467" s="46">
        <f t="shared" si="79"/>
        <v>0</v>
      </c>
      <c r="V467" s="46">
        <f>IF(L467=1,H467+SETTINGS!$B$5/24,"")</f>
        <v>46309.82708333333</v>
      </c>
      <c r="W467" s="28">
        <f ca="1">IF(L467=1,(V467-SETTINGS!$B$4)*24,"")</f>
        <v>-1.6666666720993817E-2</v>
      </c>
      <c r="X467" s="28">
        <f ca="1">IF(AND(L467=1,K467="OK",M467=0,N467=0,O467=0,P467=0,SETTINGS!$B$4&lt;V467,Q467&lt;SETTINGS!$B$6),1,0)</f>
        <v>0</v>
      </c>
      <c r="Y467" s="28">
        <f ca="1">IF(AND(X467=1,SETTINGS!$B$4&gt;=H467,SETTINGS!$B$4&gt;=U467,ROUND(MOD(SETTINGS!$B$4,1)*1440,0)&gt;=ROUND(SETTINGS!$B$7*1440,0),ROUND(MOD(SETTINGS!$B$4,1)*1440,0)&lt;ROUND(SETTINGS!$B$8*1440,0)),1,0)</f>
        <v>0</v>
      </c>
      <c r="Z467" s="28" t="str">
        <f ca="1">IF(B467="","",IF(ROUND(MOD(SETTINGS!$B$4,1)*1440,0)&lt;ROUND(SETTINGS!$B$11*1440,0),"Ram",IF(ROUND(MOD(SETTINGS!$B$4,1)*1440,0)&gt;=ROUND(SETTINGS!$B$10*1440,0),"Shyam",IF(MOD(IFERROR(VALUE(RIGHT(F467,2)),0),2)=0,"Ram","Shyam"))))</f>
        <v>Shyam</v>
      </c>
      <c r="AA467" s="28">
        <f t="shared" ca="1" si="80"/>
        <v>0</v>
      </c>
      <c r="AB467" s="28">
        <f ca="1">IF(X467=1,COUNTIFS($F$2:F467,F467,$X$2:X467,1),0)</f>
        <v>0</v>
      </c>
      <c r="AC467" s="28" t="str">
        <f>IF(L467=1,IF(IFERROR(INDEX(PARTNERS!$C$2:$C$88,MATCH(B467,PARTNERS!$A$2:$A$88,0)),"")="YES","YES","NO"),"")</f>
        <v>NO</v>
      </c>
      <c r="AD467" s="28" t="str">
        <f>IF(L467=1,IFERROR(INDEX(PARTNERS!$B$2:$B$88,MATCH(B467,PARTNERS!$A$2:$A$88,0)),""),"")</f>
        <v>https://calendly.com/partner087/interview</v>
      </c>
      <c r="AE467" s="28">
        <f ca="1">IF(X467=1,IFERROR(INDEX(SETTINGS!$B$34:$D$36,MATCH(I467,SETTINGS!$A$34:$A$36,0),MIN(Q467,2)+1),SETTINGS!$B$36),0)</f>
        <v>0</v>
      </c>
      <c r="AF467" s="28">
        <f t="shared" si="81"/>
        <v>1</v>
      </c>
      <c r="AG467" s="28">
        <f ca="1">IF(AND(Y467=1,AB467=1),ROUND(AA467*AE467*IF(AF467&gt;1,SETTINGS!$B$16,1)*IF(W467&lt;=SETTINGS!$B$14,SETTINGS!$B$15,1)*IF(AU467=1,SETTINGS!$B$21,1),6),0)</f>
        <v>0</v>
      </c>
      <c r="AH467" s="28" t="str">
        <f ca="1">IF(AG467&gt;0,COUNTIFS($Z$2:$Z$601,Z467,$AG$2:$AG$601,"&gt;"&amp;AG467)+COUNTIFS($Z$2:Z467,Z467,$AG$2:AG467,AG467),"")</f>
        <v/>
      </c>
      <c r="AI467" s="28" t="str">
        <f t="shared" ca="1" si="82"/>
        <v/>
      </c>
      <c r="AJ467" s="28" t="str">
        <f t="shared" ca="1" si="83"/>
        <v/>
      </c>
      <c r="AK467" s="28">
        <f>IF(L467=1,IF(COUNTIFS($F$2:F467,F467,$L$2:L467,1)=1,1,0),0)</f>
        <v>1</v>
      </c>
      <c r="AL467" s="28" t="str">
        <f ca="1">IF(B467="","",IF(K467="DUPLICATE","Duplicate (removed)",IF(AO467=1,"Scheduled within 24h",IF(M467=1,"Scheduled late",IF(K467="BAD CONTACT","Bad contact details",IF(O467=1,"Stopped / wrong number",IF(N467=1,"Not interested",IF(P467=1,"Partner has no slots",IF(SETTINGS!$B$4&gt;=V467,IF(Q467=0,"Missed deadline: never tried","Missed deadline: tried, not booked"),IF(Q467&gt;=SETTINGS!$B$6,"No reply after max tries","Open"))))))))))</f>
        <v>Missed deadline: never tried</v>
      </c>
      <c r="AM467" s="46" t="str">
        <f>IF(M467=1,IF(_xlfn.MINIFS(LOG!$G$2:$G$2001,LOG!$C$2:$C$2001,F467,LOG!$E$2:$E$2001,B467,LOG!$D$2:$D$2001,"*BOOKED")=0,_xlfn.MINIFS(LOG!$G$2:$G$2001,LOG!$C$2:$C$2001,F467,LOG!$E$2:$E$2001,"",LOG!$D$2:$D$2001,"*BOOKED"),IF(_xlfn.MINIFS(LOG!$G$2:$G$2001,LOG!$C$2:$C$2001,F467,LOG!$E$2:$E$2001,"",LOG!$D$2:$D$2001,"*BOOKED")=0,_xlfn.MINIFS(LOG!$G$2:$G$2001,LOG!$C$2:$C$2001,F467,LOG!$E$2:$E$2001,B467,LOG!$D$2:$D$2001,"*BOOKED"),MIN(_xlfn.MINIFS(LOG!$G$2:$G$2001,LOG!$C$2:$C$2001,F467,LOG!$E$2:$E$2001,B467,LOG!$D$2:$D$2001,"*BOOKED"),_xlfn.MINIFS(LOG!$G$2:$G$2001,LOG!$C$2:$C$2001,F467,LOG!$E$2:$E$2001,"",LOG!$D$2:$D$2001,"*BOOKED")))),"")</f>
        <v/>
      </c>
      <c r="AN467" s="28" t="str">
        <f t="shared" si="84"/>
        <v/>
      </c>
      <c r="AO467" s="28">
        <f>IF(AND(M467=1,AN467&lt;&gt;""),IF(AN467&lt;=SETTINGS!$B$5,1,0),0)</f>
        <v>0</v>
      </c>
      <c r="AP467" s="28">
        <f>IF(M467=1,IF(COUNTIFS(LOG!$C$2:$C$2001,F467,LOG!$E$2:$E$2001,B467,LOG!$D$2:$D$2001,"BOOKED")+COUNTIFS(LOG!$C$2:$C$2001,F467,LOG!$E$2:$E$2001,"",LOG!$D$2:$D$2001,"BOOKED")&gt;0,1,0),0)</f>
        <v>0</v>
      </c>
      <c r="AQ467" s="28" t="str">
        <f t="shared" si="85"/>
        <v>Kabir</v>
      </c>
      <c r="AR467" s="28">
        <f>IF(AND(AK467=1,K467="OK"),COUNTIFS($AK$2:AK467,1,$K$2:K467,"OK"),"")</f>
        <v>381</v>
      </c>
      <c r="AS467" s="28" t="str">
        <f>IF(L467=1,IFERROR(INDEX(MESSAGES!$J$9:$J$1008,MATCH(F467,MESSAGES!$M$9:$M$1008,0))&amp;"",""),"")</f>
        <v/>
      </c>
      <c r="AT467" s="28" t="str">
        <f>IF(L467=1,IFERROR(INDEX(MESSAGES!$K$9:$K$1008,MATCH(F467,MESSAGES!$M$9:$M$1008,0))&amp;"",""),"")</f>
        <v/>
      </c>
      <c r="AU467" s="28">
        <f t="shared" ca="1" si="86"/>
        <v>0</v>
      </c>
      <c r="AV467" s="28" t="str">
        <f t="shared" si="87"/>
        <v>HOLD</v>
      </c>
    </row>
    <row r="468" spans="1:48" x14ac:dyDescent="0.35">
      <c r="A468" s="28">
        <v>467</v>
      </c>
      <c r="B468" s="28" t="str">
        <f>IF(INPUT!A468="","",TRIM(INPUT!A468))</f>
        <v>Partner 000</v>
      </c>
      <c r="C468" s="28" t="str">
        <f>IF(B468="","",INPUT!C468)</f>
        <v>interviewer2@partner000.example.com</v>
      </c>
      <c r="D468" s="28" t="str">
        <f>IF(B468="","",INPUT!D468)</f>
        <v>Ira D.</v>
      </c>
      <c r="E468" s="28" t="str">
        <f>IF(B468="","",INPUT!E468)</f>
        <v>ira.d095@example.com</v>
      </c>
      <c r="F468" s="43" t="str">
        <f>IF(B468="","",TRIM(INPUT!F468&amp;""))</f>
        <v>9000001242</v>
      </c>
      <c r="G468" s="28" t="str">
        <f>IF(B468="","",INPUT!H468)</f>
        <v>Round1</v>
      </c>
      <c r="H468" s="46">
        <f>IF(B468="","",INPUT!I468)</f>
        <v>46308.82708333333</v>
      </c>
      <c r="I468" s="28" t="str">
        <f>IF(B468="","",IF(INPUT!J468="","None",INPUT!J468))</f>
        <v>Clicked</v>
      </c>
      <c r="J468" s="28" t="str">
        <f t="shared" si="77"/>
        <v>ira.d095@example.com|partner 000|Round1|interviewer2@partner000.example.com</v>
      </c>
      <c r="K468" s="28" t="str">
        <f>IF(B468="","",IF(SUMPRODUCT(($J$2:$J$601=J468)*($H$2:$H$601&lt;H468))+SUMPRODUCT(($J$2:J468=J468)*($H$2:H468=H468))-1&gt;0,"DUPLICATE",IF(AND(ISNUMBER(SEARCH("@",E468)),ISNUMBER(SEARCH(".",E468)),LEN(F468)=10,ISNUMBER(VALUE(F468))),"OK","BAD CONTACT")))</f>
        <v>OK</v>
      </c>
      <c r="L468" s="28">
        <f t="shared" si="78"/>
        <v>1</v>
      </c>
      <c r="M468" s="28">
        <f>IF(L468=1,IF(COUNTIFS(LOG!$C$2:$C$2001,F468,LOG!$E$2:$E$2001,B468,LOG!$D$2:$D$2001,"*BOOKED")+COUNTIFS(LOG!$C$2:$C$2001,F468,LOG!$E$2:$E$2001,"",LOG!$D$2:$D$2001,"*BOOKED")&gt;0,1,0),0)</f>
        <v>0</v>
      </c>
      <c r="N468" s="28">
        <f>IF(L468=1,IF(COUNTIFS(LOG!$C$2:$C$2001,F468,LOG!$E$2:$E$2001,B468,LOG!$D$2:$D$2001,"NOT_INTERESTED")+COUNTIFS(LOG!$C$2:$C$2001,F468,LOG!$E$2:$E$2001,"",LOG!$D$2:$D$2001,"NOT_INTERESTED")&gt;0,1,0),0)</f>
        <v>0</v>
      </c>
      <c r="O468" s="28">
        <f>IF(L468=1,IF(COUNTIFS(LOG!$C$2:$C$2001,F468,LOG!$D$2:$D$2001,"STOP")+COUNTIFS(LOG!$C$2:$C$2001,F468,LOG!$D$2:$D$2001,"WRONG_NUMBER")&gt;0,1,IF(ISNUMBER(SEARCH("STOP",AT468)),1,0)),0)</f>
        <v>0</v>
      </c>
      <c r="P468" s="28">
        <f>IF(L468=1,IF(IFERROR(INDEX(PARTNERS!$D$2:$D$88,MATCH(B468,PARTNERS!$A$2:$A$88,0)),"")="NO SLOTS",1,IF(AND(IFERROR(INDEX(PARTNERS!$D$2:$D$88,MATCH(B468,PARTNERS!$A$2:$A$88,0)),"")&lt;&gt;"REOPENED",COUNTIFS(LOG!$E$2:$E$2001,B468,LOG!$D$2:$D$2001,"NO_SLOTS")&gt;0),1,0)),0)</f>
        <v>0</v>
      </c>
      <c r="Q468" s="28">
        <f>IF(L468=1,COUNTIFS(LOG!$C$2:$C$2001,F468,LOG!$H$2:$H$2001,1),0)</f>
        <v>2</v>
      </c>
      <c r="R468" s="46">
        <f>IF(Q468&gt;0,_xlfn.MAXIFS(LOG!$G$2:$G$2001,LOG!$C$2:$C$2001,F468,LOG!$H$2:$H$2001,1),0)</f>
        <v>46309.786297001257</v>
      </c>
      <c r="S468" s="28" t="str">
        <f>IF(Q468&gt;0,IFERROR(INDEX(LOG!$D$2:$D$2001,MATCH(F468&amp;"|"&amp;Q468,LOG!$I$2:$I$2001,0)),""),"")</f>
        <v>NO_ANSWER</v>
      </c>
      <c r="T468" s="28">
        <f>IF(S468="",0,IFERROR(VLOOKUP(S468,LISTS!$A$2:$E$10,4,FALSE),0))</f>
        <v>120</v>
      </c>
      <c r="U468" s="46">
        <f t="shared" si="79"/>
        <v>46309.869630334593</v>
      </c>
      <c r="V468" s="46">
        <f>IF(L468=1,H468+SETTINGS!$B$5/24,"")</f>
        <v>46309.82708333333</v>
      </c>
      <c r="W468" s="28">
        <f ca="1">IF(L468=1,(V468-SETTINGS!$B$4)*24,"")</f>
        <v>-1.6666666720993817E-2</v>
      </c>
      <c r="X468" s="28">
        <f ca="1">IF(AND(L468=1,K468="OK",M468=0,N468=0,O468=0,P468=0,SETTINGS!$B$4&lt;V468,Q468&lt;SETTINGS!$B$6),1,0)</f>
        <v>0</v>
      </c>
      <c r="Y468" s="28">
        <f ca="1">IF(AND(X468=1,SETTINGS!$B$4&gt;=H468,SETTINGS!$B$4&gt;=U468,ROUND(MOD(SETTINGS!$B$4,1)*1440,0)&gt;=ROUND(SETTINGS!$B$7*1440,0),ROUND(MOD(SETTINGS!$B$4,1)*1440,0)&lt;ROUND(SETTINGS!$B$8*1440,0)),1,0)</f>
        <v>0</v>
      </c>
      <c r="Z468" s="28" t="str">
        <f ca="1">IF(B468="","",IF(ROUND(MOD(SETTINGS!$B$4,1)*1440,0)&lt;ROUND(SETTINGS!$B$11*1440,0),"Ram",IF(ROUND(MOD(SETTINGS!$B$4,1)*1440,0)&gt;=ROUND(SETTINGS!$B$10*1440,0),"Shyam",IF(MOD(IFERROR(VALUE(RIGHT(F468,2)),0),2)=0,"Ram","Shyam"))))</f>
        <v>Shyam</v>
      </c>
      <c r="AA468" s="28">
        <f t="shared" ca="1" si="80"/>
        <v>0</v>
      </c>
      <c r="AB468" s="28">
        <f ca="1">IF(X468=1,COUNTIFS($F$2:F468,F468,$X$2:X468,1),0)</f>
        <v>0</v>
      </c>
      <c r="AC468" s="28" t="str">
        <f>IF(L468=1,IF(IFERROR(INDEX(PARTNERS!$C$2:$C$88,MATCH(B468,PARTNERS!$A$2:$A$88,0)),"")="YES","YES","NO"),"")</f>
        <v>NO</v>
      </c>
      <c r="AD468" s="28" t="str">
        <f>IF(L468=1,IFERROR(INDEX(PARTNERS!$B$2:$B$88,MATCH(B468,PARTNERS!$A$2:$A$88,0)),""),"")</f>
        <v>https://calendly.com/partner000/interview</v>
      </c>
      <c r="AE468" s="28">
        <f ca="1">IF(X468=1,IFERROR(INDEX(SETTINGS!$B$34:$D$36,MATCH(I468,SETTINGS!$A$34:$A$36,0),MIN(Q468,2)+1),SETTINGS!$B$36),0)</f>
        <v>0</v>
      </c>
      <c r="AF468" s="28">
        <f t="shared" si="81"/>
        <v>1</v>
      </c>
      <c r="AG468" s="28">
        <f ca="1">IF(AND(Y468=1,AB468=1),ROUND(AA468*AE468*IF(AF468&gt;1,SETTINGS!$B$16,1)*IF(W468&lt;=SETTINGS!$B$14,SETTINGS!$B$15,1)*IF(AU468=1,SETTINGS!$B$21,1),6),0)</f>
        <v>0</v>
      </c>
      <c r="AH468" s="28" t="str">
        <f ca="1">IF(AG468&gt;0,COUNTIFS($Z$2:$Z$601,Z468,$AG$2:$AG$601,"&gt;"&amp;AG468)+COUNTIFS($Z$2:Z468,Z468,$AG$2:AG468,AG468),"")</f>
        <v/>
      </c>
      <c r="AI468" s="28" t="str">
        <f t="shared" ca="1" si="82"/>
        <v/>
      </c>
      <c r="AJ468" s="28" t="str">
        <f t="shared" ca="1" si="83"/>
        <v/>
      </c>
      <c r="AK468" s="28">
        <f>IF(L468=1,IF(COUNTIFS($F$2:F468,F468,$L$2:L468,1)=1,1,0),0)</f>
        <v>1</v>
      </c>
      <c r="AL468" s="28" t="str">
        <f ca="1">IF(B468="","",IF(K468="DUPLICATE","Duplicate (removed)",IF(AO468=1,"Scheduled within 24h",IF(M468=1,"Scheduled late",IF(K468="BAD CONTACT","Bad contact details",IF(O468=1,"Stopped / wrong number",IF(N468=1,"Not interested",IF(P468=1,"Partner has no slots",IF(SETTINGS!$B$4&gt;=V468,IF(Q468=0,"Missed deadline: never tried","Missed deadline: tried, not booked"),IF(Q468&gt;=SETTINGS!$B$6,"No reply after max tries","Open"))))))))))</f>
        <v>Missed deadline: tried, not booked</v>
      </c>
      <c r="AM468" s="46" t="str">
        <f>IF(M468=1,IF(_xlfn.MINIFS(LOG!$G$2:$G$2001,LOG!$C$2:$C$2001,F468,LOG!$E$2:$E$2001,B468,LOG!$D$2:$D$2001,"*BOOKED")=0,_xlfn.MINIFS(LOG!$G$2:$G$2001,LOG!$C$2:$C$2001,F468,LOG!$E$2:$E$2001,"",LOG!$D$2:$D$2001,"*BOOKED"),IF(_xlfn.MINIFS(LOG!$G$2:$G$2001,LOG!$C$2:$C$2001,F468,LOG!$E$2:$E$2001,"",LOG!$D$2:$D$2001,"*BOOKED")=0,_xlfn.MINIFS(LOG!$G$2:$G$2001,LOG!$C$2:$C$2001,F468,LOG!$E$2:$E$2001,B468,LOG!$D$2:$D$2001,"*BOOKED"),MIN(_xlfn.MINIFS(LOG!$G$2:$G$2001,LOG!$C$2:$C$2001,F468,LOG!$E$2:$E$2001,B468,LOG!$D$2:$D$2001,"*BOOKED"),_xlfn.MINIFS(LOG!$G$2:$G$2001,LOG!$C$2:$C$2001,F468,LOG!$E$2:$E$2001,"",LOG!$D$2:$D$2001,"*BOOKED")))),"")</f>
        <v/>
      </c>
      <c r="AN468" s="28" t="str">
        <f t="shared" si="84"/>
        <v/>
      </c>
      <c r="AO468" s="28">
        <f>IF(AND(M468=1,AN468&lt;&gt;""),IF(AN468&lt;=SETTINGS!$B$5,1,0),0)</f>
        <v>0</v>
      </c>
      <c r="AP468" s="28">
        <f>IF(M468=1,IF(COUNTIFS(LOG!$C$2:$C$2001,F468,LOG!$E$2:$E$2001,B468,LOG!$D$2:$D$2001,"BOOKED")+COUNTIFS(LOG!$C$2:$C$2001,F468,LOG!$E$2:$E$2001,"",LOG!$D$2:$D$2001,"BOOKED")&gt;0,1,0),0)</f>
        <v>0</v>
      </c>
      <c r="AQ468" s="28" t="str">
        <f t="shared" si="85"/>
        <v>Ira</v>
      </c>
      <c r="AR468" s="28">
        <f>IF(AND(AK468=1,K468="OK"),COUNTIFS($AK$2:AK468,1,$K$2:K468,"OK"),"")</f>
        <v>382</v>
      </c>
      <c r="AS468" s="28" t="str">
        <f>IF(L468=1,IFERROR(INDEX(MESSAGES!$J$9:$J$1008,MATCH(F468,MESSAGES!$M$9:$M$1008,0))&amp;"",""),"")</f>
        <v/>
      </c>
      <c r="AT468" s="28" t="str">
        <f>IF(L468=1,IFERROR(INDEX(MESSAGES!$K$9:$K$1008,MATCH(F468,MESSAGES!$M$9:$M$1008,0))&amp;"",""),"")</f>
        <v/>
      </c>
      <c r="AU468" s="28">
        <f t="shared" ca="1" si="86"/>
        <v>0</v>
      </c>
      <c r="AV468" s="28" t="str">
        <f t="shared" si="87"/>
        <v>SEND</v>
      </c>
    </row>
    <row r="469" spans="1:48" x14ac:dyDescent="0.35">
      <c r="A469" s="28">
        <v>468</v>
      </c>
      <c r="B469" s="28" t="str">
        <f>IF(INPUT!A469="","",TRIM(INPUT!A469))</f>
        <v>Partner 000</v>
      </c>
      <c r="C469" s="28" t="str">
        <f>IF(B469="","",INPUT!C469)</f>
        <v>interviewer2@partner000.example.com</v>
      </c>
      <c r="D469" s="28" t="str">
        <f>IF(B469="","",INPUT!D469)</f>
        <v>Kabir J.</v>
      </c>
      <c r="E469" s="28" t="str">
        <f>IF(B469="","",INPUT!E469)</f>
        <v>kabir.j242@example.com</v>
      </c>
      <c r="F469" s="43" t="str">
        <f>IF(B469="","",TRIM(INPUT!F469&amp;""))</f>
        <v>9000003153</v>
      </c>
      <c r="G469" s="28" t="str">
        <f>IF(B469="","",INPUT!H469)</f>
        <v>Round1</v>
      </c>
      <c r="H469" s="46">
        <f>IF(B469="","",INPUT!I469)</f>
        <v>46308.82708333333</v>
      </c>
      <c r="I469" s="28" t="str">
        <f>IF(B469="","",IF(INPUT!J469="","None",INPUT!J469))</f>
        <v>None</v>
      </c>
      <c r="J469" s="28" t="str">
        <f t="shared" si="77"/>
        <v>kabir.j242@example.com|partner 000|Round1|interviewer2@partner000.example.com</v>
      </c>
      <c r="K469" s="28" t="str">
        <f>IF(B469="","",IF(SUMPRODUCT(($J$2:$J$601=J469)*($H$2:$H$601&lt;H469))+SUMPRODUCT(($J$2:J469=J469)*($H$2:H469=H469))-1&gt;0,"DUPLICATE",IF(AND(ISNUMBER(SEARCH("@",E469)),ISNUMBER(SEARCH(".",E469)),LEN(F469)=10,ISNUMBER(VALUE(F469))),"OK","BAD CONTACT")))</f>
        <v>OK</v>
      </c>
      <c r="L469" s="28">
        <f t="shared" si="78"/>
        <v>1</v>
      </c>
      <c r="M469" s="28">
        <f>IF(L469=1,IF(COUNTIFS(LOG!$C$2:$C$2001,F469,LOG!$E$2:$E$2001,B469,LOG!$D$2:$D$2001,"*BOOKED")+COUNTIFS(LOG!$C$2:$C$2001,F469,LOG!$E$2:$E$2001,"",LOG!$D$2:$D$2001,"*BOOKED")&gt;0,1,0),0)</f>
        <v>0</v>
      </c>
      <c r="N469" s="28">
        <f>IF(L469=1,IF(COUNTIFS(LOG!$C$2:$C$2001,F469,LOG!$E$2:$E$2001,B469,LOG!$D$2:$D$2001,"NOT_INTERESTED")+COUNTIFS(LOG!$C$2:$C$2001,F469,LOG!$E$2:$E$2001,"",LOG!$D$2:$D$2001,"NOT_INTERESTED")&gt;0,1,0),0)</f>
        <v>0</v>
      </c>
      <c r="O469" s="28">
        <f>IF(L469=1,IF(COUNTIFS(LOG!$C$2:$C$2001,F469,LOG!$D$2:$D$2001,"STOP")+COUNTIFS(LOG!$C$2:$C$2001,F469,LOG!$D$2:$D$2001,"WRONG_NUMBER")&gt;0,1,IF(ISNUMBER(SEARCH("STOP",AT469)),1,0)),0)</f>
        <v>0</v>
      </c>
      <c r="P469" s="28">
        <f>IF(L469=1,IF(IFERROR(INDEX(PARTNERS!$D$2:$D$88,MATCH(B469,PARTNERS!$A$2:$A$88,0)),"")="NO SLOTS",1,IF(AND(IFERROR(INDEX(PARTNERS!$D$2:$D$88,MATCH(B469,PARTNERS!$A$2:$A$88,0)),"")&lt;&gt;"REOPENED",COUNTIFS(LOG!$E$2:$E$2001,B469,LOG!$D$2:$D$2001,"NO_SLOTS")&gt;0),1,0)),0)</f>
        <v>0</v>
      </c>
      <c r="Q469" s="28">
        <f>IF(L469=1,COUNTIFS(LOG!$C$2:$C$2001,F469,LOG!$H$2:$H$2001,1),0)</f>
        <v>2</v>
      </c>
      <c r="R469" s="46">
        <f>IF(Q469&gt;0,_xlfn.MAXIFS(LOG!$G$2:$G$2001,LOG!$C$2:$C$2001,F469,LOG!$H$2:$H$2001,1),0)</f>
        <v>46309.634030132605</v>
      </c>
      <c r="S469" s="28" t="str">
        <f>IF(Q469&gt;0,IFERROR(INDEX(LOG!$D$2:$D$2001,MATCH(F469&amp;"|"&amp;Q469,LOG!$I$2:$I$2001,0)),""),"")</f>
        <v>NO_ANSWER</v>
      </c>
      <c r="T469" s="28">
        <f>IF(S469="",0,IFERROR(VLOOKUP(S469,LISTS!$A$2:$E$10,4,FALSE),0))</f>
        <v>120</v>
      </c>
      <c r="U469" s="46">
        <f t="shared" si="79"/>
        <v>46309.717363465941</v>
      </c>
      <c r="V469" s="46">
        <f>IF(L469=1,H469+SETTINGS!$B$5/24,"")</f>
        <v>46309.82708333333</v>
      </c>
      <c r="W469" s="28">
        <f ca="1">IF(L469=1,(V469-SETTINGS!$B$4)*24,"")</f>
        <v>-1.6666666720993817E-2</v>
      </c>
      <c r="X469" s="28">
        <f ca="1">IF(AND(L469=1,K469="OK",M469=0,N469=0,O469=0,P469=0,SETTINGS!$B$4&lt;V469,Q469&lt;SETTINGS!$B$6),1,0)</f>
        <v>0</v>
      </c>
      <c r="Y469" s="28">
        <f ca="1">IF(AND(X469=1,SETTINGS!$B$4&gt;=H469,SETTINGS!$B$4&gt;=U469,ROUND(MOD(SETTINGS!$B$4,1)*1440,0)&gt;=ROUND(SETTINGS!$B$7*1440,0),ROUND(MOD(SETTINGS!$B$4,1)*1440,0)&lt;ROUND(SETTINGS!$B$8*1440,0)),1,0)</f>
        <v>0</v>
      </c>
      <c r="Z469" s="28" t="str">
        <f ca="1">IF(B469="","",IF(ROUND(MOD(SETTINGS!$B$4,1)*1440,0)&lt;ROUND(SETTINGS!$B$11*1440,0),"Ram",IF(ROUND(MOD(SETTINGS!$B$4,1)*1440,0)&gt;=ROUND(SETTINGS!$B$10*1440,0),"Shyam",IF(MOD(IFERROR(VALUE(RIGHT(F469,2)),0),2)=0,"Ram","Shyam"))))</f>
        <v>Shyam</v>
      </c>
      <c r="AA469" s="28">
        <f t="shared" ca="1" si="80"/>
        <v>0</v>
      </c>
      <c r="AB469" s="28">
        <f ca="1">IF(X469=1,COUNTIFS($F$2:F469,F469,$X$2:X469,1),0)</f>
        <v>0</v>
      </c>
      <c r="AC469" s="28" t="str">
        <f>IF(L469=1,IF(IFERROR(INDEX(PARTNERS!$C$2:$C$88,MATCH(B469,PARTNERS!$A$2:$A$88,0)),"")="YES","YES","NO"),"")</f>
        <v>NO</v>
      </c>
      <c r="AD469" s="28" t="str">
        <f>IF(L469=1,IFERROR(INDEX(PARTNERS!$B$2:$B$88,MATCH(B469,PARTNERS!$A$2:$A$88,0)),""),"")</f>
        <v>https://calendly.com/partner000/interview</v>
      </c>
      <c r="AE469" s="28">
        <f ca="1">IF(X469=1,IFERROR(INDEX(SETTINGS!$B$34:$D$36,MATCH(I469,SETTINGS!$A$34:$A$36,0),MIN(Q469,2)+1),SETTINGS!$B$36),0)</f>
        <v>0</v>
      </c>
      <c r="AF469" s="28">
        <f t="shared" si="81"/>
        <v>1</v>
      </c>
      <c r="AG469" s="28">
        <f ca="1">IF(AND(Y469=1,AB469=1),ROUND(AA469*AE469*IF(AF469&gt;1,SETTINGS!$B$16,1)*IF(W469&lt;=SETTINGS!$B$14,SETTINGS!$B$15,1)*IF(AU469=1,SETTINGS!$B$21,1),6),0)</f>
        <v>0</v>
      </c>
      <c r="AH469" s="28" t="str">
        <f ca="1">IF(AG469&gt;0,COUNTIFS($Z$2:$Z$601,Z469,$AG$2:$AG$601,"&gt;"&amp;AG469)+COUNTIFS($Z$2:Z469,Z469,$AG$2:AG469,AG469),"")</f>
        <v/>
      </c>
      <c r="AI469" s="28" t="str">
        <f t="shared" ca="1" si="82"/>
        <v/>
      </c>
      <c r="AJ469" s="28" t="str">
        <f t="shared" ca="1" si="83"/>
        <v/>
      </c>
      <c r="AK469" s="28">
        <f>IF(L469=1,IF(COUNTIFS($F$2:F469,F469,$L$2:L469,1)=1,1,0),0)</f>
        <v>0</v>
      </c>
      <c r="AL469" s="28" t="str">
        <f ca="1">IF(B469="","",IF(K469="DUPLICATE","Duplicate (removed)",IF(AO469=1,"Scheduled within 24h",IF(M469=1,"Scheduled late",IF(K469="BAD CONTACT","Bad contact details",IF(O469=1,"Stopped / wrong number",IF(N469=1,"Not interested",IF(P469=1,"Partner has no slots",IF(SETTINGS!$B$4&gt;=V469,IF(Q469=0,"Missed deadline: never tried","Missed deadline: tried, not booked"),IF(Q469&gt;=SETTINGS!$B$6,"No reply after max tries","Open"))))))))))</f>
        <v>Missed deadline: tried, not booked</v>
      </c>
      <c r="AM469" s="46" t="str">
        <f>IF(M469=1,IF(_xlfn.MINIFS(LOG!$G$2:$G$2001,LOG!$C$2:$C$2001,F469,LOG!$E$2:$E$2001,B469,LOG!$D$2:$D$2001,"*BOOKED")=0,_xlfn.MINIFS(LOG!$G$2:$G$2001,LOG!$C$2:$C$2001,F469,LOG!$E$2:$E$2001,"",LOG!$D$2:$D$2001,"*BOOKED"),IF(_xlfn.MINIFS(LOG!$G$2:$G$2001,LOG!$C$2:$C$2001,F469,LOG!$E$2:$E$2001,"",LOG!$D$2:$D$2001,"*BOOKED")=0,_xlfn.MINIFS(LOG!$G$2:$G$2001,LOG!$C$2:$C$2001,F469,LOG!$E$2:$E$2001,B469,LOG!$D$2:$D$2001,"*BOOKED"),MIN(_xlfn.MINIFS(LOG!$G$2:$G$2001,LOG!$C$2:$C$2001,F469,LOG!$E$2:$E$2001,B469,LOG!$D$2:$D$2001,"*BOOKED"),_xlfn.MINIFS(LOG!$G$2:$G$2001,LOG!$C$2:$C$2001,F469,LOG!$E$2:$E$2001,"",LOG!$D$2:$D$2001,"*BOOKED")))),"")</f>
        <v/>
      </c>
      <c r="AN469" s="28" t="str">
        <f t="shared" si="84"/>
        <v/>
      </c>
      <c r="AO469" s="28">
        <f>IF(AND(M469=1,AN469&lt;&gt;""),IF(AN469&lt;=SETTINGS!$B$5,1,0),0)</f>
        <v>0</v>
      </c>
      <c r="AP469" s="28">
        <f>IF(M469=1,IF(COUNTIFS(LOG!$C$2:$C$2001,F469,LOG!$E$2:$E$2001,B469,LOG!$D$2:$D$2001,"BOOKED")+COUNTIFS(LOG!$C$2:$C$2001,F469,LOG!$E$2:$E$2001,"",LOG!$D$2:$D$2001,"BOOKED")&gt;0,1,0),0)</f>
        <v>0</v>
      </c>
      <c r="AQ469" s="28" t="str">
        <f t="shared" si="85"/>
        <v>Kabir</v>
      </c>
      <c r="AR469" s="28" t="str">
        <f>IF(AND(AK469=1,K469="OK"),COUNTIFS($AK$2:AK469,1,$K$2:K469,"OK"),"")</f>
        <v/>
      </c>
      <c r="AS469" s="28" t="str">
        <f>IF(L469=1,IFERROR(INDEX(MESSAGES!$J$9:$J$1008,MATCH(F469,MESSAGES!$M$9:$M$1008,0))&amp;"",""),"")</f>
        <v/>
      </c>
      <c r="AT469" s="28" t="str">
        <f>IF(L469=1,IFERROR(INDEX(MESSAGES!$K$9:$K$1008,MATCH(F469,MESSAGES!$M$9:$M$1008,0))&amp;"",""),"")</f>
        <v/>
      </c>
      <c r="AU469" s="28">
        <f t="shared" ca="1" si="86"/>
        <v>0</v>
      </c>
      <c r="AV469" s="28" t="str">
        <f t="shared" si="87"/>
        <v>HOLD</v>
      </c>
    </row>
    <row r="470" spans="1:48" x14ac:dyDescent="0.35">
      <c r="A470" s="28">
        <v>469</v>
      </c>
      <c r="B470" s="28" t="str">
        <f>IF(INPUT!A470="","",TRIM(INPUT!A470))</f>
        <v>Partner 029</v>
      </c>
      <c r="C470" s="28" t="str">
        <f>IF(B470="","",INPUT!C470)</f>
        <v>interviewer1@partner029.example.com</v>
      </c>
      <c r="D470" s="28" t="str">
        <f>IF(B470="","",INPUT!D470)</f>
        <v>Ira F.</v>
      </c>
      <c r="E470" s="28" t="str">
        <f>IF(B470="","",INPUT!E470)</f>
        <v>ira.f155@example.com</v>
      </c>
      <c r="F470" s="43" t="str">
        <f>IF(B470="","",TRIM(INPUT!F470&amp;""))</f>
        <v>9000002022</v>
      </c>
      <c r="G470" s="28" t="str">
        <f>IF(B470="","",INPUT!H470)</f>
        <v>Round1</v>
      </c>
      <c r="H470" s="46">
        <f>IF(B470="","",INPUT!I470)</f>
        <v>46308.82708333333</v>
      </c>
      <c r="I470" s="28" t="str">
        <f>IF(B470="","",IF(INPUT!J470="","None",INPUT!J470))</f>
        <v>None</v>
      </c>
      <c r="J470" s="28" t="str">
        <f t="shared" si="77"/>
        <v>ira.f155@example.com|partner 029|Round1|interviewer1@partner029.example.com</v>
      </c>
      <c r="K470" s="28" t="str">
        <f>IF(B470="","",IF(SUMPRODUCT(($J$2:$J$601=J470)*($H$2:$H$601&lt;H470))+SUMPRODUCT(($J$2:J470=J470)*($H$2:H470=H470))-1&gt;0,"DUPLICATE",IF(AND(ISNUMBER(SEARCH("@",E470)),ISNUMBER(SEARCH(".",E470)),LEN(F470)=10,ISNUMBER(VALUE(F470))),"OK","BAD CONTACT")))</f>
        <v>OK</v>
      </c>
      <c r="L470" s="28">
        <f t="shared" si="78"/>
        <v>1</v>
      </c>
      <c r="M470" s="28">
        <f>IF(L470=1,IF(COUNTIFS(LOG!$C$2:$C$2001,F470,LOG!$E$2:$E$2001,B470,LOG!$D$2:$D$2001,"*BOOKED")+COUNTIFS(LOG!$C$2:$C$2001,F470,LOG!$E$2:$E$2001,"",LOG!$D$2:$D$2001,"*BOOKED")&gt;0,1,0),0)</f>
        <v>0</v>
      </c>
      <c r="N470" s="28">
        <f>IF(L470=1,IF(COUNTIFS(LOG!$C$2:$C$2001,F470,LOG!$E$2:$E$2001,B470,LOG!$D$2:$D$2001,"NOT_INTERESTED")+COUNTIFS(LOG!$C$2:$C$2001,F470,LOG!$E$2:$E$2001,"",LOG!$D$2:$D$2001,"NOT_INTERESTED")&gt;0,1,0),0)</f>
        <v>0</v>
      </c>
      <c r="O470" s="28">
        <f>IF(L470=1,IF(COUNTIFS(LOG!$C$2:$C$2001,F470,LOG!$D$2:$D$2001,"STOP")+COUNTIFS(LOG!$C$2:$C$2001,F470,LOG!$D$2:$D$2001,"WRONG_NUMBER")&gt;0,1,IF(ISNUMBER(SEARCH("STOP",AT470)),1,0)),0)</f>
        <v>0</v>
      </c>
      <c r="P470" s="28">
        <f>IF(L470=1,IF(IFERROR(INDEX(PARTNERS!$D$2:$D$88,MATCH(B470,PARTNERS!$A$2:$A$88,0)),"")="NO SLOTS",1,IF(AND(IFERROR(INDEX(PARTNERS!$D$2:$D$88,MATCH(B470,PARTNERS!$A$2:$A$88,0)),"")&lt;&gt;"REOPENED",COUNTIFS(LOG!$E$2:$E$2001,B470,LOG!$D$2:$D$2001,"NO_SLOTS")&gt;0),1,0)),0)</f>
        <v>0</v>
      </c>
      <c r="Q470" s="28">
        <f>IF(L470=1,COUNTIFS(LOG!$C$2:$C$2001,F470,LOG!$H$2:$H$2001,1),0)</f>
        <v>0</v>
      </c>
      <c r="R470" s="46">
        <f>IF(Q470&gt;0,_xlfn.MAXIFS(LOG!$G$2:$G$2001,LOG!$C$2:$C$2001,F470,LOG!$H$2:$H$2001,1),0)</f>
        <v>0</v>
      </c>
      <c r="S470" s="28" t="str">
        <f>IF(Q470&gt;0,IFERROR(INDEX(LOG!$D$2:$D$2001,MATCH(F470&amp;"|"&amp;Q470,LOG!$I$2:$I$2001,0)),""),"")</f>
        <v/>
      </c>
      <c r="T470" s="28">
        <f>IF(S470="",0,IFERROR(VLOOKUP(S470,LISTS!$A$2:$E$10,4,FALSE),0))</f>
        <v>0</v>
      </c>
      <c r="U470" s="46">
        <f t="shared" si="79"/>
        <v>0</v>
      </c>
      <c r="V470" s="46">
        <f>IF(L470=1,H470+SETTINGS!$B$5/24,"")</f>
        <v>46309.82708333333</v>
      </c>
      <c r="W470" s="28">
        <f ca="1">IF(L470=1,(V470-SETTINGS!$B$4)*24,"")</f>
        <v>-1.6666666720993817E-2</v>
      </c>
      <c r="X470" s="28">
        <f ca="1">IF(AND(L470=1,K470="OK",M470=0,N470=0,O470=0,P470=0,SETTINGS!$B$4&lt;V470,Q470&lt;SETTINGS!$B$6),1,0)</f>
        <v>0</v>
      </c>
      <c r="Y470" s="28">
        <f ca="1">IF(AND(X470=1,SETTINGS!$B$4&gt;=H470,SETTINGS!$B$4&gt;=U470,ROUND(MOD(SETTINGS!$B$4,1)*1440,0)&gt;=ROUND(SETTINGS!$B$7*1440,0),ROUND(MOD(SETTINGS!$B$4,1)*1440,0)&lt;ROUND(SETTINGS!$B$8*1440,0)),1,0)</f>
        <v>0</v>
      </c>
      <c r="Z470" s="28" t="str">
        <f ca="1">IF(B470="","",IF(ROUND(MOD(SETTINGS!$B$4,1)*1440,0)&lt;ROUND(SETTINGS!$B$11*1440,0),"Ram",IF(ROUND(MOD(SETTINGS!$B$4,1)*1440,0)&gt;=ROUND(SETTINGS!$B$10*1440,0),"Shyam",IF(MOD(IFERROR(VALUE(RIGHT(F470,2)),0),2)=0,"Ram","Shyam"))))</f>
        <v>Shyam</v>
      </c>
      <c r="AA470" s="28">
        <f t="shared" ca="1" si="80"/>
        <v>0</v>
      </c>
      <c r="AB470" s="28">
        <f ca="1">IF(X470=1,COUNTIFS($F$2:F470,F470,$X$2:X470,1),0)</f>
        <v>0</v>
      </c>
      <c r="AC470" s="28" t="str">
        <f>IF(L470=1,IF(IFERROR(INDEX(PARTNERS!$C$2:$C$88,MATCH(B470,PARTNERS!$A$2:$A$88,0)),"")="YES","YES","NO"),"")</f>
        <v>YES</v>
      </c>
      <c r="AD470" s="28" t="str">
        <f>IF(L470=1,IFERROR(INDEX(PARTNERS!$B$2:$B$88,MATCH(B470,PARTNERS!$A$2:$A$88,0)),""),"")</f>
        <v>https://calendly.com/partner029/interview</v>
      </c>
      <c r="AE470" s="28">
        <f ca="1">IF(X470=1,IFERROR(INDEX(SETTINGS!$B$34:$D$36,MATCH(I470,SETTINGS!$A$34:$A$36,0),MIN(Q470,2)+1),SETTINGS!$B$36),0)</f>
        <v>0</v>
      </c>
      <c r="AF470" s="28">
        <f t="shared" si="81"/>
        <v>1</v>
      </c>
      <c r="AG470" s="28">
        <f ca="1">IF(AND(Y470=1,AB470=1),ROUND(AA470*AE470*IF(AF470&gt;1,SETTINGS!$B$16,1)*IF(W470&lt;=SETTINGS!$B$14,SETTINGS!$B$15,1)*IF(AU470=1,SETTINGS!$B$21,1),6),0)</f>
        <v>0</v>
      </c>
      <c r="AH470" s="28" t="str">
        <f ca="1">IF(AG470&gt;0,COUNTIFS($Z$2:$Z$601,Z470,$AG$2:$AG$601,"&gt;"&amp;AG470)+COUNTIFS($Z$2:Z470,Z470,$AG$2:AG470,AG470),"")</f>
        <v/>
      </c>
      <c r="AI470" s="28" t="str">
        <f t="shared" ca="1" si="82"/>
        <v/>
      </c>
      <c r="AJ470" s="28" t="str">
        <f t="shared" ca="1" si="83"/>
        <v/>
      </c>
      <c r="AK470" s="28">
        <f>IF(L470=1,IF(COUNTIFS($F$2:F470,F470,$L$2:L470,1)=1,1,0),0)</f>
        <v>1</v>
      </c>
      <c r="AL470" s="28" t="str">
        <f ca="1">IF(B470="","",IF(K470="DUPLICATE","Duplicate (removed)",IF(AO470=1,"Scheduled within 24h",IF(M470=1,"Scheduled late",IF(K470="BAD CONTACT","Bad contact details",IF(O470=1,"Stopped / wrong number",IF(N470=1,"Not interested",IF(P470=1,"Partner has no slots",IF(SETTINGS!$B$4&gt;=V470,IF(Q470=0,"Missed deadline: never tried","Missed deadline: tried, not booked"),IF(Q470&gt;=SETTINGS!$B$6,"No reply after max tries","Open"))))))))))</f>
        <v>Missed deadline: never tried</v>
      </c>
      <c r="AM470" s="46" t="str">
        <f>IF(M470=1,IF(_xlfn.MINIFS(LOG!$G$2:$G$2001,LOG!$C$2:$C$2001,F470,LOG!$E$2:$E$2001,B470,LOG!$D$2:$D$2001,"*BOOKED")=0,_xlfn.MINIFS(LOG!$G$2:$G$2001,LOG!$C$2:$C$2001,F470,LOG!$E$2:$E$2001,"",LOG!$D$2:$D$2001,"*BOOKED"),IF(_xlfn.MINIFS(LOG!$G$2:$G$2001,LOG!$C$2:$C$2001,F470,LOG!$E$2:$E$2001,"",LOG!$D$2:$D$2001,"*BOOKED")=0,_xlfn.MINIFS(LOG!$G$2:$G$2001,LOG!$C$2:$C$2001,F470,LOG!$E$2:$E$2001,B470,LOG!$D$2:$D$2001,"*BOOKED"),MIN(_xlfn.MINIFS(LOG!$G$2:$G$2001,LOG!$C$2:$C$2001,F470,LOG!$E$2:$E$2001,B470,LOG!$D$2:$D$2001,"*BOOKED"),_xlfn.MINIFS(LOG!$G$2:$G$2001,LOG!$C$2:$C$2001,F470,LOG!$E$2:$E$2001,"",LOG!$D$2:$D$2001,"*BOOKED")))),"")</f>
        <v/>
      </c>
      <c r="AN470" s="28" t="str">
        <f t="shared" si="84"/>
        <v/>
      </c>
      <c r="AO470" s="28">
        <f>IF(AND(M470=1,AN470&lt;&gt;""),IF(AN470&lt;=SETTINGS!$B$5,1,0),0)</f>
        <v>0</v>
      </c>
      <c r="AP470" s="28">
        <f>IF(M470=1,IF(COUNTIFS(LOG!$C$2:$C$2001,F470,LOG!$E$2:$E$2001,B470,LOG!$D$2:$D$2001,"BOOKED")+COUNTIFS(LOG!$C$2:$C$2001,F470,LOG!$E$2:$E$2001,"",LOG!$D$2:$D$2001,"BOOKED")&gt;0,1,0),0)</f>
        <v>0</v>
      </c>
      <c r="AQ470" s="28" t="str">
        <f t="shared" si="85"/>
        <v>Ira</v>
      </c>
      <c r="AR470" s="28">
        <f>IF(AND(AK470=1,K470="OK"),COUNTIFS($AK$2:AK470,1,$K$2:K470,"OK"),"")</f>
        <v>383</v>
      </c>
      <c r="AS470" s="28" t="str">
        <f>IF(L470=1,IFERROR(INDEX(MESSAGES!$J$9:$J$1008,MATCH(F470,MESSAGES!$M$9:$M$1008,0))&amp;"",""),"")</f>
        <v/>
      </c>
      <c r="AT470" s="28" t="str">
        <f>IF(L470=1,IFERROR(INDEX(MESSAGES!$K$9:$K$1008,MATCH(F470,MESSAGES!$M$9:$M$1008,0))&amp;"",""),"")</f>
        <v/>
      </c>
      <c r="AU470" s="28">
        <f t="shared" ca="1" si="86"/>
        <v>0</v>
      </c>
      <c r="AV470" s="28" t="str">
        <f t="shared" si="87"/>
        <v>SEND</v>
      </c>
    </row>
    <row r="471" spans="1:48" x14ac:dyDescent="0.35">
      <c r="A471" s="28">
        <v>470</v>
      </c>
      <c r="B471" s="28" t="str">
        <f>IF(INPUT!A471="","",TRIM(INPUT!A471))</f>
        <v>Partner 026</v>
      </c>
      <c r="C471" s="28" t="str">
        <f>IF(B471="","",INPUT!C471)</f>
        <v>interviewer1@partner026.example.com</v>
      </c>
      <c r="D471" s="28" t="str">
        <f>IF(B471="","",INPUT!D471)</f>
        <v>Kabir C.</v>
      </c>
      <c r="E471" s="28" t="str">
        <f>IF(B471="","",INPUT!E471)</f>
        <v>kabir.c062@example.com</v>
      </c>
      <c r="F471" s="43" t="str">
        <f>IF(B471="","",TRIM(INPUT!F471&amp;""))</f>
        <v>9000000813</v>
      </c>
      <c r="G471" s="28" t="str">
        <f>IF(B471="","",INPUT!H471)</f>
        <v>Round1</v>
      </c>
      <c r="H471" s="46">
        <f>IF(B471="","",INPUT!I471)</f>
        <v>46308.82708333333</v>
      </c>
      <c r="I471" s="28" t="str">
        <f>IF(B471="","",IF(INPUT!J471="","None",INPUT!J471))</f>
        <v>None</v>
      </c>
      <c r="J471" s="28" t="str">
        <f t="shared" si="77"/>
        <v>kabir.c062@example.com|partner 026|Round1|interviewer1@partner026.example.com</v>
      </c>
      <c r="K471" s="28" t="str">
        <f>IF(B471="","",IF(SUMPRODUCT(($J$2:$J$601=J471)*($H$2:$H$601&lt;H471))+SUMPRODUCT(($J$2:J471=J471)*($H$2:H471=H471))-1&gt;0,"DUPLICATE",IF(AND(ISNUMBER(SEARCH("@",E471)),ISNUMBER(SEARCH(".",E471)),LEN(F471)=10,ISNUMBER(VALUE(F471))),"OK","BAD CONTACT")))</f>
        <v>OK</v>
      </c>
      <c r="L471" s="28">
        <f t="shared" si="78"/>
        <v>1</v>
      </c>
      <c r="M471" s="28">
        <f>IF(L471=1,IF(COUNTIFS(LOG!$C$2:$C$2001,F471,LOG!$E$2:$E$2001,B471,LOG!$D$2:$D$2001,"*BOOKED")+COUNTIFS(LOG!$C$2:$C$2001,F471,LOG!$E$2:$E$2001,"",LOG!$D$2:$D$2001,"*BOOKED")&gt;0,1,0),0)</f>
        <v>0</v>
      </c>
      <c r="N471" s="28">
        <f>IF(L471=1,IF(COUNTIFS(LOG!$C$2:$C$2001,F471,LOG!$E$2:$E$2001,B471,LOG!$D$2:$D$2001,"NOT_INTERESTED")+COUNTIFS(LOG!$C$2:$C$2001,F471,LOG!$E$2:$E$2001,"",LOG!$D$2:$D$2001,"NOT_INTERESTED")&gt;0,1,0),0)</f>
        <v>0</v>
      </c>
      <c r="O471" s="28">
        <f>IF(L471=1,IF(COUNTIFS(LOG!$C$2:$C$2001,F471,LOG!$D$2:$D$2001,"STOP")+COUNTIFS(LOG!$C$2:$C$2001,F471,LOG!$D$2:$D$2001,"WRONG_NUMBER")&gt;0,1,IF(ISNUMBER(SEARCH("STOP",AT471)),1,0)),0)</f>
        <v>0</v>
      </c>
      <c r="P471" s="28">
        <f>IF(L471=1,IF(IFERROR(INDEX(PARTNERS!$D$2:$D$88,MATCH(B471,PARTNERS!$A$2:$A$88,0)),"")="NO SLOTS",1,IF(AND(IFERROR(INDEX(PARTNERS!$D$2:$D$88,MATCH(B471,PARTNERS!$A$2:$A$88,0)),"")&lt;&gt;"REOPENED",COUNTIFS(LOG!$E$2:$E$2001,B471,LOG!$D$2:$D$2001,"NO_SLOTS")&gt;0),1,0)),0)</f>
        <v>0</v>
      </c>
      <c r="Q471" s="28">
        <f>IF(L471=1,COUNTIFS(LOG!$C$2:$C$2001,F471,LOG!$H$2:$H$2001,1),0)</f>
        <v>0</v>
      </c>
      <c r="R471" s="46">
        <f>IF(Q471&gt;0,_xlfn.MAXIFS(LOG!$G$2:$G$2001,LOG!$C$2:$C$2001,F471,LOG!$H$2:$H$2001,1),0)</f>
        <v>0</v>
      </c>
      <c r="S471" s="28" t="str">
        <f>IF(Q471&gt;0,IFERROR(INDEX(LOG!$D$2:$D$2001,MATCH(F471&amp;"|"&amp;Q471,LOG!$I$2:$I$2001,0)),""),"")</f>
        <v/>
      </c>
      <c r="T471" s="28">
        <f>IF(S471="",0,IFERROR(VLOOKUP(S471,LISTS!$A$2:$E$10,4,FALSE),0))</f>
        <v>0</v>
      </c>
      <c r="U471" s="46">
        <f t="shared" si="79"/>
        <v>0</v>
      </c>
      <c r="V471" s="46">
        <f>IF(L471=1,H471+SETTINGS!$B$5/24,"")</f>
        <v>46309.82708333333</v>
      </c>
      <c r="W471" s="28">
        <f ca="1">IF(L471=1,(V471-SETTINGS!$B$4)*24,"")</f>
        <v>-1.6666666720993817E-2</v>
      </c>
      <c r="X471" s="28">
        <f ca="1">IF(AND(L471=1,K471="OK",M471=0,N471=0,O471=0,P471=0,SETTINGS!$B$4&lt;V471,Q471&lt;SETTINGS!$B$6),1,0)</f>
        <v>0</v>
      </c>
      <c r="Y471" s="28">
        <f ca="1">IF(AND(X471=1,SETTINGS!$B$4&gt;=H471,SETTINGS!$B$4&gt;=U471,ROUND(MOD(SETTINGS!$B$4,1)*1440,0)&gt;=ROUND(SETTINGS!$B$7*1440,0),ROUND(MOD(SETTINGS!$B$4,1)*1440,0)&lt;ROUND(SETTINGS!$B$8*1440,0)),1,0)</f>
        <v>0</v>
      </c>
      <c r="Z471" s="28" t="str">
        <f ca="1">IF(B471="","",IF(ROUND(MOD(SETTINGS!$B$4,1)*1440,0)&lt;ROUND(SETTINGS!$B$11*1440,0),"Ram",IF(ROUND(MOD(SETTINGS!$B$4,1)*1440,0)&gt;=ROUND(SETTINGS!$B$10*1440,0),"Shyam",IF(MOD(IFERROR(VALUE(RIGHT(F471,2)),0),2)=0,"Ram","Shyam"))))</f>
        <v>Shyam</v>
      </c>
      <c r="AA471" s="28">
        <f t="shared" ca="1" si="80"/>
        <v>0</v>
      </c>
      <c r="AB471" s="28">
        <f ca="1">IF(X471=1,COUNTIFS($F$2:F471,F471,$X$2:X471,1),0)</f>
        <v>0</v>
      </c>
      <c r="AC471" s="28" t="str">
        <f>IF(L471=1,IF(IFERROR(INDEX(PARTNERS!$C$2:$C$88,MATCH(B471,PARTNERS!$A$2:$A$88,0)),"")="YES","YES","NO"),"")</f>
        <v>YES</v>
      </c>
      <c r="AD471" s="28" t="str">
        <f>IF(L471=1,IFERROR(INDEX(PARTNERS!$B$2:$B$88,MATCH(B471,PARTNERS!$A$2:$A$88,0)),""),"")</f>
        <v>https://calendly.com/partner026/interview</v>
      </c>
      <c r="AE471" s="28">
        <f ca="1">IF(X471=1,IFERROR(INDEX(SETTINGS!$B$34:$D$36,MATCH(I471,SETTINGS!$A$34:$A$36,0),MIN(Q471,2)+1),SETTINGS!$B$36),0)</f>
        <v>0</v>
      </c>
      <c r="AF471" s="28">
        <f t="shared" si="81"/>
        <v>1</v>
      </c>
      <c r="AG471" s="28">
        <f ca="1">IF(AND(Y471=1,AB471=1),ROUND(AA471*AE471*IF(AF471&gt;1,SETTINGS!$B$16,1)*IF(W471&lt;=SETTINGS!$B$14,SETTINGS!$B$15,1)*IF(AU471=1,SETTINGS!$B$21,1),6),0)</f>
        <v>0</v>
      </c>
      <c r="AH471" s="28" t="str">
        <f ca="1">IF(AG471&gt;0,COUNTIFS($Z$2:$Z$601,Z471,$AG$2:$AG$601,"&gt;"&amp;AG471)+COUNTIFS($Z$2:Z471,Z471,$AG$2:AG471,AG471),"")</f>
        <v/>
      </c>
      <c r="AI471" s="28" t="str">
        <f t="shared" ca="1" si="82"/>
        <v/>
      </c>
      <c r="AJ471" s="28" t="str">
        <f t="shared" ca="1" si="83"/>
        <v/>
      </c>
      <c r="AK471" s="28">
        <f>IF(L471=1,IF(COUNTIFS($F$2:F471,F471,$L$2:L471,1)=1,1,0),0)</f>
        <v>1</v>
      </c>
      <c r="AL471" s="28" t="str">
        <f ca="1">IF(B471="","",IF(K471="DUPLICATE","Duplicate (removed)",IF(AO471=1,"Scheduled within 24h",IF(M471=1,"Scheduled late",IF(K471="BAD CONTACT","Bad contact details",IF(O471=1,"Stopped / wrong number",IF(N471=1,"Not interested",IF(P471=1,"Partner has no slots",IF(SETTINGS!$B$4&gt;=V471,IF(Q471=0,"Missed deadline: never tried","Missed deadline: tried, not booked"),IF(Q471&gt;=SETTINGS!$B$6,"No reply after max tries","Open"))))))))))</f>
        <v>Missed deadline: never tried</v>
      </c>
      <c r="AM471" s="46" t="str">
        <f>IF(M471=1,IF(_xlfn.MINIFS(LOG!$G$2:$G$2001,LOG!$C$2:$C$2001,F471,LOG!$E$2:$E$2001,B471,LOG!$D$2:$D$2001,"*BOOKED")=0,_xlfn.MINIFS(LOG!$G$2:$G$2001,LOG!$C$2:$C$2001,F471,LOG!$E$2:$E$2001,"",LOG!$D$2:$D$2001,"*BOOKED"),IF(_xlfn.MINIFS(LOG!$G$2:$G$2001,LOG!$C$2:$C$2001,F471,LOG!$E$2:$E$2001,"",LOG!$D$2:$D$2001,"*BOOKED")=0,_xlfn.MINIFS(LOG!$G$2:$G$2001,LOG!$C$2:$C$2001,F471,LOG!$E$2:$E$2001,B471,LOG!$D$2:$D$2001,"*BOOKED"),MIN(_xlfn.MINIFS(LOG!$G$2:$G$2001,LOG!$C$2:$C$2001,F471,LOG!$E$2:$E$2001,B471,LOG!$D$2:$D$2001,"*BOOKED"),_xlfn.MINIFS(LOG!$G$2:$G$2001,LOG!$C$2:$C$2001,F471,LOG!$E$2:$E$2001,"",LOG!$D$2:$D$2001,"*BOOKED")))),"")</f>
        <v/>
      </c>
      <c r="AN471" s="28" t="str">
        <f t="shared" si="84"/>
        <v/>
      </c>
      <c r="AO471" s="28">
        <f>IF(AND(M471=1,AN471&lt;&gt;""),IF(AN471&lt;=SETTINGS!$B$5,1,0),0)</f>
        <v>0</v>
      </c>
      <c r="AP471" s="28">
        <f>IF(M471=1,IF(COUNTIFS(LOG!$C$2:$C$2001,F471,LOG!$E$2:$E$2001,B471,LOG!$D$2:$D$2001,"BOOKED")+COUNTIFS(LOG!$C$2:$C$2001,F471,LOG!$E$2:$E$2001,"",LOG!$D$2:$D$2001,"BOOKED")&gt;0,1,0),0)</f>
        <v>0</v>
      </c>
      <c r="AQ471" s="28" t="str">
        <f t="shared" si="85"/>
        <v>Kabir</v>
      </c>
      <c r="AR471" s="28">
        <f>IF(AND(AK471=1,K471="OK"),COUNTIFS($AK$2:AK471,1,$K$2:K471,"OK"),"")</f>
        <v>384</v>
      </c>
      <c r="AS471" s="28" t="str">
        <f>IF(L471=1,IFERROR(INDEX(MESSAGES!$J$9:$J$1008,MATCH(F471,MESSAGES!$M$9:$M$1008,0))&amp;"",""),"")</f>
        <v/>
      </c>
      <c r="AT471" s="28" t="str">
        <f>IF(L471=1,IFERROR(INDEX(MESSAGES!$K$9:$K$1008,MATCH(F471,MESSAGES!$M$9:$M$1008,0))&amp;"",""),"")</f>
        <v/>
      </c>
      <c r="AU471" s="28">
        <f t="shared" ca="1" si="86"/>
        <v>0</v>
      </c>
      <c r="AV471" s="28" t="str">
        <f t="shared" si="87"/>
        <v>HOLD</v>
      </c>
    </row>
    <row r="472" spans="1:48" x14ac:dyDescent="0.35">
      <c r="A472" s="28">
        <v>471</v>
      </c>
      <c r="B472" s="28" t="str">
        <f>IF(INPUT!A472="","",TRIM(INPUT!A472))</f>
        <v>Partner 000</v>
      </c>
      <c r="C472" s="28" t="str">
        <f>IF(B472="","",INPUT!C472)</f>
        <v>interviewer2@partner000.example.com</v>
      </c>
      <c r="D472" s="28" t="str">
        <f>IF(B472="","",INPUT!D472)</f>
        <v>Arjun L.</v>
      </c>
      <c r="E472" s="28" t="str">
        <f>IF(B472="","",INPUT!E472)</f>
        <v>arjun.l308@example.com</v>
      </c>
      <c r="F472" s="43" t="str">
        <f>IF(B472="","",TRIM(INPUT!F472&amp;""))</f>
        <v>9000004011</v>
      </c>
      <c r="G472" s="28" t="str">
        <f>IF(B472="","",INPUT!H472)</f>
        <v>Round1</v>
      </c>
      <c r="H472" s="46">
        <f>IF(B472="","",INPUT!I472)</f>
        <v>46308.82708333333</v>
      </c>
      <c r="I472" s="28" t="str">
        <f>IF(B472="","",IF(INPUT!J472="","None",INPUT!J472))</f>
        <v>Opened</v>
      </c>
      <c r="J472" s="28" t="str">
        <f t="shared" si="77"/>
        <v>arjun.l308@example.com|partner 000|Round1|interviewer2@partner000.example.com</v>
      </c>
      <c r="K472" s="28" t="str">
        <f>IF(B472="","",IF(SUMPRODUCT(($J$2:$J$601=J472)*($H$2:$H$601&lt;H472))+SUMPRODUCT(($J$2:J472=J472)*($H$2:H472=H472))-1&gt;0,"DUPLICATE",IF(AND(ISNUMBER(SEARCH("@",E472)),ISNUMBER(SEARCH(".",E472)),LEN(F472)=10,ISNUMBER(VALUE(F472))),"OK","BAD CONTACT")))</f>
        <v>OK</v>
      </c>
      <c r="L472" s="28">
        <f t="shared" si="78"/>
        <v>1</v>
      </c>
      <c r="M472" s="28">
        <f>IF(L472=1,IF(COUNTIFS(LOG!$C$2:$C$2001,F472,LOG!$E$2:$E$2001,B472,LOG!$D$2:$D$2001,"*BOOKED")+COUNTIFS(LOG!$C$2:$C$2001,F472,LOG!$E$2:$E$2001,"",LOG!$D$2:$D$2001,"*BOOKED")&gt;0,1,0),0)</f>
        <v>0</v>
      </c>
      <c r="N472" s="28">
        <f>IF(L472=1,IF(COUNTIFS(LOG!$C$2:$C$2001,F472,LOG!$E$2:$E$2001,B472,LOG!$D$2:$D$2001,"NOT_INTERESTED")+COUNTIFS(LOG!$C$2:$C$2001,F472,LOG!$E$2:$E$2001,"",LOG!$D$2:$D$2001,"NOT_INTERESTED")&gt;0,1,0),0)</f>
        <v>0</v>
      </c>
      <c r="O472" s="28">
        <f>IF(L472=1,IF(COUNTIFS(LOG!$C$2:$C$2001,F472,LOG!$D$2:$D$2001,"STOP")+COUNTIFS(LOG!$C$2:$C$2001,F472,LOG!$D$2:$D$2001,"WRONG_NUMBER")&gt;0,1,IF(ISNUMBER(SEARCH("STOP",AT472)),1,0)),0)</f>
        <v>0</v>
      </c>
      <c r="P472" s="28">
        <f>IF(L472=1,IF(IFERROR(INDEX(PARTNERS!$D$2:$D$88,MATCH(B472,PARTNERS!$A$2:$A$88,0)),"")="NO SLOTS",1,IF(AND(IFERROR(INDEX(PARTNERS!$D$2:$D$88,MATCH(B472,PARTNERS!$A$2:$A$88,0)),"")&lt;&gt;"REOPENED",COUNTIFS(LOG!$E$2:$E$2001,B472,LOG!$D$2:$D$2001,"NO_SLOTS")&gt;0),1,0)),0)</f>
        <v>0</v>
      </c>
      <c r="Q472" s="28">
        <f>IF(L472=1,COUNTIFS(LOG!$C$2:$C$2001,F472,LOG!$H$2:$H$2001,1),0)</f>
        <v>0</v>
      </c>
      <c r="R472" s="46">
        <f>IF(Q472&gt;0,_xlfn.MAXIFS(LOG!$G$2:$G$2001,LOG!$C$2:$C$2001,F472,LOG!$H$2:$H$2001,1),0)</f>
        <v>0</v>
      </c>
      <c r="S472" s="28" t="str">
        <f>IF(Q472&gt;0,IFERROR(INDEX(LOG!$D$2:$D$2001,MATCH(F472&amp;"|"&amp;Q472,LOG!$I$2:$I$2001,0)),""),"")</f>
        <v/>
      </c>
      <c r="T472" s="28">
        <f>IF(S472="",0,IFERROR(VLOOKUP(S472,LISTS!$A$2:$E$10,4,FALSE),0))</f>
        <v>0</v>
      </c>
      <c r="U472" s="46">
        <f t="shared" si="79"/>
        <v>0</v>
      </c>
      <c r="V472" s="46">
        <f>IF(L472=1,H472+SETTINGS!$B$5/24,"")</f>
        <v>46309.82708333333</v>
      </c>
      <c r="W472" s="28">
        <f ca="1">IF(L472=1,(V472-SETTINGS!$B$4)*24,"")</f>
        <v>-1.6666666720993817E-2</v>
      </c>
      <c r="X472" s="28">
        <f ca="1">IF(AND(L472=1,K472="OK",M472=0,N472=0,O472=0,P472=0,SETTINGS!$B$4&lt;V472,Q472&lt;SETTINGS!$B$6),1,0)</f>
        <v>0</v>
      </c>
      <c r="Y472" s="28">
        <f ca="1">IF(AND(X472=1,SETTINGS!$B$4&gt;=H472,SETTINGS!$B$4&gt;=U472,ROUND(MOD(SETTINGS!$B$4,1)*1440,0)&gt;=ROUND(SETTINGS!$B$7*1440,0),ROUND(MOD(SETTINGS!$B$4,1)*1440,0)&lt;ROUND(SETTINGS!$B$8*1440,0)),1,0)</f>
        <v>0</v>
      </c>
      <c r="Z472" s="28" t="str">
        <f ca="1">IF(B472="","",IF(ROUND(MOD(SETTINGS!$B$4,1)*1440,0)&lt;ROUND(SETTINGS!$B$11*1440,0),"Ram",IF(ROUND(MOD(SETTINGS!$B$4,1)*1440,0)&gt;=ROUND(SETTINGS!$B$10*1440,0),"Shyam",IF(MOD(IFERROR(VALUE(RIGHT(F472,2)),0),2)=0,"Ram","Shyam"))))</f>
        <v>Shyam</v>
      </c>
      <c r="AA472" s="28">
        <f t="shared" ca="1" si="80"/>
        <v>0</v>
      </c>
      <c r="AB472" s="28">
        <f ca="1">IF(X472=1,COUNTIFS($F$2:F472,F472,$X$2:X472,1),0)</f>
        <v>0</v>
      </c>
      <c r="AC472" s="28" t="str">
        <f>IF(L472=1,IF(IFERROR(INDEX(PARTNERS!$C$2:$C$88,MATCH(B472,PARTNERS!$A$2:$A$88,0)),"")="YES","YES","NO"),"")</f>
        <v>NO</v>
      </c>
      <c r="AD472" s="28" t="str">
        <f>IF(L472=1,IFERROR(INDEX(PARTNERS!$B$2:$B$88,MATCH(B472,PARTNERS!$A$2:$A$88,0)),""),"")</f>
        <v>https://calendly.com/partner000/interview</v>
      </c>
      <c r="AE472" s="28">
        <f ca="1">IF(X472=1,IFERROR(INDEX(SETTINGS!$B$34:$D$36,MATCH(I472,SETTINGS!$A$34:$A$36,0),MIN(Q472,2)+1),SETTINGS!$B$36),0)</f>
        <v>0</v>
      </c>
      <c r="AF472" s="28">
        <f t="shared" si="81"/>
        <v>1</v>
      </c>
      <c r="AG472" s="28">
        <f ca="1">IF(AND(Y472=1,AB472=1),ROUND(AA472*AE472*IF(AF472&gt;1,SETTINGS!$B$16,1)*IF(W472&lt;=SETTINGS!$B$14,SETTINGS!$B$15,1)*IF(AU472=1,SETTINGS!$B$21,1),6),0)</f>
        <v>0</v>
      </c>
      <c r="AH472" s="28" t="str">
        <f ca="1">IF(AG472&gt;0,COUNTIFS($Z$2:$Z$601,Z472,$AG$2:$AG$601,"&gt;"&amp;AG472)+COUNTIFS($Z$2:Z472,Z472,$AG$2:AG472,AG472),"")</f>
        <v/>
      </c>
      <c r="AI472" s="28" t="str">
        <f t="shared" ca="1" si="82"/>
        <v/>
      </c>
      <c r="AJ472" s="28" t="str">
        <f t="shared" ca="1" si="83"/>
        <v/>
      </c>
      <c r="AK472" s="28">
        <f>IF(L472=1,IF(COUNTIFS($F$2:F472,F472,$L$2:L472,1)=1,1,0),0)</f>
        <v>1</v>
      </c>
      <c r="AL472" s="28" t="str">
        <f ca="1">IF(B472="","",IF(K472="DUPLICATE","Duplicate (removed)",IF(AO472=1,"Scheduled within 24h",IF(M472=1,"Scheduled late",IF(K472="BAD CONTACT","Bad contact details",IF(O472=1,"Stopped / wrong number",IF(N472=1,"Not interested",IF(P472=1,"Partner has no slots",IF(SETTINGS!$B$4&gt;=V472,IF(Q472=0,"Missed deadline: never tried","Missed deadline: tried, not booked"),IF(Q472&gt;=SETTINGS!$B$6,"No reply after max tries","Open"))))))))))</f>
        <v>Missed deadline: never tried</v>
      </c>
      <c r="AM472" s="46" t="str">
        <f>IF(M472=1,IF(_xlfn.MINIFS(LOG!$G$2:$G$2001,LOG!$C$2:$C$2001,F472,LOG!$E$2:$E$2001,B472,LOG!$D$2:$D$2001,"*BOOKED")=0,_xlfn.MINIFS(LOG!$G$2:$G$2001,LOG!$C$2:$C$2001,F472,LOG!$E$2:$E$2001,"",LOG!$D$2:$D$2001,"*BOOKED"),IF(_xlfn.MINIFS(LOG!$G$2:$G$2001,LOG!$C$2:$C$2001,F472,LOG!$E$2:$E$2001,"",LOG!$D$2:$D$2001,"*BOOKED")=0,_xlfn.MINIFS(LOG!$G$2:$G$2001,LOG!$C$2:$C$2001,F472,LOG!$E$2:$E$2001,B472,LOG!$D$2:$D$2001,"*BOOKED"),MIN(_xlfn.MINIFS(LOG!$G$2:$G$2001,LOG!$C$2:$C$2001,F472,LOG!$E$2:$E$2001,B472,LOG!$D$2:$D$2001,"*BOOKED"),_xlfn.MINIFS(LOG!$G$2:$G$2001,LOG!$C$2:$C$2001,F472,LOG!$E$2:$E$2001,"",LOG!$D$2:$D$2001,"*BOOKED")))),"")</f>
        <v/>
      </c>
      <c r="AN472" s="28" t="str">
        <f t="shared" si="84"/>
        <v/>
      </c>
      <c r="AO472" s="28">
        <f>IF(AND(M472=1,AN472&lt;&gt;""),IF(AN472&lt;=SETTINGS!$B$5,1,0),0)</f>
        <v>0</v>
      </c>
      <c r="AP472" s="28">
        <f>IF(M472=1,IF(COUNTIFS(LOG!$C$2:$C$2001,F472,LOG!$E$2:$E$2001,B472,LOG!$D$2:$D$2001,"BOOKED")+COUNTIFS(LOG!$C$2:$C$2001,F472,LOG!$E$2:$E$2001,"",LOG!$D$2:$D$2001,"BOOKED")&gt;0,1,0),0)</f>
        <v>0</v>
      </c>
      <c r="AQ472" s="28" t="str">
        <f t="shared" si="85"/>
        <v>Arjun</v>
      </c>
      <c r="AR472" s="28">
        <f>IF(AND(AK472=1,K472="OK"),COUNTIFS($AK$2:AK472,1,$K$2:K472,"OK"),"")</f>
        <v>385</v>
      </c>
      <c r="AS472" s="28" t="str">
        <f>IF(L472=1,IFERROR(INDEX(MESSAGES!$J$9:$J$1008,MATCH(F472,MESSAGES!$M$9:$M$1008,0))&amp;"",""),"")</f>
        <v/>
      </c>
      <c r="AT472" s="28" t="str">
        <f>IF(L472=1,IFERROR(INDEX(MESSAGES!$K$9:$K$1008,MATCH(F472,MESSAGES!$M$9:$M$1008,0))&amp;"",""),"")</f>
        <v/>
      </c>
      <c r="AU472" s="28">
        <f t="shared" ca="1" si="86"/>
        <v>0</v>
      </c>
      <c r="AV472" s="28" t="str">
        <f t="shared" si="87"/>
        <v>HOLD</v>
      </c>
    </row>
    <row r="473" spans="1:48" x14ac:dyDescent="0.35">
      <c r="A473" s="28">
        <v>472</v>
      </c>
      <c r="B473" s="28" t="str">
        <f>IF(INPUT!A473="","",TRIM(INPUT!A473))</f>
        <v>Partner 087</v>
      </c>
      <c r="C473" s="28" t="str">
        <f>IF(B473="","",INPUT!C473)</f>
        <v>interviewer0@partner087.example.com</v>
      </c>
      <c r="D473" s="28" t="str">
        <f>IF(B473="","",INPUT!D473)</f>
        <v>Manav E.</v>
      </c>
      <c r="E473" s="28" t="str">
        <f>IF(B473="","",INPUT!E473)</f>
        <v>manav.e144@example.com</v>
      </c>
      <c r="F473" s="43" t="str">
        <f>IF(B473="","",TRIM(INPUT!F473&amp;""))</f>
        <v>9000001879</v>
      </c>
      <c r="G473" s="28" t="str">
        <f>IF(B473="","",INPUT!H473)</f>
        <v>Round1</v>
      </c>
      <c r="H473" s="46">
        <f>IF(B473="","",INPUT!I473)</f>
        <v>46308.82708333333</v>
      </c>
      <c r="I473" s="28" t="str">
        <f>IF(B473="","",IF(INPUT!J473="","None",INPUT!J473))</f>
        <v>Clicked</v>
      </c>
      <c r="J473" s="28" t="str">
        <f t="shared" si="77"/>
        <v>manav.e144@example.com|partner 087|Round1|interviewer0@partner087.example.com</v>
      </c>
      <c r="K473" s="28" t="str">
        <f>IF(B473="","",IF(SUMPRODUCT(($J$2:$J$601=J473)*($H$2:$H$601&lt;H473))+SUMPRODUCT(($J$2:J473=J473)*($H$2:H473=H473))-1&gt;0,"DUPLICATE",IF(AND(ISNUMBER(SEARCH("@",E473)),ISNUMBER(SEARCH(".",E473)),LEN(F473)=10,ISNUMBER(VALUE(F473))),"OK","BAD CONTACT")))</f>
        <v>OK</v>
      </c>
      <c r="L473" s="28">
        <f t="shared" si="78"/>
        <v>1</v>
      </c>
      <c r="M473" s="28">
        <f>IF(L473=1,IF(COUNTIFS(LOG!$C$2:$C$2001,F473,LOG!$E$2:$E$2001,B473,LOG!$D$2:$D$2001,"*BOOKED")+COUNTIFS(LOG!$C$2:$C$2001,F473,LOG!$E$2:$E$2001,"",LOG!$D$2:$D$2001,"*BOOKED")&gt;0,1,0),0)</f>
        <v>1</v>
      </c>
      <c r="N473" s="28">
        <f>IF(L473=1,IF(COUNTIFS(LOG!$C$2:$C$2001,F473,LOG!$E$2:$E$2001,B473,LOG!$D$2:$D$2001,"NOT_INTERESTED")+COUNTIFS(LOG!$C$2:$C$2001,F473,LOG!$E$2:$E$2001,"",LOG!$D$2:$D$2001,"NOT_INTERESTED")&gt;0,1,0),0)</f>
        <v>0</v>
      </c>
      <c r="O473" s="28">
        <f>IF(L473=1,IF(COUNTIFS(LOG!$C$2:$C$2001,F473,LOG!$D$2:$D$2001,"STOP")+COUNTIFS(LOG!$C$2:$C$2001,F473,LOG!$D$2:$D$2001,"WRONG_NUMBER")&gt;0,1,IF(ISNUMBER(SEARCH("STOP",AT473)),1,0)),0)</f>
        <v>0</v>
      </c>
      <c r="P473" s="28">
        <f>IF(L473=1,IF(IFERROR(INDEX(PARTNERS!$D$2:$D$88,MATCH(B473,PARTNERS!$A$2:$A$88,0)),"")="NO SLOTS",1,IF(AND(IFERROR(INDEX(PARTNERS!$D$2:$D$88,MATCH(B473,PARTNERS!$A$2:$A$88,0)),"")&lt;&gt;"REOPENED",COUNTIFS(LOG!$E$2:$E$2001,B473,LOG!$D$2:$D$2001,"NO_SLOTS")&gt;0),1,0)),0)</f>
        <v>0</v>
      </c>
      <c r="Q473" s="28">
        <f>IF(L473=1,COUNTIFS(LOG!$C$2:$C$2001,F473,LOG!$H$2:$H$2001,1),0)</f>
        <v>2</v>
      </c>
      <c r="R473" s="46">
        <f>IF(Q473&gt;0,_xlfn.MAXIFS(LOG!$G$2:$G$2001,LOG!$C$2:$C$2001,F473,LOG!$H$2:$H$2001,1),0)</f>
        <v>46309.719384324351</v>
      </c>
      <c r="S473" s="28" t="str">
        <f>IF(Q473&gt;0,IFERROR(INDEX(LOG!$D$2:$D$2001,MATCH(F473&amp;"|"&amp;Q473,LOG!$I$2:$I$2001,0)),""),"")</f>
        <v>BOOKED</v>
      </c>
      <c r="T473" s="28">
        <f>IF(S473="",0,IFERROR(VLOOKUP(S473,LISTS!$A$2:$E$10,4,FALSE),0))</f>
        <v>0</v>
      </c>
      <c r="U473" s="46">
        <f t="shared" si="79"/>
        <v>46309.719384324351</v>
      </c>
      <c r="V473" s="46">
        <f>IF(L473=1,H473+SETTINGS!$B$5/24,"")</f>
        <v>46309.82708333333</v>
      </c>
      <c r="W473" s="28">
        <f ca="1">IF(L473=1,(V473-SETTINGS!$B$4)*24,"")</f>
        <v>-1.6666666720993817E-2</v>
      </c>
      <c r="X473" s="28">
        <f ca="1">IF(AND(L473=1,K473="OK",M473=0,N473=0,O473=0,P473=0,SETTINGS!$B$4&lt;V473,Q473&lt;SETTINGS!$B$6),1,0)</f>
        <v>0</v>
      </c>
      <c r="Y473" s="28">
        <f ca="1">IF(AND(X473=1,SETTINGS!$B$4&gt;=H473,SETTINGS!$B$4&gt;=U473,ROUND(MOD(SETTINGS!$B$4,1)*1440,0)&gt;=ROUND(SETTINGS!$B$7*1440,0),ROUND(MOD(SETTINGS!$B$4,1)*1440,0)&lt;ROUND(SETTINGS!$B$8*1440,0)),1,0)</f>
        <v>0</v>
      </c>
      <c r="Z473" s="28" t="str">
        <f ca="1">IF(B473="","",IF(ROUND(MOD(SETTINGS!$B$4,1)*1440,0)&lt;ROUND(SETTINGS!$B$11*1440,0),"Ram",IF(ROUND(MOD(SETTINGS!$B$4,1)*1440,0)&gt;=ROUND(SETTINGS!$B$10*1440,0),"Shyam",IF(MOD(IFERROR(VALUE(RIGHT(F473,2)),0),2)=0,"Ram","Shyam"))))</f>
        <v>Shyam</v>
      </c>
      <c r="AA473" s="28">
        <f t="shared" ca="1" si="80"/>
        <v>0</v>
      </c>
      <c r="AB473" s="28">
        <f ca="1">IF(X473=1,COUNTIFS($F$2:F473,F473,$X$2:X473,1),0)</f>
        <v>0</v>
      </c>
      <c r="AC473" s="28" t="str">
        <f>IF(L473=1,IF(IFERROR(INDEX(PARTNERS!$C$2:$C$88,MATCH(B473,PARTNERS!$A$2:$A$88,0)),"")="YES","YES","NO"),"")</f>
        <v>NO</v>
      </c>
      <c r="AD473" s="28" t="str">
        <f>IF(L473=1,IFERROR(INDEX(PARTNERS!$B$2:$B$88,MATCH(B473,PARTNERS!$A$2:$A$88,0)),""),"")</f>
        <v>https://calendly.com/partner087/interview</v>
      </c>
      <c r="AE473" s="28">
        <f ca="1">IF(X473=1,IFERROR(INDEX(SETTINGS!$B$34:$D$36,MATCH(I473,SETTINGS!$A$34:$A$36,0),MIN(Q473,2)+1),SETTINGS!$B$36),0)</f>
        <v>0</v>
      </c>
      <c r="AF473" s="28">
        <f t="shared" si="81"/>
        <v>1</v>
      </c>
      <c r="AG473" s="28">
        <f ca="1">IF(AND(Y473=1,AB473=1),ROUND(AA473*AE473*IF(AF473&gt;1,SETTINGS!$B$16,1)*IF(W473&lt;=SETTINGS!$B$14,SETTINGS!$B$15,1)*IF(AU473=1,SETTINGS!$B$21,1),6),0)</f>
        <v>0</v>
      </c>
      <c r="AH473" s="28" t="str">
        <f ca="1">IF(AG473&gt;0,COUNTIFS($Z$2:$Z$601,Z473,$AG$2:$AG$601,"&gt;"&amp;AG473)+COUNTIFS($Z$2:Z473,Z473,$AG$2:AG473,AG473),"")</f>
        <v/>
      </c>
      <c r="AI473" s="28" t="str">
        <f t="shared" ca="1" si="82"/>
        <v/>
      </c>
      <c r="AJ473" s="28" t="str">
        <f t="shared" ca="1" si="83"/>
        <v/>
      </c>
      <c r="AK473" s="28">
        <f>IF(L473=1,IF(COUNTIFS($F$2:F473,F473,$L$2:L473,1)=1,1,0),0)</f>
        <v>0</v>
      </c>
      <c r="AL473" s="28" t="str">
        <f>IF(B473="","",IF(K473="DUPLICATE","Duplicate (removed)",IF(AO473=1,"Scheduled within 24h",IF(M473=1,"Scheduled late",IF(K473="BAD CONTACT","Bad contact details",IF(O473=1,"Stopped / wrong number",IF(N473=1,"Not interested",IF(P473=1,"Partner has no slots",IF(SETTINGS!$B$4&gt;=V473,IF(Q473=0,"Missed deadline: never tried","Missed deadline: tried, not booked"),IF(Q473&gt;=SETTINGS!$B$6,"No reply after max tries","Open"))))))))))</f>
        <v>Scheduled within 24h</v>
      </c>
      <c r="AM473" s="46">
        <f>IF(M473=1,IF(_xlfn.MINIFS(LOG!$G$2:$G$2001,LOG!$C$2:$C$2001,F473,LOG!$E$2:$E$2001,B473,LOG!$D$2:$D$2001,"*BOOKED")=0,_xlfn.MINIFS(LOG!$G$2:$G$2001,LOG!$C$2:$C$2001,F473,LOG!$E$2:$E$2001,"",LOG!$D$2:$D$2001,"*BOOKED"),IF(_xlfn.MINIFS(LOG!$G$2:$G$2001,LOG!$C$2:$C$2001,F473,LOG!$E$2:$E$2001,"",LOG!$D$2:$D$2001,"*BOOKED")=0,_xlfn.MINIFS(LOG!$G$2:$G$2001,LOG!$C$2:$C$2001,F473,LOG!$E$2:$E$2001,B473,LOG!$D$2:$D$2001,"*BOOKED"),MIN(_xlfn.MINIFS(LOG!$G$2:$G$2001,LOG!$C$2:$C$2001,F473,LOG!$E$2:$E$2001,B473,LOG!$D$2:$D$2001,"*BOOKED"),_xlfn.MINIFS(LOG!$G$2:$G$2001,LOG!$C$2:$C$2001,F473,LOG!$E$2:$E$2001,"",LOG!$D$2:$D$2001,"*BOOKED")))),"")</f>
        <v>46308.925096351028</v>
      </c>
      <c r="AN473" s="28">
        <f t="shared" si="84"/>
        <v>2.3523124247440137</v>
      </c>
      <c r="AO473" s="28">
        <f>IF(AND(M473=1,AN473&lt;&gt;""),IF(AN473&lt;=SETTINGS!$B$5,1,0),0)</f>
        <v>1</v>
      </c>
      <c r="AP473" s="28">
        <f>IF(M473=1,IF(COUNTIFS(LOG!$C$2:$C$2001,F473,LOG!$E$2:$E$2001,B473,LOG!$D$2:$D$2001,"BOOKED")+COUNTIFS(LOG!$C$2:$C$2001,F473,LOG!$E$2:$E$2001,"",LOG!$D$2:$D$2001,"BOOKED")&gt;0,1,0),0)</f>
        <v>1</v>
      </c>
      <c r="AQ473" s="28" t="str">
        <f t="shared" si="85"/>
        <v>Manav</v>
      </c>
      <c r="AR473" s="28" t="str">
        <f>IF(AND(AK473=1,K473="OK"),COUNTIFS($AK$2:AK473,1,$K$2:K473,"OK"),"")</f>
        <v/>
      </c>
      <c r="AS473" s="28" t="str">
        <f>IF(L473=1,IFERROR(INDEX(MESSAGES!$J$9:$J$1008,MATCH(F473,MESSAGES!$M$9:$M$1008,0))&amp;"",""),"")</f>
        <v/>
      </c>
      <c r="AT473" s="28" t="str">
        <f>IF(L473=1,IFERROR(INDEX(MESSAGES!$K$9:$K$1008,MATCH(F473,MESSAGES!$M$9:$M$1008,0))&amp;"",""),"")</f>
        <v/>
      </c>
      <c r="AU473" s="28">
        <f t="shared" ca="1" si="86"/>
        <v>0</v>
      </c>
      <c r="AV473" s="28" t="str">
        <f t="shared" si="87"/>
        <v>HOLD</v>
      </c>
    </row>
    <row r="474" spans="1:48" x14ac:dyDescent="0.35">
      <c r="A474" s="28">
        <v>473</v>
      </c>
      <c r="B474" s="28" t="str">
        <f>IF(INPUT!A474="","",TRIM(INPUT!A474))</f>
        <v>Partner 021</v>
      </c>
      <c r="C474" s="28" t="str">
        <f>IF(B474="","",INPUT!C474)</f>
        <v>interviewer0@partner021.example.com</v>
      </c>
      <c r="D474" s="28" t="str">
        <f>IF(B474="","",INPUT!D474)</f>
        <v>Saanvi K.</v>
      </c>
      <c r="E474" s="28" t="str">
        <f>IF(B474="","",INPUT!E474)</f>
        <v>saanvi.k279@example.com</v>
      </c>
      <c r="F474" s="43" t="str">
        <f>IF(B474="","",TRIM(INPUT!F474&amp;""))</f>
        <v>9000003634</v>
      </c>
      <c r="G474" s="28" t="str">
        <f>IF(B474="","",INPUT!H474)</f>
        <v>Round1</v>
      </c>
      <c r="H474" s="46">
        <f>IF(B474="","",INPUT!I474)</f>
        <v>46308.82708333333</v>
      </c>
      <c r="I474" s="28" t="str">
        <f>IF(B474="","",IF(INPUT!J474="","None",INPUT!J474))</f>
        <v>Opened</v>
      </c>
      <c r="J474" s="28" t="str">
        <f t="shared" si="77"/>
        <v>saanvi.k279@example.com|partner 021|Round1|interviewer0@partner021.example.com</v>
      </c>
      <c r="K474" s="28" t="str">
        <f>IF(B474="","",IF(SUMPRODUCT(($J$2:$J$601=J474)*($H$2:$H$601&lt;H474))+SUMPRODUCT(($J$2:J474=J474)*($H$2:H474=H474))-1&gt;0,"DUPLICATE",IF(AND(ISNUMBER(SEARCH("@",E474)),ISNUMBER(SEARCH(".",E474)),LEN(F474)=10,ISNUMBER(VALUE(F474))),"OK","BAD CONTACT")))</f>
        <v>OK</v>
      </c>
      <c r="L474" s="28">
        <f t="shared" si="78"/>
        <v>1</v>
      </c>
      <c r="M474" s="28">
        <f>IF(L474=1,IF(COUNTIFS(LOG!$C$2:$C$2001,F474,LOG!$E$2:$E$2001,B474,LOG!$D$2:$D$2001,"*BOOKED")+COUNTIFS(LOG!$C$2:$C$2001,F474,LOG!$E$2:$E$2001,"",LOG!$D$2:$D$2001,"*BOOKED")&gt;0,1,0),0)</f>
        <v>0</v>
      </c>
      <c r="N474" s="28">
        <f>IF(L474=1,IF(COUNTIFS(LOG!$C$2:$C$2001,F474,LOG!$E$2:$E$2001,B474,LOG!$D$2:$D$2001,"NOT_INTERESTED")+COUNTIFS(LOG!$C$2:$C$2001,F474,LOG!$E$2:$E$2001,"",LOG!$D$2:$D$2001,"NOT_INTERESTED")&gt;0,1,0),0)</f>
        <v>0</v>
      </c>
      <c r="O474" s="28">
        <f>IF(L474=1,IF(COUNTIFS(LOG!$C$2:$C$2001,F474,LOG!$D$2:$D$2001,"STOP")+COUNTIFS(LOG!$C$2:$C$2001,F474,LOG!$D$2:$D$2001,"WRONG_NUMBER")&gt;0,1,IF(ISNUMBER(SEARCH("STOP",AT474)),1,0)),0)</f>
        <v>0</v>
      </c>
      <c r="P474" s="28">
        <f>IF(L474=1,IF(IFERROR(INDEX(PARTNERS!$D$2:$D$88,MATCH(B474,PARTNERS!$A$2:$A$88,0)),"")="NO SLOTS",1,IF(AND(IFERROR(INDEX(PARTNERS!$D$2:$D$88,MATCH(B474,PARTNERS!$A$2:$A$88,0)),"")&lt;&gt;"REOPENED",COUNTIFS(LOG!$E$2:$E$2001,B474,LOG!$D$2:$D$2001,"NO_SLOTS")&gt;0),1,0)),0)</f>
        <v>0</v>
      </c>
      <c r="Q474" s="28">
        <f>IF(L474=1,COUNTIFS(LOG!$C$2:$C$2001,F474,LOG!$H$2:$H$2001,1),0)</f>
        <v>0</v>
      </c>
      <c r="R474" s="46">
        <f>IF(Q474&gt;0,_xlfn.MAXIFS(LOG!$G$2:$G$2001,LOG!$C$2:$C$2001,F474,LOG!$H$2:$H$2001,1),0)</f>
        <v>0</v>
      </c>
      <c r="S474" s="28" t="str">
        <f>IF(Q474&gt;0,IFERROR(INDEX(LOG!$D$2:$D$2001,MATCH(F474&amp;"|"&amp;Q474,LOG!$I$2:$I$2001,0)),""),"")</f>
        <v/>
      </c>
      <c r="T474" s="28">
        <f>IF(S474="",0,IFERROR(VLOOKUP(S474,LISTS!$A$2:$E$10,4,FALSE),0))</f>
        <v>0</v>
      </c>
      <c r="U474" s="46">
        <f t="shared" si="79"/>
        <v>0</v>
      </c>
      <c r="V474" s="46">
        <f>IF(L474=1,H474+SETTINGS!$B$5/24,"")</f>
        <v>46309.82708333333</v>
      </c>
      <c r="W474" s="28">
        <f ca="1">IF(L474=1,(V474-SETTINGS!$B$4)*24,"")</f>
        <v>-1.6666666720993817E-2</v>
      </c>
      <c r="X474" s="28">
        <f ca="1">IF(AND(L474=1,K474="OK",M474=0,N474=0,O474=0,P474=0,SETTINGS!$B$4&lt;V474,Q474&lt;SETTINGS!$B$6),1,0)</f>
        <v>0</v>
      </c>
      <c r="Y474" s="28">
        <f ca="1">IF(AND(X474=1,SETTINGS!$B$4&gt;=H474,SETTINGS!$B$4&gt;=U474,ROUND(MOD(SETTINGS!$B$4,1)*1440,0)&gt;=ROUND(SETTINGS!$B$7*1440,0),ROUND(MOD(SETTINGS!$B$4,1)*1440,0)&lt;ROUND(SETTINGS!$B$8*1440,0)),1,0)</f>
        <v>0</v>
      </c>
      <c r="Z474" s="28" t="str">
        <f ca="1">IF(B474="","",IF(ROUND(MOD(SETTINGS!$B$4,1)*1440,0)&lt;ROUND(SETTINGS!$B$11*1440,0),"Ram",IF(ROUND(MOD(SETTINGS!$B$4,1)*1440,0)&gt;=ROUND(SETTINGS!$B$10*1440,0),"Shyam",IF(MOD(IFERROR(VALUE(RIGHT(F474,2)),0),2)=0,"Ram","Shyam"))))</f>
        <v>Shyam</v>
      </c>
      <c r="AA474" s="28">
        <f t="shared" ca="1" si="80"/>
        <v>0</v>
      </c>
      <c r="AB474" s="28">
        <f ca="1">IF(X474=1,COUNTIFS($F$2:F474,F474,$X$2:X474,1),0)</f>
        <v>0</v>
      </c>
      <c r="AC474" s="28" t="str">
        <f>IF(L474=1,IF(IFERROR(INDEX(PARTNERS!$C$2:$C$88,MATCH(B474,PARTNERS!$A$2:$A$88,0)),"")="YES","YES","NO"),"")</f>
        <v>NO</v>
      </c>
      <c r="AD474" s="28" t="str">
        <f>IF(L474=1,IFERROR(INDEX(PARTNERS!$B$2:$B$88,MATCH(B474,PARTNERS!$A$2:$A$88,0)),""),"")</f>
        <v>https://calendly.com/partner021/interview</v>
      </c>
      <c r="AE474" s="28">
        <f ca="1">IF(X474=1,IFERROR(INDEX(SETTINGS!$B$34:$D$36,MATCH(I474,SETTINGS!$A$34:$A$36,0),MIN(Q474,2)+1),SETTINGS!$B$36),0)</f>
        <v>0</v>
      </c>
      <c r="AF474" s="28">
        <f t="shared" si="81"/>
        <v>1</v>
      </c>
      <c r="AG474" s="28">
        <f ca="1">IF(AND(Y474=1,AB474=1),ROUND(AA474*AE474*IF(AF474&gt;1,SETTINGS!$B$16,1)*IF(W474&lt;=SETTINGS!$B$14,SETTINGS!$B$15,1)*IF(AU474=1,SETTINGS!$B$21,1),6),0)</f>
        <v>0</v>
      </c>
      <c r="AH474" s="28" t="str">
        <f ca="1">IF(AG474&gt;0,COUNTIFS($Z$2:$Z$601,Z474,$AG$2:$AG$601,"&gt;"&amp;AG474)+COUNTIFS($Z$2:Z474,Z474,$AG$2:AG474,AG474),"")</f>
        <v/>
      </c>
      <c r="AI474" s="28" t="str">
        <f t="shared" ca="1" si="82"/>
        <v/>
      </c>
      <c r="AJ474" s="28" t="str">
        <f t="shared" ca="1" si="83"/>
        <v/>
      </c>
      <c r="AK474" s="28">
        <f>IF(L474=1,IF(COUNTIFS($F$2:F474,F474,$L$2:L474,1)=1,1,0),0)</f>
        <v>1</v>
      </c>
      <c r="AL474" s="28" t="str">
        <f ca="1">IF(B474="","",IF(K474="DUPLICATE","Duplicate (removed)",IF(AO474=1,"Scheduled within 24h",IF(M474=1,"Scheduled late",IF(K474="BAD CONTACT","Bad contact details",IF(O474=1,"Stopped / wrong number",IF(N474=1,"Not interested",IF(P474=1,"Partner has no slots",IF(SETTINGS!$B$4&gt;=V474,IF(Q474=0,"Missed deadline: never tried","Missed deadline: tried, not booked"),IF(Q474&gt;=SETTINGS!$B$6,"No reply after max tries","Open"))))))))))</f>
        <v>Missed deadline: never tried</v>
      </c>
      <c r="AM474" s="46" t="str">
        <f>IF(M474=1,IF(_xlfn.MINIFS(LOG!$G$2:$G$2001,LOG!$C$2:$C$2001,F474,LOG!$E$2:$E$2001,B474,LOG!$D$2:$D$2001,"*BOOKED")=0,_xlfn.MINIFS(LOG!$G$2:$G$2001,LOG!$C$2:$C$2001,F474,LOG!$E$2:$E$2001,"",LOG!$D$2:$D$2001,"*BOOKED"),IF(_xlfn.MINIFS(LOG!$G$2:$G$2001,LOG!$C$2:$C$2001,F474,LOG!$E$2:$E$2001,"",LOG!$D$2:$D$2001,"*BOOKED")=0,_xlfn.MINIFS(LOG!$G$2:$G$2001,LOG!$C$2:$C$2001,F474,LOG!$E$2:$E$2001,B474,LOG!$D$2:$D$2001,"*BOOKED"),MIN(_xlfn.MINIFS(LOG!$G$2:$G$2001,LOG!$C$2:$C$2001,F474,LOG!$E$2:$E$2001,B474,LOG!$D$2:$D$2001,"*BOOKED"),_xlfn.MINIFS(LOG!$G$2:$G$2001,LOG!$C$2:$C$2001,F474,LOG!$E$2:$E$2001,"",LOG!$D$2:$D$2001,"*BOOKED")))),"")</f>
        <v/>
      </c>
      <c r="AN474" s="28" t="str">
        <f t="shared" si="84"/>
        <v/>
      </c>
      <c r="AO474" s="28">
        <f>IF(AND(M474=1,AN474&lt;&gt;""),IF(AN474&lt;=SETTINGS!$B$5,1,0),0)</f>
        <v>0</v>
      </c>
      <c r="AP474" s="28">
        <f>IF(M474=1,IF(COUNTIFS(LOG!$C$2:$C$2001,F474,LOG!$E$2:$E$2001,B474,LOG!$D$2:$D$2001,"BOOKED")+COUNTIFS(LOG!$C$2:$C$2001,F474,LOG!$E$2:$E$2001,"",LOG!$D$2:$D$2001,"BOOKED")&gt;0,1,0),0)</f>
        <v>0</v>
      </c>
      <c r="AQ474" s="28" t="str">
        <f t="shared" si="85"/>
        <v>Saanvi</v>
      </c>
      <c r="AR474" s="28">
        <f>IF(AND(AK474=1,K474="OK"),COUNTIFS($AK$2:AK474,1,$K$2:K474,"OK"),"")</f>
        <v>386</v>
      </c>
      <c r="AS474" s="28" t="str">
        <f>IF(L474=1,IFERROR(INDEX(MESSAGES!$J$9:$J$1008,MATCH(F474,MESSAGES!$M$9:$M$1008,0))&amp;"",""),"")</f>
        <v/>
      </c>
      <c r="AT474" s="28" t="str">
        <f>IF(L474=1,IFERROR(INDEX(MESSAGES!$K$9:$K$1008,MATCH(F474,MESSAGES!$M$9:$M$1008,0))&amp;"",""),"")</f>
        <v/>
      </c>
      <c r="AU474" s="28">
        <f t="shared" ca="1" si="86"/>
        <v>0</v>
      </c>
      <c r="AV474" s="28" t="str">
        <f t="shared" si="87"/>
        <v>HOLD</v>
      </c>
    </row>
    <row r="475" spans="1:48" x14ac:dyDescent="0.35">
      <c r="A475" s="28">
        <v>474</v>
      </c>
      <c r="B475" s="28" t="str">
        <f>IF(INPUT!A475="","",TRIM(INPUT!A475))</f>
        <v>Partner 046</v>
      </c>
      <c r="C475" s="28" t="str">
        <f>IF(B475="","",INPUT!C475)</f>
        <v>interviewer0@partner046.example.com</v>
      </c>
      <c r="D475" s="28" t="str">
        <f>IF(B475="","",INPUT!D475)</f>
        <v>Kiara M.</v>
      </c>
      <c r="E475" s="28" t="str">
        <f>IF(B475="","",INPUT!E475)</f>
        <v>kiara.m341@example.com</v>
      </c>
      <c r="F475" s="43" t="str">
        <f>IF(B475="","",TRIM(INPUT!F475&amp;""))</f>
        <v>9000004440</v>
      </c>
      <c r="G475" s="28" t="str">
        <f>IF(B475="","",INPUT!H475)</f>
        <v>Round1</v>
      </c>
      <c r="H475" s="46">
        <f>IF(B475="","",INPUT!I475)</f>
        <v>46308.82708333333</v>
      </c>
      <c r="I475" s="28" t="str">
        <f>IF(B475="","",IF(INPUT!J475="","None",INPUT!J475))</f>
        <v>Clicked</v>
      </c>
      <c r="J475" s="28" t="str">
        <f t="shared" si="77"/>
        <v>kiara.m341@example.com|partner 046|Round1|interviewer0@partner046.example.com</v>
      </c>
      <c r="K475" s="28" t="str">
        <f>IF(B475="","",IF(SUMPRODUCT(($J$2:$J$601=J475)*($H$2:$H$601&lt;H475))+SUMPRODUCT(($J$2:J475=J475)*($H$2:H475=H475))-1&gt;0,"DUPLICATE",IF(AND(ISNUMBER(SEARCH("@",E475)),ISNUMBER(SEARCH(".",E475)),LEN(F475)=10,ISNUMBER(VALUE(F475))),"OK","BAD CONTACT")))</f>
        <v>OK</v>
      </c>
      <c r="L475" s="28">
        <f t="shared" si="78"/>
        <v>1</v>
      </c>
      <c r="M475" s="28">
        <f>IF(L475=1,IF(COUNTIFS(LOG!$C$2:$C$2001,F475,LOG!$E$2:$E$2001,B475,LOG!$D$2:$D$2001,"*BOOKED")+COUNTIFS(LOG!$C$2:$C$2001,F475,LOG!$E$2:$E$2001,"",LOG!$D$2:$D$2001,"*BOOKED")&gt;0,1,0),0)</f>
        <v>1</v>
      </c>
      <c r="N475" s="28">
        <f>IF(L475=1,IF(COUNTIFS(LOG!$C$2:$C$2001,F475,LOG!$E$2:$E$2001,B475,LOG!$D$2:$D$2001,"NOT_INTERESTED")+COUNTIFS(LOG!$C$2:$C$2001,F475,LOG!$E$2:$E$2001,"",LOG!$D$2:$D$2001,"NOT_INTERESTED")&gt;0,1,0),0)</f>
        <v>0</v>
      </c>
      <c r="O475" s="28">
        <f>IF(L475=1,IF(COUNTIFS(LOG!$C$2:$C$2001,F475,LOG!$D$2:$D$2001,"STOP")+COUNTIFS(LOG!$C$2:$C$2001,F475,LOG!$D$2:$D$2001,"WRONG_NUMBER")&gt;0,1,IF(ISNUMBER(SEARCH("STOP",AT475)),1,0)),0)</f>
        <v>0</v>
      </c>
      <c r="P475" s="28">
        <f>IF(L475=1,IF(IFERROR(INDEX(PARTNERS!$D$2:$D$88,MATCH(B475,PARTNERS!$A$2:$A$88,0)),"")="NO SLOTS",1,IF(AND(IFERROR(INDEX(PARTNERS!$D$2:$D$88,MATCH(B475,PARTNERS!$A$2:$A$88,0)),"")&lt;&gt;"REOPENED",COUNTIFS(LOG!$E$2:$E$2001,B475,LOG!$D$2:$D$2001,"NO_SLOTS")&gt;0),1,0)),0)</f>
        <v>0</v>
      </c>
      <c r="Q475" s="28">
        <f>IF(L475=1,COUNTIFS(LOG!$C$2:$C$2001,F475,LOG!$H$2:$H$2001,1),0)</f>
        <v>0</v>
      </c>
      <c r="R475" s="46">
        <f>IF(Q475&gt;0,_xlfn.MAXIFS(LOG!$G$2:$G$2001,LOG!$C$2:$C$2001,F475,LOG!$H$2:$H$2001,1),0)</f>
        <v>0</v>
      </c>
      <c r="S475" s="28" t="str">
        <f>IF(Q475&gt;0,IFERROR(INDEX(LOG!$D$2:$D$2001,MATCH(F475&amp;"|"&amp;Q475,LOG!$I$2:$I$2001,0)),""),"")</f>
        <v/>
      </c>
      <c r="T475" s="28">
        <f>IF(S475="",0,IFERROR(VLOOKUP(S475,LISTS!$A$2:$E$10,4,FALSE),0))</f>
        <v>0</v>
      </c>
      <c r="U475" s="46">
        <f t="shared" si="79"/>
        <v>0</v>
      </c>
      <c r="V475" s="46">
        <f>IF(L475=1,H475+SETTINGS!$B$5/24,"")</f>
        <v>46309.82708333333</v>
      </c>
      <c r="W475" s="28">
        <f ca="1">IF(L475=1,(V475-SETTINGS!$B$4)*24,"")</f>
        <v>-1.6666666720993817E-2</v>
      </c>
      <c r="X475" s="28">
        <f ca="1">IF(AND(L475=1,K475="OK",M475=0,N475=0,O475=0,P475=0,SETTINGS!$B$4&lt;V475,Q475&lt;SETTINGS!$B$6),1,0)</f>
        <v>0</v>
      </c>
      <c r="Y475" s="28">
        <f ca="1">IF(AND(X475=1,SETTINGS!$B$4&gt;=H475,SETTINGS!$B$4&gt;=U475,ROUND(MOD(SETTINGS!$B$4,1)*1440,0)&gt;=ROUND(SETTINGS!$B$7*1440,0),ROUND(MOD(SETTINGS!$B$4,1)*1440,0)&lt;ROUND(SETTINGS!$B$8*1440,0)),1,0)</f>
        <v>0</v>
      </c>
      <c r="Z475" s="28" t="str">
        <f ca="1">IF(B475="","",IF(ROUND(MOD(SETTINGS!$B$4,1)*1440,0)&lt;ROUND(SETTINGS!$B$11*1440,0),"Ram",IF(ROUND(MOD(SETTINGS!$B$4,1)*1440,0)&gt;=ROUND(SETTINGS!$B$10*1440,0),"Shyam",IF(MOD(IFERROR(VALUE(RIGHT(F475,2)),0),2)=0,"Ram","Shyam"))))</f>
        <v>Shyam</v>
      </c>
      <c r="AA475" s="28">
        <f t="shared" ca="1" si="80"/>
        <v>0</v>
      </c>
      <c r="AB475" s="28">
        <f ca="1">IF(X475=1,COUNTIFS($F$2:F475,F475,$X$2:X475,1),0)</f>
        <v>0</v>
      </c>
      <c r="AC475" s="28" t="str">
        <f>IF(L475=1,IF(IFERROR(INDEX(PARTNERS!$C$2:$C$88,MATCH(B475,PARTNERS!$A$2:$A$88,0)),"")="YES","YES","NO"),"")</f>
        <v>YES</v>
      </c>
      <c r="AD475" s="28" t="str">
        <f>IF(L475=1,IFERROR(INDEX(PARTNERS!$B$2:$B$88,MATCH(B475,PARTNERS!$A$2:$A$88,0)),""),"")</f>
        <v>https://calendly.com/partner046/interview</v>
      </c>
      <c r="AE475" s="28">
        <f ca="1">IF(X475=1,IFERROR(INDEX(SETTINGS!$B$34:$D$36,MATCH(I475,SETTINGS!$A$34:$A$36,0),MIN(Q475,2)+1),SETTINGS!$B$36),0)</f>
        <v>0</v>
      </c>
      <c r="AF475" s="28">
        <f t="shared" si="81"/>
        <v>1</v>
      </c>
      <c r="AG475" s="28">
        <f ca="1">IF(AND(Y475=1,AB475=1),ROUND(AA475*AE475*IF(AF475&gt;1,SETTINGS!$B$16,1)*IF(W475&lt;=SETTINGS!$B$14,SETTINGS!$B$15,1)*IF(AU475=1,SETTINGS!$B$21,1),6),0)</f>
        <v>0</v>
      </c>
      <c r="AH475" s="28" t="str">
        <f ca="1">IF(AG475&gt;0,COUNTIFS($Z$2:$Z$601,Z475,$AG$2:$AG$601,"&gt;"&amp;AG475)+COUNTIFS($Z$2:Z475,Z475,$AG$2:AG475,AG475),"")</f>
        <v/>
      </c>
      <c r="AI475" s="28" t="str">
        <f t="shared" ca="1" si="82"/>
        <v/>
      </c>
      <c r="AJ475" s="28" t="str">
        <f t="shared" ca="1" si="83"/>
        <v/>
      </c>
      <c r="AK475" s="28">
        <f>IF(L475=1,IF(COUNTIFS($F$2:F475,F475,$L$2:L475,1)=1,1,0),0)</f>
        <v>1</v>
      </c>
      <c r="AL475" s="28" t="str">
        <f>IF(B475="","",IF(K475="DUPLICATE","Duplicate (removed)",IF(AO475=1,"Scheduled within 24h",IF(M475=1,"Scheduled late",IF(K475="BAD CONTACT","Bad contact details",IF(O475=1,"Stopped / wrong number",IF(N475=1,"Not interested",IF(P475=1,"Partner has no slots",IF(SETTINGS!$B$4&gt;=V475,IF(Q475=0,"Missed deadline: never tried","Missed deadline: tried, not booked"),IF(Q475&gt;=SETTINGS!$B$6,"No reply after max tries","Open"))))))))))</f>
        <v>Scheduled within 24h</v>
      </c>
      <c r="AM475" s="46">
        <f>IF(M475=1,IF(_xlfn.MINIFS(LOG!$G$2:$G$2001,LOG!$C$2:$C$2001,F475,LOG!$E$2:$E$2001,B475,LOG!$D$2:$D$2001,"*BOOKED")=0,_xlfn.MINIFS(LOG!$G$2:$G$2001,LOG!$C$2:$C$2001,F475,LOG!$E$2:$E$2001,"",LOG!$D$2:$D$2001,"*BOOKED"),IF(_xlfn.MINIFS(LOG!$G$2:$G$2001,LOG!$C$2:$C$2001,F475,LOG!$E$2:$E$2001,"",LOG!$D$2:$D$2001,"*BOOKED")=0,_xlfn.MINIFS(LOG!$G$2:$G$2001,LOG!$C$2:$C$2001,F475,LOG!$E$2:$E$2001,B475,LOG!$D$2:$D$2001,"*BOOKED"),MIN(_xlfn.MINIFS(LOG!$G$2:$G$2001,LOG!$C$2:$C$2001,F475,LOG!$E$2:$E$2001,B475,LOG!$D$2:$D$2001,"*BOOKED"),_xlfn.MINIFS(LOG!$G$2:$G$2001,LOG!$C$2:$C$2001,F475,LOG!$E$2:$E$2001,"",LOG!$D$2:$D$2001,"*BOOKED")))),"")</f>
        <v>46309.390723859731</v>
      </c>
      <c r="AN475" s="28">
        <f t="shared" si="84"/>
        <v>13.527372633630875</v>
      </c>
      <c r="AO475" s="28">
        <f>IF(AND(M475=1,AN475&lt;&gt;""),IF(AN475&lt;=SETTINGS!$B$5,1,0),0)</f>
        <v>1</v>
      </c>
      <c r="AP475" s="28">
        <f>IF(M475=1,IF(COUNTIFS(LOG!$C$2:$C$2001,F475,LOG!$E$2:$E$2001,B475,LOG!$D$2:$D$2001,"BOOKED")+COUNTIFS(LOG!$C$2:$C$2001,F475,LOG!$E$2:$E$2001,"",LOG!$D$2:$D$2001,"BOOKED")&gt;0,1,0),0)</f>
        <v>0</v>
      </c>
      <c r="AQ475" s="28" t="str">
        <f t="shared" si="85"/>
        <v>Kiara</v>
      </c>
      <c r="AR475" s="28">
        <f>IF(AND(AK475=1,K475="OK"),COUNTIFS($AK$2:AK475,1,$K$2:K475,"OK"),"")</f>
        <v>387</v>
      </c>
      <c r="AS475" s="28" t="str">
        <f>IF(L475=1,IFERROR(INDEX(MESSAGES!$J$9:$J$1008,MATCH(F475,MESSAGES!$M$9:$M$1008,0))&amp;"",""),"")</f>
        <v/>
      </c>
      <c r="AT475" s="28" t="str">
        <f>IF(L475=1,IFERROR(INDEX(MESSAGES!$K$9:$K$1008,MATCH(F475,MESSAGES!$M$9:$M$1008,0))&amp;"",""),"")</f>
        <v/>
      </c>
      <c r="AU475" s="28">
        <f t="shared" ca="1" si="86"/>
        <v>0</v>
      </c>
      <c r="AV475" s="28" t="str">
        <f t="shared" si="87"/>
        <v>SEND</v>
      </c>
    </row>
    <row r="476" spans="1:48" x14ac:dyDescent="0.35">
      <c r="A476" s="28">
        <v>475</v>
      </c>
      <c r="B476" s="28" t="str">
        <f>IF(INPUT!A476="","",TRIM(INPUT!A476))</f>
        <v>Partner 062</v>
      </c>
      <c r="C476" s="28" t="str">
        <f>IF(B476="","",INPUT!C476)</f>
        <v>interviewer1@partner062.example.com</v>
      </c>
      <c r="D476" s="28" t="str">
        <f>IF(B476="","",INPUT!D476)</f>
        <v>Zoya K.</v>
      </c>
      <c r="E476" s="28" t="str">
        <f>IF(B476="","",INPUT!E476)</f>
        <v>zoya.k287@example.com</v>
      </c>
      <c r="F476" s="43" t="str">
        <f>IF(B476="","",TRIM(INPUT!F476&amp;""))</f>
        <v>9000003738</v>
      </c>
      <c r="G476" s="28" t="str">
        <f>IF(B476="","",INPUT!H476)</f>
        <v>Round1</v>
      </c>
      <c r="H476" s="46">
        <f>IF(B476="","",INPUT!I476)</f>
        <v>46308.82708333333</v>
      </c>
      <c r="I476" s="28" t="str">
        <f>IF(B476="","",IF(INPUT!J476="","None",INPUT!J476))</f>
        <v>None</v>
      </c>
      <c r="J476" s="28" t="str">
        <f t="shared" si="77"/>
        <v>zoya.k287@example.com|partner 062|Round1|interviewer1@partner062.example.com</v>
      </c>
      <c r="K476" s="28" t="str">
        <f>IF(B476="","",IF(SUMPRODUCT(($J$2:$J$601=J476)*($H$2:$H$601&lt;H476))+SUMPRODUCT(($J$2:J476=J476)*($H$2:H476=H476))-1&gt;0,"DUPLICATE",IF(AND(ISNUMBER(SEARCH("@",E476)),ISNUMBER(SEARCH(".",E476)),LEN(F476)=10,ISNUMBER(VALUE(F476))),"OK","BAD CONTACT")))</f>
        <v>OK</v>
      </c>
      <c r="L476" s="28">
        <f t="shared" si="78"/>
        <v>1</v>
      </c>
      <c r="M476" s="28">
        <f>IF(L476=1,IF(COUNTIFS(LOG!$C$2:$C$2001,F476,LOG!$E$2:$E$2001,B476,LOG!$D$2:$D$2001,"*BOOKED")+COUNTIFS(LOG!$C$2:$C$2001,F476,LOG!$E$2:$E$2001,"",LOG!$D$2:$D$2001,"*BOOKED")&gt;0,1,0),0)</f>
        <v>0</v>
      </c>
      <c r="N476" s="28">
        <f>IF(L476=1,IF(COUNTIFS(LOG!$C$2:$C$2001,F476,LOG!$E$2:$E$2001,B476,LOG!$D$2:$D$2001,"NOT_INTERESTED")+COUNTIFS(LOG!$C$2:$C$2001,F476,LOG!$E$2:$E$2001,"",LOG!$D$2:$D$2001,"NOT_INTERESTED")&gt;0,1,0),0)</f>
        <v>0</v>
      </c>
      <c r="O476" s="28">
        <f>IF(L476=1,IF(COUNTIFS(LOG!$C$2:$C$2001,F476,LOG!$D$2:$D$2001,"STOP")+COUNTIFS(LOG!$C$2:$C$2001,F476,LOG!$D$2:$D$2001,"WRONG_NUMBER")&gt;0,1,IF(ISNUMBER(SEARCH("STOP",AT476)),1,0)),0)</f>
        <v>0</v>
      </c>
      <c r="P476" s="28">
        <f>IF(L476=1,IF(IFERROR(INDEX(PARTNERS!$D$2:$D$88,MATCH(B476,PARTNERS!$A$2:$A$88,0)),"")="NO SLOTS",1,IF(AND(IFERROR(INDEX(PARTNERS!$D$2:$D$88,MATCH(B476,PARTNERS!$A$2:$A$88,0)),"")&lt;&gt;"REOPENED",COUNTIFS(LOG!$E$2:$E$2001,B476,LOG!$D$2:$D$2001,"NO_SLOTS")&gt;0),1,0)),0)</f>
        <v>0</v>
      </c>
      <c r="Q476" s="28">
        <f>IF(L476=1,COUNTIFS(LOG!$C$2:$C$2001,F476,LOG!$H$2:$H$2001,1),0)</f>
        <v>2</v>
      </c>
      <c r="R476" s="46">
        <f>IF(Q476&gt;0,_xlfn.MAXIFS(LOG!$G$2:$G$2001,LOG!$C$2:$C$2001,F476,LOG!$H$2:$H$2001,1),0)</f>
        <v>46309.639751395473</v>
      </c>
      <c r="S476" s="28" t="str">
        <f>IF(Q476&gt;0,IFERROR(INDEX(LOG!$D$2:$D$2001,MATCH(F476&amp;"|"&amp;Q476,LOG!$I$2:$I$2001,0)),""),"")</f>
        <v>NO_ANSWER</v>
      </c>
      <c r="T476" s="28">
        <f>IF(S476="",0,IFERROR(VLOOKUP(S476,LISTS!$A$2:$E$10,4,FALSE),0))</f>
        <v>120</v>
      </c>
      <c r="U476" s="46">
        <f t="shared" si="79"/>
        <v>46309.723084728808</v>
      </c>
      <c r="V476" s="46">
        <f>IF(L476=1,H476+SETTINGS!$B$5/24,"")</f>
        <v>46309.82708333333</v>
      </c>
      <c r="W476" s="28">
        <f ca="1">IF(L476=1,(V476-SETTINGS!$B$4)*24,"")</f>
        <v>-1.6666666720993817E-2</v>
      </c>
      <c r="X476" s="28">
        <f ca="1">IF(AND(L476=1,K476="OK",M476=0,N476=0,O476=0,P476=0,SETTINGS!$B$4&lt;V476,Q476&lt;SETTINGS!$B$6),1,0)</f>
        <v>0</v>
      </c>
      <c r="Y476" s="28">
        <f ca="1">IF(AND(X476=1,SETTINGS!$B$4&gt;=H476,SETTINGS!$B$4&gt;=U476,ROUND(MOD(SETTINGS!$B$4,1)*1440,0)&gt;=ROUND(SETTINGS!$B$7*1440,0),ROUND(MOD(SETTINGS!$B$4,1)*1440,0)&lt;ROUND(SETTINGS!$B$8*1440,0)),1,0)</f>
        <v>0</v>
      </c>
      <c r="Z476" s="28" t="str">
        <f ca="1">IF(B476="","",IF(ROUND(MOD(SETTINGS!$B$4,1)*1440,0)&lt;ROUND(SETTINGS!$B$11*1440,0),"Ram",IF(ROUND(MOD(SETTINGS!$B$4,1)*1440,0)&gt;=ROUND(SETTINGS!$B$10*1440,0),"Shyam",IF(MOD(IFERROR(VALUE(RIGHT(F476,2)),0),2)=0,"Ram","Shyam"))))</f>
        <v>Shyam</v>
      </c>
      <c r="AA476" s="28">
        <f t="shared" ca="1" si="80"/>
        <v>0</v>
      </c>
      <c r="AB476" s="28">
        <f ca="1">IF(X476=1,COUNTIFS($F$2:F476,F476,$X$2:X476,1),0)</f>
        <v>0</v>
      </c>
      <c r="AC476" s="28" t="str">
        <f>IF(L476=1,IF(IFERROR(INDEX(PARTNERS!$C$2:$C$88,MATCH(B476,PARTNERS!$A$2:$A$88,0)),"")="YES","YES","NO"),"")</f>
        <v>YES</v>
      </c>
      <c r="AD476" s="28" t="str">
        <f>IF(L476=1,IFERROR(INDEX(PARTNERS!$B$2:$B$88,MATCH(B476,PARTNERS!$A$2:$A$88,0)),""),"")</f>
        <v>https://calendly.com/partner062/interview</v>
      </c>
      <c r="AE476" s="28">
        <f ca="1">IF(X476=1,IFERROR(INDEX(SETTINGS!$B$34:$D$36,MATCH(I476,SETTINGS!$A$34:$A$36,0),MIN(Q476,2)+1),SETTINGS!$B$36),0)</f>
        <v>0</v>
      </c>
      <c r="AF476" s="28">
        <f t="shared" si="81"/>
        <v>1</v>
      </c>
      <c r="AG476" s="28">
        <f ca="1">IF(AND(Y476=1,AB476=1),ROUND(AA476*AE476*IF(AF476&gt;1,SETTINGS!$B$16,1)*IF(W476&lt;=SETTINGS!$B$14,SETTINGS!$B$15,1)*IF(AU476=1,SETTINGS!$B$21,1),6),0)</f>
        <v>0</v>
      </c>
      <c r="AH476" s="28" t="str">
        <f ca="1">IF(AG476&gt;0,COUNTIFS($Z$2:$Z$601,Z476,$AG$2:$AG$601,"&gt;"&amp;AG476)+COUNTIFS($Z$2:Z476,Z476,$AG$2:AG476,AG476),"")</f>
        <v/>
      </c>
      <c r="AI476" s="28" t="str">
        <f t="shared" ca="1" si="82"/>
        <v/>
      </c>
      <c r="AJ476" s="28" t="str">
        <f t="shared" ca="1" si="83"/>
        <v/>
      </c>
      <c r="AK476" s="28">
        <f>IF(L476=1,IF(COUNTIFS($F$2:F476,F476,$L$2:L476,1)=1,1,0),0)</f>
        <v>0</v>
      </c>
      <c r="AL476" s="28" t="str">
        <f ca="1">IF(B476="","",IF(K476="DUPLICATE","Duplicate (removed)",IF(AO476=1,"Scheduled within 24h",IF(M476=1,"Scheduled late",IF(K476="BAD CONTACT","Bad contact details",IF(O476=1,"Stopped / wrong number",IF(N476=1,"Not interested",IF(P476=1,"Partner has no slots",IF(SETTINGS!$B$4&gt;=V476,IF(Q476=0,"Missed deadline: never tried","Missed deadline: tried, not booked"),IF(Q476&gt;=SETTINGS!$B$6,"No reply after max tries","Open"))))))))))</f>
        <v>Missed deadline: tried, not booked</v>
      </c>
      <c r="AM476" s="46" t="str">
        <f>IF(M476=1,IF(_xlfn.MINIFS(LOG!$G$2:$G$2001,LOG!$C$2:$C$2001,F476,LOG!$E$2:$E$2001,B476,LOG!$D$2:$D$2001,"*BOOKED")=0,_xlfn.MINIFS(LOG!$G$2:$G$2001,LOG!$C$2:$C$2001,F476,LOG!$E$2:$E$2001,"",LOG!$D$2:$D$2001,"*BOOKED"),IF(_xlfn.MINIFS(LOG!$G$2:$G$2001,LOG!$C$2:$C$2001,F476,LOG!$E$2:$E$2001,"",LOG!$D$2:$D$2001,"*BOOKED")=0,_xlfn.MINIFS(LOG!$G$2:$G$2001,LOG!$C$2:$C$2001,F476,LOG!$E$2:$E$2001,B476,LOG!$D$2:$D$2001,"*BOOKED"),MIN(_xlfn.MINIFS(LOG!$G$2:$G$2001,LOG!$C$2:$C$2001,F476,LOG!$E$2:$E$2001,B476,LOG!$D$2:$D$2001,"*BOOKED"),_xlfn.MINIFS(LOG!$G$2:$G$2001,LOG!$C$2:$C$2001,F476,LOG!$E$2:$E$2001,"",LOG!$D$2:$D$2001,"*BOOKED")))),"")</f>
        <v/>
      </c>
      <c r="AN476" s="28" t="str">
        <f t="shared" si="84"/>
        <v/>
      </c>
      <c r="AO476" s="28">
        <f>IF(AND(M476=1,AN476&lt;&gt;""),IF(AN476&lt;=SETTINGS!$B$5,1,0),0)</f>
        <v>0</v>
      </c>
      <c r="AP476" s="28">
        <f>IF(M476=1,IF(COUNTIFS(LOG!$C$2:$C$2001,F476,LOG!$E$2:$E$2001,B476,LOG!$D$2:$D$2001,"BOOKED")+COUNTIFS(LOG!$C$2:$C$2001,F476,LOG!$E$2:$E$2001,"",LOG!$D$2:$D$2001,"BOOKED")&gt;0,1,0),0)</f>
        <v>0</v>
      </c>
      <c r="AQ476" s="28" t="str">
        <f t="shared" si="85"/>
        <v>Zoya</v>
      </c>
      <c r="AR476" s="28" t="str">
        <f>IF(AND(AK476=1,K476="OK"),COUNTIFS($AK$2:AK476,1,$K$2:K476,"OK"),"")</f>
        <v/>
      </c>
      <c r="AS476" s="28" t="str">
        <f>IF(L476=1,IFERROR(INDEX(MESSAGES!$J$9:$J$1008,MATCH(F476,MESSAGES!$M$9:$M$1008,0))&amp;"",""),"")</f>
        <v/>
      </c>
      <c r="AT476" s="28" t="str">
        <f>IF(L476=1,IFERROR(INDEX(MESSAGES!$K$9:$K$1008,MATCH(F476,MESSAGES!$M$9:$M$1008,0))&amp;"",""),"")</f>
        <v/>
      </c>
      <c r="AU476" s="28">
        <f t="shared" ca="1" si="86"/>
        <v>0</v>
      </c>
      <c r="AV476" s="28" t="str">
        <f t="shared" si="87"/>
        <v>HOLD</v>
      </c>
    </row>
    <row r="477" spans="1:48" x14ac:dyDescent="0.35">
      <c r="A477" s="28">
        <v>476</v>
      </c>
      <c r="B477" s="28" t="str">
        <f>IF(INPUT!A477="","",TRIM(INPUT!A477))</f>
        <v>Partner 000</v>
      </c>
      <c r="C477" s="28" t="str">
        <f>IF(B477="","",INPUT!C477)</f>
        <v>interviewer0@partner000.example.com</v>
      </c>
      <c r="D477" s="28" t="str">
        <f>IF(B477="","",INPUT!D477)</f>
        <v>Saanvi B.</v>
      </c>
      <c r="E477" s="28" t="str">
        <f>IF(B477="","",INPUT!E477)</f>
        <v>saanvi.b039@example.com</v>
      </c>
      <c r="F477" s="43" t="str">
        <f>IF(B477="","",TRIM(INPUT!F477&amp;""))</f>
        <v>9000000514</v>
      </c>
      <c r="G477" s="28" t="str">
        <f>IF(B477="","",INPUT!H477)</f>
        <v>Round1</v>
      </c>
      <c r="H477" s="46">
        <f>IF(B477="","",INPUT!I477)</f>
        <v>46308.82708333333</v>
      </c>
      <c r="I477" s="28" t="str">
        <f>IF(B477="","",IF(INPUT!J477="","None",INPUT!J477))</f>
        <v>Clicked</v>
      </c>
      <c r="J477" s="28" t="str">
        <f t="shared" si="77"/>
        <v>saanvi.b039@example.com|partner 000|Round1|interviewer0@partner000.example.com</v>
      </c>
      <c r="K477" s="28" t="str">
        <f>IF(B477="","",IF(SUMPRODUCT(($J$2:$J$601=J477)*($H$2:$H$601&lt;H477))+SUMPRODUCT(($J$2:J477=J477)*($H$2:H477=H477))-1&gt;0,"DUPLICATE",IF(AND(ISNUMBER(SEARCH("@",E477)),ISNUMBER(SEARCH(".",E477)),LEN(F477)=10,ISNUMBER(VALUE(F477))),"OK","BAD CONTACT")))</f>
        <v>OK</v>
      </c>
      <c r="L477" s="28">
        <f t="shared" si="78"/>
        <v>1</v>
      </c>
      <c r="M477" s="28">
        <f>IF(L477=1,IF(COUNTIFS(LOG!$C$2:$C$2001,F477,LOG!$E$2:$E$2001,B477,LOG!$D$2:$D$2001,"*BOOKED")+COUNTIFS(LOG!$C$2:$C$2001,F477,LOG!$E$2:$E$2001,"",LOG!$D$2:$D$2001,"*BOOKED")&gt;0,1,0),0)</f>
        <v>0</v>
      </c>
      <c r="N477" s="28">
        <f>IF(L477=1,IF(COUNTIFS(LOG!$C$2:$C$2001,F477,LOG!$E$2:$E$2001,B477,LOG!$D$2:$D$2001,"NOT_INTERESTED")+COUNTIFS(LOG!$C$2:$C$2001,F477,LOG!$E$2:$E$2001,"",LOG!$D$2:$D$2001,"NOT_INTERESTED")&gt;0,1,0),0)</f>
        <v>0</v>
      </c>
      <c r="O477" s="28">
        <f>IF(L477=1,IF(COUNTIFS(LOG!$C$2:$C$2001,F477,LOG!$D$2:$D$2001,"STOP")+COUNTIFS(LOG!$C$2:$C$2001,F477,LOG!$D$2:$D$2001,"WRONG_NUMBER")&gt;0,1,IF(ISNUMBER(SEARCH("STOP",AT477)),1,0)),0)</f>
        <v>0</v>
      </c>
      <c r="P477" s="28">
        <f>IF(L477=1,IF(IFERROR(INDEX(PARTNERS!$D$2:$D$88,MATCH(B477,PARTNERS!$A$2:$A$88,0)),"")="NO SLOTS",1,IF(AND(IFERROR(INDEX(PARTNERS!$D$2:$D$88,MATCH(B477,PARTNERS!$A$2:$A$88,0)),"")&lt;&gt;"REOPENED",COUNTIFS(LOG!$E$2:$E$2001,B477,LOG!$D$2:$D$2001,"NO_SLOTS")&gt;0),1,0)),0)</f>
        <v>0</v>
      </c>
      <c r="Q477" s="28">
        <f>IF(L477=1,COUNTIFS(LOG!$C$2:$C$2001,F477,LOG!$H$2:$H$2001,1),0)</f>
        <v>2</v>
      </c>
      <c r="R477" s="46">
        <f>IF(Q477&gt;0,_xlfn.MAXIFS(LOG!$G$2:$G$2001,LOG!$C$2:$C$2001,F477,LOG!$H$2:$H$2001,1),0)</f>
        <v>46309.798215287963</v>
      </c>
      <c r="S477" s="28" t="str">
        <f>IF(Q477&gt;0,IFERROR(INDEX(LOG!$D$2:$D$2001,MATCH(F477&amp;"|"&amp;Q477,LOG!$I$2:$I$2001,0)),""),"")</f>
        <v>SENT_LINK</v>
      </c>
      <c r="T477" s="28">
        <f>IF(S477="",0,IFERROR(VLOOKUP(S477,LISTS!$A$2:$E$10,4,FALSE),0))</f>
        <v>180</v>
      </c>
      <c r="U477" s="46">
        <f t="shared" si="79"/>
        <v>46309.923215287963</v>
      </c>
      <c r="V477" s="46">
        <f>IF(L477=1,H477+SETTINGS!$B$5/24,"")</f>
        <v>46309.82708333333</v>
      </c>
      <c r="W477" s="28">
        <f ca="1">IF(L477=1,(V477-SETTINGS!$B$4)*24,"")</f>
        <v>-1.6666666720993817E-2</v>
      </c>
      <c r="X477" s="28">
        <f ca="1">IF(AND(L477=1,K477="OK",M477=0,N477=0,O477=0,P477=0,SETTINGS!$B$4&lt;V477,Q477&lt;SETTINGS!$B$6),1,0)</f>
        <v>0</v>
      </c>
      <c r="Y477" s="28">
        <f ca="1">IF(AND(X477=1,SETTINGS!$B$4&gt;=H477,SETTINGS!$B$4&gt;=U477,ROUND(MOD(SETTINGS!$B$4,1)*1440,0)&gt;=ROUND(SETTINGS!$B$7*1440,0),ROUND(MOD(SETTINGS!$B$4,1)*1440,0)&lt;ROUND(SETTINGS!$B$8*1440,0)),1,0)</f>
        <v>0</v>
      </c>
      <c r="Z477" s="28" t="str">
        <f ca="1">IF(B477="","",IF(ROUND(MOD(SETTINGS!$B$4,1)*1440,0)&lt;ROUND(SETTINGS!$B$11*1440,0),"Ram",IF(ROUND(MOD(SETTINGS!$B$4,1)*1440,0)&gt;=ROUND(SETTINGS!$B$10*1440,0),"Shyam",IF(MOD(IFERROR(VALUE(RIGHT(F477,2)),0),2)=0,"Ram","Shyam"))))</f>
        <v>Shyam</v>
      </c>
      <c r="AA477" s="28">
        <f t="shared" ca="1" si="80"/>
        <v>0</v>
      </c>
      <c r="AB477" s="28">
        <f ca="1">IF(X477=1,COUNTIFS($F$2:F477,F477,$X$2:X477,1),0)</f>
        <v>0</v>
      </c>
      <c r="AC477" s="28" t="str">
        <f>IF(L477=1,IF(IFERROR(INDEX(PARTNERS!$C$2:$C$88,MATCH(B477,PARTNERS!$A$2:$A$88,0)),"")="YES","YES","NO"),"")</f>
        <v>NO</v>
      </c>
      <c r="AD477" s="28" t="str">
        <f>IF(L477=1,IFERROR(INDEX(PARTNERS!$B$2:$B$88,MATCH(B477,PARTNERS!$A$2:$A$88,0)),""),"")</f>
        <v>https://calendly.com/partner000/interview</v>
      </c>
      <c r="AE477" s="28">
        <f ca="1">IF(X477=1,IFERROR(INDEX(SETTINGS!$B$34:$D$36,MATCH(I477,SETTINGS!$A$34:$A$36,0),MIN(Q477,2)+1),SETTINGS!$B$36),0)</f>
        <v>0</v>
      </c>
      <c r="AF477" s="28">
        <f t="shared" si="81"/>
        <v>1</v>
      </c>
      <c r="AG477" s="28">
        <f ca="1">IF(AND(Y477=1,AB477=1),ROUND(AA477*AE477*IF(AF477&gt;1,SETTINGS!$B$16,1)*IF(W477&lt;=SETTINGS!$B$14,SETTINGS!$B$15,1)*IF(AU477=1,SETTINGS!$B$21,1),6),0)</f>
        <v>0</v>
      </c>
      <c r="AH477" s="28" t="str">
        <f ca="1">IF(AG477&gt;0,COUNTIFS($Z$2:$Z$601,Z477,$AG$2:$AG$601,"&gt;"&amp;AG477)+COUNTIFS($Z$2:Z477,Z477,$AG$2:AG477,AG477),"")</f>
        <v/>
      </c>
      <c r="AI477" s="28" t="str">
        <f t="shared" ca="1" si="82"/>
        <v/>
      </c>
      <c r="AJ477" s="28" t="str">
        <f t="shared" ca="1" si="83"/>
        <v/>
      </c>
      <c r="AK477" s="28">
        <f>IF(L477=1,IF(COUNTIFS($F$2:F477,F477,$L$2:L477,1)=1,1,0),0)</f>
        <v>1</v>
      </c>
      <c r="AL477" s="28" t="str">
        <f ca="1">IF(B477="","",IF(K477="DUPLICATE","Duplicate (removed)",IF(AO477=1,"Scheduled within 24h",IF(M477=1,"Scheduled late",IF(K477="BAD CONTACT","Bad contact details",IF(O477=1,"Stopped / wrong number",IF(N477=1,"Not interested",IF(P477=1,"Partner has no slots",IF(SETTINGS!$B$4&gt;=V477,IF(Q477=0,"Missed deadline: never tried","Missed deadline: tried, not booked"),IF(Q477&gt;=SETTINGS!$B$6,"No reply after max tries","Open"))))))))))</f>
        <v>Missed deadline: tried, not booked</v>
      </c>
      <c r="AM477" s="46" t="str">
        <f>IF(M477=1,IF(_xlfn.MINIFS(LOG!$G$2:$G$2001,LOG!$C$2:$C$2001,F477,LOG!$E$2:$E$2001,B477,LOG!$D$2:$D$2001,"*BOOKED")=0,_xlfn.MINIFS(LOG!$G$2:$G$2001,LOG!$C$2:$C$2001,F477,LOG!$E$2:$E$2001,"",LOG!$D$2:$D$2001,"*BOOKED"),IF(_xlfn.MINIFS(LOG!$G$2:$G$2001,LOG!$C$2:$C$2001,F477,LOG!$E$2:$E$2001,"",LOG!$D$2:$D$2001,"*BOOKED")=0,_xlfn.MINIFS(LOG!$G$2:$G$2001,LOG!$C$2:$C$2001,F477,LOG!$E$2:$E$2001,B477,LOG!$D$2:$D$2001,"*BOOKED"),MIN(_xlfn.MINIFS(LOG!$G$2:$G$2001,LOG!$C$2:$C$2001,F477,LOG!$E$2:$E$2001,B477,LOG!$D$2:$D$2001,"*BOOKED"),_xlfn.MINIFS(LOG!$G$2:$G$2001,LOG!$C$2:$C$2001,F477,LOG!$E$2:$E$2001,"",LOG!$D$2:$D$2001,"*BOOKED")))),"")</f>
        <v/>
      </c>
      <c r="AN477" s="28" t="str">
        <f t="shared" si="84"/>
        <v/>
      </c>
      <c r="AO477" s="28">
        <f>IF(AND(M477=1,AN477&lt;&gt;""),IF(AN477&lt;=SETTINGS!$B$5,1,0),0)</f>
        <v>0</v>
      </c>
      <c r="AP477" s="28">
        <f>IF(M477=1,IF(COUNTIFS(LOG!$C$2:$C$2001,F477,LOG!$E$2:$E$2001,B477,LOG!$D$2:$D$2001,"BOOKED")+COUNTIFS(LOG!$C$2:$C$2001,F477,LOG!$E$2:$E$2001,"",LOG!$D$2:$D$2001,"BOOKED")&gt;0,1,0),0)</f>
        <v>0</v>
      </c>
      <c r="AQ477" s="28" t="str">
        <f t="shared" si="85"/>
        <v>Saanvi</v>
      </c>
      <c r="AR477" s="28">
        <f>IF(AND(AK477=1,K477="OK"),COUNTIFS($AK$2:AK477,1,$K$2:K477,"OK"),"")</f>
        <v>388</v>
      </c>
      <c r="AS477" s="28" t="str">
        <f>IF(L477=1,IFERROR(INDEX(MESSAGES!$J$9:$J$1008,MATCH(F477,MESSAGES!$M$9:$M$1008,0))&amp;"",""),"")</f>
        <v/>
      </c>
      <c r="AT477" s="28" t="str">
        <f>IF(L477=1,IFERROR(INDEX(MESSAGES!$K$9:$K$1008,MATCH(F477,MESSAGES!$M$9:$M$1008,0))&amp;"",""),"")</f>
        <v/>
      </c>
      <c r="AU477" s="28">
        <f t="shared" ca="1" si="86"/>
        <v>0</v>
      </c>
      <c r="AV477" s="28" t="str">
        <f t="shared" si="87"/>
        <v>HOLD</v>
      </c>
    </row>
    <row r="478" spans="1:48" x14ac:dyDescent="0.35">
      <c r="A478" s="28">
        <v>477</v>
      </c>
      <c r="B478" s="28" t="str">
        <f>IF(INPUT!A478="","",TRIM(INPUT!A478))</f>
        <v>Partner 000</v>
      </c>
      <c r="C478" s="28" t="str">
        <f>IF(B478="","",INPUT!C478)</f>
        <v>interviewer0@partner000.example.com</v>
      </c>
      <c r="D478" s="28" t="str">
        <f>IF(B478="","",INPUT!D478)</f>
        <v>Reyansh N.</v>
      </c>
      <c r="E478" s="28" t="str">
        <f>IF(B478="","",INPUT!E478)</f>
        <v>reyansh.n366@example.com</v>
      </c>
      <c r="F478" s="43" t="str">
        <f>IF(B478="","",TRIM(INPUT!F478&amp;""))</f>
        <v>9000004765</v>
      </c>
      <c r="G478" s="28" t="str">
        <f>IF(B478="","",INPUT!H478)</f>
        <v>Round1</v>
      </c>
      <c r="H478" s="46">
        <f>IF(B478="","",INPUT!I478)</f>
        <v>46308.82708333333</v>
      </c>
      <c r="I478" s="28" t="str">
        <f>IF(B478="","",IF(INPUT!J478="","None",INPUT!J478))</f>
        <v>Opened</v>
      </c>
      <c r="J478" s="28" t="str">
        <f t="shared" si="77"/>
        <v>reyansh.n366@example.com|partner 000|Round1|interviewer0@partner000.example.com</v>
      </c>
      <c r="K478" s="28" t="str">
        <f>IF(B478="","",IF(SUMPRODUCT(($J$2:$J$601=J478)*($H$2:$H$601&lt;H478))+SUMPRODUCT(($J$2:J478=J478)*($H$2:H478=H478))-1&gt;0,"DUPLICATE",IF(AND(ISNUMBER(SEARCH("@",E478)),ISNUMBER(SEARCH(".",E478)),LEN(F478)=10,ISNUMBER(VALUE(F478))),"OK","BAD CONTACT")))</f>
        <v>OK</v>
      </c>
      <c r="L478" s="28">
        <f t="shared" si="78"/>
        <v>1</v>
      </c>
      <c r="M478" s="28">
        <f>IF(L478=1,IF(COUNTIFS(LOG!$C$2:$C$2001,F478,LOG!$E$2:$E$2001,B478,LOG!$D$2:$D$2001,"*BOOKED")+COUNTIFS(LOG!$C$2:$C$2001,F478,LOG!$E$2:$E$2001,"",LOG!$D$2:$D$2001,"*BOOKED")&gt;0,1,0),0)</f>
        <v>1</v>
      </c>
      <c r="N478" s="28">
        <f>IF(L478=1,IF(COUNTIFS(LOG!$C$2:$C$2001,F478,LOG!$E$2:$E$2001,B478,LOG!$D$2:$D$2001,"NOT_INTERESTED")+COUNTIFS(LOG!$C$2:$C$2001,F478,LOG!$E$2:$E$2001,"",LOG!$D$2:$D$2001,"NOT_INTERESTED")&gt;0,1,0),0)</f>
        <v>0</v>
      </c>
      <c r="O478" s="28">
        <f>IF(L478=1,IF(COUNTIFS(LOG!$C$2:$C$2001,F478,LOG!$D$2:$D$2001,"STOP")+COUNTIFS(LOG!$C$2:$C$2001,F478,LOG!$D$2:$D$2001,"WRONG_NUMBER")&gt;0,1,IF(ISNUMBER(SEARCH("STOP",AT478)),1,0)),0)</f>
        <v>0</v>
      </c>
      <c r="P478" s="28">
        <f>IF(L478=1,IF(IFERROR(INDEX(PARTNERS!$D$2:$D$88,MATCH(B478,PARTNERS!$A$2:$A$88,0)),"")="NO SLOTS",1,IF(AND(IFERROR(INDEX(PARTNERS!$D$2:$D$88,MATCH(B478,PARTNERS!$A$2:$A$88,0)),"")&lt;&gt;"REOPENED",COUNTIFS(LOG!$E$2:$E$2001,B478,LOG!$D$2:$D$2001,"NO_SLOTS")&gt;0),1,0)),0)</f>
        <v>0</v>
      </c>
      <c r="Q478" s="28">
        <f>IF(L478=1,COUNTIFS(LOG!$C$2:$C$2001,F478,LOG!$H$2:$H$2001,1),0)</f>
        <v>0</v>
      </c>
      <c r="R478" s="46">
        <f>IF(Q478&gt;0,_xlfn.MAXIFS(LOG!$G$2:$G$2001,LOG!$C$2:$C$2001,F478,LOG!$H$2:$H$2001,1),0)</f>
        <v>0</v>
      </c>
      <c r="S478" s="28" t="str">
        <f>IF(Q478&gt;0,IFERROR(INDEX(LOG!$D$2:$D$2001,MATCH(F478&amp;"|"&amp;Q478,LOG!$I$2:$I$2001,0)),""),"")</f>
        <v/>
      </c>
      <c r="T478" s="28">
        <f>IF(S478="",0,IFERROR(VLOOKUP(S478,LISTS!$A$2:$E$10,4,FALSE),0))</f>
        <v>0</v>
      </c>
      <c r="U478" s="46">
        <f t="shared" si="79"/>
        <v>0</v>
      </c>
      <c r="V478" s="46">
        <f>IF(L478=1,H478+SETTINGS!$B$5/24,"")</f>
        <v>46309.82708333333</v>
      </c>
      <c r="W478" s="28">
        <f ca="1">IF(L478=1,(V478-SETTINGS!$B$4)*24,"")</f>
        <v>-1.6666666720993817E-2</v>
      </c>
      <c r="X478" s="28">
        <f ca="1">IF(AND(L478=1,K478="OK",M478=0,N478=0,O478=0,P478=0,SETTINGS!$B$4&lt;V478,Q478&lt;SETTINGS!$B$6),1,0)</f>
        <v>0</v>
      </c>
      <c r="Y478" s="28">
        <f ca="1">IF(AND(X478=1,SETTINGS!$B$4&gt;=H478,SETTINGS!$B$4&gt;=U478,ROUND(MOD(SETTINGS!$B$4,1)*1440,0)&gt;=ROUND(SETTINGS!$B$7*1440,0),ROUND(MOD(SETTINGS!$B$4,1)*1440,0)&lt;ROUND(SETTINGS!$B$8*1440,0)),1,0)</f>
        <v>0</v>
      </c>
      <c r="Z478" s="28" t="str">
        <f ca="1">IF(B478="","",IF(ROUND(MOD(SETTINGS!$B$4,1)*1440,0)&lt;ROUND(SETTINGS!$B$11*1440,0),"Ram",IF(ROUND(MOD(SETTINGS!$B$4,1)*1440,0)&gt;=ROUND(SETTINGS!$B$10*1440,0),"Shyam",IF(MOD(IFERROR(VALUE(RIGHT(F478,2)),0),2)=0,"Ram","Shyam"))))</f>
        <v>Shyam</v>
      </c>
      <c r="AA478" s="28">
        <f t="shared" ca="1" si="80"/>
        <v>0</v>
      </c>
      <c r="AB478" s="28">
        <f ca="1">IF(X478=1,COUNTIFS($F$2:F478,F478,$X$2:X478,1),0)</f>
        <v>0</v>
      </c>
      <c r="AC478" s="28" t="str">
        <f>IF(L478=1,IF(IFERROR(INDEX(PARTNERS!$C$2:$C$88,MATCH(B478,PARTNERS!$A$2:$A$88,0)),"")="YES","YES","NO"),"")</f>
        <v>NO</v>
      </c>
      <c r="AD478" s="28" t="str">
        <f>IF(L478=1,IFERROR(INDEX(PARTNERS!$B$2:$B$88,MATCH(B478,PARTNERS!$A$2:$A$88,0)),""),"")</f>
        <v>https://calendly.com/partner000/interview</v>
      </c>
      <c r="AE478" s="28">
        <f ca="1">IF(X478=1,IFERROR(INDEX(SETTINGS!$B$34:$D$36,MATCH(I478,SETTINGS!$A$34:$A$36,0),MIN(Q478,2)+1),SETTINGS!$B$36),0)</f>
        <v>0</v>
      </c>
      <c r="AF478" s="28">
        <f t="shared" si="81"/>
        <v>1</v>
      </c>
      <c r="AG478" s="28">
        <f ca="1">IF(AND(Y478=1,AB478=1),ROUND(AA478*AE478*IF(AF478&gt;1,SETTINGS!$B$16,1)*IF(W478&lt;=SETTINGS!$B$14,SETTINGS!$B$15,1)*IF(AU478=1,SETTINGS!$B$21,1),6),0)</f>
        <v>0</v>
      </c>
      <c r="AH478" s="28" t="str">
        <f ca="1">IF(AG478&gt;0,COUNTIFS($Z$2:$Z$601,Z478,$AG$2:$AG$601,"&gt;"&amp;AG478)+COUNTIFS($Z$2:Z478,Z478,$AG$2:AG478,AG478),"")</f>
        <v/>
      </c>
      <c r="AI478" s="28" t="str">
        <f t="shared" ca="1" si="82"/>
        <v/>
      </c>
      <c r="AJ478" s="28" t="str">
        <f t="shared" ca="1" si="83"/>
        <v/>
      </c>
      <c r="AK478" s="28">
        <f>IF(L478=1,IF(COUNTIFS($F$2:F478,F478,$L$2:L478,1)=1,1,0),0)</f>
        <v>0</v>
      </c>
      <c r="AL478" s="28" t="str">
        <f>IF(B478="","",IF(K478="DUPLICATE","Duplicate (removed)",IF(AO478=1,"Scheduled within 24h",IF(M478=1,"Scheduled late",IF(K478="BAD CONTACT","Bad contact details",IF(O478=1,"Stopped / wrong number",IF(N478=1,"Not interested",IF(P478=1,"Partner has no slots",IF(SETTINGS!$B$4&gt;=V478,IF(Q478=0,"Missed deadline: never tried","Missed deadline: tried, not booked"),IF(Q478&gt;=SETTINGS!$B$6,"No reply after max tries","Open"))))))))))</f>
        <v>Scheduled within 24h</v>
      </c>
      <c r="AM478" s="46">
        <f>IF(M478=1,IF(_xlfn.MINIFS(LOG!$G$2:$G$2001,LOG!$C$2:$C$2001,F478,LOG!$E$2:$E$2001,B478,LOG!$D$2:$D$2001,"*BOOKED")=0,_xlfn.MINIFS(LOG!$G$2:$G$2001,LOG!$C$2:$C$2001,F478,LOG!$E$2:$E$2001,"",LOG!$D$2:$D$2001,"*BOOKED"),IF(_xlfn.MINIFS(LOG!$G$2:$G$2001,LOG!$C$2:$C$2001,F478,LOG!$E$2:$E$2001,"",LOG!$D$2:$D$2001,"*BOOKED")=0,_xlfn.MINIFS(LOG!$G$2:$G$2001,LOG!$C$2:$C$2001,F478,LOG!$E$2:$E$2001,B478,LOG!$D$2:$D$2001,"*BOOKED"),MIN(_xlfn.MINIFS(LOG!$G$2:$G$2001,LOG!$C$2:$C$2001,F478,LOG!$E$2:$E$2001,B478,LOG!$D$2:$D$2001,"*BOOKED"),_xlfn.MINIFS(LOG!$G$2:$G$2001,LOG!$C$2:$C$2001,F478,LOG!$E$2:$E$2001,"",LOG!$D$2:$D$2001,"*BOOKED")))),"")</f>
        <v>46309.302669817705</v>
      </c>
      <c r="AN478" s="28">
        <f t="shared" si="84"/>
        <v>11.414075625012629</v>
      </c>
      <c r="AO478" s="28">
        <f>IF(AND(M478=1,AN478&lt;&gt;""),IF(AN478&lt;=SETTINGS!$B$5,1,0),0)</f>
        <v>1</v>
      </c>
      <c r="AP478" s="28">
        <f>IF(M478=1,IF(COUNTIFS(LOG!$C$2:$C$2001,F478,LOG!$E$2:$E$2001,B478,LOG!$D$2:$D$2001,"BOOKED")+COUNTIFS(LOG!$C$2:$C$2001,F478,LOG!$E$2:$E$2001,"",LOG!$D$2:$D$2001,"BOOKED")&gt;0,1,0),0)</f>
        <v>0</v>
      </c>
      <c r="AQ478" s="28" t="str">
        <f t="shared" si="85"/>
        <v>Reyansh</v>
      </c>
      <c r="AR478" s="28" t="str">
        <f>IF(AND(AK478=1,K478="OK"),COUNTIFS($AK$2:AK478,1,$K$2:K478,"OK"),"")</f>
        <v/>
      </c>
      <c r="AS478" s="28" t="str">
        <f>IF(L478=1,IFERROR(INDEX(MESSAGES!$J$9:$J$1008,MATCH(F478,MESSAGES!$M$9:$M$1008,0))&amp;"",""),"")</f>
        <v/>
      </c>
      <c r="AT478" s="28" t="str">
        <f>IF(L478=1,IFERROR(INDEX(MESSAGES!$K$9:$K$1008,MATCH(F478,MESSAGES!$M$9:$M$1008,0))&amp;"",""),"")</f>
        <v/>
      </c>
      <c r="AU478" s="28">
        <f t="shared" ca="1" si="86"/>
        <v>0</v>
      </c>
      <c r="AV478" s="28" t="str">
        <f t="shared" si="87"/>
        <v>SEND</v>
      </c>
    </row>
    <row r="479" spans="1:48" x14ac:dyDescent="0.35">
      <c r="A479" s="28">
        <v>478</v>
      </c>
      <c r="B479" s="28" t="str">
        <f>IF(INPUT!A479="","",TRIM(INPUT!A479))</f>
        <v>Partner 000</v>
      </c>
      <c r="C479" s="28" t="str">
        <f>IF(B479="","",INPUT!C479)</f>
        <v>interviewer2@partner000.example.com</v>
      </c>
      <c r="D479" s="28" t="str">
        <f>IF(B479="","",INPUT!D479)</f>
        <v>Ira C.</v>
      </c>
      <c r="E479" s="28" t="str">
        <f>IF(B479="","",INPUT!E479)</f>
        <v>ira.c065@example.com</v>
      </c>
      <c r="F479" s="43" t="str">
        <f>IF(B479="","",TRIM(INPUT!F479&amp;""))</f>
        <v>9000000852</v>
      </c>
      <c r="G479" s="28" t="str">
        <f>IF(B479="","",INPUT!H479)</f>
        <v>Round1</v>
      </c>
      <c r="H479" s="46">
        <f>IF(B479="","",INPUT!I479)</f>
        <v>46308.82708333333</v>
      </c>
      <c r="I479" s="28" t="str">
        <f>IF(B479="","",IF(INPUT!J479="","None",INPUT!J479))</f>
        <v>Clicked</v>
      </c>
      <c r="J479" s="28" t="str">
        <f t="shared" si="77"/>
        <v>ira.c065@example.com|partner 000|Round1|interviewer2@partner000.example.com</v>
      </c>
      <c r="K479" s="28" t="str">
        <f>IF(B479="","",IF(SUMPRODUCT(($J$2:$J$601=J479)*($H$2:$H$601&lt;H479))+SUMPRODUCT(($J$2:J479=J479)*($H$2:H479=H479))-1&gt;0,"DUPLICATE",IF(AND(ISNUMBER(SEARCH("@",E479)),ISNUMBER(SEARCH(".",E479)),LEN(F479)=10,ISNUMBER(VALUE(F479))),"OK","BAD CONTACT")))</f>
        <v>OK</v>
      </c>
      <c r="L479" s="28">
        <f t="shared" si="78"/>
        <v>1</v>
      </c>
      <c r="M479" s="28">
        <f>IF(L479=1,IF(COUNTIFS(LOG!$C$2:$C$2001,F479,LOG!$E$2:$E$2001,B479,LOG!$D$2:$D$2001,"*BOOKED")+COUNTIFS(LOG!$C$2:$C$2001,F479,LOG!$E$2:$E$2001,"",LOG!$D$2:$D$2001,"*BOOKED")&gt;0,1,0),0)</f>
        <v>1</v>
      </c>
      <c r="N479" s="28">
        <f>IF(L479=1,IF(COUNTIFS(LOG!$C$2:$C$2001,F479,LOG!$E$2:$E$2001,B479,LOG!$D$2:$D$2001,"NOT_INTERESTED")+COUNTIFS(LOG!$C$2:$C$2001,F479,LOG!$E$2:$E$2001,"",LOG!$D$2:$D$2001,"NOT_INTERESTED")&gt;0,1,0),0)</f>
        <v>0</v>
      </c>
      <c r="O479" s="28">
        <f>IF(L479=1,IF(COUNTIFS(LOG!$C$2:$C$2001,F479,LOG!$D$2:$D$2001,"STOP")+COUNTIFS(LOG!$C$2:$C$2001,F479,LOG!$D$2:$D$2001,"WRONG_NUMBER")&gt;0,1,IF(ISNUMBER(SEARCH("STOP",AT479)),1,0)),0)</f>
        <v>0</v>
      </c>
      <c r="P479" s="28">
        <f>IF(L479=1,IF(IFERROR(INDEX(PARTNERS!$D$2:$D$88,MATCH(B479,PARTNERS!$A$2:$A$88,0)),"")="NO SLOTS",1,IF(AND(IFERROR(INDEX(PARTNERS!$D$2:$D$88,MATCH(B479,PARTNERS!$A$2:$A$88,0)),"")&lt;&gt;"REOPENED",COUNTIFS(LOG!$E$2:$E$2001,B479,LOG!$D$2:$D$2001,"NO_SLOTS")&gt;0),1,0)),0)</f>
        <v>0</v>
      </c>
      <c r="Q479" s="28">
        <f>IF(L479=1,COUNTIFS(LOG!$C$2:$C$2001,F479,LOG!$H$2:$H$2001,1),0)</f>
        <v>2</v>
      </c>
      <c r="R479" s="46">
        <f>IF(Q479&gt;0,_xlfn.MAXIFS(LOG!$G$2:$G$2001,LOG!$C$2:$C$2001,F479,LOG!$H$2:$H$2001,1),0)</f>
        <v>46309.739476690047</v>
      </c>
      <c r="S479" s="28" t="str">
        <f>IF(Q479&gt;0,IFERROR(INDEX(LOG!$D$2:$D$2001,MATCH(F479&amp;"|"&amp;Q479,LOG!$I$2:$I$2001,0)),""),"")</f>
        <v>BOOKED</v>
      </c>
      <c r="T479" s="28">
        <f>IF(S479="",0,IFERROR(VLOOKUP(S479,LISTS!$A$2:$E$10,4,FALSE),0))</f>
        <v>0</v>
      </c>
      <c r="U479" s="46">
        <f t="shared" si="79"/>
        <v>46309.739476690047</v>
      </c>
      <c r="V479" s="46">
        <f>IF(L479=1,H479+SETTINGS!$B$5/24,"")</f>
        <v>46309.82708333333</v>
      </c>
      <c r="W479" s="28">
        <f ca="1">IF(L479=1,(V479-SETTINGS!$B$4)*24,"")</f>
        <v>-1.6666666720993817E-2</v>
      </c>
      <c r="X479" s="28">
        <f ca="1">IF(AND(L479=1,K479="OK",M479=0,N479=0,O479=0,P479=0,SETTINGS!$B$4&lt;V479,Q479&lt;SETTINGS!$B$6),1,0)</f>
        <v>0</v>
      </c>
      <c r="Y479" s="28">
        <f ca="1">IF(AND(X479=1,SETTINGS!$B$4&gt;=H479,SETTINGS!$B$4&gt;=U479,ROUND(MOD(SETTINGS!$B$4,1)*1440,0)&gt;=ROUND(SETTINGS!$B$7*1440,0),ROUND(MOD(SETTINGS!$B$4,1)*1440,0)&lt;ROUND(SETTINGS!$B$8*1440,0)),1,0)</f>
        <v>0</v>
      </c>
      <c r="Z479" s="28" t="str">
        <f ca="1">IF(B479="","",IF(ROUND(MOD(SETTINGS!$B$4,1)*1440,0)&lt;ROUND(SETTINGS!$B$11*1440,0),"Ram",IF(ROUND(MOD(SETTINGS!$B$4,1)*1440,0)&gt;=ROUND(SETTINGS!$B$10*1440,0),"Shyam",IF(MOD(IFERROR(VALUE(RIGHT(F479,2)),0),2)=0,"Ram","Shyam"))))</f>
        <v>Shyam</v>
      </c>
      <c r="AA479" s="28">
        <f t="shared" ca="1" si="80"/>
        <v>0</v>
      </c>
      <c r="AB479" s="28">
        <f ca="1">IF(X479=1,COUNTIFS($F$2:F479,F479,$X$2:X479,1),0)</f>
        <v>0</v>
      </c>
      <c r="AC479" s="28" t="str">
        <f>IF(L479=1,IF(IFERROR(INDEX(PARTNERS!$C$2:$C$88,MATCH(B479,PARTNERS!$A$2:$A$88,0)),"")="YES","YES","NO"),"")</f>
        <v>NO</v>
      </c>
      <c r="AD479" s="28" t="str">
        <f>IF(L479=1,IFERROR(INDEX(PARTNERS!$B$2:$B$88,MATCH(B479,PARTNERS!$A$2:$A$88,0)),""),"")</f>
        <v>https://calendly.com/partner000/interview</v>
      </c>
      <c r="AE479" s="28">
        <f ca="1">IF(X479=1,IFERROR(INDEX(SETTINGS!$B$34:$D$36,MATCH(I479,SETTINGS!$A$34:$A$36,0),MIN(Q479,2)+1),SETTINGS!$B$36),0)</f>
        <v>0</v>
      </c>
      <c r="AF479" s="28">
        <f t="shared" si="81"/>
        <v>1</v>
      </c>
      <c r="AG479" s="28">
        <f ca="1">IF(AND(Y479=1,AB479=1),ROUND(AA479*AE479*IF(AF479&gt;1,SETTINGS!$B$16,1)*IF(W479&lt;=SETTINGS!$B$14,SETTINGS!$B$15,1)*IF(AU479=1,SETTINGS!$B$21,1),6),0)</f>
        <v>0</v>
      </c>
      <c r="AH479" s="28" t="str">
        <f ca="1">IF(AG479&gt;0,COUNTIFS($Z$2:$Z$601,Z479,$AG$2:$AG$601,"&gt;"&amp;AG479)+COUNTIFS($Z$2:Z479,Z479,$AG$2:AG479,AG479),"")</f>
        <v/>
      </c>
      <c r="AI479" s="28" t="str">
        <f t="shared" ca="1" si="82"/>
        <v/>
      </c>
      <c r="AJ479" s="28" t="str">
        <f t="shared" ca="1" si="83"/>
        <v/>
      </c>
      <c r="AK479" s="28">
        <f>IF(L479=1,IF(COUNTIFS($F$2:F479,F479,$L$2:L479,1)=1,1,0),0)</f>
        <v>0</v>
      </c>
      <c r="AL479" s="28" t="str">
        <f>IF(B479="","",IF(K479="DUPLICATE","Duplicate (removed)",IF(AO479=1,"Scheduled within 24h",IF(M479=1,"Scheduled late",IF(K479="BAD CONTACT","Bad contact details",IF(O479=1,"Stopped / wrong number",IF(N479=1,"Not interested",IF(P479=1,"Partner has no slots",IF(SETTINGS!$B$4&gt;=V479,IF(Q479=0,"Missed deadline: never tried","Missed deadline: tried, not booked"),IF(Q479&gt;=SETTINGS!$B$6,"No reply after max tries","Open"))))))))))</f>
        <v>Scheduled within 24h</v>
      </c>
      <c r="AM479" s="46">
        <f>IF(M479=1,IF(_xlfn.MINIFS(LOG!$G$2:$G$2001,LOG!$C$2:$C$2001,F479,LOG!$E$2:$E$2001,B479,LOG!$D$2:$D$2001,"*BOOKED")=0,_xlfn.MINIFS(LOG!$G$2:$G$2001,LOG!$C$2:$C$2001,F479,LOG!$E$2:$E$2001,"",LOG!$D$2:$D$2001,"*BOOKED"),IF(_xlfn.MINIFS(LOG!$G$2:$G$2001,LOG!$C$2:$C$2001,F479,LOG!$E$2:$E$2001,"",LOG!$D$2:$D$2001,"*BOOKED")=0,_xlfn.MINIFS(LOG!$G$2:$G$2001,LOG!$C$2:$C$2001,F479,LOG!$E$2:$E$2001,B479,LOG!$D$2:$D$2001,"*BOOKED"),MIN(_xlfn.MINIFS(LOG!$G$2:$G$2001,LOG!$C$2:$C$2001,F479,LOG!$E$2:$E$2001,B479,LOG!$D$2:$D$2001,"*BOOKED"),_xlfn.MINIFS(LOG!$G$2:$G$2001,LOG!$C$2:$C$2001,F479,LOG!$E$2:$E$2001,"",LOG!$D$2:$D$2001,"*BOOKED")))),"")</f>
        <v>46308.909789602927</v>
      </c>
      <c r="AN479" s="28">
        <f t="shared" si="84"/>
        <v>1.9849504703306593</v>
      </c>
      <c r="AO479" s="28">
        <f>IF(AND(M479=1,AN479&lt;&gt;""),IF(AN479&lt;=SETTINGS!$B$5,1,0),0)</f>
        <v>1</v>
      </c>
      <c r="AP479" s="28">
        <f>IF(M479=1,IF(COUNTIFS(LOG!$C$2:$C$2001,F479,LOG!$E$2:$E$2001,B479,LOG!$D$2:$D$2001,"BOOKED")+COUNTIFS(LOG!$C$2:$C$2001,F479,LOG!$E$2:$E$2001,"",LOG!$D$2:$D$2001,"BOOKED")&gt;0,1,0),0)</f>
        <v>1</v>
      </c>
      <c r="AQ479" s="28" t="str">
        <f t="shared" si="85"/>
        <v>Ira</v>
      </c>
      <c r="AR479" s="28" t="str">
        <f>IF(AND(AK479=1,K479="OK"),COUNTIFS($AK$2:AK479,1,$K$2:K479,"OK"),"")</f>
        <v/>
      </c>
      <c r="AS479" s="28" t="str">
        <f>IF(L479=1,IFERROR(INDEX(MESSAGES!$J$9:$J$1008,MATCH(F479,MESSAGES!$M$9:$M$1008,0))&amp;"",""),"")</f>
        <v/>
      </c>
      <c r="AT479" s="28" t="str">
        <f>IF(L479=1,IFERROR(INDEX(MESSAGES!$K$9:$K$1008,MATCH(F479,MESSAGES!$M$9:$M$1008,0))&amp;"",""),"")</f>
        <v/>
      </c>
      <c r="AU479" s="28">
        <f t="shared" ca="1" si="86"/>
        <v>0</v>
      </c>
      <c r="AV479" s="28" t="str">
        <f t="shared" si="87"/>
        <v>HOLD</v>
      </c>
    </row>
    <row r="480" spans="1:48" x14ac:dyDescent="0.35">
      <c r="A480" s="28">
        <v>479</v>
      </c>
      <c r="B480" s="28" t="str">
        <f>IF(INPUT!A480="","",TRIM(INPUT!A480))</f>
        <v>Partner 054</v>
      </c>
      <c r="C480" s="28" t="str">
        <f>IF(B480="","",INPUT!C480)</f>
        <v>interviewer2@partner054.example.com</v>
      </c>
      <c r="D480" s="28" t="str">
        <f>IF(B480="","",INPUT!D480)</f>
        <v>Kiara F.</v>
      </c>
      <c r="E480" s="28" t="str">
        <f>IF(B480="","",INPUT!E480)</f>
        <v>kiara.f161@example.com</v>
      </c>
      <c r="F480" s="43" t="str">
        <f>IF(B480="","",TRIM(INPUT!F480&amp;""))</f>
        <v>9000002100</v>
      </c>
      <c r="G480" s="28" t="str">
        <f>IF(B480="","",INPUT!H480)</f>
        <v>Round1</v>
      </c>
      <c r="H480" s="46">
        <f>IF(B480="","",INPUT!I480)</f>
        <v>46308.82708333333</v>
      </c>
      <c r="I480" s="28" t="str">
        <f>IF(B480="","",IF(INPUT!J480="","None",INPUT!J480))</f>
        <v>None</v>
      </c>
      <c r="J480" s="28" t="str">
        <f t="shared" si="77"/>
        <v>kiara.f161@example.com|partner 054|Round1|interviewer2@partner054.example.com</v>
      </c>
      <c r="K480" s="28" t="str">
        <f>IF(B480="","",IF(SUMPRODUCT(($J$2:$J$601=J480)*($H$2:$H$601&lt;H480))+SUMPRODUCT(($J$2:J480=J480)*($H$2:H480=H480))-1&gt;0,"DUPLICATE",IF(AND(ISNUMBER(SEARCH("@",E480)),ISNUMBER(SEARCH(".",E480)),LEN(F480)=10,ISNUMBER(VALUE(F480))),"OK","BAD CONTACT")))</f>
        <v>OK</v>
      </c>
      <c r="L480" s="28">
        <f t="shared" si="78"/>
        <v>1</v>
      </c>
      <c r="M480" s="28">
        <f>IF(L480=1,IF(COUNTIFS(LOG!$C$2:$C$2001,F480,LOG!$E$2:$E$2001,B480,LOG!$D$2:$D$2001,"*BOOKED")+COUNTIFS(LOG!$C$2:$C$2001,F480,LOG!$E$2:$E$2001,"",LOG!$D$2:$D$2001,"*BOOKED")&gt;0,1,0),0)</f>
        <v>0</v>
      </c>
      <c r="N480" s="28">
        <f>IF(L480=1,IF(COUNTIFS(LOG!$C$2:$C$2001,F480,LOG!$E$2:$E$2001,B480,LOG!$D$2:$D$2001,"NOT_INTERESTED")+COUNTIFS(LOG!$C$2:$C$2001,F480,LOG!$E$2:$E$2001,"",LOG!$D$2:$D$2001,"NOT_INTERESTED")&gt;0,1,0),0)</f>
        <v>0</v>
      </c>
      <c r="O480" s="28">
        <f>IF(L480=1,IF(COUNTIFS(LOG!$C$2:$C$2001,F480,LOG!$D$2:$D$2001,"STOP")+COUNTIFS(LOG!$C$2:$C$2001,F480,LOG!$D$2:$D$2001,"WRONG_NUMBER")&gt;0,1,IF(ISNUMBER(SEARCH("STOP",AT480)),1,0)),0)</f>
        <v>0</v>
      </c>
      <c r="P480" s="28">
        <f>IF(L480=1,IF(IFERROR(INDEX(PARTNERS!$D$2:$D$88,MATCH(B480,PARTNERS!$A$2:$A$88,0)),"")="NO SLOTS",1,IF(AND(IFERROR(INDEX(PARTNERS!$D$2:$D$88,MATCH(B480,PARTNERS!$A$2:$A$88,0)),"")&lt;&gt;"REOPENED",COUNTIFS(LOG!$E$2:$E$2001,B480,LOG!$D$2:$D$2001,"NO_SLOTS")&gt;0),1,0)),0)</f>
        <v>0</v>
      </c>
      <c r="Q480" s="28">
        <f>IF(L480=1,COUNTIFS(LOG!$C$2:$C$2001,F480,LOG!$H$2:$H$2001,1),0)</f>
        <v>0</v>
      </c>
      <c r="R480" s="46">
        <f>IF(Q480&gt;0,_xlfn.MAXIFS(LOG!$G$2:$G$2001,LOG!$C$2:$C$2001,F480,LOG!$H$2:$H$2001,1),0)</f>
        <v>0</v>
      </c>
      <c r="S480" s="28" t="str">
        <f>IF(Q480&gt;0,IFERROR(INDEX(LOG!$D$2:$D$2001,MATCH(F480&amp;"|"&amp;Q480,LOG!$I$2:$I$2001,0)),""),"")</f>
        <v/>
      </c>
      <c r="T480" s="28">
        <f>IF(S480="",0,IFERROR(VLOOKUP(S480,LISTS!$A$2:$E$10,4,FALSE),0))</f>
        <v>0</v>
      </c>
      <c r="U480" s="46">
        <f t="shared" si="79"/>
        <v>0</v>
      </c>
      <c r="V480" s="46">
        <f>IF(L480=1,H480+SETTINGS!$B$5/24,"")</f>
        <v>46309.82708333333</v>
      </c>
      <c r="W480" s="28">
        <f ca="1">IF(L480=1,(V480-SETTINGS!$B$4)*24,"")</f>
        <v>-1.6666666720993817E-2</v>
      </c>
      <c r="X480" s="28">
        <f ca="1">IF(AND(L480=1,K480="OK",M480=0,N480=0,O480=0,P480=0,SETTINGS!$B$4&lt;V480,Q480&lt;SETTINGS!$B$6),1,0)</f>
        <v>0</v>
      </c>
      <c r="Y480" s="28">
        <f ca="1">IF(AND(X480=1,SETTINGS!$B$4&gt;=H480,SETTINGS!$B$4&gt;=U480,ROUND(MOD(SETTINGS!$B$4,1)*1440,0)&gt;=ROUND(SETTINGS!$B$7*1440,0),ROUND(MOD(SETTINGS!$B$4,1)*1440,0)&lt;ROUND(SETTINGS!$B$8*1440,0)),1,0)</f>
        <v>0</v>
      </c>
      <c r="Z480" s="28" t="str">
        <f ca="1">IF(B480="","",IF(ROUND(MOD(SETTINGS!$B$4,1)*1440,0)&lt;ROUND(SETTINGS!$B$11*1440,0),"Ram",IF(ROUND(MOD(SETTINGS!$B$4,1)*1440,0)&gt;=ROUND(SETTINGS!$B$10*1440,0),"Shyam",IF(MOD(IFERROR(VALUE(RIGHT(F480,2)),0),2)=0,"Ram","Shyam"))))</f>
        <v>Shyam</v>
      </c>
      <c r="AA480" s="28">
        <f t="shared" ca="1" si="80"/>
        <v>0</v>
      </c>
      <c r="AB480" s="28">
        <f ca="1">IF(X480=1,COUNTIFS($F$2:F480,F480,$X$2:X480,1),0)</f>
        <v>0</v>
      </c>
      <c r="AC480" s="28" t="str">
        <f>IF(L480=1,IF(IFERROR(INDEX(PARTNERS!$C$2:$C$88,MATCH(B480,PARTNERS!$A$2:$A$88,0)),"")="YES","YES","NO"),"")</f>
        <v>NO</v>
      </c>
      <c r="AD480" s="28" t="str">
        <f>IF(L480=1,IFERROR(INDEX(PARTNERS!$B$2:$B$88,MATCH(B480,PARTNERS!$A$2:$A$88,0)),""),"")</f>
        <v>https://calendly.com/partner054/interview</v>
      </c>
      <c r="AE480" s="28">
        <f ca="1">IF(X480=1,IFERROR(INDEX(SETTINGS!$B$34:$D$36,MATCH(I480,SETTINGS!$A$34:$A$36,0),MIN(Q480,2)+1),SETTINGS!$B$36),0)</f>
        <v>0</v>
      </c>
      <c r="AF480" s="28">
        <f t="shared" si="81"/>
        <v>1</v>
      </c>
      <c r="AG480" s="28">
        <f ca="1">IF(AND(Y480=1,AB480=1),ROUND(AA480*AE480*IF(AF480&gt;1,SETTINGS!$B$16,1)*IF(W480&lt;=SETTINGS!$B$14,SETTINGS!$B$15,1)*IF(AU480=1,SETTINGS!$B$21,1),6),0)</f>
        <v>0</v>
      </c>
      <c r="AH480" s="28" t="str">
        <f ca="1">IF(AG480&gt;0,COUNTIFS($Z$2:$Z$601,Z480,$AG$2:$AG$601,"&gt;"&amp;AG480)+COUNTIFS($Z$2:Z480,Z480,$AG$2:AG480,AG480),"")</f>
        <v/>
      </c>
      <c r="AI480" s="28" t="str">
        <f t="shared" ca="1" si="82"/>
        <v/>
      </c>
      <c r="AJ480" s="28" t="str">
        <f t="shared" ca="1" si="83"/>
        <v/>
      </c>
      <c r="AK480" s="28">
        <f>IF(L480=1,IF(COUNTIFS($F$2:F480,F480,$L$2:L480,1)=1,1,0),0)</f>
        <v>1</v>
      </c>
      <c r="AL480" s="28" t="str">
        <f ca="1">IF(B480="","",IF(K480="DUPLICATE","Duplicate (removed)",IF(AO480=1,"Scheduled within 24h",IF(M480=1,"Scheduled late",IF(K480="BAD CONTACT","Bad contact details",IF(O480=1,"Stopped / wrong number",IF(N480=1,"Not interested",IF(P480=1,"Partner has no slots",IF(SETTINGS!$B$4&gt;=V480,IF(Q480=0,"Missed deadline: never tried","Missed deadline: tried, not booked"),IF(Q480&gt;=SETTINGS!$B$6,"No reply after max tries","Open"))))))))))</f>
        <v>Missed deadline: never tried</v>
      </c>
      <c r="AM480" s="46" t="str">
        <f>IF(M480=1,IF(_xlfn.MINIFS(LOG!$G$2:$G$2001,LOG!$C$2:$C$2001,F480,LOG!$E$2:$E$2001,B480,LOG!$D$2:$D$2001,"*BOOKED")=0,_xlfn.MINIFS(LOG!$G$2:$G$2001,LOG!$C$2:$C$2001,F480,LOG!$E$2:$E$2001,"",LOG!$D$2:$D$2001,"*BOOKED"),IF(_xlfn.MINIFS(LOG!$G$2:$G$2001,LOG!$C$2:$C$2001,F480,LOG!$E$2:$E$2001,"",LOG!$D$2:$D$2001,"*BOOKED")=0,_xlfn.MINIFS(LOG!$G$2:$G$2001,LOG!$C$2:$C$2001,F480,LOG!$E$2:$E$2001,B480,LOG!$D$2:$D$2001,"*BOOKED"),MIN(_xlfn.MINIFS(LOG!$G$2:$G$2001,LOG!$C$2:$C$2001,F480,LOG!$E$2:$E$2001,B480,LOG!$D$2:$D$2001,"*BOOKED"),_xlfn.MINIFS(LOG!$G$2:$G$2001,LOG!$C$2:$C$2001,F480,LOG!$E$2:$E$2001,"",LOG!$D$2:$D$2001,"*BOOKED")))),"")</f>
        <v/>
      </c>
      <c r="AN480" s="28" t="str">
        <f t="shared" si="84"/>
        <v/>
      </c>
      <c r="AO480" s="28">
        <f>IF(AND(M480=1,AN480&lt;&gt;""),IF(AN480&lt;=SETTINGS!$B$5,1,0),0)</f>
        <v>0</v>
      </c>
      <c r="AP480" s="28">
        <f>IF(M480=1,IF(COUNTIFS(LOG!$C$2:$C$2001,F480,LOG!$E$2:$E$2001,B480,LOG!$D$2:$D$2001,"BOOKED")+COUNTIFS(LOG!$C$2:$C$2001,F480,LOG!$E$2:$E$2001,"",LOG!$D$2:$D$2001,"BOOKED")&gt;0,1,0),0)</f>
        <v>0</v>
      </c>
      <c r="AQ480" s="28" t="str">
        <f t="shared" si="85"/>
        <v>Kiara</v>
      </c>
      <c r="AR480" s="28">
        <f>IF(AND(AK480=1,K480="OK"),COUNTIFS($AK$2:AK480,1,$K$2:K480,"OK"),"")</f>
        <v>389</v>
      </c>
      <c r="AS480" s="28" t="str">
        <f>IF(L480=1,IFERROR(INDEX(MESSAGES!$J$9:$J$1008,MATCH(F480,MESSAGES!$M$9:$M$1008,0))&amp;"",""),"")</f>
        <v/>
      </c>
      <c r="AT480" s="28" t="str">
        <f>IF(L480=1,IFERROR(INDEX(MESSAGES!$K$9:$K$1008,MATCH(F480,MESSAGES!$M$9:$M$1008,0))&amp;"",""),"")</f>
        <v/>
      </c>
      <c r="AU480" s="28">
        <f t="shared" ca="1" si="86"/>
        <v>0</v>
      </c>
      <c r="AV480" s="28" t="str">
        <f t="shared" si="87"/>
        <v>SEND</v>
      </c>
    </row>
    <row r="481" spans="1:48" x14ac:dyDescent="0.35">
      <c r="A481" s="28">
        <v>480</v>
      </c>
      <c r="B481" s="28" t="str">
        <f>IF(INPUT!A481="","",TRIM(INPUT!A481))</f>
        <v>Partner 017</v>
      </c>
      <c r="C481" s="28" t="str">
        <f>IF(B481="","",INPUT!C481)</f>
        <v>interviewer1@partner017.example.com</v>
      </c>
      <c r="D481" s="28" t="str">
        <f>IF(B481="","",INPUT!D481)</f>
        <v>Sneha H.</v>
      </c>
      <c r="E481" s="28" t="str">
        <f>IF(B481="","",INPUT!E481)</f>
        <v>sneha.h233@example.com</v>
      </c>
      <c r="F481" s="43" t="str">
        <f>IF(B481="","",TRIM(INPUT!F481&amp;""))</f>
        <v>9000003036</v>
      </c>
      <c r="G481" s="28" t="str">
        <f>IF(B481="","",INPUT!H481)</f>
        <v>Round1</v>
      </c>
      <c r="H481" s="46">
        <f>IF(B481="","",INPUT!I481)</f>
        <v>46308.82708333333</v>
      </c>
      <c r="I481" s="28" t="str">
        <f>IF(B481="","",IF(INPUT!J481="","None",INPUT!J481))</f>
        <v>Clicked</v>
      </c>
      <c r="J481" s="28" t="str">
        <f t="shared" si="77"/>
        <v>sneha.h233@example.com|partner 017|Round1|interviewer1@partner017.example.com</v>
      </c>
      <c r="K481" s="28" t="str">
        <f>IF(B481="","",IF(SUMPRODUCT(($J$2:$J$601=J481)*($H$2:$H$601&lt;H481))+SUMPRODUCT(($J$2:J481=J481)*($H$2:H481=H481))-1&gt;0,"DUPLICATE",IF(AND(ISNUMBER(SEARCH("@",E481)),ISNUMBER(SEARCH(".",E481)),LEN(F481)=10,ISNUMBER(VALUE(F481))),"OK","BAD CONTACT")))</f>
        <v>OK</v>
      </c>
      <c r="L481" s="28">
        <f t="shared" si="78"/>
        <v>1</v>
      </c>
      <c r="M481" s="28">
        <f>IF(L481=1,IF(COUNTIFS(LOG!$C$2:$C$2001,F481,LOG!$E$2:$E$2001,B481,LOG!$D$2:$D$2001,"*BOOKED")+COUNTIFS(LOG!$C$2:$C$2001,F481,LOG!$E$2:$E$2001,"",LOG!$D$2:$D$2001,"*BOOKED")&gt;0,1,0),0)</f>
        <v>1</v>
      </c>
      <c r="N481" s="28">
        <f>IF(L481=1,IF(COUNTIFS(LOG!$C$2:$C$2001,F481,LOG!$E$2:$E$2001,B481,LOG!$D$2:$D$2001,"NOT_INTERESTED")+COUNTIFS(LOG!$C$2:$C$2001,F481,LOG!$E$2:$E$2001,"",LOG!$D$2:$D$2001,"NOT_INTERESTED")&gt;0,1,0),0)</f>
        <v>0</v>
      </c>
      <c r="O481" s="28">
        <f>IF(L481=1,IF(COUNTIFS(LOG!$C$2:$C$2001,F481,LOG!$D$2:$D$2001,"STOP")+COUNTIFS(LOG!$C$2:$C$2001,F481,LOG!$D$2:$D$2001,"WRONG_NUMBER")&gt;0,1,IF(ISNUMBER(SEARCH("STOP",AT481)),1,0)),0)</f>
        <v>0</v>
      </c>
      <c r="P481" s="28">
        <f>IF(L481=1,IF(IFERROR(INDEX(PARTNERS!$D$2:$D$88,MATCH(B481,PARTNERS!$A$2:$A$88,0)),"")="NO SLOTS",1,IF(AND(IFERROR(INDEX(PARTNERS!$D$2:$D$88,MATCH(B481,PARTNERS!$A$2:$A$88,0)),"")&lt;&gt;"REOPENED",COUNTIFS(LOG!$E$2:$E$2001,B481,LOG!$D$2:$D$2001,"NO_SLOTS")&gt;0),1,0)),0)</f>
        <v>0</v>
      </c>
      <c r="Q481" s="28">
        <f>IF(L481=1,COUNTIFS(LOG!$C$2:$C$2001,F481,LOG!$H$2:$H$2001,1),0)</f>
        <v>0</v>
      </c>
      <c r="R481" s="46">
        <f>IF(Q481&gt;0,_xlfn.MAXIFS(LOG!$G$2:$G$2001,LOG!$C$2:$C$2001,F481,LOG!$H$2:$H$2001,1),0)</f>
        <v>0</v>
      </c>
      <c r="S481" s="28" t="str">
        <f>IF(Q481&gt;0,IFERROR(INDEX(LOG!$D$2:$D$2001,MATCH(F481&amp;"|"&amp;Q481,LOG!$I$2:$I$2001,0)),""),"")</f>
        <v/>
      </c>
      <c r="T481" s="28">
        <f>IF(S481="",0,IFERROR(VLOOKUP(S481,LISTS!$A$2:$E$10,4,FALSE),0))</f>
        <v>0</v>
      </c>
      <c r="U481" s="46">
        <f t="shared" si="79"/>
        <v>0</v>
      </c>
      <c r="V481" s="46">
        <f>IF(L481=1,H481+SETTINGS!$B$5/24,"")</f>
        <v>46309.82708333333</v>
      </c>
      <c r="W481" s="28">
        <f ca="1">IF(L481=1,(V481-SETTINGS!$B$4)*24,"")</f>
        <v>-1.6666666720993817E-2</v>
      </c>
      <c r="X481" s="28">
        <f ca="1">IF(AND(L481=1,K481="OK",M481=0,N481=0,O481=0,P481=0,SETTINGS!$B$4&lt;V481,Q481&lt;SETTINGS!$B$6),1,0)</f>
        <v>0</v>
      </c>
      <c r="Y481" s="28">
        <f ca="1">IF(AND(X481=1,SETTINGS!$B$4&gt;=H481,SETTINGS!$B$4&gt;=U481,ROUND(MOD(SETTINGS!$B$4,1)*1440,0)&gt;=ROUND(SETTINGS!$B$7*1440,0),ROUND(MOD(SETTINGS!$B$4,1)*1440,0)&lt;ROUND(SETTINGS!$B$8*1440,0)),1,0)</f>
        <v>0</v>
      </c>
      <c r="Z481" s="28" t="str">
        <f ca="1">IF(B481="","",IF(ROUND(MOD(SETTINGS!$B$4,1)*1440,0)&lt;ROUND(SETTINGS!$B$11*1440,0),"Ram",IF(ROUND(MOD(SETTINGS!$B$4,1)*1440,0)&gt;=ROUND(SETTINGS!$B$10*1440,0),"Shyam",IF(MOD(IFERROR(VALUE(RIGHT(F481,2)),0),2)=0,"Ram","Shyam"))))</f>
        <v>Shyam</v>
      </c>
      <c r="AA481" s="28">
        <f t="shared" ca="1" si="80"/>
        <v>0</v>
      </c>
      <c r="AB481" s="28">
        <f ca="1">IF(X481=1,COUNTIFS($F$2:F481,F481,$X$2:X481,1),0)</f>
        <v>0</v>
      </c>
      <c r="AC481" s="28" t="str">
        <f>IF(L481=1,IF(IFERROR(INDEX(PARTNERS!$C$2:$C$88,MATCH(B481,PARTNERS!$A$2:$A$88,0)),"")="YES","YES","NO"),"")</f>
        <v>YES</v>
      </c>
      <c r="AD481" s="28" t="str">
        <f>IF(L481=1,IFERROR(INDEX(PARTNERS!$B$2:$B$88,MATCH(B481,PARTNERS!$A$2:$A$88,0)),""),"")</f>
        <v>https://calendly.com/partner017/interview</v>
      </c>
      <c r="AE481" s="28">
        <f ca="1">IF(X481=1,IFERROR(INDEX(SETTINGS!$B$34:$D$36,MATCH(I481,SETTINGS!$A$34:$A$36,0),MIN(Q481,2)+1),SETTINGS!$B$36),0)</f>
        <v>0</v>
      </c>
      <c r="AF481" s="28">
        <f t="shared" si="81"/>
        <v>1</v>
      </c>
      <c r="AG481" s="28">
        <f ca="1">IF(AND(Y481=1,AB481=1),ROUND(AA481*AE481*IF(AF481&gt;1,SETTINGS!$B$16,1)*IF(W481&lt;=SETTINGS!$B$14,SETTINGS!$B$15,1)*IF(AU481=1,SETTINGS!$B$21,1),6),0)</f>
        <v>0</v>
      </c>
      <c r="AH481" s="28" t="str">
        <f ca="1">IF(AG481&gt;0,COUNTIFS($Z$2:$Z$601,Z481,$AG$2:$AG$601,"&gt;"&amp;AG481)+COUNTIFS($Z$2:Z481,Z481,$AG$2:AG481,AG481),"")</f>
        <v/>
      </c>
      <c r="AI481" s="28" t="str">
        <f t="shared" ca="1" si="82"/>
        <v/>
      </c>
      <c r="AJ481" s="28" t="str">
        <f t="shared" ca="1" si="83"/>
        <v/>
      </c>
      <c r="AK481" s="28">
        <f>IF(L481=1,IF(COUNTIFS($F$2:F481,F481,$L$2:L481,1)=1,1,0),0)</f>
        <v>1</v>
      </c>
      <c r="AL481" s="28" t="str">
        <f>IF(B481="","",IF(K481="DUPLICATE","Duplicate (removed)",IF(AO481=1,"Scheduled within 24h",IF(M481=1,"Scheduled late",IF(K481="BAD CONTACT","Bad contact details",IF(O481=1,"Stopped / wrong number",IF(N481=1,"Not interested",IF(P481=1,"Partner has no slots",IF(SETTINGS!$B$4&gt;=V481,IF(Q481=0,"Missed deadline: never tried","Missed deadline: tried, not booked"),IF(Q481&gt;=SETTINGS!$B$6,"No reply after max tries","Open"))))))))))</f>
        <v>Scheduled within 24h</v>
      </c>
      <c r="AM481" s="46">
        <f>IF(M481=1,IF(_xlfn.MINIFS(LOG!$G$2:$G$2001,LOG!$C$2:$C$2001,F481,LOG!$E$2:$E$2001,B481,LOG!$D$2:$D$2001,"*BOOKED")=0,_xlfn.MINIFS(LOG!$G$2:$G$2001,LOG!$C$2:$C$2001,F481,LOG!$E$2:$E$2001,"",LOG!$D$2:$D$2001,"*BOOKED"),IF(_xlfn.MINIFS(LOG!$G$2:$G$2001,LOG!$C$2:$C$2001,F481,LOG!$E$2:$E$2001,"",LOG!$D$2:$D$2001,"*BOOKED")=0,_xlfn.MINIFS(LOG!$G$2:$G$2001,LOG!$C$2:$C$2001,F481,LOG!$E$2:$E$2001,B481,LOG!$D$2:$D$2001,"*BOOKED"),MIN(_xlfn.MINIFS(LOG!$G$2:$G$2001,LOG!$C$2:$C$2001,F481,LOG!$E$2:$E$2001,B481,LOG!$D$2:$D$2001,"*BOOKED"),_xlfn.MINIFS(LOG!$G$2:$G$2001,LOG!$C$2:$C$2001,F481,LOG!$E$2:$E$2001,"",LOG!$D$2:$D$2001,"*BOOKED")))),"")</f>
        <v>46309.435426353913</v>
      </c>
      <c r="AN481" s="28">
        <f t="shared" si="84"/>
        <v>14.600232494005468</v>
      </c>
      <c r="AO481" s="28">
        <f>IF(AND(M481=1,AN481&lt;&gt;""),IF(AN481&lt;=SETTINGS!$B$5,1,0),0)</f>
        <v>1</v>
      </c>
      <c r="AP481" s="28">
        <f>IF(M481=1,IF(COUNTIFS(LOG!$C$2:$C$2001,F481,LOG!$E$2:$E$2001,B481,LOG!$D$2:$D$2001,"BOOKED")+COUNTIFS(LOG!$C$2:$C$2001,F481,LOG!$E$2:$E$2001,"",LOG!$D$2:$D$2001,"BOOKED")&gt;0,1,0),0)</f>
        <v>0</v>
      </c>
      <c r="AQ481" s="28" t="str">
        <f t="shared" si="85"/>
        <v>Sneha</v>
      </c>
      <c r="AR481" s="28">
        <f>IF(AND(AK481=1,K481="OK"),COUNTIFS($AK$2:AK481,1,$K$2:K481,"OK"),"")</f>
        <v>390</v>
      </c>
      <c r="AS481" s="28" t="str">
        <f>IF(L481=1,IFERROR(INDEX(MESSAGES!$J$9:$J$1008,MATCH(F481,MESSAGES!$M$9:$M$1008,0))&amp;"",""),"")</f>
        <v/>
      </c>
      <c r="AT481" s="28" t="str">
        <f>IF(L481=1,IFERROR(INDEX(MESSAGES!$K$9:$K$1008,MATCH(F481,MESSAGES!$M$9:$M$1008,0))&amp;"",""),"")</f>
        <v/>
      </c>
      <c r="AU481" s="28">
        <f t="shared" ca="1" si="86"/>
        <v>0</v>
      </c>
      <c r="AV481" s="28" t="str">
        <f t="shared" si="87"/>
        <v>HOLD</v>
      </c>
    </row>
    <row r="482" spans="1:48" x14ac:dyDescent="0.35">
      <c r="A482" s="28">
        <v>481</v>
      </c>
      <c r="B482" s="28" t="str">
        <f>IF(INPUT!A482="","",TRIM(INPUT!A482))</f>
        <v>Partner 075</v>
      </c>
      <c r="C482" s="28" t="str">
        <f>IF(B482="","",INPUT!C482)</f>
        <v>interviewer0@partner075.example.com</v>
      </c>
      <c r="D482" s="28" t="str">
        <f>IF(B482="","",INPUT!D482)</f>
        <v>Pooja G.</v>
      </c>
      <c r="E482" s="28" t="str">
        <f>IF(B482="","",INPUT!E482)</f>
        <v>pooja.g201@example.com</v>
      </c>
      <c r="F482" s="43" t="str">
        <f>IF(B482="","",TRIM(INPUT!F482&amp;""))</f>
        <v>9000002620</v>
      </c>
      <c r="G482" s="28" t="str">
        <f>IF(B482="","",INPUT!H482)</f>
        <v>Round2</v>
      </c>
      <c r="H482" s="46">
        <f>IF(B482="","",INPUT!I482)</f>
        <v>46308.82708333333</v>
      </c>
      <c r="I482" s="28" t="str">
        <f>IF(B482="","",IF(INPUT!J482="","None",INPUT!J482))</f>
        <v>None</v>
      </c>
      <c r="J482" s="28" t="str">
        <f t="shared" si="77"/>
        <v>pooja.g201@example.com|partner 075|Round2|interviewer0@partner075.example.com</v>
      </c>
      <c r="K482" s="28" t="str">
        <f>IF(B482="","",IF(SUMPRODUCT(($J$2:$J$601=J482)*($H$2:$H$601&lt;H482))+SUMPRODUCT(($J$2:J482=J482)*($H$2:H482=H482))-1&gt;0,"DUPLICATE",IF(AND(ISNUMBER(SEARCH("@",E482)),ISNUMBER(SEARCH(".",E482)),LEN(F482)=10,ISNUMBER(VALUE(F482))),"OK","BAD CONTACT")))</f>
        <v>OK</v>
      </c>
      <c r="L482" s="28">
        <f t="shared" si="78"/>
        <v>1</v>
      </c>
      <c r="M482" s="28">
        <f>IF(L482=1,IF(COUNTIFS(LOG!$C$2:$C$2001,F482,LOG!$E$2:$E$2001,B482,LOG!$D$2:$D$2001,"*BOOKED")+COUNTIFS(LOG!$C$2:$C$2001,F482,LOG!$E$2:$E$2001,"",LOG!$D$2:$D$2001,"*BOOKED")&gt;0,1,0),0)</f>
        <v>0</v>
      </c>
      <c r="N482" s="28">
        <f>IF(L482=1,IF(COUNTIFS(LOG!$C$2:$C$2001,F482,LOG!$E$2:$E$2001,B482,LOG!$D$2:$D$2001,"NOT_INTERESTED")+COUNTIFS(LOG!$C$2:$C$2001,F482,LOG!$E$2:$E$2001,"",LOG!$D$2:$D$2001,"NOT_INTERESTED")&gt;0,1,0),0)</f>
        <v>0</v>
      </c>
      <c r="O482" s="28">
        <f>IF(L482=1,IF(COUNTIFS(LOG!$C$2:$C$2001,F482,LOG!$D$2:$D$2001,"STOP")+COUNTIFS(LOG!$C$2:$C$2001,F482,LOG!$D$2:$D$2001,"WRONG_NUMBER")&gt;0,1,IF(ISNUMBER(SEARCH("STOP",AT482)),1,0)),0)</f>
        <v>0</v>
      </c>
      <c r="P482" s="28">
        <f>IF(L482=1,IF(IFERROR(INDEX(PARTNERS!$D$2:$D$88,MATCH(B482,PARTNERS!$A$2:$A$88,0)),"")="NO SLOTS",1,IF(AND(IFERROR(INDEX(PARTNERS!$D$2:$D$88,MATCH(B482,PARTNERS!$A$2:$A$88,0)),"")&lt;&gt;"REOPENED",COUNTIFS(LOG!$E$2:$E$2001,B482,LOG!$D$2:$D$2001,"NO_SLOTS")&gt;0),1,0)),0)</f>
        <v>0</v>
      </c>
      <c r="Q482" s="28">
        <f>IF(L482=1,COUNTIFS(LOG!$C$2:$C$2001,F482,LOG!$H$2:$H$2001,1),0)</f>
        <v>0</v>
      </c>
      <c r="R482" s="46">
        <f>IF(Q482&gt;0,_xlfn.MAXIFS(LOG!$G$2:$G$2001,LOG!$C$2:$C$2001,F482,LOG!$H$2:$H$2001,1),0)</f>
        <v>0</v>
      </c>
      <c r="S482" s="28" t="str">
        <f>IF(Q482&gt;0,IFERROR(INDEX(LOG!$D$2:$D$2001,MATCH(F482&amp;"|"&amp;Q482,LOG!$I$2:$I$2001,0)),""),"")</f>
        <v/>
      </c>
      <c r="T482" s="28">
        <f>IF(S482="",0,IFERROR(VLOOKUP(S482,LISTS!$A$2:$E$10,4,FALSE),0))</f>
        <v>0</v>
      </c>
      <c r="U482" s="46">
        <f t="shared" si="79"/>
        <v>0</v>
      </c>
      <c r="V482" s="46">
        <f>IF(L482=1,H482+SETTINGS!$B$5/24,"")</f>
        <v>46309.82708333333</v>
      </c>
      <c r="W482" s="28">
        <f ca="1">IF(L482=1,(V482-SETTINGS!$B$4)*24,"")</f>
        <v>-1.6666666720993817E-2</v>
      </c>
      <c r="X482" s="28">
        <f ca="1">IF(AND(L482=1,K482="OK",M482=0,N482=0,O482=0,P482=0,SETTINGS!$B$4&lt;V482,Q482&lt;SETTINGS!$B$6),1,0)</f>
        <v>0</v>
      </c>
      <c r="Y482" s="28">
        <f ca="1">IF(AND(X482=1,SETTINGS!$B$4&gt;=H482,SETTINGS!$B$4&gt;=U482,ROUND(MOD(SETTINGS!$B$4,1)*1440,0)&gt;=ROUND(SETTINGS!$B$7*1440,0),ROUND(MOD(SETTINGS!$B$4,1)*1440,0)&lt;ROUND(SETTINGS!$B$8*1440,0)),1,0)</f>
        <v>0</v>
      </c>
      <c r="Z482" s="28" t="str">
        <f ca="1">IF(B482="","",IF(ROUND(MOD(SETTINGS!$B$4,1)*1440,0)&lt;ROUND(SETTINGS!$B$11*1440,0),"Ram",IF(ROUND(MOD(SETTINGS!$B$4,1)*1440,0)&gt;=ROUND(SETTINGS!$B$10*1440,0),"Shyam",IF(MOD(IFERROR(VALUE(RIGHT(F482,2)),0),2)=0,"Ram","Shyam"))))</f>
        <v>Shyam</v>
      </c>
      <c r="AA482" s="28">
        <f t="shared" ca="1" si="80"/>
        <v>0</v>
      </c>
      <c r="AB482" s="28">
        <f ca="1">IF(X482=1,COUNTIFS($F$2:F482,F482,$X$2:X482,1),0)</f>
        <v>0</v>
      </c>
      <c r="AC482" s="28" t="str">
        <f>IF(L482=1,IF(IFERROR(INDEX(PARTNERS!$C$2:$C$88,MATCH(B482,PARTNERS!$A$2:$A$88,0)),"")="YES","YES","NO"),"")</f>
        <v>YES</v>
      </c>
      <c r="AD482" s="28" t="str">
        <f>IF(L482=1,IFERROR(INDEX(PARTNERS!$B$2:$B$88,MATCH(B482,PARTNERS!$A$2:$A$88,0)),""),"")</f>
        <v>https://calendly.com/partner075/interview</v>
      </c>
      <c r="AE482" s="28">
        <f ca="1">IF(X482=1,IFERROR(INDEX(SETTINGS!$B$34:$D$36,MATCH(I482,SETTINGS!$A$34:$A$36,0),MIN(Q482,2)+1),SETTINGS!$B$36),0)</f>
        <v>0</v>
      </c>
      <c r="AF482" s="28">
        <f t="shared" si="81"/>
        <v>2</v>
      </c>
      <c r="AG482" s="28">
        <f ca="1">IF(AND(Y482=1,AB482=1),ROUND(AA482*AE482*IF(AF482&gt;1,SETTINGS!$B$16,1)*IF(W482&lt;=SETTINGS!$B$14,SETTINGS!$B$15,1)*IF(AU482=1,SETTINGS!$B$21,1),6),0)</f>
        <v>0</v>
      </c>
      <c r="AH482" s="28" t="str">
        <f ca="1">IF(AG482&gt;0,COUNTIFS($Z$2:$Z$601,Z482,$AG$2:$AG$601,"&gt;"&amp;AG482)+COUNTIFS($Z$2:Z482,Z482,$AG$2:AG482,AG482),"")</f>
        <v/>
      </c>
      <c r="AI482" s="28" t="str">
        <f t="shared" ca="1" si="82"/>
        <v/>
      </c>
      <c r="AJ482" s="28" t="str">
        <f t="shared" ca="1" si="83"/>
        <v/>
      </c>
      <c r="AK482" s="28">
        <f>IF(L482=1,IF(COUNTIFS($F$2:F482,F482,$L$2:L482,1)=1,1,0),0)</f>
        <v>1</v>
      </c>
      <c r="AL482" s="28" t="str">
        <f ca="1">IF(B482="","",IF(K482="DUPLICATE","Duplicate (removed)",IF(AO482=1,"Scheduled within 24h",IF(M482=1,"Scheduled late",IF(K482="BAD CONTACT","Bad contact details",IF(O482=1,"Stopped / wrong number",IF(N482=1,"Not interested",IF(P482=1,"Partner has no slots",IF(SETTINGS!$B$4&gt;=V482,IF(Q482=0,"Missed deadline: never tried","Missed deadline: tried, not booked"),IF(Q482&gt;=SETTINGS!$B$6,"No reply after max tries","Open"))))))))))</f>
        <v>Missed deadline: never tried</v>
      </c>
      <c r="AM482" s="46" t="str">
        <f>IF(M482=1,IF(_xlfn.MINIFS(LOG!$G$2:$G$2001,LOG!$C$2:$C$2001,F482,LOG!$E$2:$E$2001,B482,LOG!$D$2:$D$2001,"*BOOKED")=0,_xlfn.MINIFS(LOG!$G$2:$G$2001,LOG!$C$2:$C$2001,F482,LOG!$E$2:$E$2001,"",LOG!$D$2:$D$2001,"*BOOKED"),IF(_xlfn.MINIFS(LOG!$G$2:$G$2001,LOG!$C$2:$C$2001,F482,LOG!$E$2:$E$2001,"",LOG!$D$2:$D$2001,"*BOOKED")=0,_xlfn.MINIFS(LOG!$G$2:$G$2001,LOG!$C$2:$C$2001,F482,LOG!$E$2:$E$2001,B482,LOG!$D$2:$D$2001,"*BOOKED"),MIN(_xlfn.MINIFS(LOG!$G$2:$G$2001,LOG!$C$2:$C$2001,F482,LOG!$E$2:$E$2001,B482,LOG!$D$2:$D$2001,"*BOOKED"),_xlfn.MINIFS(LOG!$G$2:$G$2001,LOG!$C$2:$C$2001,F482,LOG!$E$2:$E$2001,"",LOG!$D$2:$D$2001,"*BOOKED")))),"")</f>
        <v/>
      </c>
      <c r="AN482" s="28" t="str">
        <f t="shared" si="84"/>
        <v/>
      </c>
      <c r="AO482" s="28">
        <f>IF(AND(M482=1,AN482&lt;&gt;""),IF(AN482&lt;=SETTINGS!$B$5,1,0),0)</f>
        <v>0</v>
      </c>
      <c r="AP482" s="28">
        <f>IF(M482=1,IF(COUNTIFS(LOG!$C$2:$C$2001,F482,LOG!$E$2:$E$2001,B482,LOG!$D$2:$D$2001,"BOOKED")+COUNTIFS(LOG!$C$2:$C$2001,F482,LOG!$E$2:$E$2001,"",LOG!$D$2:$D$2001,"BOOKED")&gt;0,1,0),0)</f>
        <v>0</v>
      </c>
      <c r="AQ482" s="28" t="str">
        <f t="shared" si="85"/>
        <v>Pooja</v>
      </c>
      <c r="AR482" s="28">
        <f>IF(AND(AK482=1,K482="OK"),COUNTIFS($AK$2:AK482,1,$K$2:K482,"OK"),"")</f>
        <v>391</v>
      </c>
      <c r="AS482" s="28" t="str">
        <f>IF(L482=1,IFERROR(INDEX(MESSAGES!$J$9:$J$1008,MATCH(F482,MESSAGES!$M$9:$M$1008,0))&amp;"",""),"")</f>
        <v/>
      </c>
      <c r="AT482" s="28" t="str">
        <f>IF(L482=1,IFERROR(INDEX(MESSAGES!$K$9:$K$1008,MATCH(F482,MESSAGES!$M$9:$M$1008,0))&amp;"",""),"")</f>
        <v/>
      </c>
      <c r="AU482" s="28">
        <f t="shared" ca="1" si="86"/>
        <v>0</v>
      </c>
      <c r="AV482" s="28" t="str">
        <f t="shared" si="87"/>
        <v>SEND</v>
      </c>
    </row>
    <row r="483" spans="1:48" x14ac:dyDescent="0.35">
      <c r="A483" s="28">
        <v>482</v>
      </c>
      <c r="B483" s="28" t="str">
        <f>IF(INPUT!A483="","",TRIM(INPUT!A483))</f>
        <v>Partner 012</v>
      </c>
      <c r="C483" s="28" t="str">
        <f>IF(B483="","",INPUT!C483)</f>
        <v>interviewer1@partner012.example.com</v>
      </c>
      <c r="D483" s="28" t="str">
        <f>IF(B483="","",INPUT!D483)</f>
        <v>Meera M.</v>
      </c>
      <c r="E483" s="28" t="str">
        <f>IF(B483="","",INPUT!E483)</f>
        <v>meera.m337@example.com</v>
      </c>
      <c r="F483" s="43" t="str">
        <f>IF(B483="","",TRIM(INPUT!F483&amp;""))</f>
        <v>9000004388</v>
      </c>
      <c r="G483" s="28" t="str">
        <f>IF(B483="","",INPUT!H483)</f>
        <v>Round1</v>
      </c>
      <c r="H483" s="46">
        <f>IF(B483="","",INPUT!I483)</f>
        <v>46308.82708333333</v>
      </c>
      <c r="I483" s="28" t="str">
        <f>IF(B483="","",IF(INPUT!J483="","None",INPUT!J483))</f>
        <v>None</v>
      </c>
      <c r="J483" s="28" t="str">
        <f t="shared" si="77"/>
        <v>meera.m337@example.com|partner 012|Round1|interviewer1@partner012.example.com</v>
      </c>
      <c r="K483" s="28" t="str">
        <f>IF(B483="","",IF(SUMPRODUCT(($J$2:$J$601=J483)*($H$2:$H$601&lt;H483))+SUMPRODUCT(($J$2:J483=J483)*($H$2:H483=H483))-1&gt;0,"DUPLICATE",IF(AND(ISNUMBER(SEARCH("@",E483)),ISNUMBER(SEARCH(".",E483)),LEN(F483)=10,ISNUMBER(VALUE(F483))),"OK","BAD CONTACT")))</f>
        <v>OK</v>
      </c>
      <c r="L483" s="28">
        <f t="shared" si="78"/>
        <v>1</v>
      </c>
      <c r="M483" s="28">
        <f>IF(L483=1,IF(COUNTIFS(LOG!$C$2:$C$2001,F483,LOG!$E$2:$E$2001,B483,LOG!$D$2:$D$2001,"*BOOKED")+COUNTIFS(LOG!$C$2:$C$2001,F483,LOG!$E$2:$E$2001,"",LOG!$D$2:$D$2001,"*BOOKED")&gt;0,1,0),0)</f>
        <v>0</v>
      </c>
      <c r="N483" s="28">
        <f>IF(L483=1,IF(COUNTIFS(LOG!$C$2:$C$2001,F483,LOG!$E$2:$E$2001,B483,LOG!$D$2:$D$2001,"NOT_INTERESTED")+COUNTIFS(LOG!$C$2:$C$2001,F483,LOG!$E$2:$E$2001,"",LOG!$D$2:$D$2001,"NOT_INTERESTED")&gt;0,1,0),0)</f>
        <v>0</v>
      </c>
      <c r="O483" s="28">
        <f>IF(L483=1,IF(COUNTIFS(LOG!$C$2:$C$2001,F483,LOG!$D$2:$D$2001,"STOP")+COUNTIFS(LOG!$C$2:$C$2001,F483,LOG!$D$2:$D$2001,"WRONG_NUMBER")&gt;0,1,IF(ISNUMBER(SEARCH("STOP",AT483)),1,0)),0)</f>
        <v>0</v>
      </c>
      <c r="P483" s="28">
        <f>IF(L483=1,IF(IFERROR(INDEX(PARTNERS!$D$2:$D$88,MATCH(B483,PARTNERS!$A$2:$A$88,0)),"")="NO SLOTS",1,IF(AND(IFERROR(INDEX(PARTNERS!$D$2:$D$88,MATCH(B483,PARTNERS!$A$2:$A$88,0)),"")&lt;&gt;"REOPENED",COUNTIFS(LOG!$E$2:$E$2001,B483,LOG!$D$2:$D$2001,"NO_SLOTS")&gt;0),1,0)),0)</f>
        <v>0</v>
      </c>
      <c r="Q483" s="28">
        <f>IF(L483=1,COUNTIFS(LOG!$C$2:$C$2001,F483,LOG!$H$2:$H$2001,1),0)</f>
        <v>0</v>
      </c>
      <c r="R483" s="46">
        <f>IF(Q483&gt;0,_xlfn.MAXIFS(LOG!$G$2:$G$2001,LOG!$C$2:$C$2001,F483,LOG!$H$2:$H$2001,1),0)</f>
        <v>0</v>
      </c>
      <c r="S483" s="28" t="str">
        <f>IF(Q483&gt;0,IFERROR(INDEX(LOG!$D$2:$D$2001,MATCH(F483&amp;"|"&amp;Q483,LOG!$I$2:$I$2001,0)),""),"")</f>
        <v/>
      </c>
      <c r="T483" s="28">
        <f>IF(S483="",0,IFERROR(VLOOKUP(S483,LISTS!$A$2:$E$10,4,FALSE),0))</f>
        <v>0</v>
      </c>
      <c r="U483" s="46">
        <f t="shared" si="79"/>
        <v>0</v>
      </c>
      <c r="V483" s="46">
        <f>IF(L483=1,H483+SETTINGS!$B$5/24,"")</f>
        <v>46309.82708333333</v>
      </c>
      <c r="W483" s="28">
        <f ca="1">IF(L483=1,(V483-SETTINGS!$B$4)*24,"")</f>
        <v>-1.6666666720993817E-2</v>
      </c>
      <c r="X483" s="28">
        <f ca="1">IF(AND(L483=1,K483="OK",M483=0,N483=0,O483=0,P483=0,SETTINGS!$B$4&lt;V483,Q483&lt;SETTINGS!$B$6),1,0)</f>
        <v>0</v>
      </c>
      <c r="Y483" s="28">
        <f ca="1">IF(AND(X483=1,SETTINGS!$B$4&gt;=H483,SETTINGS!$B$4&gt;=U483,ROUND(MOD(SETTINGS!$B$4,1)*1440,0)&gt;=ROUND(SETTINGS!$B$7*1440,0),ROUND(MOD(SETTINGS!$B$4,1)*1440,0)&lt;ROUND(SETTINGS!$B$8*1440,0)),1,0)</f>
        <v>0</v>
      </c>
      <c r="Z483" s="28" t="str">
        <f ca="1">IF(B483="","",IF(ROUND(MOD(SETTINGS!$B$4,1)*1440,0)&lt;ROUND(SETTINGS!$B$11*1440,0),"Ram",IF(ROUND(MOD(SETTINGS!$B$4,1)*1440,0)&gt;=ROUND(SETTINGS!$B$10*1440,0),"Shyam",IF(MOD(IFERROR(VALUE(RIGHT(F483,2)),0),2)=0,"Ram","Shyam"))))</f>
        <v>Shyam</v>
      </c>
      <c r="AA483" s="28">
        <f t="shared" ca="1" si="80"/>
        <v>0</v>
      </c>
      <c r="AB483" s="28">
        <f ca="1">IF(X483=1,COUNTIFS($F$2:F483,F483,$X$2:X483,1),0)</f>
        <v>0</v>
      </c>
      <c r="AC483" s="28" t="str">
        <f>IF(L483=1,IF(IFERROR(INDEX(PARTNERS!$C$2:$C$88,MATCH(B483,PARTNERS!$A$2:$A$88,0)),"")="YES","YES","NO"),"")</f>
        <v>NO</v>
      </c>
      <c r="AD483" s="28" t="str">
        <f>IF(L483=1,IFERROR(INDEX(PARTNERS!$B$2:$B$88,MATCH(B483,PARTNERS!$A$2:$A$88,0)),""),"")</f>
        <v>https://calendly.com/partner012/interview</v>
      </c>
      <c r="AE483" s="28">
        <f ca="1">IF(X483=1,IFERROR(INDEX(SETTINGS!$B$34:$D$36,MATCH(I483,SETTINGS!$A$34:$A$36,0),MIN(Q483,2)+1),SETTINGS!$B$36),0)</f>
        <v>0</v>
      </c>
      <c r="AF483" s="28">
        <f t="shared" si="81"/>
        <v>1</v>
      </c>
      <c r="AG483" s="28">
        <f ca="1">IF(AND(Y483=1,AB483=1),ROUND(AA483*AE483*IF(AF483&gt;1,SETTINGS!$B$16,1)*IF(W483&lt;=SETTINGS!$B$14,SETTINGS!$B$15,1)*IF(AU483=1,SETTINGS!$B$21,1),6),0)</f>
        <v>0</v>
      </c>
      <c r="AH483" s="28" t="str">
        <f ca="1">IF(AG483&gt;0,COUNTIFS($Z$2:$Z$601,Z483,$AG$2:$AG$601,"&gt;"&amp;AG483)+COUNTIFS($Z$2:Z483,Z483,$AG$2:AG483,AG483),"")</f>
        <v/>
      </c>
      <c r="AI483" s="28" t="str">
        <f t="shared" ca="1" si="82"/>
        <v/>
      </c>
      <c r="AJ483" s="28" t="str">
        <f t="shared" ca="1" si="83"/>
        <v/>
      </c>
      <c r="AK483" s="28">
        <f>IF(L483=1,IF(COUNTIFS($F$2:F483,F483,$L$2:L483,1)=1,1,0),0)</f>
        <v>1</v>
      </c>
      <c r="AL483" s="28" t="str">
        <f ca="1">IF(B483="","",IF(K483="DUPLICATE","Duplicate (removed)",IF(AO483=1,"Scheduled within 24h",IF(M483=1,"Scheduled late",IF(K483="BAD CONTACT","Bad contact details",IF(O483=1,"Stopped / wrong number",IF(N483=1,"Not interested",IF(P483=1,"Partner has no slots",IF(SETTINGS!$B$4&gt;=V483,IF(Q483=0,"Missed deadline: never tried","Missed deadline: tried, not booked"),IF(Q483&gt;=SETTINGS!$B$6,"No reply after max tries","Open"))))))))))</f>
        <v>Missed deadline: never tried</v>
      </c>
      <c r="AM483" s="46" t="str">
        <f>IF(M483=1,IF(_xlfn.MINIFS(LOG!$G$2:$G$2001,LOG!$C$2:$C$2001,F483,LOG!$E$2:$E$2001,B483,LOG!$D$2:$D$2001,"*BOOKED")=0,_xlfn.MINIFS(LOG!$G$2:$G$2001,LOG!$C$2:$C$2001,F483,LOG!$E$2:$E$2001,"",LOG!$D$2:$D$2001,"*BOOKED"),IF(_xlfn.MINIFS(LOG!$G$2:$G$2001,LOG!$C$2:$C$2001,F483,LOG!$E$2:$E$2001,"",LOG!$D$2:$D$2001,"*BOOKED")=0,_xlfn.MINIFS(LOG!$G$2:$G$2001,LOG!$C$2:$C$2001,F483,LOG!$E$2:$E$2001,B483,LOG!$D$2:$D$2001,"*BOOKED"),MIN(_xlfn.MINIFS(LOG!$G$2:$G$2001,LOG!$C$2:$C$2001,F483,LOG!$E$2:$E$2001,B483,LOG!$D$2:$D$2001,"*BOOKED"),_xlfn.MINIFS(LOG!$G$2:$G$2001,LOG!$C$2:$C$2001,F483,LOG!$E$2:$E$2001,"",LOG!$D$2:$D$2001,"*BOOKED")))),"")</f>
        <v/>
      </c>
      <c r="AN483" s="28" t="str">
        <f t="shared" si="84"/>
        <v/>
      </c>
      <c r="AO483" s="28">
        <f>IF(AND(M483=1,AN483&lt;&gt;""),IF(AN483&lt;=SETTINGS!$B$5,1,0),0)</f>
        <v>0</v>
      </c>
      <c r="AP483" s="28">
        <f>IF(M483=1,IF(COUNTIFS(LOG!$C$2:$C$2001,F483,LOG!$E$2:$E$2001,B483,LOG!$D$2:$D$2001,"BOOKED")+COUNTIFS(LOG!$C$2:$C$2001,F483,LOG!$E$2:$E$2001,"",LOG!$D$2:$D$2001,"BOOKED")&gt;0,1,0),0)</f>
        <v>0</v>
      </c>
      <c r="AQ483" s="28" t="str">
        <f t="shared" si="85"/>
        <v>Meera</v>
      </c>
      <c r="AR483" s="28">
        <f>IF(AND(AK483=1,K483="OK"),COUNTIFS($AK$2:AK483,1,$K$2:K483,"OK"),"")</f>
        <v>392</v>
      </c>
      <c r="AS483" s="28" t="str">
        <f>IF(L483=1,IFERROR(INDEX(MESSAGES!$J$9:$J$1008,MATCH(F483,MESSAGES!$M$9:$M$1008,0))&amp;"",""),"")</f>
        <v/>
      </c>
      <c r="AT483" s="28" t="str">
        <f>IF(L483=1,IFERROR(INDEX(MESSAGES!$K$9:$K$1008,MATCH(F483,MESSAGES!$M$9:$M$1008,0))&amp;"",""),"")</f>
        <v/>
      </c>
      <c r="AU483" s="28">
        <f t="shared" ca="1" si="86"/>
        <v>0</v>
      </c>
      <c r="AV483" s="28" t="str">
        <f t="shared" si="87"/>
        <v>SEND</v>
      </c>
    </row>
    <row r="484" spans="1:48" x14ac:dyDescent="0.35">
      <c r="A484" s="28">
        <v>483</v>
      </c>
      <c r="B484" s="28" t="str">
        <f>IF(INPUT!A484="","",TRIM(INPUT!A484))</f>
        <v>Partner 000</v>
      </c>
      <c r="C484" s="28" t="str">
        <f>IF(B484="","",INPUT!C484)</f>
        <v>interviewer1@partner000.example.com</v>
      </c>
      <c r="D484" s="28" t="str">
        <f>IF(B484="","",INPUT!D484)</f>
        <v>Varun G.</v>
      </c>
      <c r="E484" s="28" t="str">
        <f>IF(B484="","",INPUT!E484)</f>
        <v>varun.g208@example.com</v>
      </c>
      <c r="F484" s="43" t="str">
        <f>IF(B484="","",TRIM(INPUT!F484&amp;""))</f>
        <v>9000002711</v>
      </c>
      <c r="G484" s="28" t="str">
        <f>IF(B484="","",INPUT!H484)</f>
        <v>Round1</v>
      </c>
      <c r="H484" s="46">
        <f>IF(B484="","",INPUT!I484)</f>
        <v>46308.82708333333</v>
      </c>
      <c r="I484" s="28" t="str">
        <f>IF(B484="","",IF(INPUT!J484="","None",INPUT!J484))</f>
        <v>Opened</v>
      </c>
      <c r="J484" s="28" t="str">
        <f t="shared" si="77"/>
        <v>varun.g208@example.com|partner 000|Round1|interviewer1@partner000.example.com</v>
      </c>
      <c r="K484" s="28" t="str">
        <f>IF(B484="","",IF(SUMPRODUCT(($J$2:$J$601=J484)*($H$2:$H$601&lt;H484))+SUMPRODUCT(($J$2:J484=J484)*($H$2:H484=H484))-1&gt;0,"DUPLICATE",IF(AND(ISNUMBER(SEARCH("@",E484)),ISNUMBER(SEARCH(".",E484)),LEN(F484)=10,ISNUMBER(VALUE(F484))),"OK","BAD CONTACT")))</f>
        <v>OK</v>
      </c>
      <c r="L484" s="28">
        <f t="shared" si="78"/>
        <v>1</v>
      </c>
      <c r="M484" s="28">
        <f>IF(L484=1,IF(COUNTIFS(LOG!$C$2:$C$2001,F484,LOG!$E$2:$E$2001,B484,LOG!$D$2:$D$2001,"*BOOKED")+COUNTIFS(LOG!$C$2:$C$2001,F484,LOG!$E$2:$E$2001,"",LOG!$D$2:$D$2001,"*BOOKED")&gt;0,1,0),0)</f>
        <v>0</v>
      </c>
      <c r="N484" s="28">
        <f>IF(L484=1,IF(COUNTIFS(LOG!$C$2:$C$2001,F484,LOG!$E$2:$E$2001,B484,LOG!$D$2:$D$2001,"NOT_INTERESTED")+COUNTIFS(LOG!$C$2:$C$2001,F484,LOG!$E$2:$E$2001,"",LOG!$D$2:$D$2001,"NOT_INTERESTED")&gt;0,1,0),0)</f>
        <v>0</v>
      </c>
      <c r="O484" s="28">
        <f>IF(L484=1,IF(COUNTIFS(LOG!$C$2:$C$2001,F484,LOG!$D$2:$D$2001,"STOP")+COUNTIFS(LOG!$C$2:$C$2001,F484,LOG!$D$2:$D$2001,"WRONG_NUMBER")&gt;0,1,IF(ISNUMBER(SEARCH("STOP",AT484)),1,0)),0)</f>
        <v>0</v>
      </c>
      <c r="P484" s="28">
        <f>IF(L484=1,IF(IFERROR(INDEX(PARTNERS!$D$2:$D$88,MATCH(B484,PARTNERS!$A$2:$A$88,0)),"")="NO SLOTS",1,IF(AND(IFERROR(INDEX(PARTNERS!$D$2:$D$88,MATCH(B484,PARTNERS!$A$2:$A$88,0)),"")&lt;&gt;"REOPENED",COUNTIFS(LOG!$E$2:$E$2001,B484,LOG!$D$2:$D$2001,"NO_SLOTS")&gt;0),1,0)),0)</f>
        <v>0</v>
      </c>
      <c r="Q484" s="28">
        <f>IF(L484=1,COUNTIFS(LOG!$C$2:$C$2001,F484,LOG!$H$2:$H$2001,1),0)</f>
        <v>3</v>
      </c>
      <c r="R484" s="46">
        <f>IF(Q484&gt;0,_xlfn.MAXIFS(LOG!$G$2:$G$2001,LOG!$C$2:$C$2001,F484,LOG!$H$2:$H$2001,1),0)</f>
        <v>46309.712238135915</v>
      </c>
      <c r="S484" s="28" t="str">
        <f>IF(Q484&gt;0,IFERROR(INDEX(LOG!$D$2:$D$2001,MATCH(F484&amp;"|"&amp;Q484,LOG!$I$2:$I$2001,0)),""),"")</f>
        <v>NO_ANSWER</v>
      </c>
      <c r="T484" s="28">
        <f>IF(S484="",0,IFERROR(VLOOKUP(S484,LISTS!$A$2:$E$10,4,FALSE),0))</f>
        <v>120</v>
      </c>
      <c r="U484" s="46">
        <f t="shared" si="79"/>
        <v>46309.795571469251</v>
      </c>
      <c r="V484" s="46">
        <f>IF(L484=1,H484+SETTINGS!$B$5/24,"")</f>
        <v>46309.82708333333</v>
      </c>
      <c r="W484" s="28">
        <f ca="1">IF(L484=1,(V484-SETTINGS!$B$4)*24,"")</f>
        <v>-1.6666666720993817E-2</v>
      </c>
      <c r="X484" s="28">
        <f ca="1">IF(AND(L484=1,K484="OK",M484=0,N484=0,O484=0,P484=0,SETTINGS!$B$4&lt;V484,Q484&lt;SETTINGS!$B$6),1,0)</f>
        <v>0</v>
      </c>
      <c r="Y484" s="28">
        <f ca="1">IF(AND(X484=1,SETTINGS!$B$4&gt;=H484,SETTINGS!$B$4&gt;=U484,ROUND(MOD(SETTINGS!$B$4,1)*1440,0)&gt;=ROUND(SETTINGS!$B$7*1440,0),ROUND(MOD(SETTINGS!$B$4,1)*1440,0)&lt;ROUND(SETTINGS!$B$8*1440,0)),1,0)</f>
        <v>0</v>
      </c>
      <c r="Z484" s="28" t="str">
        <f ca="1">IF(B484="","",IF(ROUND(MOD(SETTINGS!$B$4,1)*1440,0)&lt;ROUND(SETTINGS!$B$11*1440,0),"Ram",IF(ROUND(MOD(SETTINGS!$B$4,1)*1440,0)&gt;=ROUND(SETTINGS!$B$10*1440,0),"Shyam",IF(MOD(IFERROR(VALUE(RIGHT(F484,2)),0),2)=0,"Ram","Shyam"))))</f>
        <v>Shyam</v>
      </c>
      <c r="AA484" s="28">
        <f t="shared" ca="1" si="80"/>
        <v>0</v>
      </c>
      <c r="AB484" s="28">
        <f ca="1">IF(X484=1,COUNTIFS($F$2:F484,F484,$X$2:X484,1),0)</f>
        <v>0</v>
      </c>
      <c r="AC484" s="28" t="str">
        <f>IF(L484=1,IF(IFERROR(INDEX(PARTNERS!$C$2:$C$88,MATCH(B484,PARTNERS!$A$2:$A$88,0)),"")="YES","YES","NO"),"")</f>
        <v>NO</v>
      </c>
      <c r="AD484" s="28" t="str">
        <f>IF(L484=1,IFERROR(INDEX(PARTNERS!$B$2:$B$88,MATCH(B484,PARTNERS!$A$2:$A$88,0)),""),"")</f>
        <v>https://calendly.com/partner000/interview</v>
      </c>
      <c r="AE484" s="28">
        <f ca="1">IF(X484=1,IFERROR(INDEX(SETTINGS!$B$34:$D$36,MATCH(I484,SETTINGS!$A$34:$A$36,0),MIN(Q484,2)+1),SETTINGS!$B$36),0)</f>
        <v>0</v>
      </c>
      <c r="AF484" s="28">
        <f t="shared" si="81"/>
        <v>1</v>
      </c>
      <c r="AG484" s="28">
        <f ca="1">IF(AND(Y484=1,AB484=1),ROUND(AA484*AE484*IF(AF484&gt;1,SETTINGS!$B$16,1)*IF(W484&lt;=SETTINGS!$B$14,SETTINGS!$B$15,1)*IF(AU484=1,SETTINGS!$B$21,1),6),0)</f>
        <v>0</v>
      </c>
      <c r="AH484" s="28" t="str">
        <f ca="1">IF(AG484&gt;0,COUNTIFS($Z$2:$Z$601,Z484,$AG$2:$AG$601,"&gt;"&amp;AG484)+COUNTIFS($Z$2:Z484,Z484,$AG$2:AG484,AG484),"")</f>
        <v/>
      </c>
      <c r="AI484" s="28" t="str">
        <f t="shared" ca="1" si="82"/>
        <v/>
      </c>
      <c r="AJ484" s="28" t="str">
        <f t="shared" ca="1" si="83"/>
        <v/>
      </c>
      <c r="AK484" s="28">
        <f>IF(L484=1,IF(COUNTIFS($F$2:F484,F484,$L$2:L484,1)=1,1,0),0)</f>
        <v>0</v>
      </c>
      <c r="AL484" s="28" t="str">
        <f ca="1">IF(B484="","",IF(K484="DUPLICATE","Duplicate (removed)",IF(AO484=1,"Scheduled within 24h",IF(M484=1,"Scheduled late",IF(K484="BAD CONTACT","Bad contact details",IF(O484=1,"Stopped / wrong number",IF(N484=1,"Not interested",IF(P484=1,"Partner has no slots",IF(SETTINGS!$B$4&gt;=V484,IF(Q484=0,"Missed deadline: never tried","Missed deadline: tried, not booked"),IF(Q484&gt;=SETTINGS!$B$6,"No reply after max tries","Open"))))))))))</f>
        <v>Missed deadline: tried, not booked</v>
      </c>
      <c r="AM484" s="46" t="str">
        <f>IF(M484=1,IF(_xlfn.MINIFS(LOG!$G$2:$G$2001,LOG!$C$2:$C$2001,F484,LOG!$E$2:$E$2001,B484,LOG!$D$2:$D$2001,"*BOOKED")=0,_xlfn.MINIFS(LOG!$G$2:$G$2001,LOG!$C$2:$C$2001,F484,LOG!$E$2:$E$2001,"",LOG!$D$2:$D$2001,"*BOOKED"),IF(_xlfn.MINIFS(LOG!$G$2:$G$2001,LOG!$C$2:$C$2001,F484,LOG!$E$2:$E$2001,"",LOG!$D$2:$D$2001,"*BOOKED")=0,_xlfn.MINIFS(LOG!$G$2:$G$2001,LOG!$C$2:$C$2001,F484,LOG!$E$2:$E$2001,B484,LOG!$D$2:$D$2001,"*BOOKED"),MIN(_xlfn.MINIFS(LOG!$G$2:$G$2001,LOG!$C$2:$C$2001,F484,LOG!$E$2:$E$2001,B484,LOG!$D$2:$D$2001,"*BOOKED"),_xlfn.MINIFS(LOG!$G$2:$G$2001,LOG!$C$2:$C$2001,F484,LOG!$E$2:$E$2001,"",LOG!$D$2:$D$2001,"*BOOKED")))),"")</f>
        <v/>
      </c>
      <c r="AN484" s="28" t="str">
        <f t="shared" si="84"/>
        <v/>
      </c>
      <c r="AO484" s="28">
        <f>IF(AND(M484=1,AN484&lt;&gt;""),IF(AN484&lt;=SETTINGS!$B$5,1,0),0)</f>
        <v>0</v>
      </c>
      <c r="AP484" s="28">
        <f>IF(M484=1,IF(COUNTIFS(LOG!$C$2:$C$2001,F484,LOG!$E$2:$E$2001,B484,LOG!$D$2:$D$2001,"BOOKED")+COUNTIFS(LOG!$C$2:$C$2001,F484,LOG!$E$2:$E$2001,"",LOG!$D$2:$D$2001,"BOOKED")&gt;0,1,0),0)</f>
        <v>0</v>
      </c>
      <c r="AQ484" s="28" t="str">
        <f t="shared" si="85"/>
        <v>Varun</v>
      </c>
      <c r="AR484" s="28" t="str">
        <f>IF(AND(AK484=1,K484="OK"),COUNTIFS($AK$2:AK484,1,$K$2:K484,"OK"),"")</f>
        <v/>
      </c>
      <c r="AS484" s="28" t="str">
        <f>IF(L484=1,IFERROR(INDEX(MESSAGES!$J$9:$J$1008,MATCH(F484,MESSAGES!$M$9:$M$1008,0))&amp;"",""),"")</f>
        <v/>
      </c>
      <c r="AT484" s="28" t="str">
        <f>IF(L484=1,IFERROR(INDEX(MESSAGES!$K$9:$K$1008,MATCH(F484,MESSAGES!$M$9:$M$1008,0))&amp;"",""),"")</f>
        <v/>
      </c>
      <c r="AU484" s="28">
        <f t="shared" ca="1" si="86"/>
        <v>0</v>
      </c>
      <c r="AV484" s="28" t="str">
        <f t="shared" si="87"/>
        <v>HOLD</v>
      </c>
    </row>
    <row r="485" spans="1:48" x14ac:dyDescent="0.35">
      <c r="A485" s="28">
        <v>484</v>
      </c>
      <c r="B485" s="28" t="str">
        <f>IF(INPUT!A485="","",TRIM(INPUT!A485))</f>
        <v>Partner 000</v>
      </c>
      <c r="C485" s="28" t="str">
        <f>IF(B485="","",INPUT!C485)</f>
        <v>interviewer1@partner000.example.com</v>
      </c>
      <c r="D485" s="28" t="str">
        <f>IF(B485="","",INPUT!D485)</f>
        <v>Vihaan J.</v>
      </c>
      <c r="E485" s="28" t="str">
        <f>IF(B485="","",INPUT!E485)</f>
        <v>vihaan.j244@example.com</v>
      </c>
      <c r="F485" s="43" t="str">
        <f>IF(B485="","",TRIM(INPUT!F485&amp;""))</f>
        <v>9000003179</v>
      </c>
      <c r="G485" s="28" t="str">
        <f>IF(B485="","",INPUT!H485)</f>
        <v>Round1</v>
      </c>
      <c r="H485" s="46">
        <f>IF(B485="","",INPUT!I485)</f>
        <v>46308.82708333333</v>
      </c>
      <c r="I485" s="28" t="str">
        <f>IF(B485="","",IF(INPUT!J485="","None",INPUT!J485))</f>
        <v>None</v>
      </c>
      <c r="J485" s="28" t="str">
        <f t="shared" si="77"/>
        <v>vihaan.j244@example.com|partner 000|Round1|interviewer1@partner000.example.com</v>
      </c>
      <c r="K485" s="28" t="str">
        <f>IF(B485="","",IF(SUMPRODUCT(($J$2:$J$601=J485)*($H$2:$H$601&lt;H485))+SUMPRODUCT(($J$2:J485=J485)*($H$2:H485=H485))-1&gt;0,"DUPLICATE",IF(AND(ISNUMBER(SEARCH("@",E485)),ISNUMBER(SEARCH(".",E485)),LEN(F485)=10,ISNUMBER(VALUE(F485))),"OK","BAD CONTACT")))</f>
        <v>OK</v>
      </c>
      <c r="L485" s="28">
        <f t="shared" si="78"/>
        <v>1</v>
      </c>
      <c r="M485" s="28">
        <f>IF(L485=1,IF(COUNTIFS(LOG!$C$2:$C$2001,F485,LOG!$E$2:$E$2001,B485,LOG!$D$2:$D$2001,"*BOOKED")+COUNTIFS(LOG!$C$2:$C$2001,F485,LOG!$E$2:$E$2001,"",LOG!$D$2:$D$2001,"*BOOKED")&gt;0,1,0),0)</f>
        <v>0</v>
      </c>
      <c r="N485" s="28">
        <f>IF(L485=1,IF(COUNTIFS(LOG!$C$2:$C$2001,F485,LOG!$E$2:$E$2001,B485,LOG!$D$2:$D$2001,"NOT_INTERESTED")+COUNTIFS(LOG!$C$2:$C$2001,F485,LOG!$E$2:$E$2001,"",LOG!$D$2:$D$2001,"NOT_INTERESTED")&gt;0,1,0),0)</f>
        <v>0</v>
      </c>
      <c r="O485" s="28">
        <f>IF(L485=1,IF(COUNTIFS(LOG!$C$2:$C$2001,F485,LOG!$D$2:$D$2001,"STOP")+COUNTIFS(LOG!$C$2:$C$2001,F485,LOG!$D$2:$D$2001,"WRONG_NUMBER")&gt;0,1,IF(ISNUMBER(SEARCH("STOP",AT485)),1,0)),0)</f>
        <v>0</v>
      </c>
      <c r="P485" s="28">
        <f>IF(L485=1,IF(IFERROR(INDEX(PARTNERS!$D$2:$D$88,MATCH(B485,PARTNERS!$A$2:$A$88,0)),"")="NO SLOTS",1,IF(AND(IFERROR(INDEX(PARTNERS!$D$2:$D$88,MATCH(B485,PARTNERS!$A$2:$A$88,0)),"")&lt;&gt;"REOPENED",COUNTIFS(LOG!$E$2:$E$2001,B485,LOG!$D$2:$D$2001,"NO_SLOTS")&gt;0),1,0)),0)</f>
        <v>0</v>
      </c>
      <c r="Q485" s="28">
        <f>IF(L485=1,COUNTIFS(LOG!$C$2:$C$2001,F485,LOG!$H$2:$H$2001,1),0)</f>
        <v>0</v>
      </c>
      <c r="R485" s="46">
        <f>IF(Q485&gt;0,_xlfn.MAXIFS(LOG!$G$2:$G$2001,LOG!$C$2:$C$2001,F485,LOG!$H$2:$H$2001,1),0)</f>
        <v>0</v>
      </c>
      <c r="S485" s="28" t="str">
        <f>IF(Q485&gt;0,IFERROR(INDEX(LOG!$D$2:$D$2001,MATCH(F485&amp;"|"&amp;Q485,LOG!$I$2:$I$2001,0)),""),"")</f>
        <v/>
      </c>
      <c r="T485" s="28">
        <f>IF(S485="",0,IFERROR(VLOOKUP(S485,LISTS!$A$2:$E$10,4,FALSE),0))</f>
        <v>0</v>
      </c>
      <c r="U485" s="46">
        <f t="shared" si="79"/>
        <v>0</v>
      </c>
      <c r="V485" s="46">
        <f>IF(L485=1,H485+SETTINGS!$B$5/24,"")</f>
        <v>46309.82708333333</v>
      </c>
      <c r="W485" s="28">
        <f ca="1">IF(L485=1,(V485-SETTINGS!$B$4)*24,"")</f>
        <v>-1.6666666720993817E-2</v>
      </c>
      <c r="X485" s="28">
        <f ca="1">IF(AND(L485=1,K485="OK",M485=0,N485=0,O485=0,P485=0,SETTINGS!$B$4&lt;V485,Q485&lt;SETTINGS!$B$6),1,0)</f>
        <v>0</v>
      </c>
      <c r="Y485" s="28">
        <f ca="1">IF(AND(X485=1,SETTINGS!$B$4&gt;=H485,SETTINGS!$B$4&gt;=U485,ROUND(MOD(SETTINGS!$B$4,1)*1440,0)&gt;=ROUND(SETTINGS!$B$7*1440,0),ROUND(MOD(SETTINGS!$B$4,1)*1440,0)&lt;ROUND(SETTINGS!$B$8*1440,0)),1,0)</f>
        <v>0</v>
      </c>
      <c r="Z485" s="28" t="str">
        <f ca="1">IF(B485="","",IF(ROUND(MOD(SETTINGS!$B$4,1)*1440,0)&lt;ROUND(SETTINGS!$B$11*1440,0),"Ram",IF(ROUND(MOD(SETTINGS!$B$4,1)*1440,0)&gt;=ROUND(SETTINGS!$B$10*1440,0),"Shyam",IF(MOD(IFERROR(VALUE(RIGHT(F485,2)),0),2)=0,"Ram","Shyam"))))</f>
        <v>Shyam</v>
      </c>
      <c r="AA485" s="28">
        <f t="shared" ca="1" si="80"/>
        <v>0</v>
      </c>
      <c r="AB485" s="28">
        <f ca="1">IF(X485=1,COUNTIFS($F$2:F485,F485,$X$2:X485,1),0)</f>
        <v>0</v>
      </c>
      <c r="AC485" s="28" t="str">
        <f>IF(L485=1,IF(IFERROR(INDEX(PARTNERS!$C$2:$C$88,MATCH(B485,PARTNERS!$A$2:$A$88,0)),"")="YES","YES","NO"),"")</f>
        <v>NO</v>
      </c>
      <c r="AD485" s="28" t="str">
        <f>IF(L485=1,IFERROR(INDEX(PARTNERS!$B$2:$B$88,MATCH(B485,PARTNERS!$A$2:$A$88,0)),""),"")</f>
        <v>https://calendly.com/partner000/interview</v>
      </c>
      <c r="AE485" s="28">
        <f ca="1">IF(X485=1,IFERROR(INDEX(SETTINGS!$B$34:$D$36,MATCH(I485,SETTINGS!$A$34:$A$36,0),MIN(Q485,2)+1),SETTINGS!$B$36),0)</f>
        <v>0</v>
      </c>
      <c r="AF485" s="28">
        <f t="shared" si="81"/>
        <v>1</v>
      </c>
      <c r="AG485" s="28">
        <f ca="1">IF(AND(Y485=1,AB485=1),ROUND(AA485*AE485*IF(AF485&gt;1,SETTINGS!$B$16,1)*IF(W485&lt;=SETTINGS!$B$14,SETTINGS!$B$15,1)*IF(AU485=1,SETTINGS!$B$21,1),6),0)</f>
        <v>0</v>
      </c>
      <c r="AH485" s="28" t="str">
        <f ca="1">IF(AG485&gt;0,COUNTIFS($Z$2:$Z$601,Z485,$AG$2:$AG$601,"&gt;"&amp;AG485)+COUNTIFS($Z$2:Z485,Z485,$AG$2:AG485,AG485),"")</f>
        <v/>
      </c>
      <c r="AI485" s="28" t="str">
        <f t="shared" ca="1" si="82"/>
        <v/>
      </c>
      <c r="AJ485" s="28" t="str">
        <f t="shared" ca="1" si="83"/>
        <v/>
      </c>
      <c r="AK485" s="28">
        <f>IF(L485=1,IF(COUNTIFS($F$2:F485,F485,$L$2:L485,1)=1,1,0),0)</f>
        <v>1</v>
      </c>
      <c r="AL485" s="28" t="str">
        <f ca="1">IF(B485="","",IF(K485="DUPLICATE","Duplicate (removed)",IF(AO485=1,"Scheduled within 24h",IF(M485=1,"Scheduled late",IF(K485="BAD CONTACT","Bad contact details",IF(O485=1,"Stopped / wrong number",IF(N485=1,"Not interested",IF(P485=1,"Partner has no slots",IF(SETTINGS!$B$4&gt;=V485,IF(Q485=0,"Missed deadline: never tried","Missed deadline: tried, not booked"),IF(Q485&gt;=SETTINGS!$B$6,"No reply after max tries","Open"))))))))))</f>
        <v>Missed deadline: never tried</v>
      </c>
      <c r="AM485" s="46" t="str">
        <f>IF(M485=1,IF(_xlfn.MINIFS(LOG!$G$2:$G$2001,LOG!$C$2:$C$2001,F485,LOG!$E$2:$E$2001,B485,LOG!$D$2:$D$2001,"*BOOKED")=0,_xlfn.MINIFS(LOG!$G$2:$G$2001,LOG!$C$2:$C$2001,F485,LOG!$E$2:$E$2001,"",LOG!$D$2:$D$2001,"*BOOKED"),IF(_xlfn.MINIFS(LOG!$G$2:$G$2001,LOG!$C$2:$C$2001,F485,LOG!$E$2:$E$2001,"",LOG!$D$2:$D$2001,"*BOOKED")=0,_xlfn.MINIFS(LOG!$G$2:$G$2001,LOG!$C$2:$C$2001,F485,LOG!$E$2:$E$2001,B485,LOG!$D$2:$D$2001,"*BOOKED"),MIN(_xlfn.MINIFS(LOG!$G$2:$G$2001,LOG!$C$2:$C$2001,F485,LOG!$E$2:$E$2001,B485,LOG!$D$2:$D$2001,"*BOOKED"),_xlfn.MINIFS(LOG!$G$2:$G$2001,LOG!$C$2:$C$2001,F485,LOG!$E$2:$E$2001,"",LOG!$D$2:$D$2001,"*BOOKED")))),"")</f>
        <v/>
      </c>
      <c r="AN485" s="28" t="str">
        <f t="shared" si="84"/>
        <v/>
      </c>
      <c r="AO485" s="28">
        <f>IF(AND(M485=1,AN485&lt;&gt;""),IF(AN485&lt;=SETTINGS!$B$5,1,0),0)</f>
        <v>0</v>
      </c>
      <c r="AP485" s="28">
        <f>IF(M485=1,IF(COUNTIFS(LOG!$C$2:$C$2001,F485,LOG!$E$2:$E$2001,B485,LOG!$D$2:$D$2001,"BOOKED")+COUNTIFS(LOG!$C$2:$C$2001,F485,LOG!$E$2:$E$2001,"",LOG!$D$2:$D$2001,"BOOKED")&gt;0,1,0),0)</f>
        <v>0</v>
      </c>
      <c r="AQ485" s="28" t="str">
        <f t="shared" si="85"/>
        <v>Vihaan</v>
      </c>
      <c r="AR485" s="28">
        <f>IF(AND(AK485=1,K485="OK"),COUNTIFS($AK$2:AK485,1,$K$2:K485,"OK"),"")</f>
        <v>393</v>
      </c>
      <c r="AS485" s="28" t="str">
        <f>IF(L485=1,IFERROR(INDEX(MESSAGES!$J$9:$J$1008,MATCH(F485,MESSAGES!$M$9:$M$1008,0))&amp;"",""),"")</f>
        <v/>
      </c>
      <c r="AT485" s="28" t="str">
        <f>IF(L485=1,IFERROR(INDEX(MESSAGES!$K$9:$K$1008,MATCH(F485,MESSAGES!$M$9:$M$1008,0))&amp;"",""),"")</f>
        <v/>
      </c>
      <c r="AU485" s="28">
        <f t="shared" ca="1" si="86"/>
        <v>0</v>
      </c>
      <c r="AV485" s="28" t="str">
        <f t="shared" si="87"/>
        <v>HOLD</v>
      </c>
    </row>
    <row r="486" spans="1:48" x14ac:dyDescent="0.35">
      <c r="A486" s="28">
        <v>485</v>
      </c>
      <c r="B486" s="28" t="str">
        <f>IF(INPUT!A486="","",TRIM(INPUT!A486))</f>
        <v>Partner 080</v>
      </c>
      <c r="C486" s="28" t="str">
        <f>IF(B486="","",INPUT!C486)</f>
        <v>interviewer2@partner080.example.com</v>
      </c>
      <c r="D486" s="28" t="str">
        <f>IF(B486="","",INPUT!D486)</f>
        <v>Manav K.</v>
      </c>
      <c r="E486" s="28" t="str">
        <f>IF(B486="","",INPUT!E486)</f>
        <v>manav.k294@example.com</v>
      </c>
      <c r="F486" s="43" t="str">
        <f>IF(B486="","",TRIM(INPUT!F486&amp;""))</f>
        <v>9000003829</v>
      </c>
      <c r="G486" s="28" t="str">
        <f>IF(B486="","",INPUT!H486)</f>
        <v>Round1</v>
      </c>
      <c r="H486" s="46">
        <f>IF(B486="","",INPUT!I486)</f>
        <v>46308.82708333333</v>
      </c>
      <c r="I486" s="28" t="str">
        <f>IF(B486="","",IF(INPUT!J486="","None",INPUT!J486))</f>
        <v>Opened</v>
      </c>
      <c r="J486" s="28" t="str">
        <f t="shared" si="77"/>
        <v>manav.k294@example.com|partner 080|Round1|interviewer2@partner080.example.com</v>
      </c>
      <c r="K486" s="28" t="str">
        <f>IF(B486="","",IF(SUMPRODUCT(($J$2:$J$601=J486)*($H$2:$H$601&lt;H486))+SUMPRODUCT(($J$2:J486=J486)*($H$2:H486=H486))-1&gt;0,"DUPLICATE",IF(AND(ISNUMBER(SEARCH("@",E486)),ISNUMBER(SEARCH(".",E486)),LEN(F486)=10,ISNUMBER(VALUE(F486))),"OK","BAD CONTACT")))</f>
        <v>OK</v>
      </c>
      <c r="L486" s="28">
        <f t="shared" si="78"/>
        <v>1</v>
      </c>
      <c r="M486" s="28">
        <f>IF(L486=1,IF(COUNTIFS(LOG!$C$2:$C$2001,F486,LOG!$E$2:$E$2001,B486,LOG!$D$2:$D$2001,"*BOOKED")+COUNTIFS(LOG!$C$2:$C$2001,F486,LOG!$E$2:$E$2001,"",LOG!$D$2:$D$2001,"*BOOKED")&gt;0,1,0),0)</f>
        <v>1</v>
      </c>
      <c r="N486" s="28">
        <f>IF(L486=1,IF(COUNTIFS(LOG!$C$2:$C$2001,F486,LOG!$E$2:$E$2001,B486,LOG!$D$2:$D$2001,"NOT_INTERESTED")+COUNTIFS(LOG!$C$2:$C$2001,F486,LOG!$E$2:$E$2001,"",LOG!$D$2:$D$2001,"NOT_INTERESTED")&gt;0,1,0),0)</f>
        <v>0</v>
      </c>
      <c r="O486" s="28">
        <f>IF(L486=1,IF(COUNTIFS(LOG!$C$2:$C$2001,F486,LOG!$D$2:$D$2001,"STOP")+COUNTIFS(LOG!$C$2:$C$2001,F486,LOG!$D$2:$D$2001,"WRONG_NUMBER")&gt;0,1,IF(ISNUMBER(SEARCH("STOP",AT486)),1,0)),0)</f>
        <v>0</v>
      </c>
      <c r="P486" s="28">
        <f>IF(L486=1,IF(IFERROR(INDEX(PARTNERS!$D$2:$D$88,MATCH(B486,PARTNERS!$A$2:$A$88,0)),"")="NO SLOTS",1,IF(AND(IFERROR(INDEX(PARTNERS!$D$2:$D$88,MATCH(B486,PARTNERS!$A$2:$A$88,0)),"")&lt;&gt;"REOPENED",COUNTIFS(LOG!$E$2:$E$2001,B486,LOG!$D$2:$D$2001,"NO_SLOTS")&gt;0),1,0)),0)</f>
        <v>0</v>
      </c>
      <c r="Q486" s="28">
        <f>IF(L486=1,COUNTIFS(LOG!$C$2:$C$2001,F486,LOG!$H$2:$H$2001,1),0)</f>
        <v>0</v>
      </c>
      <c r="R486" s="46">
        <f>IF(Q486&gt;0,_xlfn.MAXIFS(LOG!$G$2:$G$2001,LOG!$C$2:$C$2001,F486,LOG!$H$2:$H$2001,1),0)</f>
        <v>0</v>
      </c>
      <c r="S486" s="28" t="str">
        <f>IF(Q486&gt;0,IFERROR(INDEX(LOG!$D$2:$D$2001,MATCH(F486&amp;"|"&amp;Q486,LOG!$I$2:$I$2001,0)),""),"")</f>
        <v/>
      </c>
      <c r="T486" s="28">
        <f>IF(S486="",0,IFERROR(VLOOKUP(S486,LISTS!$A$2:$E$10,4,FALSE),0))</f>
        <v>0</v>
      </c>
      <c r="U486" s="46">
        <f t="shared" si="79"/>
        <v>0</v>
      </c>
      <c r="V486" s="46">
        <f>IF(L486=1,H486+SETTINGS!$B$5/24,"")</f>
        <v>46309.82708333333</v>
      </c>
      <c r="W486" s="28">
        <f ca="1">IF(L486=1,(V486-SETTINGS!$B$4)*24,"")</f>
        <v>-1.6666666720993817E-2</v>
      </c>
      <c r="X486" s="28">
        <f ca="1">IF(AND(L486=1,K486="OK",M486=0,N486=0,O486=0,P486=0,SETTINGS!$B$4&lt;V486,Q486&lt;SETTINGS!$B$6),1,0)</f>
        <v>0</v>
      </c>
      <c r="Y486" s="28">
        <f ca="1">IF(AND(X486=1,SETTINGS!$B$4&gt;=H486,SETTINGS!$B$4&gt;=U486,ROUND(MOD(SETTINGS!$B$4,1)*1440,0)&gt;=ROUND(SETTINGS!$B$7*1440,0),ROUND(MOD(SETTINGS!$B$4,1)*1440,0)&lt;ROUND(SETTINGS!$B$8*1440,0)),1,0)</f>
        <v>0</v>
      </c>
      <c r="Z486" s="28" t="str">
        <f ca="1">IF(B486="","",IF(ROUND(MOD(SETTINGS!$B$4,1)*1440,0)&lt;ROUND(SETTINGS!$B$11*1440,0),"Ram",IF(ROUND(MOD(SETTINGS!$B$4,1)*1440,0)&gt;=ROUND(SETTINGS!$B$10*1440,0),"Shyam",IF(MOD(IFERROR(VALUE(RIGHT(F486,2)),0),2)=0,"Ram","Shyam"))))</f>
        <v>Shyam</v>
      </c>
      <c r="AA486" s="28">
        <f t="shared" ca="1" si="80"/>
        <v>0</v>
      </c>
      <c r="AB486" s="28">
        <f ca="1">IF(X486=1,COUNTIFS($F$2:F486,F486,$X$2:X486,1),0)</f>
        <v>0</v>
      </c>
      <c r="AC486" s="28" t="str">
        <f>IF(L486=1,IF(IFERROR(INDEX(PARTNERS!$C$2:$C$88,MATCH(B486,PARTNERS!$A$2:$A$88,0)),"")="YES","YES","NO"),"")</f>
        <v>NO</v>
      </c>
      <c r="AD486" s="28" t="str">
        <f>IF(L486=1,IFERROR(INDEX(PARTNERS!$B$2:$B$88,MATCH(B486,PARTNERS!$A$2:$A$88,0)),""),"")</f>
        <v>https://calendly.com/partner080/interview</v>
      </c>
      <c r="AE486" s="28">
        <f ca="1">IF(X486=1,IFERROR(INDEX(SETTINGS!$B$34:$D$36,MATCH(I486,SETTINGS!$A$34:$A$36,0),MIN(Q486,2)+1),SETTINGS!$B$36),0)</f>
        <v>0</v>
      </c>
      <c r="AF486" s="28">
        <f t="shared" si="81"/>
        <v>1</v>
      </c>
      <c r="AG486" s="28">
        <f ca="1">IF(AND(Y486=1,AB486=1),ROUND(AA486*AE486*IF(AF486&gt;1,SETTINGS!$B$16,1)*IF(W486&lt;=SETTINGS!$B$14,SETTINGS!$B$15,1)*IF(AU486=1,SETTINGS!$B$21,1),6),0)</f>
        <v>0</v>
      </c>
      <c r="AH486" s="28" t="str">
        <f ca="1">IF(AG486&gt;0,COUNTIFS($Z$2:$Z$601,Z486,$AG$2:$AG$601,"&gt;"&amp;AG486)+COUNTIFS($Z$2:Z486,Z486,$AG$2:AG486,AG486),"")</f>
        <v/>
      </c>
      <c r="AI486" s="28" t="str">
        <f t="shared" ca="1" si="82"/>
        <v/>
      </c>
      <c r="AJ486" s="28" t="str">
        <f t="shared" ca="1" si="83"/>
        <v/>
      </c>
      <c r="AK486" s="28">
        <f>IF(L486=1,IF(COUNTIFS($F$2:F486,F486,$L$2:L486,1)=1,1,0),0)</f>
        <v>1</v>
      </c>
      <c r="AL486" s="28" t="str">
        <f>IF(B486="","",IF(K486="DUPLICATE","Duplicate (removed)",IF(AO486=1,"Scheduled within 24h",IF(M486=1,"Scheduled late",IF(K486="BAD CONTACT","Bad contact details",IF(O486=1,"Stopped / wrong number",IF(N486=1,"Not interested",IF(P486=1,"Partner has no slots",IF(SETTINGS!$B$4&gt;=V486,IF(Q486=0,"Missed deadline: never tried","Missed deadline: tried, not booked"),IF(Q486&gt;=SETTINGS!$B$6,"No reply after max tries","Open"))))))))))</f>
        <v>Scheduled within 24h</v>
      </c>
      <c r="AM486" s="46">
        <f>IF(M486=1,IF(_xlfn.MINIFS(LOG!$G$2:$G$2001,LOG!$C$2:$C$2001,F486,LOG!$E$2:$E$2001,B486,LOG!$D$2:$D$2001,"*BOOKED")=0,_xlfn.MINIFS(LOG!$G$2:$G$2001,LOG!$C$2:$C$2001,F486,LOG!$E$2:$E$2001,"",LOG!$D$2:$D$2001,"*BOOKED"),IF(_xlfn.MINIFS(LOG!$G$2:$G$2001,LOG!$C$2:$C$2001,F486,LOG!$E$2:$E$2001,"",LOG!$D$2:$D$2001,"*BOOKED")=0,_xlfn.MINIFS(LOG!$G$2:$G$2001,LOG!$C$2:$C$2001,F486,LOG!$E$2:$E$2001,B486,LOG!$D$2:$D$2001,"*BOOKED"),MIN(_xlfn.MINIFS(LOG!$G$2:$G$2001,LOG!$C$2:$C$2001,F486,LOG!$E$2:$E$2001,B486,LOG!$D$2:$D$2001,"*BOOKED"),_xlfn.MINIFS(LOG!$G$2:$G$2001,LOG!$C$2:$C$2001,F486,LOG!$E$2:$E$2001,"",LOG!$D$2:$D$2001,"*BOOKED")))),"")</f>
        <v>46308.900456487063</v>
      </c>
      <c r="AN486" s="28">
        <f t="shared" si="84"/>
        <v>1.7609556895913556</v>
      </c>
      <c r="AO486" s="28">
        <f>IF(AND(M486=1,AN486&lt;&gt;""),IF(AN486&lt;=SETTINGS!$B$5,1,0),0)</f>
        <v>1</v>
      </c>
      <c r="AP486" s="28">
        <f>IF(M486=1,IF(COUNTIFS(LOG!$C$2:$C$2001,F486,LOG!$E$2:$E$2001,B486,LOG!$D$2:$D$2001,"BOOKED")+COUNTIFS(LOG!$C$2:$C$2001,F486,LOG!$E$2:$E$2001,"",LOG!$D$2:$D$2001,"BOOKED")&gt;0,1,0),0)</f>
        <v>0</v>
      </c>
      <c r="AQ486" s="28" t="str">
        <f t="shared" si="85"/>
        <v>Manav</v>
      </c>
      <c r="AR486" s="28">
        <f>IF(AND(AK486=1,K486="OK"),COUNTIFS($AK$2:AK486,1,$K$2:K486,"OK"),"")</f>
        <v>394</v>
      </c>
      <c r="AS486" s="28" t="str">
        <f>IF(L486=1,IFERROR(INDEX(MESSAGES!$J$9:$J$1008,MATCH(F486,MESSAGES!$M$9:$M$1008,0))&amp;"",""),"")</f>
        <v/>
      </c>
      <c r="AT486" s="28" t="str">
        <f>IF(L486=1,IFERROR(INDEX(MESSAGES!$K$9:$K$1008,MATCH(F486,MESSAGES!$M$9:$M$1008,0))&amp;"",""),"")</f>
        <v/>
      </c>
      <c r="AU486" s="28">
        <f t="shared" ca="1" si="86"/>
        <v>0</v>
      </c>
      <c r="AV486" s="28" t="str">
        <f t="shared" si="87"/>
        <v>SEND</v>
      </c>
    </row>
    <row r="487" spans="1:48" x14ac:dyDescent="0.35">
      <c r="A487" s="28">
        <v>486</v>
      </c>
      <c r="B487" s="28" t="str">
        <f>IF(INPUT!A487="","",TRIM(INPUT!A487))</f>
        <v>Partner 025</v>
      </c>
      <c r="C487" s="28" t="str">
        <f>IF(B487="","",INPUT!C487)</f>
        <v>interviewer1@partner025.example.com</v>
      </c>
      <c r="D487" s="28" t="str">
        <f>IF(B487="","",INPUT!D487)</f>
        <v>Reyansh K.</v>
      </c>
      <c r="E487" s="28" t="str">
        <f>IF(B487="","",INPUT!E487)</f>
        <v>reyansh.k276@example.com</v>
      </c>
      <c r="F487" s="43" t="str">
        <f>IF(B487="","",TRIM(INPUT!F487&amp;""))</f>
        <v>9000003595</v>
      </c>
      <c r="G487" s="28" t="str">
        <f>IF(B487="","",INPUT!H487)</f>
        <v>Round1</v>
      </c>
      <c r="H487" s="46">
        <f>IF(B487="","",INPUT!I487)</f>
        <v>46308.82708333333</v>
      </c>
      <c r="I487" s="28" t="str">
        <f>IF(B487="","",IF(INPUT!J487="","None",INPUT!J487))</f>
        <v>None</v>
      </c>
      <c r="J487" s="28" t="str">
        <f t="shared" si="77"/>
        <v>reyansh.k276@example.com|partner 025|Round1|interviewer1@partner025.example.com</v>
      </c>
      <c r="K487" s="28" t="str">
        <f>IF(B487="","",IF(SUMPRODUCT(($J$2:$J$601=J487)*($H$2:$H$601&lt;H487))+SUMPRODUCT(($J$2:J487=J487)*($H$2:H487=H487))-1&gt;0,"DUPLICATE",IF(AND(ISNUMBER(SEARCH("@",E487)),ISNUMBER(SEARCH(".",E487)),LEN(F487)=10,ISNUMBER(VALUE(F487))),"OK","BAD CONTACT")))</f>
        <v>OK</v>
      </c>
      <c r="L487" s="28">
        <f t="shared" si="78"/>
        <v>1</v>
      </c>
      <c r="M487" s="28">
        <f>IF(L487=1,IF(COUNTIFS(LOG!$C$2:$C$2001,F487,LOG!$E$2:$E$2001,B487,LOG!$D$2:$D$2001,"*BOOKED")+COUNTIFS(LOG!$C$2:$C$2001,F487,LOG!$E$2:$E$2001,"",LOG!$D$2:$D$2001,"*BOOKED")&gt;0,1,0),0)</f>
        <v>0</v>
      </c>
      <c r="N487" s="28">
        <f>IF(L487=1,IF(COUNTIFS(LOG!$C$2:$C$2001,F487,LOG!$E$2:$E$2001,B487,LOG!$D$2:$D$2001,"NOT_INTERESTED")+COUNTIFS(LOG!$C$2:$C$2001,F487,LOG!$E$2:$E$2001,"",LOG!$D$2:$D$2001,"NOT_INTERESTED")&gt;0,1,0),0)</f>
        <v>0</v>
      </c>
      <c r="O487" s="28">
        <f>IF(L487=1,IF(COUNTIFS(LOG!$C$2:$C$2001,F487,LOG!$D$2:$D$2001,"STOP")+COUNTIFS(LOG!$C$2:$C$2001,F487,LOG!$D$2:$D$2001,"WRONG_NUMBER")&gt;0,1,IF(ISNUMBER(SEARCH("STOP",AT487)),1,0)),0)</f>
        <v>0</v>
      </c>
      <c r="P487" s="28">
        <f>IF(L487=1,IF(IFERROR(INDEX(PARTNERS!$D$2:$D$88,MATCH(B487,PARTNERS!$A$2:$A$88,0)),"")="NO SLOTS",1,IF(AND(IFERROR(INDEX(PARTNERS!$D$2:$D$88,MATCH(B487,PARTNERS!$A$2:$A$88,0)),"")&lt;&gt;"REOPENED",COUNTIFS(LOG!$E$2:$E$2001,B487,LOG!$D$2:$D$2001,"NO_SLOTS")&gt;0),1,0)),0)</f>
        <v>0</v>
      </c>
      <c r="Q487" s="28">
        <f>IF(L487=1,COUNTIFS(LOG!$C$2:$C$2001,F487,LOG!$H$2:$H$2001,1),0)</f>
        <v>0</v>
      </c>
      <c r="R487" s="46">
        <f>IF(Q487&gt;0,_xlfn.MAXIFS(LOG!$G$2:$G$2001,LOG!$C$2:$C$2001,F487,LOG!$H$2:$H$2001,1),0)</f>
        <v>0</v>
      </c>
      <c r="S487" s="28" t="str">
        <f>IF(Q487&gt;0,IFERROR(INDEX(LOG!$D$2:$D$2001,MATCH(F487&amp;"|"&amp;Q487,LOG!$I$2:$I$2001,0)),""),"")</f>
        <v/>
      </c>
      <c r="T487" s="28">
        <f>IF(S487="",0,IFERROR(VLOOKUP(S487,LISTS!$A$2:$E$10,4,FALSE),0))</f>
        <v>0</v>
      </c>
      <c r="U487" s="46">
        <f t="shared" si="79"/>
        <v>0</v>
      </c>
      <c r="V487" s="46">
        <f>IF(L487=1,H487+SETTINGS!$B$5/24,"")</f>
        <v>46309.82708333333</v>
      </c>
      <c r="W487" s="28">
        <f ca="1">IF(L487=1,(V487-SETTINGS!$B$4)*24,"")</f>
        <v>-1.6666666720993817E-2</v>
      </c>
      <c r="X487" s="28">
        <f ca="1">IF(AND(L487=1,K487="OK",M487=0,N487=0,O487=0,P487=0,SETTINGS!$B$4&lt;V487,Q487&lt;SETTINGS!$B$6),1,0)</f>
        <v>0</v>
      </c>
      <c r="Y487" s="28">
        <f ca="1">IF(AND(X487=1,SETTINGS!$B$4&gt;=H487,SETTINGS!$B$4&gt;=U487,ROUND(MOD(SETTINGS!$B$4,1)*1440,0)&gt;=ROUND(SETTINGS!$B$7*1440,0),ROUND(MOD(SETTINGS!$B$4,1)*1440,0)&lt;ROUND(SETTINGS!$B$8*1440,0)),1,0)</f>
        <v>0</v>
      </c>
      <c r="Z487" s="28" t="str">
        <f ca="1">IF(B487="","",IF(ROUND(MOD(SETTINGS!$B$4,1)*1440,0)&lt;ROUND(SETTINGS!$B$11*1440,0),"Ram",IF(ROUND(MOD(SETTINGS!$B$4,1)*1440,0)&gt;=ROUND(SETTINGS!$B$10*1440,0),"Shyam",IF(MOD(IFERROR(VALUE(RIGHT(F487,2)),0),2)=0,"Ram","Shyam"))))</f>
        <v>Shyam</v>
      </c>
      <c r="AA487" s="28">
        <f t="shared" ca="1" si="80"/>
        <v>0</v>
      </c>
      <c r="AB487" s="28">
        <f ca="1">IF(X487=1,COUNTIFS($F$2:F487,F487,$X$2:X487,1),0)</f>
        <v>0</v>
      </c>
      <c r="AC487" s="28" t="str">
        <f>IF(L487=1,IF(IFERROR(INDEX(PARTNERS!$C$2:$C$88,MATCH(B487,PARTNERS!$A$2:$A$88,0)),"")="YES","YES","NO"),"")</f>
        <v>NO</v>
      </c>
      <c r="AD487" s="28" t="str">
        <f>IF(L487=1,IFERROR(INDEX(PARTNERS!$B$2:$B$88,MATCH(B487,PARTNERS!$A$2:$A$88,0)),""),"")</f>
        <v>https://calendly.com/partner025/interview</v>
      </c>
      <c r="AE487" s="28">
        <f ca="1">IF(X487=1,IFERROR(INDEX(SETTINGS!$B$34:$D$36,MATCH(I487,SETTINGS!$A$34:$A$36,0),MIN(Q487,2)+1),SETTINGS!$B$36),0)</f>
        <v>0</v>
      </c>
      <c r="AF487" s="28">
        <f t="shared" si="81"/>
        <v>1</v>
      </c>
      <c r="AG487" s="28">
        <f ca="1">IF(AND(Y487=1,AB487=1),ROUND(AA487*AE487*IF(AF487&gt;1,SETTINGS!$B$16,1)*IF(W487&lt;=SETTINGS!$B$14,SETTINGS!$B$15,1)*IF(AU487=1,SETTINGS!$B$21,1),6),0)</f>
        <v>0</v>
      </c>
      <c r="AH487" s="28" t="str">
        <f ca="1">IF(AG487&gt;0,COUNTIFS($Z$2:$Z$601,Z487,$AG$2:$AG$601,"&gt;"&amp;AG487)+COUNTIFS($Z$2:Z487,Z487,$AG$2:AG487,AG487),"")</f>
        <v/>
      </c>
      <c r="AI487" s="28" t="str">
        <f t="shared" ca="1" si="82"/>
        <v/>
      </c>
      <c r="AJ487" s="28" t="str">
        <f t="shared" ca="1" si="83"/>
        <v/>
      </c>
      <c r="AK487" s="28">
        <f>IF(L487=1,IF(COUNTIFS($F$2:F487,F487,$L$2:L487,1)=1,1,0),0)</f>
        <v>1</v>
      </c>
      <c r="AL487" s="28" t="str">
        <f ca="1">IF(B487="","",IF(K487="DUPLICATE","Duplicate (removed)",IF(AO487=1,"Scheduled within 24h",IF(M487=1,"Scheduled late",IF(K487="BAD CONTACT","Bad contact details",IF(O487=1,"Stopped / wrong number",IF(N487=1,"Not interested",IF(P487=1,"Partner has no slots",IF(SETTINGS!$B$4&gt;=V487,IF(Q487=0,"Missed deadline: never tried","Missed deadline: tried, not booked"),IF(Q487&gt;=SETTINGS!$B$6,"No reply after max tries","Open"))))))))))</f>
        <v>Missed deadline: never tried</v>
      </c>
      <c r="AM487" s="46" t="str">
        <f>IF(M487=1,IF(_xlfn.MINIFS(LOG!$G$2:$G$2001,LOG!$C$2:$C$2001,F487,LOG!$E$2:$E$2001,B487,LOG!$D$2:$D$2001,"*BOOKED")=0,_xlfn.MINIFS(LOG!$G$2:$G$2001,LOG!$C$2:$C$2001,F487,LOG!$E$2:$E$2001,"",LOG!$D$2:$D$2001,"*BOOKED"),IF(_xlfn.MINIFS(LOG!$G$2:$G$2001,LOG!$C$2:$C$2001,F487,LOG!$E$2:$E$2001,"",LOG!$D$2:$D$2001,"*BOOKED")=0,_xlfn.MINIFS(LOG!$G$2:$G$2001,LOG!$C$2:$C$2001,F487,LOG!$E$2:$E$2001,B487,LOG!$D$2:$D$2001,"*BOOKED"),MIN(_xlfn.MINIFS(LOG!$G$2:$G$2001,LOG!$C$2:$C$2001,F487,LOG!$E$2:$E$2001,B487,LOG!$D$2:$D$2001,"*BOOKED"),_xlfn.MINIFS(LOG!$G$2:$G$2001,LOG!$C$2:$C$2001,F487,LOG!$E$2:$E$2001,"",LOG!$D$2:$D$2001,"*BOOKED")))),"")</f>
        <v/>
      </c>
      <c r="AN487" s="28" t="str">
        <f t="shared" si="84"/>
        <v/>
      </c>
      <c r="AO487" s="28">
        <f>IF(AND(M487=1,AN487&lt;&gt;""),IF(AN487&lt;=SETTINGS!$B$5,1,0),0)</f>
        <v>0</v>
      </c>
      <c r="AP487" s="28">
        <f>IF(M487=1,IF(COUNTIFS(LOG!$C$2:$C$2001,F487,LOG!$E$2:$E$2001,B487,LOG!$D$2:$D$2001,"BOOKED")+COUNTIFS(LOG!$C$2:$C$2001,F487,LOG!$E$2:$E$2001,"",LOG!$D$2:$D$2001,"BOOKED")&gt;0,1,0),0)</f>
        <v>0</v>
      </c>
      <c r="AQ487" s="28" t="str">
        <f t="shared" si="85"/>
        <v>Reyansh</v>
      </c>
      <c r="AR487" s="28">
        <f>IF(AND(AK487=1,K487="OK"),COUNTIFS($AK$2:AK487,1,$K$2:K487,"OK"),"")</f>
        <v>395</v>
      </c>
      <c r="AS487" s="28" t="str">
        <f>IF(L487=1,IFERROR(INDEX(MESSAGES!$J$9:$J$1008,MATCH(F487,MESSAGES!$M$9:$M$1008,0))&amp;"",""),"")</f>
        <v/>
      </c>
      <c r="AT487" s="28" t="str">
        <f>IF(L487=1,IFERROR(INDEX(MESSAGES!$K$9:$K$1008,MATCH(F487,MESSAGES!$M$9:$M$1008,0))&amp;"",""),"")</f>
        <v/>
      </c>
      <c r="AU487" s="28">
        <f t="shared" ca="1" si="86"/>
        <v>0</v>
      </c>
      <c r="AV487" s="28" t="str">
        <f t="shared" si="87"/>
        <v>HOLD</v>
      </c>
    </row>
    <row r="488" spans="1:48" x14ac:dyDescent="0.35">
      <c r="A488" s="28">
        <v>487</v>
      </c>
      <c r="B488" s="28" t="str">
        <f>IF(INPUT!A488="","",TRIM(INPUT!A488))</f>
        <v>Partner 000</v>
      </c>
      <c r="C488" s="28" t="str">
        <f>IF(B488="","",INPUT!C488)</f>
        <v>interviewer1@partner000.example.com</v>
      </c>
      <c r="D488" s="28" t="str">
        <f>IF(B488="","",INPUT!D488)</f>
        <v>Meera A.</v>
      </c>
      <c r="E488" s="28" t="str">
        <f>IF(B488="","",INPUT!E488)</f>
        <v>meera.a007@example.com</v>
      </c>
      <c r="F488" s="43" t="str">
        <f>IF(B488="","",TRIM(INPUT!F488&amp;""))</f>
        <v>9000000098</v>
      </c>
      <c r="G488" s="28" t="str">
        <f>IF(B488="","",INPUT!H488)</f>
        <v>Round1</v>
      </c>
      <c r="H488" s="46">
        <f>IF(B488="","",INPUT!I488)</f>
        <v>46308.82708333333</v>
      </c>
      <c r="I488" s="28" t="str">
        <f>IF(B488="","",IF(INPUT!J488="","None",INPUT!J488))</f>
        <v>None</v>
      </c>
      <c r="J488" s="28" t="str">
        <f t="shared" si="77"/>
        <v>meera.a007@example.com|partner 000|Round1|interviewer1@partner000.example.com</v>
      </c>
      <c r="K488" s="28" t="str">
        <f>IF(B488="","",IF(SUMPRODUCT(($J$2:$J$601=J488)*($H$2:$H$601&lt;H488))+SUMPRODUCT(($J$2:J488=J488)*($H$2:H488=H488))-1&gt;0,"DUPLICATE",IF(AND(ISNUMBER(SEARCH("@",E488)),ISNUMBER(SEARCH(".",E488)),LEN(F488)=10,ISNUMBER(VALUE(F488))),"OK","BAD CONTACT")))</f>
        <v>OK</v>
      </c>
      <c r="L488" s="28">
        <f t="shared" si="78"/>
        <v>1</v>
      </c>
      <c r="M488" s="28">
        <f>IF(L488=1,IF(COUNTIFS(LOG!$C$2:$C$2001,F488,LOG!$E$2:$E$2001,B488,LOG!$D$2:$D$2001,"*BOOKED")+COUNTIFS(LOG!$C$2:$C$2001,F488,LOG!$E$2:$E$2001,"",LOG!$D$2:$D$2001,"*BOOKED")&gt;0,1,0),0)</f>
        <v>0</v>
      </c>
      <c r="N488" s="28">
        <f>IF(L488=1,IF(COUNTIFS(LOG!$C$2:$C$2001,F488,LOG!$E$2:$E$2001,B488,LOG!$D$2:$D$2001,"NOT_INTERESTED")+COUNTIFS(LOG!$C$2:$C$2001,F488,LOG!$E$2:$E$2001,"",LOG!$D$2:$D$2001,"NOT_INTERESTED")&gt;0,1,0),0)</f>
        <v>0</v>
      </c>
      <c r="O488" s="28">
        <f>IF(L488=1,IF(COUNTIFS(LOG!$C$2:$C$2001,F488,LOG!$D$2:$D$2001,"STOP")+COUNTIFS(LOG!$C$2:$C$2001,F488,LOG!$D$2:$D$2001,"WRONG_NUMBER")&gt;0,1,IF(ISNUMBER(SEARCH("STOP",AT488)),1,0)),0)</f>
        <v>0</v>
      </c>
      <c r="P488" s="28">
        <f>IF(L488=1,IF(IFERROR(INDEX(PARTNERS!$D$2:$D$88,MATCH(B488,PARTNERS!$A$2:$A$88,0)),"")="NO SLOTS",1,IF(AND(IFERROR(INDEX(PARTNERS!$D$2:$D$88,MATCH(B488,PARTNERS!$A$2:$A$88,0)),"")&lt;&gt;"REOPENED",COUNTIFS(LOG!$E$2:$E$2001,B488,LOG!$D$2:$D$2001,"NO_SLOTS")&gt;0),1,0)),0)</f>
        <v>0</v>
      </c>
      <c r="Q488" s="28">
        <f>IF(L488=1,COUNTIFS(LOG!$C$2:$C$2001,F488,LOG!$H$2:$H$2001,1),0)</f>
        <v>0</v>
      </c>
      <c r="R488" s="46">
        <f>IF(Q488&gt;0,_xlfn.MAXIFS(LOG!$G$2:$G$2001,LOG!$C$2:$C$2001,F488,LOG!$H$2:$H$2001,1),0)</f>
        <v>0</v>
      </c>
      <c r="S488" s="28" t="str">
        <f>IF(Q488&gt;0,IFERROR(INDEX(LOG!$D$2:$D$2001,MATCH(F488&amp;"|"&amp;Q488,LOG!$I$2:$I$2001,0)),""),"")</f>
        <v/>
      </c>
      <c r="T488" s="28">
        <f>IF(S488="",0,IFERROR(VLOOKUP(S488,LISTS!$A$2:$E$10,4,FALSE),0))</f>
        <v>0</v>
      </c>
      <c r="U488" s="46">
        <f t="shared" si="79"/>
        <v>0</v>
      </c>
      <c r="V488" s="46">
        <f>IF(L488=1,H488+SETTINGS!$B$5/24,"")</f>
        <v>46309.82708333333</v>
      </c>
      <c r="W488" s="28">
        <f ca="1">IF(L488=1,(V488-SETTINGS!$B$4)*24,"")</f>
        <v>-1.6666666720993817E-2</v>
      </c>
      <c r="X488" s="28">
        <f ca="1">IF(AND(L488=1,K488="OK",M488=0,N488=0,O488=0,P488=0,SETTINGS!$B$4&lt;V488,Q488&lt;SETTINGS!$B$6),1,0)</f>
        <v>0</v>
      </c>
      <c r="Y488" s="28">
        <f ca="1">IF(AND(X488=1,SETTINGS!$B$4&gt;=H488,SETTINGS!$B$4&gt;=U488,ROUND(MOD(SETTINGS!$B$4,1)*1440,0)&gt;=ROUND(SETTINGS!$B$7*1440,0),ROUND(MOD(SETTINGS!$B$4,1)*1440,0)&lt;ROUND(SETTINGS!$B$8*1440,0)),1,0)</f>
        <v>0</v>
      </c>
      <c r="Z488" s="28" t="str">
        <f ca="1">IF(B488="","",IF(ROUND(MOD(SETTINGS!$B$4,1)*1440,0)&lt;ROUND(SETTINGS!$B$11*1440,0),"Ram",IF(ROUND(MOD(SETTINGS!$B$4,1)*1440,0)&gt;=ROUND(SETTINGS!$B$10*1440,0),"Shyam",IF(MOD(IFERROR(VALUE(RIGHT(F488,2)),0),2)=0,"Ram","Shyam"))))</f>
        <v>Shyam</v>
      </c>
      <c r="AA488" s="28">
        <f t="shared" ca="1" si="80"/>
        <v>0</v>
      </c>
      <c r="AB488" s="28">
        <f ca="1">IF(X488=1,COUNTIFS($F$2:F488,F488,$X$2:X488,1),0)</f>
        <v>0</v>
      </c>
      <c r="AC488" s="28" t="str">
        <f>IF(L488=1,IF(IFERROR(INDEX(PARTNERS!$C$2:$C$88,MATCH(B488,PARTNERS!$A$2:$A$88,0)),"")="YES","YES","NO"),"")</f>
        <v>NO</v>
      </c>
      <c r="AD488" s="28" t="str">
        <f>IF(L488=1,IFERROR(INDEX(PARTNERS!$B$2:$B$88,MATCH(B488,PARTNERS!$A$2:$A$88,0)),""),"")</f>
        <v>https://calendly.com/partner000/interview</v>
      </c>
      <c r="AE488" s="28">
        <f ca="1">IF(X488=1,IFERROR(INDEX(SETTINGS!$B$34:$D$36,MATCH(I488,SETTINGS!$A$34:$A$36,0),MIN(Q488,2)+1),SETTINGS!$B$36),0)</f>
        <v>0</v>
      </c>
      <c r="AF488" s="28">
        <f t="shared" si="81"/>
        <v>1</v>
      </c>
      <c r="AG488" s="28">
        <f ca="1">IF(AND(Y488=1,AB488=1),ROUND(AA488*AE488*IF(AF488&gt;1,SETTINGS!$B$16,1)*IF(W488&lt;=SETTINGS!$B$14,SETTINGS!$B$15,1)*IF(AU488=1,SETTINGS!$B$21,1),6),0)</f>
        <v>0</v>
      </c>
      <c r="AH488" s="28" t="str">
        <f ca="1">IF(AG488&gt;0,COUNTIFS($Z$2:$Z$601,Z488,$AG$2:$AG$601,"&gt;"&amp;AG488)+COUNTIFS($Z$2:Z488,Z488,$AG$2:AG488,AG488),"")</f>
        <v/>
      </c>
      <c r="AI488" s="28" t="str">
        <f t="shared" ca="1" si="82"/>
        <v/>
      </c>
      <c r="AJ488" s="28" t="str">
        <f t="shared" ca="1" si="83"/>
        <v/>
      </c>
      <c r="AK488" s="28">
        <f>IF(L488=1,IF(COUNTIFS($F$2:F488,F488,$L$2:L488,1)=1,1,0),0)</f>
        <v>1</v>
      </c>
      <c r="AL488" s="28" t="str">
        <f ca="1">IF(B488="","",IF(K488="DUPLICATE","Duplicate (removed)",IF(AO488=1,"Scheduled within 24h",IF(M488=1,"Scheduled late",IF(K488="BAD CONTACT","Bad contact details",IF(O488=1,"Stopped / wrong number",IF(N488=1,"Not interested",IF(P488=1,"Partner has no slots",IF(SETTINGS!$B$4&gt;=V488,IF(Q488=0,"Missed deadline: never tried","Missed deadline: tried, not booked"),IF(Q488&gt;=SETTINGS!$B$6,"No reply after max tries","Open"))))))))))</f>
        <v>Missed deadline: never tried</v>
      </c>
      <c r="AM488" s="46" t="str">
        <f>IF(M488=1,IF(_xlfn.MINIFS(LOG!$G$2:$G$2001,LOG!$C$2:$C$2001,F488,LOG!$E$2:$E$2001,B488,LOG!$D$2:$D$2001,"*BOOKED")=0,_xlfn.MINIFS(LOG!$G$2:$G$2001,LOG!$C$2:$C$2001,F488,LOG!$E$2:$E$2001,"",LOG!$D$2:$D$2001,"*BOOKED"),IF(_xlfn.MINIFS(LOG!$G$2:$G$2001,LOG!$C$2:$C$2001,F488,LOG!$E$2:$E$2001,"",LOG!$D$2:$D$2001,"*BOOKED")=0,_xlfn.MINIFS(LOG!$G$2:$G$2001,LOG!$C$2:$C$2001,F488,LOG!$E$2:$E$2001,B488,LOG!$D$2:$D$2001,"*BOOKED"),MIN(_xlfn.MINIFS(LOG!$G$2:$G$2001,LOG!$C$2:$C$2001,F488,LOG!$E$2:$E$2001,B488,LOG!$D$2:$D$2001,"*BOOKED"),_xlfn.MINIFS(LOG!$G$2:$G$2001,LOG!$C$2:$C$2001,F488,LOG!$E$2:$E$2001,"",LOG!$D$2:$D$2001,"*BOOKED")))),"")</f>
        <v/>
      </c>
      <c r="AN488" s="28" t="str">
        <f t="shared" si="84"/>
        <v/>
      </c>
      <c r="AO488" s="28">
        <f>IF(AND(M488=1,AN488&lt;&gt;""),IF(AN488&lt;=SETTINGS!$B$5,1,0),0)</f>
        <v>0</v>
      </c>
      <c r="AP488" s="28">
        <f>IF(M488=1,IF(COUNTIFS(LOG!$C$2:$C$2001,F488,LOG!$E$2:$E$2001,B488,LOG!$D$2:$D$2001,"BOOKED")+COUNTIFS(LOG!$C$2:$C$2001,F488,LOG!$E$2:$E$2001,"",LOG!$D$2:$D$2001,"BOOKED")&gt;0,1,0),0)</f>
        <v>0</v>
      </c>
      <c r="AQ488" s="28" t="str">
        <f t="shared" si="85"/>
        <v>Meera</v>
      </c>
      <c r="AR488" s="28">
        <f>IF(AND(AK488=1,K488="OK"),COUNTIFS($AK$2:AK488,1,$K$2:K488,"OK"),"")</f>
        <v>396</v>
      </c>
      <c r="AS488" s="28" t="str">
        <f>IF(L488=1,IFERROR(INDEX(MESSAGES!$J$9:$J$1008,MATCH(F488,MESSAGES!$M$9:$M$1008,0))&amp;"",""),"")</f>
        <v/>
      </c>
      <c r="AT488" s="28" t="str">
        <f>IF(L488=1,IFERROR(INDEX(MESSAGES!$K$9:$K$1008,MATCH(F488,MESSAGES!$M$9:$M$1008,0))&amp;"",""),"")</f>
        <v/>
      </c>
      <c r="AU488" s="28">
        <f t="shared" ca="1" si="86"/>
        <v>0</v>
      </c>
      <c r="AV488" s="28" t="str">
        <f t="shared" si="87"/>
        <v>HOLD</v>
      </c>
    </row>
    <row r="489" spans="1:48" x14ac:dyDescent="0.35">
      <c r="A489" s="28">
        <v>488</v>
      </c>
      <c r="B489" s="28" t="str">
        <f>IF(INPUT!A489="","",TRIM(INPUT!A489))</f>
        <v>Partner 062</v>
      </c>
      <c r="C489" s="28" t="str">
        <f>IF(B489="","",INPUT!C489)</f>
        <v>interviewer1@partner062.example.com</v>
      </c>
      <c r="D489" s="28" t="str">
        <f>IF(B489="","",INPUT!D489)</f>
        <v>Kabir B.</v>
      </c>
      <c r="E489" s="28" t="str">
        <f>IF(B489="","",INPUT!E489)</f>
        <v>kabir.b032@example.com</v>
      </c>
      <c r="F489" s="43" t="str">
        <f>IF(B489="","",TRIM(INPUT!F489&amp;""))</f>
        <v>9000000423</v>
      </c>
      <c r="G489" s="28" t="str">
        <f>IF(B489="","",INPUT!H489)</f>
        <v>Round1</v>
      </c>
      <c r="H489" s="46">
        <f>IF(B489="","",INPUT!I489)</f>
        <v>46308.82708333333</v>
      </c>
      <c r="I489" s="28" t="str">
        <f>IF(B489="","",IF(INPUT!J489="","None",INPUT!J489))</f>
        <v>Clicked</v>
      </c>
      <c r="J489" s="28" t="str">
        <f t="shared" si="77"/>
        <v>kabir.b032@example.com|partner 062|Round1|interviewer1@partner062.example.com</v>
      </c>
      <c r="K489" s="28" t="str">
        <f>IF(B489="","",IF(SUMPRODUCT(($J$2:$J$601=J489)*($H$2:$H$601&lt;H489))+SUMPRODUCT(($J$2:J489=J489)*($H$2:H489=H489))-1&gt;0,"DUPLICATE",IF(AND(ISNUMBER(SEARCH("@",E489)),ISNUMBER(SEARCH(".",E489)),LEN(F489)=10,ISNUMBER(VALUE(F489))),"OK","BAD CONTACT")))</f>
        <v>OK</v>
      </c>
      <c r="L489" s="28">
        <f t="shared" si="78"/>
        <v>1</v>
      </c>
      <c r="M489" s="28">
        <f>IF(L489=1,IF(COUNTIFS(LOG!$C$2:$C$2001,F489,LOG!$E$2:$E$2001,B489,LOG!$D$2:$D$2001,"*BOOKED")+COUNTIFS(LOG!$C$2:$C$2001,F489,LOG!$E$2:$E$2001,"",LOG!$D$2:$D$2001,"*BOOKED")&gt;0,1,0),0)</f>
        <v>1</v>
      </c>
      <c r="N489" s="28">
        <f>IF(L489=1,IF(COUNTIFS(LOG!$C$2:$C$2001,F489,LOG!$E$2:$E$2001,B489,LOG!$D$2:$D$2001,"NOT_INTERESTED")+COUNTIFS(LOG!$C$2:$C$2001,F489,LOG!$E$2:$E$2001,"",LOG!$D$2:$D$2001,"NOT_INTERESTED")&gt;0,1,0),0)</f>
        <v>0</v>
      </c>
      <c r="O489" s="28">
        <f>IF(L489=1,IF(COUNTIFS(LOG!$C$2:$C$2001,F489,LOG!$D$2:$D$2001,"STOP")+COUNTIFS(LOG!$C$2:$C$2001,F489,LOG!$D$2:$D$2001,"WRONG_NUMBER")&gt;0,1,IF(ISNUMBER(SEARCH("STOP",AT489)),1,0)),0)</f>
        <v>0</v>
      </c>
      <c r="P489" s="28">
        <f>IF(L489=1,IF(IFERROR(INDEX(PARTNERS!$D$2:$D$88,MATCH(B489,PARTNERS!$A$2:$A$88,0)),"")="NO SLOTS",1,IF(AND(IFERROR(INDEX(PARTNERS!$D$2:$D$88,MATCH(B489,PARTNERS!$A$2:$A$88,0)),"")&lt;&gt;"REOPENED",COUNTIFS(LOG!$E$2:$E$2001,B489,LOG!$D$2:$D$2001,"NO_SLOTS")&gt;0),1,0)),0)</f>
        <v>0</v>
      </c>
      <c r="Q489" s="28">
        <f>IF(L489=1,COUNTIFS(LOG!$C$2:$C$2001,F489,LOG!$H$2:$H$2001,1),0)</f>
        <v>0</v>
      </c>
      <c r="R489" s="46">
        <f>IF(Q489&gt;0,_xlfn.MAXIFS(LOG!$G$2:$G$2001,LOG!$C$2:$C$2001,F489,LOG!$H$2:$H$2001,1),0)</f>
        <v>0</v>
      </c>
      <c r="S489" s="28" t="str">
        <f>IF(Q489&gt;0,IFERROR(INDEX(LOG!$D$2:$D$2001,MATCH(F489&amp;"|"&amp;Q489,LOG!$I$2:$I$2001,0)),""),"")</f>
        <v/>
      </c>
      <c r="T489" s="28">
        <f>IF(S489="",0,IFERROR(VLOOKUP(S489,LISTS!$A$2:$E$10,4,FALSE),0))</f>
        <v>0</v>
      </c>
      <c r="U489" s="46">
        <f t="shared" si="79"/>
        <v>0</v>
      </c>
      <c r="V489" s="46">
        <f>IF(L489=1,H489+SETTINGS!$B$5/24,"")</f>
        <v>46309.82708333333</v>
      </c>
      <c r="W489" s="28">
        <f ca="1">IF(L489=1,(V489-SETTINGS!$B$4)*24,"")</f>
        <v>-1.6666666720993817E-2</v>
      </c>
      <c r="X489" s="28">
        <f ca="1">IF(AND(L489=1,K489="OK",M489=0,N489=0,O489=0,P489=0,SETTINGS!$B$4&lt;V489,Q489&lt;SETTINGS!$B$6),1,0)</f>
        <v>0</v>
      </c>
      <c r="Y489" s="28">
        <f ca="1">IF(AND(X489=1,SETTINGS!$B$4&gt;=H489,SETTINGS!$B$4&gt;=U489,ROUND(MOD(SETTINGS!$B$4,1)*1440,0)&gt;=ROUND(SETTINGS!$B$7*1440,0),ROUND(MOD(SETTINGS!$B$4,1)*1440,0)&lt;ROUND(SETTINGS!$B$8*1440,0)),1,0)</f>
        <v>0</v>
      </c>
      <c r="Z489" s="28" t="str">
        <f ca="1">IF(B489="","",IF(ROUND(MOD(SETTINGS!$B$4,1)*1440,0)&lt;ROUND(SETTINGS!$B$11*1440,0),"Ram",IF(ROUND(MOD(SETTINGS!$B$4,1)*1440,0)&gt;=ROUND(SETTINGS!$B$10*1440,0),"Shyam",IF(MOD(IFERROR(VALUE(RIGHT(F489,2)),0),2)=0,"Ram","Shyam"))))</f>
        <v>Shyam</v>
      </c>
      <c r="AA489" s="28">
        <f t="shared" ca="1" si="80"/>
        <v>0</v>
      </c>
      <c r="AB489" s="28">
        <f ca="1">IF(X489=1,COUNTIFS($F$2:F489,F489,$X$2:X489,1),0)</f>
        <v>0</v>
      </c>
      <c r="AC489" s="28" t="str">
        <f>IF(L489=1,IF(IFERROR(INDEX(PARTNERS!$C$2:$C$88,MATCH(B489,PARTNERS!$A$2:$A$88,0)),"")="YES","YES","NO"),"")</f>
        <v>YES</v>
      </c>
      <c r="AD489" s="28" t="str">
        <f>IF(L489=1,IFERROR(INDEX(PARTNERS!$B$2:$B$88,MATCH(B489,PARTNERS!$A$2:$A$88,0)),""),"")</f>
        <v>https://calendly.com/partner062/interview</v>
      </c>
      <c r="AE489" s="28">
        <f ca="1">IF(X489=1,IFERROR(INDEX(SETTINGS!$B$34:$D$36,MATCH(I489,SETTINGS!$A$34:$A$36,0),MIN(Q489,2)+1),SETTINGS!$B$36),0)</f>
        <v>0</v>
      </c>
      <c r="AF489" s="28">
        <f t="shared" si="81"/>
        <v>1</v>
      </c>
      <c r="AG489" s="28">
        <f ca="1">IF(AND(Y489=1,AB489=1),ROUND(AA489*AE489*IF(AF489&gt;1,SETTINGS!$B$16,1)*IF(W489&lt;=SETTINGS!$B$14,SETTINGS!$B$15,1)*IF(AU489=1,SETTINGS!$B$21,1),6),0)</f>
        <v>0</v>
      </c>
      <c r="AH489" s="28" t="str">
        <f ca="1">IF(AG489&gt;0,COUNTIFS($Z$2:$Z$601,Z489,$AG$2:$AG$601,"&gt;"&amp;AG489)+COUNTIFS($Z$2:Z489,Z489,$AG$2:AG489,AG489),"")</f>
        <v/>
      </c>
      <c r="AI489" s="28" t="str">
        <f t="shared" ca="1" si="82"/>
        <v/>
      </c>
      <c r="AJ489" s="28" t="str">
        <f t="shared" ca="1" si="83"/>
        <v/>
      </c>
      <c r="AK489" s="28">
        <f>IF(L489=1,IF(COUNTIFS($F$2:F489,F489,$L$2:L489,1)=1,1,0),0)</f>
        <v>1</v>
      </c>
      <c r="AL489" s="28" t="str">
        <f>IF(B489="","",IF(K489="DUPLICATE","Duplicate (removed)",IF(AO489=1,"Scheduled within 24h",IF(M489=1,"Scheduled late",IF(K489="BAD CONTACT","Bad contact details",IF(O489=1,"Stopped / wrong number",IF(N489=1,"Not interested",IF(P489=1,"Partner has no slots",IF(SETTINGS!$B$4&gt;=V489,IF(Q489=0,"Missed deadline: never tried","Missed deadline: tried, not booked"),IF(Q489&gt;=SETTINGS!$B$6,"No reply after max tries","Open"))))))))))</f>
        <v>Scheduled within 24h</v>
      </c>
      <c r="AM489" s="46">
        <f>IF(M489=1,IF(_xlfn.MINIFS(LOG!$G$2:$G$2001,LOG!$C$2:$C$2001,F489,LOG!$E$2:$E$2001,B489,LOG!$D$2:$D$2001,"*BOOKED")=0,_xlfn.MINIFS(LOG!$G$2:$G$2001,LOG!$C$2:$C$2001,F489,LOG!$E$2:$E$2001,"",LOG!$D$2:$D$2001,"*BOOKED"),IF(_xlfn.MINIFS(LOG!$G$2:$G$2001,LOG!$C$2:$C$2001,F489,LOG!$E$2:$E$2001,"",LOG!$D$2:$D$2001,"*BOOKED")=0,_xlfn.MINIFS(LOG!$G$2:$G$2001,LOG!$C$2:$C$2001,F489,LOG!$E$2:$E$2001,B489,LOG!$D$2:$D$2001,"*BOOKED"),MIN(_xlfn.MINIFS(LOG!$G$2:$G$2001,LOG!$C$2:$C$2001,F489,LOG!$E$2:$E$2001,B489,LOG!$D$2:$D$2001,"*BOOKED"),_xlfn.MINIFS(LOG!$G$2:$G$2001,LOG!$C$2:$C$2001,F489,LOG!$E$2:$E$2001,"",LOG!$D$2:$D$2001,"*BOOKED")))),"")</f>
        <v>46309.40805325353</v>
      </c>
      <c r="AN489" s="28">
        <f t="shared" si="84"/>
        <v>13.943278084800113</v>
      </c>
      <c r="AO489" s="28">
        <f>IF(AND(M489=1,AN489&lt;&gt;""),IF(AN489&lt;=SETTINGS!$B$5,1,0),0)</f>
        <v>1</v>
      </c>
      <c r="AP489" s="28">
        <f>IF(M489=1,IF(COUNTIFS(LOG!$C$2:$C$2001,F489,LOG!$E$2:$E$2001,B489,LOG!$D$2:$D$2001,"BOOKED")+COUNTIFS(LOG!$C$2:$C$2001,F489,LOG!$E$2:$E$2001,"",LOG!$D$2:$D$2001,"BOOKED")&gt;0,1,0),0)</f>
        <v>0</v>
      </c>
      <c r="AQ489" s="28" t="str">
        <f t="shared" si="85"/>
        <v>Kabir</v>
      </c>
      <c r="AR489" s="28">
        <f>IF(AND(AK489=1,K489="OK"),COUNTIFS($AK$2:AK489,1,$K$2:K489,"OK"),"")</f>
        <v>397</v>
      </c>
      <c r="AS489" s="28" t="str">
        <f>IF(L489=1,IFERROR(INDEX(MESSAGES!$J$9:$J$1008,MATCH(F489,MESSAGES!$M$9:$M$1008,0))&amp;"",""),"")</f>
        <v/>
      </c>
      <c r="AT489" s="28" t="str">
        <f>IF(L489=1,IFERROR(INDEX(MESSAGES!$K$9:$K$1008,MATCH(F489,MESSAGES!$M$9:$M$1008,0))&amp;"",""),"")</f>
        <v/>
      </c>
      <c r="AU489" s="28">
        <f t="shared" ca="1" si="86"/>
        <v>0</v>
      </c>
      <c r="AV489" s="28" t="str">
        <f t="shared" si="87"/>
        <v>SEND</v>
      </c>
    </row>
    <row r="490" spans="1:48" x14ac:dyDescent="0.35">
      <c r="A490" s="28">
        <v>489</v>
      </c>
      <c r="B490" s="28" t="str">
        <f>IF(INPUT!A490="","",TRIM(INPUT!A490))</f>
        <v>Partner 004</v>
      </c>
      <c r="C490" s="28" t="str">
        <f>IF(B490="","",INPUT!C490)</f>
        <v>interviewer1@partner004.example.com</v>
      </c>
      <c r="D490" s="28" t="str">
        <f>IF(B490="","",INPUT!D490)</f>
        <v>Manav B.</v>
      </c>
      <c r="E490" s="28" t="str">
        <f>IF(B490="","",INPUT!E490)</f>
        <v>manav.b054@example.com</v>
      </c>
      <c r="F490" s="43" t="str">
        <f>IF(B490="","",TRIM(INPUT!F490&amp;""))</f>
        <v>9000000709</v>
      </c>
      <c r="G490" s="28" t="str">
        <f>IF(B490="","",INPUT!H490)</f>
        <v>Round1</v>
      </c>
      <c r="H490" s="46">
        <f>IF(B490="","",INPUT!I490)</f>
        <v>46308.82708333333</v>
      </c>
      <c r="I490" s="28" t="str">
        <f>IF(B490="","",IF(INPUT!J490="","None",INPUT!J490))</f>
        <v>Opened</v>
      </c>
      <c r="J490" s="28" t="str">
        <f t="shared" si="77"/>
        <v>manav.b054@example.com|partner 004|Round1|interviewer1@partner004.example.com</v>
      </c>
      <c r="K490" s="28" t="str">
        <f>IF(B490="","",IF(SUMPRODUCT(($J$2:$J$601=J490)*($H$2:$H$601&lt;H490))+SUMPRODUCT(($J$2:J490=J490)*($H$2:H490=H490))-1&gt;0,"DUPLICATE",IF(AND(ISNUMBER(SEARCH("@",E490)),ISNUMBER(SEARCH(".",E490)),LEN(F490)=10,ISNUMBER(VALUE(F490))),"OK","BAD CONTACT")))</f>
        <v>OK</v>
      </c>
      <c r="L490" s="28">
        <f t="shared" si="78"/>
        <v>1</v>
      </c>
      <c r="M490" s="28">
        <f>IF(L490=1,IF(COUNTIFS(LOG!$C$2:$C$2001,F490,LOG!$E$2:$E$2001,B490,LOG!$D$2:$D$2001,"*BOOKED")+COUNTIFS(LOG!$C$2:$C$2001,F490,LOG!$E$2:$E$2001,"",LOG!$D$2:$D$2001,"*BOOKED")&gt;0,1,0),0)</f>
        <v>0</v>
      </c>
      <c r="N490" s="28">
        <f>IF(L490=1,IF(COUNTIFS(LOG!$C$2:$C$2001,F490,LOG!$E$2:$E$2001,B490,LOG!$D$2:$D$2001,"NOT_INTERESTED")+COUNTIFS(LOG!$C$2:$C$2001,F490,LOG!$E$2:$E$2001,"",LOG!$D$2:$D$2001,"NOT_INTERESTED")&gt;0,1,0),0)</f>
        <v>0</v>
      </c>
      <c r="O490" s="28">
        <f>IF(L490=1,IF(COUNTIFS(LOG!$C$2:$C$2001,F490,LOG!$D$2:$D$2001,"STOP")+COUNTIFS(LOG!$C$2:$C$2001,F490,LOG!$D$2:$D$2001,"WRONG_NUMBER")&gt;0,1,IF(ISNUMBER(SEARCH("STOP",AT490)),1,0)),0)</f>
        <v>0</v>
      </c>
      <c r="P490" s="28">
        <f>IF(L490=1,IF(IFERROR(INDEX(PARTNERS!$D$2:$D$88,MATCH(B490,PARTNERS!$A$2:$A$88,0)),"")="NO SLOTS",1,IF(AND(IFERROR(INDEX(PARTNERS!$D$2:$D$88,MATCH(B490,PARTNERS!$A$2:$A$88,0)),"")&lt;&gt;"REOPENED",COUNTIFS(LOG!$E$2:$E$2001,B490,LOG!$D$2:$D$2001,"NO_SLOTS")&gt;0),1,0)),0)</f>
        <v>0</v>
      </c>
      <c r="Q490" s="28">
        <f>IF(L490=1,COUNTIFS(LOG!$C$2:$C$2001,F490,LOG!$H$2:$H$2001,1),0)</f>
        <v>0</v>
      </c>
      <c r="R490" s="46">
        <f>IF(Q490&gt;0,_xlfn.MAXIFS(LOG!$G$2:$G$2001,LOG!$C$2:$C$2001,F490,LOG!$H$2:$H$2001,1),0)</f>
        <v>0</v>
      </c>
      <c r="S490" s="28" t="str">
        <f>IF(Q490&gt;0,IFERROR(INDEX(LOG!$D$2:$D$2001,MATCH(F490&amp;"|"&amp;Q490,LOG!$I$2:$I$2001,0)),""),"")</f>
        <v/>
      </c>
      <c r="T490" s="28">
        <f>IF(S490="",0,IFERROR(VLOOKUP(S490,LISTS!$A$2:$E$10,4,FALSE),0))</f>
        <v>0</v>
      </c>
      <c r="U490" s="46">
        <f t="shared" si="79"/>
        <v>0</v>
      </c>
      <c r="V490" s="46">
        <f>IF(L490=1,H490+SETTINGS!$B$5/24,"")</f>
        <v>46309.82708333333</v>
      </c>
      <c r="W490" s="28">
        <f ca="1">IF(L490=1,(V490-SETTINGS!$B$4)*24,"")</f>
        <v>-1.6666666720993817E-2</v>
      </c>
      <c r="X490" s="28">
        <f ca="1">IF(AND(L490=1,K490="OK",M490=0,N490=0,O490=0,P490=0,SETTINGS!$B$4&lt;V490,Q490&lt;SETTINGS!$B$6),1,0)</f>
        <v>0</v>
      </c>
      <c r="Y490" s="28">
        <f ca="1">IF(AND(X490=1,SETTINGS!$B$4&gt;=H490,SETTINGS!$B$4&gt;=U490,ROUND(MOD(SETTINGS!$B$4,1)*1440,0)&gt;=ROUND(SETTINGS!$B$7*1440,0),ROUND(MOD(SETTINGS!$B$4,1)*1440,0)&lt;ROUND(SETTINGS!$B$8*1440,0)),1,0)</f>
        <v>0</v>
      </c>
      <c r="Z490" s="28" t="str">
        <f ca="1">IF(B490="","",IF(ROUND(MOD(SETTINGS!$B$4,1)*1440,0)&lt;ROUND(SETTINGS!$B$11*1440,0),"Ram",IF(ROUND(MOD(SETTINGS!$B$4,1)*1440,0)&gt;=ROUND(SETTINGS!$B$10*1440,0),"Shyam",IF(MOD(IFERROR(VALUE(RIGHT(F490,2)),0),2)=0,"Ram","Shyam"))))</f>
        <v>Shyam</v>
      </c>
      <c r="AA490" s="28">
        <f t="shared" ca="1" si="80"/>
        <v>0</v>
      </c>
      <c r="AB490" s="28">
        <f ca="1">IF(X490=1,COUNTIFS($F$2:F490,F490,$X$2:X490,1),0)</f>
        <v>0</v>
      </c>
      <c r="AC490" s="28" t="str">
        <f>IF(L490=1,IF(IFERROR(INDEX(PARTNERS!$C$2:$C$88,MATCH(B490,PARTNERS!$A$2:$A$88,0)),"")="YES","YES","NO"),"")</f>
        <v>YES</v>
      </c>
      <c r="AD490" s="28" t="str">
        <f>IF(L490=1,IFERROR(INDEX(PARTNERS!$B$2:$B$88,MATCH(B490,PARTNERS!$A$2:$A$88,0)),""),"")</f>
        <v>https://calendly.com/partner004/interview</v>
      </c>
      <c r="AE490" s="28">
        <f ca="1">IF(X490=1,IFERROR(INDEX(SETTINGS!$B$34:$D$36,MATCH(I490,SETTINGS!$A$34:$A$36,0),MIN(Q490,2)+1),SETTINGS!$B$36),0)</f>
        <v>0</v>
      </c>
      <c r="AF490" s="28">
        <f t="shared" si="81"/>
        <v>1</v>
      </c>
      <c r="AG490" s="28">
        <f ca="1">IF(AND(Y490=1,AB490=1),ROUND(AA490*AE490*IF(AF490&gt;1,SETTINGS!$B$16,1)*IF(W490&lt;=SETTINGS!$B$14,SETTINGS!$B$15,1)*IF(AU490=1,SETTINGS!$B$21,1),6),0)</f>
        <v>0</v>
      </c>
      <c r="AH490" s="28" t="str">
        <f ca="1">IF(AG490&gt;0,COUNTIFS($Z$2:$Z$601,Z490,$AG$2:$AG$601,"&gt;"&amp;AG490)+COUNTIFS($Z$2:Z490,Z490,$AG$2:AG490,AG490),"")</f>
        <v/>
      </c>
      <c r="AI490" s="28" t="str">
        <f t="shared" ca="1" si="82"/>
        <v/>
      </c>
      <c r="AJ490" s="28" t="str">
        <f t="shared" ca="1" si="83"/>
        <v/>
      </c>
      <c r="AK490" s="28">
        <f>IF(L490=1,IF(COUNTIFS($F$2:F490,F490,$L$2:L490,1)=1,1,0),0)</f>
        <v>1</v>
      </c>
      <c r="AL490" s="28" t="str">
        <f ca="1">IF(B490="","",IF(K490="DUPLICATE","Duplicate (removed)",IF(AO490=1,"Scheduled within 24h",IF(M490=1,"Scheduled late",IF(K490="BAD CONTACT","Bad contact details",IF(O490=1,"Stopped / wrong number",IF(N490=1,"Not interested",IF(P490=1,"Partner has no slots",IF(SETTINGS!$B$4&gt;=V490,IF(Q490=0,"Missed deadline: never tried","Missed deadline: tried, not booked"),IF(Q490&gt;=SETTINGS!$B$6,"No reply after max tries","Open"))))))))))</f>
        <v>Missed deadline: never tried</v>
      </c>
      <c r="AM490" s="46" t="str">
        <f>IF(M490=1,IF(_xlfn.MINIFS(LOG!$G$2:$G$2001,LOG!$C$2:$C$2001,F490,LOG!$E$2:$E$2001,B490,LOG!$D$2:$D$2001,"*BOOKED")=0,_xlfn.MINIFS(LOG!$G$2:$G$2001,LOG!$C$2:$C$2001,F490,LOG!$E$2:$E$2001,"",LOG!$D$2:$D$2001,"*BOOKED"),IF(_xlfn.MINIFS(LOG!$G$2:$G$2001,LOG!$C$2:$C$2001,F490,LOG!$E$2:$E$2001,"",LOG!$D$2:$D$2001,"*BOOKED")=0,_xlfn.MINIFS(LOG!$G$2:$G$2001,LOG!$C$2:$C$2001,F490,LOG!$E$2:$E$2001,B490,LOG!$D$2:$D$2001,"*BOOKED"),MIN(_xlfn.MINIFS(LOG!$G$2:$G$2001,LOG!$C$2:$C$2001,F490,LOG!$E$2:$E$2001,B490,LOG!$D$2:$D$2001,"*BOOKED"),_xlfn.MINIFS(LOG!$G$2:$G$2001,LOG!$C$2:$C$2001,F490,LOG!$E$2:$E$2001,"",LOG!$D$2:$D$2001,"*BOOKED")))),"")</f>
        <v/>
      </c>
      <c r="AN490" s="28" t="str">
        <f t="shared" si="84"/>
        <v/>
      </c>
      <c r="AO490" s="28">
        <f>IF(AND(M490=1,AN490&lt;&gt;""),IF(AN490&lt;=SETTINGS!$B$5,1,0),0)</f>
        <v>0</v>
      </c>
      <c r="AP490" s="28">
        <f>IF(M490=1,IF(COUNTIFS(LOG!$C$2:$C$2001,F490,LOG!$E$2:$E$2001,B490,LOG!$D$2:$D$2001,"BOOKED")+COUNTIFS(LOG!$C$2:$C$2001,F490,LOG!$E$2:$E$2001,"",LOG!$D$2:$D$2001,"BOOKED")&gt;0,1,0),0)</f>
        <v>0</v>
      </c>
      <c r="AQ490" s="28" t="str">
        <f t="shared" si="85"/>
        <v>Manav</v>
      </c>
      <c r="AR490" s="28">
        <f>IF(AND(AK490=1,K490="OK"),COUNTIFS($AK$2:AK490,1,$K$2:K490,"OK"),"")</f>
        <v>398</v>
      </c>
      <c r="AS490" s="28" t="str">
        <f>IF(L490=1,IFERROR(INDEX(MESSAGES!$J$9:$J$1008,MATCH(F490,MESSAGES!$M$9:$M$1008,0))&amp;"",""),"")</f>
        <v/>
      </c>
      <c r="AT490" s="28" t="str">
        <f>IF(L490=1,IFERROR(INDEX(MESSAGES!$K$9:$K$1008,MATCH(F490,MESSAGES!$M$9:$M$1008,0))&amp;"",""),"")</f>
        <v/>
      </c>
      <c r="AU490" s="28">
        <f t="shared" ca="1" si="86"/>
        <v>0</v>
      </c>
      <c r="AV490" s="28" t="str">
        <f t="shared" si="87"/>
        <v>SEND</v>
      </c>
    </row>
    <row r="491" spans="1:48" x14ac:dyDescent="0.35">
      <c r="A491" s="28">
        <v>490</v>
      </c>
      <c r="B491" s="28" t="str">
        <f>IF(INPUT!A491="","",TRIM(INPUT!A491))</f>
        <v>Partner 001</v>
      </c>
      <c r="C491" s="28" t="str">
        <f>IF(B491="","",INPUT!C491)</f>
        <v>interviewer0@partner001.example.com</v>
      </c>
      <c r="D491" s="28" t="str">
        <f>IF(B491="","",INPUT!D491)</f>
        <v>Rahul G.</v>
      </c>
      <c r="E491" s="28" t="str">
        <f>IF(B491="","",INPUT!E491)</f>
        <v>rahul.g206@example.com</v>
      </c>
      <c r="F491" s="43" t="str">
        <f>IF(B491="","",TRIM(INPUT!F491&amp;""))</f>
        <v>9000002685</v>
      </c>
      <c r="G491" s="28" t="str">
        <f>IF(B491="","",INPUT!H491)</f>
        <v>Round1</v>
      </c>
      <c r="H491" s="46">
        <f>IF(B491="","",INPUT!I491)</f>
        <v>46308.82708333333</v>
      </c>
      <c r="I491" s="28" t="str">
        <f>IF(B491="","",IF(INPUT!J491="","None",INPUT!J491))</f>
        <v>Opened</v>
      </c>
      <c r="J491" s="28" t="str">
        <f t="shared" si="77"/>
        <v>rahul.g206@example.com|partner 001|Round1|interviewer0@partner001.example.com</v>
      </c>
      <c r="K491" s="28" t="str">
        <f>IF(B491="","",IF(SUMPRODUCT(($J$2:$J$601=J491)*($H$2:$H$601&lt;H491))+SUMPRODUCT(($J$2:J491=J491)*($H$2:H491=H491))-1&gt;0,"DUPLICATE",IF(AND(ISNUMBER(SEARCH("@",E491)),ISNUMBER(SEARCH(".",E491)),LEN(F491)=10,ISNUMBER(VALUE(F491))),"OK","BAD CONTACT")))</f>
        <v>OK</v>
      </c>
      <c r="L491" s="28">
        <f t="shared" si="78"/>
        <v>1</v>
      </c>
      <c r="M491" s="28">
        <f>IF(L491=1,IF(COUNTIFS(LOG!$C$2:$C$2001,F491,LOG!$E$2:$E$2001,B491,LOG!$D$2:$D$2001,"*BOOKED")+COUNTIFS(LOG!$C$2:$C$2001,F491,LOG!$E$2:$E$2001,"",LOG!$D$2:$D$2001,"*BOOKED")&gt;0,1,0),0)</f>
        <v>0</v>
      </c>
      <c r="N491" s="28">
        <f>IF(L491=1,IF(COUNTIFS(LOG!$C$2:$C$2001,F491,LOG!$E$2:$E$2001,B491,LOG!$D$2:$D$2001,"NOT_INTERESTED")+COUNTIFS(LOG!$C$2:$C$2001,F491,LOG!$E$2:$E$2001,"",LOG!$D$2:$D$2001,"NOT_INTERESTED")&gt;0,1,0),0)</f>
        <v>0</v>
      </c>
      <c r="O491" s="28">
        <f>IF(L491=1,IF(COUNTIFS(LOG!$C$2:$C$2001,F491,LOG!$D$2:$D$2001,"STOP")+COUNTIFS(LOG!$C$2:$C$2001,F491,LOG!$D$2:$D$2001,"WRONG_NUMBER")&gt;0,1,IF(ISNUMBER(SEARCH("STOP",AT491)),1,0)),0)</f>
        <v>0</v>
      </c>
      <c r="P491" s="28">
        <f>IF(L491=1,IF(IFERROR(INDEX(PARTNERS!$D$2:$D$88,MATCH(B491,PARTNERS!$A$2:$A$88,0)),"")="NO SLOTS",1,IF(AND(IFERROR(INDEX(PARTNERS!$D$2:$D$88,MATCH(B491,PARTNERS!$A$2:$A$88,0)),"")&lt;&gt;"REOPENED",COUNTIFS(LOG!$E$2:$E$2001,B491,LOG!$D$2:$D$2001,"NO_SLOTS")&gt;0),1,0)),0)</f>
        <v>0</v>
      </c>
      <c r="Q491" s="28">
        <f>IF(L491=1,COUNTIFS(LOG!$C$2:$C$2001,F491,LOG!$H$2:$H$2001,1),0)</f>
        <v>0</v>
      </c>
      <c r="R491" s="46">
        <f>IF(Q491&gt;0,_xlfn.MAXIFS(LOG!$G$2:$G$2001,LOG!$C$2:$C$2001,F491,LOG!$H$2:$H$2001,1),0)</f>
        <v>0</v>
      </c>
      <c r="S491" s="28" t="str">
        <f>IF(Q491&gt;0,IFERROR(INDEX(LOG!$D$2:$D$2001,MATCH(F491&amp;"|"&amp;Q491,LOG!$I$2:$I$2001,0)),""),"")</f>
        <v/>
      </c>
      <c r="T491" s="28">
        <f>IF(S491="",0,IFERROR(VLOOKUP(S491,LISTS!$A$2:$E$10,4,FALSE),0))</f>
        <v>0</v>
      </c>
      <c r="U491" s="46">
        <f t="shared" si="79"/>
        <v>0</v>
      </c>
      <c r="V491" s="46">
        <f>IF(L491=1,H491+SETTINGS!$B$5/24,"")</f>
        <v>46309.82708333333</v>
      </c>
      <c r="W491" s="28">
        <f ca="1">IF(L491=1,(V491-SETTINGS!$B$4)*24,"")</f>
        <v>-1.6666666720993817E-2</v>
      </c>
      <c r="X491" s="28">
        <f ca="1">IF(AND(L491=1,K491="OK",M491=0,N491=0,O491=0,P491=0,SETTINGS!$B$4&lt;V491,Q491&lt;SETTINGS!$B$6),1,0)</f>
        <v>0</v>
      </c>
      <c r="Y491" s="28">
        <f ca="1">IF(AND(X491=1,SETTINGS!$B$4&gt;=H491,SETTINGS!$B$4&gt;=U491,ROUND(MOD(SETTINGS!$B$4,1)*1440,0)&gt;=ROUND(SETTINGS!$B$7*1440,0),ROUND(MOD(SETTINGS!$B$4,1)*1440,0)&lt;ROUND(SETTINGS!$B$8*1440,0)),1,0)</f>
        <v>0</v>
      </c>
      <c r="Z491" s="28" t="str">
        <f ca="1">IF(B491="","",IF(ROUND(MOD(SETTINGS!$B$4,1)*1440,0)&lt;ROUND(SETTINGS!$B$11*1440,0),"Ram",IF(ROUND(MOD(SETTINGS!$B$4,1)*1440,0)&gt;=ROUND(SETTINGS!$B$10*1440,0),"Shyam",IF(MOD(IFERROR(VALUE(RIGHT(F491,2)),0),2)=0,"Ram","Shyam"))))</f>
        <v>Shyam</v>
      </c>
      <c r="AA491" s="28">
        <f t="shared" ca="1" si="80"/>
        <v>0</v>
      </c>
      <c r="AB491" s="28">
        <f ca="1">IF(X491=1,COUNTIFS($F$2:F491,F491,$X$2:X491,1),0)</f>
        <v>0</v>
      </c>
      <c r="AC491" s="28" t="str">
        <f>IF(L491=1,IF(IFERROR(INDEX(PARTNERS!$C$2:$C$88,MATCH(B491,PARTNERS!$A$2:$A$88,0)),"")="YES","YES","NO"),"")</f>
        <v>NO</v>
      </c>
      <c r="AD491" s="28" t="str">
        <f>IF(L491=1,IFERROR(INDEX(PARTNERS!$B$2:$B$88,MATCH(B491,PARTNERS!$A$2:$A$88,0)),""),"")</f>
        <v>https://calendly.com/partner001/interview</v>
      </c>
      <c r="AE491" s="28">
        <f ca="1">IF(X491=1,IFERROR(INDEX(SETTINGS!$B$34:$D$36,MATCH(I491,SETTINGS!$A$34:$A$36,0),MIN(Q491,2)+1),SETTINGS!$B$36),0)</f>
        <v>0</v>
      </c>
      <c r="AF491" s="28">
        <f t="shared" si="81"/>
        <v>1</v>
      </c>
      <c r="AG491" s="28">
        <f ca="1">IF(AND(Y491=1,AB491=1),ROUND(AA491*AE491*IF(AF491&gt;1,SETTINGS!$B$16,1)*IF(W491&lt;=SETTINGS!$B$14,SETTINGS!$B$15,1)*IF(AU491=1,SETTINGS!$B$21,1),6),0)</f>
        <v>0</v>
      </c>
      <c r="AH491" s="28" t="str">
        <f ca="1">IF(AG491&gt;0,COUNTIFS($Z$2:$Z$601,Z491,$AG$2:$AG$601,"&gt;"&amp;AG491)+COUNTIFS($Z$2:Z491,Z491,$AG$2:AG491,AG491),"")</f>
        <v/>
      </c>
      <c r="AI491" s="28" t="str">
        <f t="shared" ca="1" si="82"/>
        <v/>
      </c>
      <c r="AJ491" s="28" t="str">
        <f t="shared" ca="1" si="83"/>
        <v/>
      </c>
      <c r="AK491" s="28">
        <f>IF(L491=1,IF(COUNTIFS($F$2:F491,F491,$L$2:L491,1)=1,1,0),0)</f>
        <v>1</v>
      </c>
      <c r="AL491" s="28" t="str">
        <f ca="1">IF(B491="","",IF(K491="DUPLICATE","Duplicate (removed)",IF(AO491=1,"Scheduled within 24h",IF(M491=1,"Scheduled late",IF(K491="BAD CONTACT","Bad contact details",IF(O491=1,"Stopped / wrong number",IF(N491=1,"Not interested",IF(P491=1,"Partner has no slots",IF(SETTINGS!$B$4&gt;=V491,IF(Q491=0,"Missed deadline: never tried","Missed deadline: tried, not booked"),IF(Q491&gt;=SETTINGS!$B$6,"No reply after max tries","Open"))))))))))</f>
        <v>Missed deadline: never tried</v>
      </c>
      <c r="AM491" s="46" t="str">
        <f>IF(M491=1,IF(_xlfn.MINIFS(LOG!$G$2:$G$2001,LOG!$C$2:$C$2001,F491,LOG!$E$2:$E$2001,B491,LOG!$D$2:$D$2001,"*BOOKED")=0,_xlfn.MINIFS(LOG!$G$2:$G$2001,LOG!$C$2:$C$2001,F491,LOG!$E$2:$E$2001,"",LOG!$D$2:$D$2001,"*BOOKED"),IF(_xlfn.MINIFS(LOG!$G$2:$G$2001,LOG!$C$2:$C$2001,F491,LOG!$E$2:$E$2001,"",LOG!$D$2:$D$2001,"*BOOKED")=0,_xlfn.MINIFS(LOG!$G$2:$G$2001,LOG!$C$2:$C$2001,F491,LOG!$E$2:$E$2001,B491,LOG!$D$2:$D$2001,"*BOOKED"),MIN(_xlfn.MINIFS(LOG!$G$2:$G$2001,LOG!$C$2:$C$2001,F491,LOG!$E$2:$E$2001,B491,LOG!$D$2:$D$2001,"*BOOKED"),_xlfn.MINIFS(LOG!$G$2:$G$2001,LOG!$C$2:$C$2001,F491,LOG!$E$2:$E$2001,"",LOG!$D$2:$D$2001,"*BOOKED")))),"")</f>
        <v/>
      </c>
      <c r="AN491" s="28" t="str">
        <f t="shared" si="84"/>
        <v/>
      </c>
      <c r="AO491" s="28">
        <f>IF(AND(M491=1,AN491&lt;&gt;""),IF(AN491&lt;=SETTINGS!$B$5,1,0),0)</f>
        <v>0</v>
      </c>
      <c r="AP491" s="28">
        <f>IF(M491=1,IF(COUNTIFS(LOG!$C$2:$C$2001,F491,LOG!$E$2:$E$2001,B491,LOG!$D$2:$D$2001,"BOOKED")+COUNTIFS(LOG!$C$2:$C$2001,F491,LOG!$E$2:$E$2001,"",LOG!$D$2:$D$2001,"BOOKED")&gt;0,1,0),0)</f>
        <v>0</v>
      </c>
      <c r="AQ491" s="28" t="str">
        <f t="shared" si="85"/>
        <v>Rahul</v>
      </c>
      <c r="AR491" s="28">
        <f>IF(AND(AK491=1,K491="OK"),COUNTIFS($AK$2:AK491,1,$K$2:K491,"OK"),"")</f>
        <v>399</v>
      </c>
      <c r="AS491" s="28" t="str">
        <f>IF(L491=1,IFERROR(INDEX(MESSAGES!$J$9:$J$1008,MATCH(F491,MESSAGES!$M$9:$M$1008,0))&amp;"",""),"")</f>
        <v/>
      </c>
      <c r="AT491" s="28" t="str">
        <f>IF(L491=1,IFERROR(INDEX(MESSAGES!$K$9:$K$1008,MATCH(F491,MESSAGES!$M$9:$M$1008,0))&amp;"",""),"")</f>
        <v/>
      </c>
      <c r="AU491" s="28">
        <f t="shared" ca="1" si="86"/>
        <v>0</v>
      </c>
      <c r="AV491" s="28" t="str">
        <f t="shared" si="87"/>
        <v>SEND</v>
      </c>
    </row>
    <row r="492" spans="1:48" x14ac:dyDescent="0.35">
      <c r="A492" s="28">
        <v>491</v>
      </c>
      <c r="B492" s="28" t="str">
        <f>IF(INPUT!A492="","",TRIM(INPUT!A492))</f>
        <v>Partner 073</v>
      </c>
      <c r="C492" s="28" t="str">
        <f>IF(B492="","",INPUT!C492)</f>
        <v>interviewer1@partner073.example.com</v>
      </c>
      <c r="D492" s="28" t="str">
        <f>IF(B492="","",INPUT!D492)</f>
        <v>Reyansh E.</v>
      </c>
      <c r="E492" s="28" t="str">
        <f>IF(B492="","",INPUT!E492)</f>
        <v>reyansh.e126@example.com</v>
      </c>
      <c r="F492" s="43" t="str">
        <f>IF(B492="","",TRIM(INPUT!F492&amp;""))</f>
        <v>9000001645</v>
      </c>
      <c r="G492" s="28" t="str">
        <f>IF(B492="","",INPUT!H492)</f>
        <v>Round1</v>
      </c>
      <c r="H492" s="46">
        <f>IF(B492="","",INPUT!I492)</f>
        <v>46308.82708333333</v>
      </c>
      <c r="I492" s="28" t="str">
        <f>IF(B492="","",IF(INPUT!J492="","None",INPUT!J492))</f>
        <v>Opened</v>
      </c>
      <c r="J492" s="28" t="str">
        <f t="shared" si="77"/>
        <v>reyansh.e126@example.com|partner 073|Round1|interviewer1@partner073.example.com</v>
      </c>
      <c r="K492" s="28" t="str">
        <f>IF(B492="","",IF(SUMPRODUCT(($J$2:$J$601=J492)*($H$2:$H$601&lt;H492))+SUMPRODUCT(($J$2:J492=J492)*($H$2:H492=H492))-1&gt;0,"DUPLICATE",IF(AND(ISNUMBER(SEARCH("@",E492)),ISNUMBER(SEARCH(".",E492)),LEN(F492)=10,ISNUMBER(VALUE(F492))),"OK","BAD CONTACT")))</f>
        <v>OK</v>
      </c>
      <c r="L492" s="28">
        <f t="shared" si="78"/>
        <v>1</v>
      </c>
      <c r="M492" s="28">
        <f>IF(L492=1,IF(COUNTIFS(LOG!$C$2:$C$2001,F492,LOG!$E$2:$E$2001,B492,LOG!$D$2:$D$2001,"*BOOKED")+COUNTIFS(LOG!$C$2:$C$2001,F492,LOG!$E$2:$E$2001,"",LOG!$D$2:$D$2001,"*BOOKED")&gt;0,1,0),0)</f>
        <v>0</v>
      </c>
      <c r="N492" s="28">
        <f>IF(L492=1,IF(COUNTIFS(LOG!$C$2:$C$2001,F492,LOG!$E$2:$E$2001,B492,LOG!$D$2:$D$2001,"NOT_INTERESTED")+COUNTIFS(LOG!$C$2:$C$2001,F492,LOG!$E$2:$E$2001,"",LOG!$D$2:$D$2001,"NOT_INTERESTED")&gt;0,1,0),0)</f>
        <v>0</v>
      </c>
      <c r="O492" s="28">
        <f>IF(L492=1,IF(COUNTIFS(LOG!$C$2:$C$2001,F492,LOG!$D$2:$D$2001,"STOP")+COUNTIFS(LOG!$C$2:$C$2001,F492,LOG!$D$2:$D$2001,"WRONG_NUMBER")&gt;0,1,IF(ISNUMBER(SEARCH("STOP",AT492)),1,0)),0)</f>
        <v>0</v>
      </c>
      <c r="P492" s="28">
        <f>IF(L492=1,IF(IFERROR(INDEX(PARTNERS!$D$2:$D$88,MATCH(B492,PARTNERS!$A$2:$A$88,0)),"")="NO SLOTS",1,IF(AND(IFERROR(INDEX(PARTNERS!$D$2:$D$88,MATCH(B492,PARTNERS!$A$2:$A$88,0)),"")&lt;&gt;"REOPENED",COUNTIFS(LOG!$E$2:$E$2001,B492,LOG!$D$2:$D$2001,"NO_SLOTS")&gt;0),1,0)),0)</f>
        <v>0</v>
      </c>
      <c r="Q492" s="28">
        <f>IF(L492=1,COUNTIFS(LOG!$C$2:$C$2001,F492,LOG!$H$2:$H$2001,1),0)</f>
        <v>0</v>
      </c>
      <c r="R492" s="46">
        <f>IF(Q492&gt;0,_xlfn.MAXIFS(LOG!$G$2:$G$2001,LOG!$C$2:$C$2001,F492,LOG!$H$2:$H$2001,1),0)</f>
        <v>0</v>
      </c>
      <c r="S492" s="28" t="str">
        <f>IF(Q492&gt;0,IFERROR(INDEX(LOG!$D$2:$D$2001,MATCH(F492&amp;"|"&amp;Q492,LOG!$I$2:$I$2001,0)),""),"")</f>
        <v/>
      </c>
      <c r="T492" s="28">
        <f>IF(S492="",0,IFERROR(VLOOKUP(S492,LISTS!$A$2:$E$10,4,FALSE),0))</f>
        <v>0</v>
      </c>
      <c r="U492" s="46">
        <f t="shared" si="79"/>
        <v>0</v>
      </c>
      <c r="V492" s="46">
        <f>IF(L492=1,H492+SETTINGS!$B$5/24,"")</f>
        <v>46309.82708333333</v>
      </c>
      <c r="W492" s="28">
        <f ca="1">IF(L492=1,(V492-SETTINGS!$B$4)*24,"")</f>
        <v>-1.6666666720993817E-2</v>
      </c>
      <c r="X492" s="28">
        <f ca="1">IF(AND(L492=1,K492="OK",M492=0,N492=0,O492=0,P492=0,SETTINGS!$B$4&lt;V492,Q492&lt;SETTINGS!$B$6),1,0)</f>
        <v>0</v>
      </c>
      <c r="Y492" s="28">
        <f ca="1">IF(AND(X492=1,SETTINGS!$B$4&gt;=H492,SETTINGS!$B$4&gt;=U492,ROUND(MOD(SETTINGS!$B$4,1)*1440,0)&gt;=ROUND(SETTINGS!$B$7*1440,0),ROUND(MOD(SETTINGS!$B$4,1)*1440,0)&lt;ROUND(SETTINGS!$B$8*1440,0)),1,0)</f>
        <v>0</v>
      </c>
      <c r="Z492" s="28" t="str">
        <f ca="1">IF(B492="","",IF(ROUND(MOD(SETTINGS!$B$4,1)*1440,0)&lt;ROUND(SETTINGS!$B$11*1440,0),"Ram",IF(ROUND(MOD(SETTINGS!$B$4,1)*1440,0)&gt;=ROUND(SETTINGS!$B$10*1440,0),"Shyam",IF(MOD(IFERROR(VALUE(RIGHT(F492,2)),0),2)=0,"Ram","Shyam"))))</f>
        <v>Shyam</v>
      </c>
      <c r="AA492" s="28">
        <f t="shared" ca="1" si="80"/>
        <v>0</v>
      </c>
      <c r="AB492" s="28">
        <f ca="1">IF(X492=1,COUNTIFS($F$2:F492,F492,$X$2:X492,1),0)</f>
        <v>0</v>
      </c>
      <c r="AC492" s="28" t="str">
        <f>IF(L492=1,IF(IFERROR(INDEX(PARTNERS!$C$2:$C$88,MATCH(B492,PARTNERS!$A$2:$A$88,0)),"")="YES","YES","NO"),"")</f>
        <v>YES</v>
      </c>
      <c r="AD492" s="28" t="str">
        <f>IF(L492=1,IFERROR(INDEX(PARTNERS!$B$2:$B$88,MATCH(B492,PARTNERS!$A$2:$A$88,0)),""),"")</f>
        <v>https://calendly.com/partner073/interview</v>
      </c>
      <c r="AE492" s="28">
        <f ca="1">IF(X492=1,IFERROR(INDEX(SETTINGS!$B$34:$D$36,MATCH(I492,SETTINGS!$A$34:$A$36,0),MIN(Q492,2)+1),SETTINGS!$B$36),0)</f>
        <v>0</v>
      </c>
      <c r="AF492" s="28">
        <f t="shared" si="81"/>
        <v>1</v>
      </c>
      <c r="AG492" s="28">
        <f ca="1">IF(AND(Y492=1,AB492=1),ROUND(AA492*AE492*IF(AF492&gt;1,SETTINGS!$B$16,1)*IF(W492&lt;=SETTINGS!$B$14,SETTINGS!$B$15,1)*IF(AU492=1,SETTINGS!$B$21,1),6),0)</f>
        <v>0</v>
      </c>
      <c r="AH492" s="28" t="str">
        <f ca="1">IF(AG492&gt;0,COUNTIFS($Z$2:$Z$601,Z492,$AG$2:$AG$601,"&gt;"&amp;AG492)+COUNTIFS($Z$2:Z492,Z492,$AG$2:AG492,AG492),"")</f>
        <v/>
      </c>
      <c r="AI492" s="28" t="str">
        <f t="shared" ca="1" si="82"/>
        <v/>
      </c>
      <c r="AJ492" s="28" t="str">
        <f t="shared" ca="1" si="83"/>
        <v/>
      </c>
      <c r="AK492" s="28">
        <f>IF(L492=1,IF(COUNTIFS($F$2:F492,F492,$L$2:L492,1)=1,1,0),0)</f>
        <v>1</v>
      </c>
      <c r="AL492" s="28" t="str">
        <f ca="1">IF(B492="","",IF(K492="DUPLICATE","Duplicate (removed)",IF(AO492=1,"Scheduled within 24h",IF(M492=1,"Scheduled late",IF(K492="BAD CONTACT","Bad contact details",IF(O492=1,"Stopped / wrong number",IF(N492=1,"Not interested",IF(P492=1,"Partner has no slots",IF(SETTINGS!$B$4&gt;=V492,IF(Q492=0,"Missed deadline: never tried","Missed deadline: tried, not booked"),IF(Q492&gt;=SETTINGS!$B$6,"No reply after max tries","Open"))))))))))</f>
        <v>Missed deadline: never tried</v>
      </c>
      <c r="AM492" s="46" t="str">
        <f>IF(M492=1,IF(_xlfn.MINIFS(LOG!$G$2:$G$2001,LOG!$C$2:$C$2001,F492,LOG!$E$2:$E$2001,B492,LOG!$D$2:$D$2001,"*BOOKED")=0,_xlfn.MINIFS(LOG!$G$2:$G$2001,LOG!$C$2:$C$2001,F492,LOG!$E$2:$E$2001,"",LOG!$D$2:$D$2001,"*BOOKED"),IF(_xlfn.MINIFS(LOG!$G$2:$G$2001,LOG!$C$2:$C$2001,F492,LOG!$E$2:$E$2001,"",LOG!$D$2:$D$2001,"*BOOKED")=0,_xlfn.MINIFS(LOG!$G$2:$G$2001,LOG!$C$2:$C$2001,F492,LOG!$E$2:$E$2001,B492,LOG!$D$2:$D$2001,"*BOOKED"),MIN(_xlfn.MINIFS(LOG!$G$2:$G$2001,LOG!$C$2:$C$2001,F492,LOG!$E$2:$E$2001,B492,LOG!$D$2:$D$2001,"*BOOKED"),_xlfn.MINIFS(LOG!$G$2:$G$2001,LOG!$C$2:$C$2001,F492,LOG!$E$2:$E$2001,"",LOG!$D$2:$D$2001,"*BOOKED")))),"")</f>
        <v/>
      </c>
      <c r="AN492" s="28" t="str">
        <f t="shared" si="84"/>
        <v/>
      </c>
      <c r="AO492" s="28">
        <f>IF(AND(M492=1,AN492&lt;&gt;""),IF(AN492&lt;=SETTINGS!$B$5,1,0),0)</f>
        <v>0</v>
      </c>
      <c r="AP492" s="28">
        <f>IF(M492=1,IF(COUNTIFS(LOG!$C$2:$C$2001,F492,LOG!$E$2:$E$2001,B492,LOG!$D$2:$D$2001,"BOOKED")+COUNTIFS(LOG!$C$2:$C$2001,F492,LOG!$E$2:$E$2001,"",LOG!$D$2:$D$2001,"BOOKED")&gt;0,1,0),0)</f>
        <v>0</v>
      </c>
      <c r="AQ492" s="28" t="str">
        <f t="shared" si="85"/>
        <v>Reyansh</v>
      </c>
      <c r="AR492" s="28">
        <f>IF(AND(AK492=1,K492="OK"),COUNTIFS($AK$2:AK492,1,$K$2:K492,"OK"),"")</f>
        <v>400</v>
      </c>
      <c r="AS492" s="28" t="str">
        <f>IF(L492=1,IFERROR(INDEX(MESSAGES!$J$9:$J$1008,MATCH(F492,MESSAGES!$M$9:$M$1008,0))&amp;"",""),"")</f>
        <v/>
      </c>
      <c r="AT492" s="28" t="str">
        <f>IF(L492=1,IFERROR(INDEX(MESSAGES!$K$9:$K$1008,MATCH(F492,MESSAGES!$M$9:$M$1008,0))&amp;"",""),"")</f>
        <v/>
      </c>
      <c r="AU492" s="28">
        <f t="shared" ca="1" si="86"/>
        <v>0</v>
      </c>
      <c r="AV492" s="28" t="str">
        <f t="shared" si="87"/>
        <v>SEND</v>
      </c>
    </row>
    <row r="493" spans="1:48" x14ac:dyDescent="0.35">
      <c r="A493" s="28">
        <v>492</v>
      </c>
      <c r="B493" s="28" t="str">
        <f>IF(INPUT!A493="","",TRIM(INPUT!A493))</f>
        <v>Partner 000</v>
      </c>
      <c r="C493" s="28" t="str">
        <f>IF(B493="","",INPUT!C493)</f>
        <v>interviewer1@partner000.example.com</v>
      </c>
      <c r="D493" s="28" t="str">
        <f>IF(B493="","",INPUT!D493)</f>
        <v>Riya J.</v>
      </c>
      <c r="E493" s="28" t="str">
        <f>IF(B493="","",INPUT!E493)</f>
        <v>riya.j259@example.com</v>
      </c>
      <c r="F493" s="43" t="str">
        <f>IF(B493="","",TRIM(INPUT!F493&amp;""))</f>
        <v>9000003374</v>
      </c>
      <c r="G493" s="28" t="str">
        <f>IF(B493="","",INPUT!H493)</f>
        <v>Round1</v>
      </c>
      <c r="H493" s="46">
        <f>IF(B493="","",INPUT!I493)</f>
        <v>46308.82708333333</v>
      </c>
      <c r="I493" s="28" t="str">
        <f>IF(B493="","",IF(INPUT!J493="","None",INPUT!J493))</f>
        <v>None</v>
      </c>
      <c r="J493" s="28" t="str">
        <f t="shared" si="77"/>
        <v>riya.j259@example.com|partner 000|Round1|interviewer1@partner000.example.com</v>
      </c>
      <c r="K493" s="28" t="str">
        <f>IF(B493="","",IF(SUMPRODUCT(($J$2:$J$601=J493)*($H$2:$H$601&lt;H493))+SUMPRODUCT(($J$2:J493=J493)*($H$2:H493=H493))-1&gt;0,"DUPLICATE",IF(AND(ISNUMBER(SEARCH("@",E493)),ISNUMBER(SEARCH(".",E493)),LEN(F493)=10,ISNUMBER(VALUE(F493))),"OK","BAD CONTACT")))</f>
        <v>OK</v>
      </c>
      <c r="L493" s="28">
        <f t="shared" si="78"/>
        <v>1</v>
      </c>
      <c r="M493" s="28">
        <f>IF(L493=1,IF(COUNTIFS(LOG!$C$2:$C$2001,F493,LOG!$E$2:$E$2001,B493,LOG!$D$2:$D$2001,"*BOOKED")+COUNTIFS(LOG!$C$2:$C$2001,F493,LOG!$E$2:$E$2001,"",LOG!$D$2:$D$2001,"*BOOKED")&gt;0,1,0),0)</f>
        <v>1</v>
      </c>
      <c r="N493" s="28">
        <f>IF(L493=1,IF(COUNTIFS(LOG!$C$2:$C$2001,F493,LOG!$E$2:$E$2001,B493,LOG!$D$2:$D$2001,"NOT_INTERESTED")+COUNTIFS(LOG!$C$2:$C$2001,F493,LOG!$E$2:$E$2001,"",LOG!$D$2:$D$2001,"NOT_INTERESTED")&gt;0,1,0),0)</f>
        <v>0</v>
      </c>
      <c r="O493" s="28">
        <f>IF(L493=1,IF(COUNTIFS(LOG!$C$2:$C$2001,F493,LOG!$D$2:$D$2001,"STOP")+COUNTIFS(LOG!$C$2:$C$2001,F493,LOG!$D$2:$D$2001,"WRONG_NUMBER")&gt;0,1,IF(ISNUMBER(SEARCH("STOP",AT493)),1,0)),0)</f>
        <v>0</v>
      </c>
      <c r="P493" s="28">
        <f>IF(L493=1,IF(IFERROR(INDEX(PARTNERS!$D$2:$D$88,MATCH(B493,PARTNERS!$A$2:$A$88,0)),"")="NO SLOTS",1,IF(AND(IFERROR(INDEX(PARTNERS!$D$2:$D$88,MATCH(B493,PARTNERS!$A$2:$A$88,0)),"")&lt;&gt;"REOPENED",COUNTIFS(LOG!$E$2:$E$2001,B493,LOG!$D$2:$D$2001,"NO_SLOTS")&gt;0),1,0)),0)</f>
        <v>0</v>
      </c>
      <c r="Q493" s="28">
        <f>IF(L493=1,COUNTIFS(LOG!$C$2:$C$2001,F493,LOG!$H$2:$H$2001,1),0)</f>
        <v>0</v>
      </c>
      <c r="R493" s="46">
        <f>IF(Q493&gt;0,_xlfn.MAXIFS(LOG!$G$2:$G$2001,LOG!$C$2:$C$2001,F493,LOG!$H$2:$H$2001,1),0)</f>
        <v>0</v>
      </c>
      <c r="S493" s="28" t="str">
        <f>IF(Q493&gt;0,IFERROR(INDEX(LOG!$D$2:$D$2001,MATCH(F493&amp;"|"&amp;Q493,LOG!$I$2:$I$2001,0)),""),"")</f>
        <v/>
      </c>
      <c r="T493" s="28">
        <f>IF(S493="",0,IFERROR(VLOOKUP(S493,LISTS!$A$2:$E$10,4,FALSE),0))</f>
        <v>0</v>
      </c>
      <c r="U493" s="46">
        <f t="shared" si="79"/>
        <v>0</v>
      </c>
      <c r="V493" s="46">
        <f>IF(L493=1,H493+SETTINGS!$B$5/24,"")</f>
        <v>46309.82708333333</v>
      </c>
      <c r="W493" s="28">
        <f ca="1">IF(L493=1,(V493-SETTINGS!$B$4)*24,"")</f>
        <v>-1.6666666720993817E-2</v>
      </c>
      <c r="X493" s="28">
        <f ca="1">IF(AND(L493=1,K493="OK",M493=0,N493=0,O493=0,P493=0,SETTINGS!$B$4&lt;V493,Q493&lt;SETTINGS!$B$6),1,0)</f>
        <v>0</v>
      </c>
      <c r="Y493" s="28">
        <f ca="1">IF(AND(X493=1,SETTINGS!$B$4&gt;=H493,SETTINGS!$B$4&gt;=U493,ROUND(MOD(SETTINGS!$B$4,1)*1440,0)&gt;=ROUND(SETTINGS!$B$7*1440,0),ROUND(MOD(SETTINGS!$B$4,1)*1440,0)&lt;ROUND(SETTINGS!$B$8*1440,0)),1,0)</f>
        <v>0</v>
      </c>
      <c r="Z493" s="28" t="str">
        <f ca="1">IF(B493="","",IF(ROUND(MOD(SETTINGS!$B$4,1)*1440,0)&lt;ROUND(SETTINGS!$B$11*1440,0),"Ram",IF(ROUND(MOD(SETTINGS!$B$4,1)*1440,0)&gt;=ROUND(SETTINGS!$B$10*1440,0),"Shyam",IF(MOD(IFERROR(VALUE(RIGHT(F493,2)),0),2)=0,"Ram","Shyam"))))</f>
        <v>Shyam</v>
      </c>
      <c r="AA493" s="28">
        <f t="shared" ca="1" si="80"/>
        <v>0</v>
      </c>
      <c r="AB493" s="28">
        <f ca="1">IF(X493=1,COUNTIFS($F$2:F493,F493,$X$2:X493,1),0)</f>
        <v>0</v>
      </c>
      <c r="AC493" s="28" t="str">
        <f>IF(L493=1,IF(IFERROR(INDEX(PARTNERS!$C$2:$C$88,MATCH(B493,PARTNERS!$A$2:$A$88,0)),"")="YES","YES","NO"),"")</f>
        <v>NO</v>
      </c>
      <c r="AD493" s="28" t="str">
        <f>IF(L493=1,IFERROR(INDEX(PARTNERS!$B$2:$B$88,MATCH(B493,PARTNERS!$A$2:$A$88,0)),""),"")</f>
        <v>https://calendly.com/partner000/interview</v>
      </c>
      <c r="AE493" s="28">
        <f ca="1">IF(X493=1,IFERROR(INDEX(SETTINGS!$B$34:$D$36,MATCH(I493,SETTINGS!$A$34:$A$36,0),MIN(Q493,2)+1),SETTINGS!$B$36),0)</f>
        <v>0</v>
      </c>
      <c r="AF493" s="28">
        <f t="shared" si="81"/>
        <v>1</v>
      </c>
      <c r="AG493" s="28">
        <f ca="1">IF(AND(Y493=1,AB493=1),ROUND(AA493*AE493*IF(AF493&gt;1,SETTINGS!$B$16,1)*IF(W493&lt;=SETTINGS!$B$14,SETTINGS!$B$15,1)*IF(AU493=1,SETTINGS!$B$21,1),6),0)</f>
        <v>0</v>
      </c>
      <c r="AH493" s="28" t="str">
        <f ca="1">IF(AG493&gt;0,COUNTIFS($Z$2:$Z$601,Z493,$AG$2:$AG$601,"&gt;"&amp;AG493)+COUNTIFS($Z$2:Z493,Z493,$AG$2:AG493,AG493),"")</f>
        <v/>
      </c>
      <c r="AI493" s="28" t="str">
        <f t="shared" ca="1" si="82"/>
        <v/>
      </c>
      <c r="AJ493" s="28" t="str">
        <f t="shared" ca="1" si="83"/>
        <v/>
      </c>
      <c r="AK493" s="28">
        <f>IF(L493=1,IF(COUNTIFS($F$2:F493,F493,$L$2:L493,1)=1,1,0),0)</f>
        <v>1</v>
      </c>
      <c r="AL493" s="28" t="str">
        <f>IF(B493="","",IF(K493="DUPLICATE","Duplicate (removed)",IF(AO493=1,"Scheduled within 24h",IF(M493=1,"Scheduled late",IF(K493="BAD CONTACT","Bad contact details",IF(O493=1,"Stopped / wrong number",IF(N493=1,"Not interested",IF(P493=1,"Partner has no slots",IF(SETTINGS!$B$4&gt;=V493,IF(Q493=0,"Missed deadline: never tried","Missed deadline: tried, not booked"),IF(Q493&gt;=SETTINGS!$B$6,"No reply after max tries","Open"))))))))))</f>
        <v>Scheduled within 24h</v>
      </c>
      <c r="AM493" s="46">
        <f>IF(M493=1,IF(_xlfn.MINIFS(LOG!$G$2:$G$2001,LOG!$C$2:$C$2001,F493,LOG!$E$2:$E$2001,B493,LOG!$D$2:$D$2001,"*BOOKED")=0,_xlfn.MINIFS(LOG!$G$2:$G$2001,LOG!$C$2:$C$2001,F493,LOG!$E$2:$E$2001,"",LOG!$D$2:$D$2001,"*BOOKED"),IF(_xlfn.MINIFS(LOG!$G$2:$G$2001,LOG!$C$2:$C$2001,F493,LOG!$E$2:$E$2001,"",LOG!$D$2:$D$2001,"*BOOKED")=0,_xlfn.MINIFS(LOG!$G$2:$G$2001,LOG!$C$2:$C$2001,F493,LOG!$E$2:$E$2001,B493,LOG!$D$2:$D$2001,"*BOOKED"),MIN(_xlfn.MINIFS(LOG!$G$2:$G$2001,LOG!$C$2:$C$2001,F493,LOG!$E$2:$E$2001,B493,LOG!$D$2:$D$2001,"*BOOKED"),_xlfn.MINIFS(LOG!$G$2:$G$2001,LOG!$C$2:$C$2001,F493,LOG!$E$2:$E$2001,"",LOG!$D$2:$D$2001,"*BOOKED")))),"")</f>
        <v>46308.923706979411</v>
      </c>
      <c r="AN493" s="28">
        <f t="shared" si="84"/>
        <v>2.3189675059402362</v>
      </c>
      <c r="AO493" s="28">
        <f>IF(AND(M493=1,AN493&lt;&gt;""),IF(AN493&lt;=SETTINGS!$B$5,1,0),0)</f>
        <v>1</v>
      </c>
      <c r="AP493" s="28">
        <f>IF(M493=1,IF(COUNTIFS(LOG!$C$2:$C$2001,F493,LOG!$E$2:$E$2001,B493,LOG!$D$2:$D$2001,"BOOKED")+COUNTIFS(LOG!$C$2:$C$2001,F493,LOG!$E$2:$E$2001,"",LOG!$D$2:$D$2001,"BOOKED")&gt;0,1,0),0)</f>
        <v>0</v>
      </c>
      <c r="AQ493" s="28" t="str">
        <f t="shared" si="85"/>
        <v>Riya</v>
      </c>
      <c r="AR493" s="28">
        <f>IF(AND(AK493=1,K493="OK"),COUNTIFS($AK$2:AK493,1,$K$2:K493,"OK"),"")</f>
        <v>401</v>
      </c>
      <c r="AS493" s="28" t="str">
        <f>IF(L493=1,IFERROR(INDEX(MESSAGES!$J$9:$J$1008,MATCH(F493,MESSAGES!$M$9:$M$1008,0))&amp;"",""),"")</f>
        <v/>
      </c>
      <c r="AT493" s="28" t="str">
        <f>IF(L493=1,IFERROR(INDEX(MESSAGES!$K$9:$K$1008,MATCH(F493,MESSAGES!$M$9:$M$1008,0))&amp;"",""),"")</f>
        <v/>
      </c>
      <c r="AU493" s="28">
        <f t="shared" ca="1" si="86"/>
        <v>0</v>
      </c>
      <c r="AV493" s="28" t="str">
        <f t="shared" si="87"/>
        <v>HOLD</v>
      </c>
    </row>
    <row r="494" spans="1:48" x14ac:dyDescent="0.35">
      <c r="A494" s="28">
        <v>493</v>
      </c>
      <c r="B494" s="28" t="str">
        <f>IF(INPUT!A494="","",TRIM(INPUT!A494))</f>
        <v>Partner 006</v>
      </c>
      <c r="C494" s="28" t="str">
        <f>IF(B494="","",INPUT!C494)</f>
        <v>interviewer0@partner006.example.com</v>
      </c>
      <c r="D494" s="28" t="str">
        <f>IF(B494="","",INPUT!D494)</f>
        <v>Saanvi N.</v>
      </c>
      <c r="E494" s="28" t="str">
        <f>IF(B494="","",INPUT!E494)</f>
        <v>saanvi.n369@example.com</v>
      </c>
      <c r="F494" s="43" t="str">
        <f>IF(B494="","",TRIM(INPUT!F494&amp;""))</f>
        <v>9000004804</v>
      </c>
      <c r="G494" s="28" t="str">
        <f>IF(B494="","",INPUT!H494)</f>
        <v>Round1</v>
      </c>
      <c r="H494" s="46">
        <f>IF(B494="","",INPUT!I494)</f>
        <v>46308.82708333333</v>
      </c>
      <c r="I494" s="28" t="str">
        <f>IF(B494="","",IF(INPUT!J494="","None",INPUT!J494))</f>
        <v>Opened</v>
      </c>
      <c r="J494" s="28" t="str">
        <f t="shared" si="77"/>
        <v>saanvi.n369@example.com|partner 006|Round1|interviewer0@partner006.example.com</v>
      </c>
      <c r="K494" s="28" t="str">
        <f>IF(B494="","",IF(SUMPRODUCT(($J$2:$J$601=J494)*($H$2:$H$601&lt;H494))+SUMPRODUCT(($J$2:J494=J494)*($H$2:H494=H494))-1&gt;0,"DUPLICATE",IF(AND(ISNUMBER(SEARCH("@",E494)),ISNUMBER(SEARCH(".",E494)),LEN(F494)=10,ISNUMBER(VALUE(F494))),"OK","BAD CONTACT")))</f>
        <v>OK</v>
      </c>
      <c r="L494" s="28">
        <f t="shared" si="78"/>
        <v>1</v>
      </c>
      <c r="M494" s="28">
        <f>IF(L494=1,IF(COUNTIFS(LOG!$C$2:$C$2001,F494,LOG!$E$2:$E$2001,B494,LOG!$D$2:$D$2001,"*BOOKED")+COUNTIFS(LOG!$C$2:$C$2001,F494,LOG!$E$2:$E$2001,"",LOG!$D$2:$D$2001,"*BOOKED")&gt;0,1,0),0)</f>
        <v>0</v>
      </c>
      <c r="N494" s="28">
        <f>IF(L494=1,IF(COUNTIFS(LOG!$C$2:$C$2001,F494,LOG!$E$2:$E$2001,B494,LOG!$D$2:$D$2001,"NOT_INTERESTED")+COUNTIFS(LOG!$C$2:$C$2001,F494,LOG!$E$2:$E$2001,"",LOG!$D$2:$D$2001,"NOT_INTERESTED")&gt;0,1,0),0)</f>
        <v>0</v>
      </c>
      <c r="O494" s="28">
        <f>IF(L494=1,IF(COUNTIFS(LOG!$C$2:$C$2001,F494,LOG!$D$2:$D$2001,"STOP")+COUNTIFS(LOG!$C$2:$C$2001,F494,LOG!$D$2:$D$2001,"WRONG_NUMBER")&gt;0,1,IF(ISNUMBER(SEARCH("STOP",AT494)),1,0)),0)</f>
        <v>0</v>
      </c>
      <c r="P494" s="28">
        <f>IF(L494=1,IF(IFERROR(INDEX(PARTNERS!$D$2:$D$88,MATCH(B494,PARTNERS!$A$2:$A$88,0)),"")="NO SLOTS",1,IF(AND(IFERROR(INDEX(PARTNERS!$D$2:$D$88,MATCH(B494,PARTNERS!$A$2:$A$88,0)),"")&lt;&gt;"REOPENED",COUNTIFS(LOG!$E$2:$E$2001,B494,LOG!$D$2:$D$2001,"NO_SLOTS")&gt;0),1,0)),0)</f>
        <v>0</v>
      </c>
      <c r="Q494" s="28">
        <f>IF(L494=1,COUNTIFS(LOG!$C$2:$C$2001,F494,LOG!$H$2:$H$2001,1),0)</f>
        <v>0</v>
      </c>
      <c r="R494" s="46">
        <f>IF(Q494&gt;0,_xlfn.MAXIFS(LOG!$G$2:$G$2001,LOG!$C$2:$C$2001,F494,LOG!$H$2:$H$2001,1),0)</f>
        <v>0</v>
      </c>
      <c r="S494" s="28" t="str">
        <f>IF(Q494&gt;0,IFERROR(INDEX(LOG!$D$2:$D$2001,MATCH(F494&amp;"|"&amp;Q494,LOG!$I$2:$I$2001,0)),""),"")</f>
        <v/>
      </c>
      <c r="T494" s="28">
        <f>IF(S494="",0,IFERROR(VLOOKUP(S494,LISTS!$A$2:$E$10,4,FALSE),0))</f>
        <v>0</v>
      </c>
      <c r="U494" s="46">
        <f t="shared" si="79"/>
        <v>0</v>
      </c>
      <c r="V494" s="46">
        <f>IF(L494=1,H494+SETTINGS!$B$5/24,"")</f>
        <v>46309.82708333333</v>
      </c>
      <c r="W494" s="28">
        <f ca="1">IF(L494=1,(V494-SETTINGS!$B$4)*24,"")</f>
        <v>-1.6666666720993817E-2</v>
      </c>
      <c r="X494" s="28">
        <f ca="1">IF(AND(L494=1,K494="OK",M494=0,N494=0,O494=0,P494=0,SETTINGS!$B$4&lt;V494,Q494&lt;SETTINGS!$B$6),1,0)</f>
        <v>0</v>
      </c>
      <c r="Y494" s="28">
        <f ca="1">IF(AND(X494=1,SETTINGS!$B$4&gt;=H494,SETTINGS!$B$4&gt;=U494,ROUND(MOD(SETTINGS!$B$4,1)*1440,0)&gt;=ROUND(SETTINGS!$B$7*1440,0),ROUND(MOD(SETTINGS!$B$4,1)*1440,0)&lt;ROUND(SETTINGS!$B$8*1440,0)),1,0)</f>
        <v>0</v>
      </c>
      <c r="Z494" s="28" t="str">
        <f ca="1">IF(B494="","",IF(ROUND(MOD(SETTINGS!$B$4,1)*1440,0)&lt;ROUND(SETTINGS!$B$11*1440,0),"Ram",IF(ROUND(MOD(SETTINGS!$B$4,1)*1440,0)&gt;=ROUND(SETTINGS!$B$10*1440,0),"Shyam",IF(MOD(IFERROR(VALUE(RIGHT(F494,2)),0),2)=0,"Ram","Shyam"))))</f>
        <v>Shyam</v>
      </c>
      <c r="AA494" s="28">
        <f t="shared" ca="1" si="80"/>
        <v>0</v>
      </c>
      <c r="AB494" s="28">
        <f ca="1">IF(X494=1,COUNTIFS($F$2:F494,F494,$X$2:X494,1),0)</f>
        <v>0</v>
      </c>
      <c r="AC494" s="28" t="str">
        <f>IF(L494=1,IF(IFERROR(INDEX(PARTNERS!$C$2:$C$88,MATCH(B494,PARTNERS!$A$2:$A$88,0)),"")="YES","YES","NO"),"")</f>
        <v>YES</v>
      </c>
      <c r="AD494" s="28" t="str">
        <f>IF(L494=1,IFERROR(INDEX(PARTNERS!$B$2:$B$88,MATCH(B494,PARTNERS!$A$2:$A$88,0)),""),"")</f>
        <v>https://calendly.com/partner006/interview</v>
      </c>
      <c r="AE494" s="28">
        <f ca="1">IF(X494=1,IFERROR(INDEX(SETTINGS!$B$34:$D$36,MATCH(I494,SETTINGS!$A$34:$A$36,0),MIN(Q494,2)+1),SETTINGS!$B$36),0)</f>
        <v>0</v>
      </c>
      <c r="AF494" s="28">
        <f t="shared" si="81"/>
        <v>1</v>
      </c>
      <c r="AG494" s="28">
        <f ca="1">IF(AND(Y494=1,AB494=1),ROUND(AA494*AE494*IF(AF494&gt;1,SETTINGS!$B$16,1)*IF(W494&lt;=SETTINGS!$B$14,SETTINGS!$B$15,1)*IF(AU494=1,SETTINGS!$B$21,1),6),0)</f>
        <v>0</v>
      </c>
      <c r="AH494" s="28" t="str">
        <f ca="1">IF(AG494&gt;0,COUNTIFS($Z$2:$Z$601,Z494,$AG$2:$AG$601,"&gt;"&amp;AG494)+COUNTIFS($Z$2:Z494,Z494,$AG$2:AG494,AG494),"")</f>
        <v/>
      </c>
      <c r="AI494" s="28" t="str">
        <f t="shared" ca="1" si="82"/>
        <v/>
      </c>
      <c r="AJ494" s="28" t="str">
        <f t="shared" ca="1" si="83"/>
        <v/>
      </c>
      <c r="AK494" s="28">
        <f>IF(L494=1,IF(COUNTIFS($F$2:F494,F494,$L$2:L494,1)=1,1,0),0)</f>
        <v>1</v>
      </c>
      <c r="AL494" s="28" t="str">
        <f ca="1">IF(B494="","",IF(K494="DUPLICATE","Duplicate (removed)",IF(AO494=1,"Scheduled within 24h",IF(M494=1,"Scheduled late",IF(K494="BAD CONTACT","Bad contact details",IF(O494=1,"Stopped / wrong number",IF(N494=1,"Not interested",IF(P494=1,"Partner has no slots",IF(SETTINGS!$B$4&gt;=V494,IF(Q494=0,"Missed deadline: never tried","Missed deadline: tried, not booked"),IF(Q494&gt;=SETTINGS!$B$6,"No reply after max tries","Open"))))))))))</f>
        <v>Missed deadline: never tried</v>
      </c>
      <c r="AM494" s="46" t="str">
        <f>IF(M494=1,IF(_xlfn.MINIFS(LOG!$G$2:$G$2001,LOG!$C$2:$C$2001,F494,LOG!$E$2:$E$2001,B494,LOG!$D$2:$D$2001,"*BOOKED")=0,_xlfn.MINIFS(LOG!$G$2:$G$2001,LOG!$C$2:$C$2001,F494,LOG!$E$2:$E$2001,"",LOG!$D$2:$D$2001,"*BOOKED"),IF(_xlfn.MINIFS(LOG!$G$2:$G$2001,LOG!$C$2:$C$2001,F494,LOG!$E$2:$E$2001,"",LOG!$D$2:$D$2001,"*BOOKED")=0,_xlfn.MINIFS(LOG!$G$2:$G$2001,LOG!$C$2:$C$2001,F494,LOG!$E$2:$E$2001,B494,LOG!$D$2:$D$2001,"*BOOKED"),MIN(_xlfn.MINIFS(LOG!$G$2:$G$2001,LOG!$C$2:$C$2001,F494,LOG!$E$2:$E$2001,B494,LOG!$D$2:$D$2001,"*BOOKED"),_xlfn.MINIFS(LOG!$G$2:$G$2001,LOG!$C$2:$C$2001,F494,LOG!$E$2:$E$2001,"",LOG!$D$2:$D$2001,"*BOOKED")))),"")</f>
        <v/>
      </c>
      <c r="AN494" s="28" t="str">
        <f t="shared" si="84"/>
        <v/>
      </c>
      <c r="AO494" s="28">
        <f>IF(AND(M494=1,AN494&lt;&gt;""),IF(AN494&lt;=SETTINGS!$B$5,1,0),0)</f>
        <v>0</v>
      </c>
      <c r="AP494" s="28">
        <f>IF(M494=1,IF(COUNTIFS(LOG!$C$2:$C$2001,F494,LOG!$E$2:$E$2001,B494,LOG!$D$2:$D$2001,"BOOKED")+COUNTIFS(LOG!$C$2:$C$2001,F494,LOG!$E$2:$E$2001,"",LOG!$D$2:$D$2001,"BOOKED")&gt;0,1,0),0)</f>
        <v>0</v>
      </c>
      <c r="AQ494" s="28" t="str">
        <f t="shared" si="85"/>
        <v>Saanvi</v>
      </c>
      <c r="AR494" s="28">
        <f>IF(AND(AK494=1,K494="OK"),COUNTIFS($AK$2:AK494,1,$K$2:K494,"OK"),"")</f>
        <v>402</v>
      </c>
      <c r="AS494" s="28" t="str">
        <f>IF(L494=1,IFERROR(INDEX(MESSAGES!$J$9:$J$1008,MATCH(F494,MESSAGES!$M$9:$M$1008,0))&amp;"",""),"")</f>
        <v/>
      </c>
      <c r="AT494" s="28" t="str">
        <f>IF(L494=1,IFERROR(INDEX(MESSAGES!$K$9:$K$1008,MATCH(F494,MESSAGES!$M$9:$M$1008,0))&amp;"",""),"")</f>
        <v/>
      </c>
      <c r="AU494" s="28">
        <f t="shared" ca="1" si="86"/>
        <v>0</v>
      </c>
      <c r="AV494" s="28" t="str">
        <f t="shared" si="87"/>
        <v>SEND</v>
      </c>
    </row>
    <row r="495" spans="1:48" x14ac:dyDescent="0.35">
      <c r="A495" s="28">
        <v>494</v>
      </c>
      <c r="B495" s="28" t="str">
        <f>IF(INPUT!A495="","",TRIM(INPUT!A495))</f>
        <v>Partner 002</v>
      </c>
      <c r="C495" s="28" t="str">
        <f>IF(B495="","",INPUT!C495)</f>
        <v>interviewer1@partner002.example.com</v>
      </c>
      <c r="D495" s="28" t="str">
        <f>IF(B495="","",INPUT!D495)</f>
        <v>Karan P.</v>
      </c>
      <c r="E495" s="28" t="str">
        <f>IF(B495="","",INPUT!E495)</f>
        <v>karan.p410@example.com</v>
      </c>
      <c r="F495" s="43" t="str">
        <f>IF(B495="","",TRIM(INPUT!F495&amp;""))</f>
        <v>9000005337</v>
      </c>
      <c r="G495" s="28" t="str">
        <f>IF(B495="","",INPUT!H495)</f>
        <v>Round1</v>
      </c>
      <c r="H495" s="46">
        <f>IF(B495="","",INPUT!I495)</f>
        <v>46308.82708333333</v>
      </c>
      <c r="I495" s="28" t="str">
        <f>IF(B495="","",IF(INPUT!J495="","None",INPUT!J495))</f>
        <v>None</v>
      </c>
      <c r="J495" s="28" t="str">
        <f t="shared" si="77"/>
        <v>karan.p410@example.com|partner 002|Round1|interviewer1@partner002.example.com</v>
      </c>
      <c r="K495" s="28" t="str">
        <f>IF(B495="","",IF(SUMPRODUCT(($J$2:$J$601=J495)*($H$2:$H$601&lt;H495))+SUMPRODUCT(($J$2:J495=J495)*($H$2:H495=H495))-1&gt;0,"DUPLICATE",IF(AND(ISNUMBER(SEARCH("@",E495)),ISNUMBER(SEARCH(".",E495)),LEN(F495)=10,ISNUMBER(VALUE(F495))),"OK","BAD CONTACT")))</f>
        <v>OK</v>
      </c>
      <c r="L495" s="28">
        <f t="shared" si="78"/>
        <v>1</v>
      </c>
      <c r="M495" s="28">
        <f>IF(L495=1,IF(COUNTIFS(LOG!$C$2:$C$2001,F495,LOG!$E$2:$E$2001,B495,LOG!$D$2:$D$2001,"*BOOKED")+COUNTIFS(LOG!$C$2:$C$2001,F495,LOG!$E$2:$E$2001,"",LOG!$D$2:$D$2001,"*BOOKED")&gt;0,1,0),0)</f>
        <v>0</v>
      </c>
      <c r="N495" s="28">
        <f>IF(L495=1,IF(COUNTIFS(LOG!$C$2:$C$2001,F495,LOG!$E$2:$E$2001,B495,LOG!$D$2:$D$2001,"NOT_INTERESTED")+COUNTIFS(LOG!$C$2:$C$2001,F495,LOG!$E$2:$E$2001,"",LOG!$D$2:$D$2001,"NOT_INTERESTED")&gt;0,1,0),0)</f>
        <v>0</v>
      </c>
      <c r="O495" s="28">
        <f>IF(L495=1,IF(COUNTIFS(LOG!$C$2:$C$2001,F495,LOG!$D$2:$D$2001,"STOP")+COUNTIFS(LOG!$C$2:$C$2001,F495,LOG!$D$2:$D$2001,"WRONG_NUMBER")&gt;0,1,IF(ISNUMBER(SEARCH("STOP",AT495)),1,0)),0)</f>
        <v>0</v>
      </c>
      <c r="P495" s="28">
        <f>IF(L495=1,IF(IFERROR(INDEX(PARTNERS!$D$2:$D$88,MATCH(B495,PARTNERS!$A$2:$A$88,0)),"")="NO SLOTS",1,IF(AND(IFERROR(INDEX(PARTNERS!$D$2:$D$88,MATCH(B495,PARTNERS!$A$2:$A$88,0)),"")&lt;&gt;"REOPENED",COUNTIFS(LOG!$E$2:$E$2001,B495,LOG!$D$2:$D$2001,"NO_SLOTS")&gt;0),1,0)),0)</f>
        <v>0</v>
      </c>
      <c r="Q495" s="28">
        <f>IF(L495=1,COUNTIFS(LOG!$C$2:$C$2001,F495,LOG!$H$2:$H$2001,1),0)</f>
        <v>0</v>
      </c>
      <c r="R495" s="46">
        <f>IF(Q495&gt;0,_xlfn.MAXIFS(LOG!$G$2:$G$2001,LOG!$C$2:$C$2001,F495,LOG!$H$2:$H$2001,1),0)</f>
        <v>0</v>
      </c>
      <c r="S495" s="28" t="str">
        <f>IF(Q495&gt;0,IFERROR(INDEX(LOG!$D$2:$D$2001,MATCH(F495&amp;"|"&amp;Q495,LOG!$I$2:$I$2001,0)),""),"")</f>
        <v/>
      </c>
      <c r="T495" s="28">
        <f>IF(S495="",0,IFERROR(VLOOKUP(S495,LISTS!$A$2:$E$10,4,FALSE),0))</f>
        <v>0</v>
      </c>
      <c r="U495" s="46">
        <f t="shared" si="79"/>
        <v>0</v>
      </c>
      <c r="V495" s="46">
        <f>IF(L495=1,H495+SETTINGS!$B$5/24,"")</f>
        <v>46309.82708333333</v>
      </c>
      <c r="W495" s="28">
        <f ca="1">IF(L495=1,(V495-SETTINGS!$B$4)*24,"")</f>
        <v>-1.6666666720993817E-2</v>
      </c>
      <c r="X495" s="28">
        <f ca="1">IF(AND(L495=1,K495="OK",M495=0,N495=0,O495=0,P495=0,SETTINGS!$B$4&lt;V495,Q495&lt;SETTINGS!$B$6),1,0)</f>
        <v>0</v>
      </c>
      <c r="Y495" s="28">
        <f ca="1">IF(AND(X495=1,SETTINGS!$B$4&gt;=H495,SETTINGS!$B$4&gt;=U495,ROUND(MOD(SETTINGS!$B$4,1)*1440,0)&gt;=ROUND(SETTINGS!$B$7*1440,0),ROUND(MOD(SETTINGS!$B$4,1)*1440,0)&lt;ROUND(SETTINGS!$B$8*1440,0)),1,0)</f>
        <v>0</v>
      </c>
      <c r="Z495" s="28" t="str">
        <f ca="1">IF(B495="","",IF(ROUND(MOD(SETTINGS!$B$4,1)*1440,0)&lt;ROUND(SETTINGS!$B$11*1440,0),"Ram",IF(ROUND(MOD(SETTINGS!$B$4,1)*1440,0)&gt;=ROUND(SETTINGS!$B$10*1440,0),"Shyam",IF(MOD(IFERROR(VALUE(RIGHT(F495,2)),0),2)=0,"Ram","Shyam"))))</f>
        <v>Shyam</v>
      </c>
      <c r="AA495" s="28">
        <f t="shared" ca="1" si="80"/>
        <v>0</v>
      </c>
      <c r="AB495" s="28">
        <f ca="1">IF(X495=1,COUNTIFS($F$2:F495,F495,$X$2:X495,1),0)</f>
        <v>0</v>
      </c>
      <c r="AC495" s="28" t="str">
        <f>IF(L495=1,IF(IFERROR(INDEX(PARTNERS!$C$2:$C$88,MATCH(B495,PARTNERS!$A$2:$A$88,0)),"")="YES","YES","NO"),"")</f>
        <v>YES</v>
      </c>
      <c r="AD495" s="28" t="str">
        <f>IF(L495=1,IFERROR(INDEX(PARTNERS!$B$2:$B$88,MATCH(B495,PARTNERS!$A$2:$A$88,0)),""),"")</f>
        <v>https://calendly.com/partner002/interview</v>
      </c>
      <c r="AE495" s="28">
        <f ca="1">IF(X495=1,IFERROR(INDEX(SETTINGS!$B$34:$D$36,MATCH(I495,SETTINGS!$A$34:$A$36,0),MIN(Q495,2)+1),SETTINGS!$B$36),0)</f>
        <v>0</v>
      </c>
      <c r="AF495" s="28">
        <f t="shared" si="81"/>
        <v>1</v>
      </c>
      <c r="AG495" s="28">
        <f ca="1">IF(AND(Y495=1,AB495=1),ROUND(AA495*AE495*IF(AF495&gt;1,SETTINGS!$B$16,1)*IF(W495&lt;=SETTINGS!$B$14,SETTINGS!$B$15,1)*IF(AU495=1,SETTINGS!$B$21,1),6),0)</f>
        <v>0</v>
      </c>
      <c r="AH495" s="28" t="str">
        <f ca="1">IF(AG495&gt;0,COUNTIFS($Z$2:$Z$601,Z495,$AG$2:$AG$601,"&gt;"&amp;AG495)+COUNTIFS($Z$2:Z495,Z495,$AG$2:AG495,AG495),"")</f>
        <v/>
      </c>
      <c r="AI495" s="28" t="str">
        <f t="shared" ca="1" si="82"/>
        <v/>
      </c>
      <c r="AJ495" s="28" t="str">
        <f t="shared" ca="1" si="83"/>
        <v/>
      </c>
      <c r="AK495" s="28">
        <f>IF(L495=1,IF(COUNTIFS($F$2:F495,F495,$L$2:L495,1)=1,1,0),0)</f>
        <v>1</v>
      </c>
      <c r="AL495" s="28" t="str">
        <f ca="1">IF(B495="","",IF(K495="DUPLICATE","Duplicate (removed)",IF(AO495=1,"Scheduled within 24h",IF(M495=1,"Scheduled late",IF(K495="BAD CONTACT","Bad contact details",IF(O495=1,"Stopped / wrong number",IF(N495=1,"Not interested",IF(P495=1,"Partner has no slots",IF(SETTINGS!$B$4&gt;=V495,IF(Q495=0,"Missed deadline: never tried","Missed deadline: tried, not booked"),IF(Q495&gt;=SETTINGS!$B$6,"No reply after max tries","Open"))))))))))</f>
        <v>Missed deadline: never tried</v>
      </c>
      <c r="AM495" s="46" t="str">
        <f>IF(M495=1,IF(_xlfn.MINIFS(LOG!$G$2:$G$2001,LOG!$C$2:$C$2001,F495,LOG!$E$2:$E$2001,B495,LOG!$D$2:$D$2001,"*BOOKED")=0,_xlfn.MINIFS(LOG!$G$2:$G$2001,LOG!$C$2:$C$2001,F495,LOG!$E$2:$E$2001,"",LOG!$D$2:$D$2001,"*BOOKED"),IF(_xlfn.MINIFS(LOG!$G$2:$G$2001,LOG!$C$2:$C$2001,F495,LOG!$E$2:$E$2001,"",LOG!$D$2:$D$2001,"*BOOKED")=0,_xlfn.MINIFS(LOG!$G$2:$G$2001,LOG!$C$2:$C$2001,F495,LOG!$E$2:$E$2001,B495,LOG!$D$2:$D$2001,"*BOOKED"),MIN(_xlfn.MINIFS(LOG!$G$2:$G$2001,LOG!$C$2:$C$2001,F495,LOG!$E$2:$E$2001,B495,LOG!$D$2:$D$2001,"*BOOKED"),_xlfn.MINIFS(LOG!$G$2:$G$2001,LOG!$C$2:$C$2001,F495,LOG!$E$2:$E$2001,"",LOG!$D$2:$D$2001,"*BOOKED")))),"")</f>
        <v/>
      </c>
      <c r="AN495" s="28" t="str">
        <f t="shared" si="84"/>
        <v/>
      </c>
      <c r="AO495" s="28">
        <f>IF(AND(M495=1,AN495&lt;&gt;""),IF(AN495&lt;=SETTINGS!$B$5,1,0),0)</f>
        <v>0</v>
      </c>
      <c r="AP495" s="28">
        <f>IF(M495=1,IF(COUNTIFS(LOG!$C$2:$C$2001,F495,LOG!$E$2:$E$2001,B495,LOG!$D$2:$D$2001,"BOOKED")+COUNTIFS(LOG!$C$2:$C$2001,F495,LOG!$E$2:$E$2001,"",LOG!$D$2:$D$2001,"BOOKED")&gt;0,1,0),0)</f>
        <v>0</v>
      </c>
      <c r="AQ495" s="28" t="str">
        <f t="shared" si="85"/>
        <v>Karan</v>
      </c>
      <c r="AR495" s="28">
        <f>IF(AND(AK495=1,K495="OK"),COUNTIFS($AK$2:AK495,1,$K$2:K495,"OK"),"")</f>
        <v>403</v>
      </c>
      <c r="AS495" s="28" t="str">
        <f>IF(L495=1,IFERROR(INDEX(MESSAGES!$J$9:$J$1008,MATCH(F495,MESSAGES!$M$9:$M$1008,0))&amp;"",""),"")</f>
        <v/>
      </c>
      <c r="AT495" s="28" t="str">
        <f>IF(L495=1,IFERROR(INDEX(MESSAGES!$K$9:$K$1008,MATCH(F495,MESSAGES!$M$9:$M$1008,0))&amp;"",""),"")</f>
        <v/>
      </c>
      <c r="AU495" s="28">
        <f t="shared" ca="1" si="86"/>
        <v>0</v>
      </c>
      <c r="AV495" s="28" t="str">
        <f t="shared" si="87"/>
        <v>HOLD</v>
      </c>
    </row>
    <row r="496" spans="1:48" x14ac:dyDescent="0.35">
      <c r="A496" s="28">
        <v>495</v>
      </c>
      <c r="B496" s="28" t="str">
        <f>IF(INPUT!A496="","",TRIM(INPUT!A496))</f>
        <v>Partner 000</v>
      </c>
      <c r="C496" s="28" t="str">
        <f>IF(B496="","",INPUT!C496)</f>
        <v>interviewer1@partner000.example.com</v>
      </c>
      <c r="D496" s="28" t="str">
        <f>IF(B496="","",INPUT!D496)</f>
        <v>Meera B.</v>
      </c>
      <c r="E496" s="28" t="str">
        <f>IF(B496="","",INPUT!E496)</f>
        <v>meera.b037@example.com</v>
      </c>
      <c r="F496" s="43" t="str">
        <f>IF(B496="","",TRIM(INPUT!F496&amp;""))</f>
        <v>9000000488</v>
      </c>
      <c r="G496" s="28" t="str">
        <f>IF(B496="","",INPUT!H496)</f>
        <v>Round1</v>
      </c>
      <c r="H496" s="46">
        <f>IF(B496="","",INPUT!I496)</f>
        <v>46308.827777777777</v>
      </c>
      <c r="I496" s="28" t="str">
        <f>IF(B496="","",IF(INPUT!J496="","None",INPUT!J496))</f>
        <v>None</v>
      </c>
      <c r="J496" s="28" t="str">
        <f t="shared" si="77"/>
        <v>meera.b037@example.com|partner 000|Round1|interviewer1@partner000.example.com</v>
      </c>
      <c r="K496" s="28" t="str">
        <f>IF(B496="","",IF(SUMPRODUCT(($J$2:$J$601=J496)*($H$2:$H$601&lt;H496))+SUMPRODUCT(($J$2:J496=J496)*($H$2:H496=H496))-1&gt;0,"DUPLICATE",IF(AND(ISNUMBER(SEARCH("@",E496)),ISNUMBER(SEARCH(".",E496)),LEN(F496)=10,ISNUMBER(VALUE(F496))),"OK","BAD CONTACT")))</f>
        <v>DUPLICATE</v>
      </c>
      <c r="L496" s="28">
        <f t="shared" si="78"/>
        <v>0</v>
      </c>
      <c r="M496" s="28">
        <f>IF(L496=1,IF(COUNTIFS(LOG!$C$2:$C$2001,F496,LOG!$E$2:$E$2001,B496,LOG!$D$2:$D$2001,"*BOOKED")+COUNTIFS(LOG!$C$2:$C$2001,F496,LOG!$E$2:$E$2001,"",LOG!$D$2:$D$2001,"*BOOKED")&gt;0,1,0),0)</f>
        <v>0</v>
      </c>
      <c r="N496" s="28">
        <f>IF(L496=1,IF(COUNTIFS(LOG!$C$2:$C$2001,F496,LOG!$E$2:$E$2001,B496,LOG!$D$2:$D$2001,"NOT_INTERESTED")+COUNTIFS(LOG!$C$2:$C$2001,F496,LOG!$E$2:$E$2001,"",LOG!$D$2:$D$2001,"NOT_INTERESTED")&gt;0,1,0),0)</f>
        <v>0</v>
      </c>
      <c r="O496" s="28">
        <f>IF(L496=1,IF(COUNTIFS(LOG!$C$2:$C$2001,F496,LOG!$D$2:$D$2001,"STOP")+COUNTIFS(LOG!$C$2:$C$2001,F496,LOG!$D$2:$D$2001,"WRONG_NUMBER")&gt;0,1,IF(ISNUMBER(SEARCH("STOP",AT496)),1,0)),0)</f>
        <v>0</v>
      </c>
      <c r="P496" s="28">
        <f>IF(L496=1,IF(IFERROR(INDEX(PARTNERS!$D$2:$D$88,MATCH(B496,PARTNERS!$A$2:$A$88,0)),"")="NO SLOTS",1,IF(AND(IFERROR(INDEX(PARTNERS!$D$2:$D$88,MATCH(B496,PARTNERS!$A$2:$A$88,0)),"")&lt;&gt;"REOPENED",COUNTIFS(LOG!$E$2:$E$2001,B496,LOG!$D$2:$D$2001,"NO_SLOTS")&gt;0),1,0)),0)</f>
        <v>0</v>
      </c>
      <c r="Q496" s="28">
        <f>IF(L496=1,COUNTIFS(LOG!$C$2:$C$2001,F496,LOG!$H$2:$H$2001,1),0)</f>
        <v>0</v>
      </c>
      <c r="R496" s="46">
        <f>IF(Q496&gt;0,_xlfn.MAXIFS(LOG!$G$2:$G$2001,LOG!$C$2:$C$2001,F496,LOG!$H$2:$H$2001,1),0)</f>
        <v>0</v>
      </c>
      <c r="S496" s="28" t="str">
        <f>IF(Q496&gt;0,IFERROR(INDEX(LOG!$D$2:$D$2001,MATCH(F496&amp;"|"&amp;Q496,LOG!$I$2:$I$2001,0)),""),"")</f>
        <v/>
      </c>
      <c r="T496" s="28">
        <f>IF(S496="",0,IFERROR(VLOOKUP(S496,LISTS!$A$2:$E$10,4,FALSE),0))</f>
        <v>0</v>
      </c>
      <c r="U496" s="46">
        <f t="shared" si="79"/>
        <v>0</v>
      </c>
      <c r="V496" s="46" t="str">
        <f>IF(L496=1,H496+SETTINGS!$B$5/24,"")</f>
        <v/>
      </c>
      <c r="W496" s="28" t="str">
        <f>IF(L496=1,(V496-SETTINGS!$B$4)*24,"")</f>
        <v/>
      </c>
      <c r="X496" s="28">
        <f ca="1">IF(AND(L496=1,K496="OK",M496=0,N496=0,O496=0,P496=0,SETTINGS!$B$4&lt;V496,Q496&lt;SETTINGS!$B$6),1,0)</f>
        <v>0</v>
      </c>
      <c r="Y496" s="28">
        <f ca="1">IF(AND(X496=1,SETTINGS!$B$4&gt;=H496,SETTINGS!$B$4&gt;=U496,ROUND(MOD(SETTINGS!$B$4,1)*1440,0)&gt;=ROUND(SETTINGS!$B$7*1440,0),ROUND(MOD(SETTINGS!$B$4,1)*1440,0)&lt;ROUND(SETTINGS!$B$8*1440,0)),1,0)</f>
        <v>0</v>
      </c>
      <c r="Z496" s="28" t="str">
        <f ca="1">IF(B496="","",IF(ROUND(MOD(SETTINGS!$B$4,1)*1440,0)&lt;ROUND(SETTINGS!$B$11*1440,0),"Ram",IF(ROUND(MOD(SETTINGS!$B$4,1)*1440,0)&gt;=ROUND(SETTINGS!$B$10*1440,0),"Shyam",IF(MOD(IFERROR(VALUE(RIGHT(F496,2)),0),2)=0,"Ram","Shyam"))))</f>
        <v>Shyam</v>
      </c>
      <c r="AA496" s="28">
        <f t="shared" ca="1" si="80"/>
        <v>0</v>
      </c>
      <c r="AB496" s="28">
        <f ca="1">IF(X496=1,COUNTIFS($F$2:F496,F496,$X$2:X496,1),0)</f>
        <v>0</v>
      </c>
      <c r="AC496" s="28" t="str">
        <f>IF(L496=1,IF(IFERROR(INDEX(PARTNERS!$C$2:$C$88,MATCH(B496,PARTNERS!$A$2:$A$88,0)),"")="YES","YES","NO"),"")</f>
        <v/>
      </c>
      <c r="AD496" s="28" t="str">
        <f>IF(L496=1,IFERROR(INDEX(PARTNERS!$B$2:$B$88,MATCH(B496,PARTNERS!$A$2:$A$88,0)),""),"")</f>
        <v/>
      </c>
      <c r="AE496" s="28">
        <f ca="1">IF(X496=1,IFERROR(INDEX(SETTINGS!$B$34:$D$36,MATCH(I496,SETTINGS!$A$34:$A$36,0),MIN(Q496,2)+1),SETTINGS!$B$36),0)</f>
        <v>0</v>
      </c>
      <c r="AF496" s="28">
        <f t="shared" si="81"/>
        <v>0</v>
      </c>
      <c r="AG496" s="28">
        <f ca="1">IF(AND(Y496=1,AB496=1),ROUND(AA496*AE496*IF(AF496&gt;1,SETTINGS!$B$16,1)*IF(W496&lt;=SETTINGS!$B$14,SETTINGS!$B$15,1)*IF(AU496=1,SETTINGS!$B$21,1),6),0)</f>
        <v>0</v>
      </c>
      <c r="AH496" s="28" t="str">
        <f ca="1">IF(AG496&gt;0,COUNTIFS($Z$2:$Z$601,Z496,$AG$2:$AG$601,"&gt;"&amp;AG496)+COUNTIFS($Z$2:Z496,Z496,$AG$2:AG496,AG496),"")</f>
        <v/>
      </c>
      <c r="AI496" s="28" t="str">
        <f t="shared" ca="1" si="82"/>
        <v/>
      </c>
      <c r="AJ496" s="28" t="str">
        <f t="shared" ca="1" si="83"/>
        <v/>
      </c>
      <c r="AK496" s="28">
        <f>IF(L496=1,IF(COUNTIFS($F$2:F496,F496,$L$2:L496,1)=1,1,0),0)</f>
        <v>0</v>
      </c>
      <c r="AL496" s="28" t="str">
        <f>IF(B496="","",IF(K496="DUPLICATE","Duplicate (removed)",IF(AO496=1,"Scheduled within 24h",IF(M496=1,"Scheduled late",IF(K496="BAD CONTACT","Bad contact details",IF(O496=1,"Stopped / wrong number",IF(N496=1,"Not interested",IF(P496=1,"Partner has no slots",IF(SETTINGS!$B$4&gt;=V496,IF(Q496=0,"Missed deadline: never tried","Missed deadline: tried, not booked"),IF(Q496&gt;=SETTINGS!$B$6,"No reply after max tries","Open"))))))))))</f>
        <v>Duplicate (removed)</v>
      </c>
      <c r="AM496" s="46" t="str">
        <f>IF(M496=1,IF(_xlfn.MINIFS(LOG!$G$2:$G$2001,LOG!$C$2:$C$2001,F496,LOG!$E$2:$E$2001,B496,LOG!$D$2:$D$2001,"*BOOKED")=0,_xlfn.MINIFS(LOG!$G$2:$G$2001,LOG!$C$2:$C$2001,F496,LOG!$E$2:$E$2001,"",LOG!$D$2:$D$2001,"*BOOKED"),IF(_xlfn.MINIFS(LOG!$G$2:$G$2001,LOG!$C$2:$C$2001,F496,LOG!$E$2:$E$2001,"",LOG!$D$2:$D$2001,"*BOOKED")=0,_xlfn.MINIFS(LOG!$G$2:$G$2001,LOG!$C$2:$C$2001,F496,LOG!$E$2:$E$2001,B496,LOG!$D$2:$D$2001,"*BOOKED"),MIN(_xlfn.MINIFS(LOG!$G$2:$G$2001,LOG!$C$2:$C$2001,F496,LOG!$E$2:$E$2001,B496,LOG!$D$2:$D$2001,"*BOOKED"),_xlfn.MINIFS(LOG!$G$2:$G$2001,LOG!$C$2:$C$2001,F496,LOG!$E$2:$E$2001,"",LOG!$D$2:$D$2001,"*BOOKED")))),"")</f>
        <v/>
      </c>
      <c r="AN496" s="28" t="str">
        <f t="shared" si="84"/>
        <v/>
      </c>
      <c r="AO496" s="28">
        <f>IF(AND(M496=1,AN496&lt;&gt;""),IF(AN496&lt;=SETTINGS!$B$5,1,0),0)</f>
        <v>0</v>
      </c>
      <c r="AP496" s="28">
        <f>IF(M496=1,IF(COUNTIFS(LOG!$C$2:$C$2001,F496,LOG!$E$2:$E$2001,B496,LOG!$D$2:$D$2001,"BOOKED")+COUNTIFS(LOG!$C$2:$C$2001,F496,LOG!$E$2:$E$2001,"",LOG!$D$2:$D$2001,"BOOKED")&gt;0,1,0),0)</f>
        <v>0</v>
      </c>
      <c r="AQ496" s="28" t="str">
        <f t="shared" si="85"/>
        <v>Meera</v>
      </c>
      <c r="AR496" s="28" t="str">
        <f>IF(AND(AK496=1,K496="OK"),COUNTIFS($AK$2:AK496,1,$K$2:K496,"OK"),"")</f>
        <v/>
      </c>
      <c r="AS496" s="28" t="str">
        <f>IF(L496=1,IFERROR(INDEX(MESSAGES!$J$9:$J$1008,MATCH(F496,MESSAGES!$M$9:$M$1008,0))&amp;"",""),"")</f>
        <v/>
      </c>
      <c r="AT496" s="28" t="str">
        <f>IF(L496=1,IFERROR(INDEX(MESSAGES!$K$9:$K$1008,MATCH(F496,MESSAGES!$M$9:$M$1008,0))&amp;"",""),"")</f>
        <v/>
      </c>
      <c r="AU496" s="28">
        <f t="shared" ca="1" si="86"/>
        <v>0</v>
      </c>
      <c r="AV496" s="28" t="str">
        <f t="shared" si="87"/>
        <v/>
      </c>
    </row>
    <row r="497" spans="1:48" x14ac:dyDescent="0.35">
      <c r="A497" s="28">
        <v>496</v>
      </c>
      <c r="B497" s="28" t="str">
        <f>IF(INPUT!A497="","",TRIM(INPUT!A497))</f>
        <v>Partner 000</v>
      </c>
      <c r="C497" s="28" t="str">
        <f>IF(B497="","",INPUT!C497)</f>
        <v>interviewer1@partner000.example.com</v>
      </c>
      <c r="D497" s="28" t="str">
        <f>IF(B497="","",INPUT!D497)</f>
        <v>Yash A.</v>
      </c>
      <c r="E497" s="28" t="str">
        <f>IF(B497="","",INPUT!E497)</f>
        <v>yash.a016@example.com</v>
      </c>
      <c r="F497" s="43" t="str">
        <f>IF(B497="","",TRIM(INPUT!F497&amp;""))</f>
        <v>9000000215</v>
      </c>
      <c r="G497" s="28" t="str">
        <f>IF(B497="","",INPUT!H497)</f>
        <v>Round1</v>
      </c>
      <c r="H497" s="46">
        <f>IF(B497="","",INPUT!I497)</f>
        <v>46308.82708333333</v>
      </c>
      <c r="I497" s="28" t="str">
        <f>IF(B497="","",IF(INPUT!J497="","None",INPUT!J497))</f>
        <v>Opened</v>
      </c>
      <c r="J497" s="28" t="str">
        <f t="shared" si="77"/>
        <v>yash.a016@example.com|partner 000|Round1|interviewer1@partner000.example.com</v>
      </c>
      <c r="K497" s="28" t="str">
        <f>IF(B497="","",IF(SUMPRODUCT(($J$2:$J$601=J497)*($H$2:$H$601&lt;H497))+SUMPRODUCT(($J$2:J497=J497)*($H$2:H497=H497))-1&gt;0,"DUPLICATE",IF(AND(ISNUMBER(SEARCH("@",E497)),ISNUMBER(SEARCH(".",E497)),LEN(F497)=10,ISNUMBER(VALUE(F497))),"OK","BAD CONTACT")))</f>
        <v>OK</v>
      </c>
      <c r="L497" s="28">
        <f t="shared" si="78"/>
        <v>1</v>
      </c>
      <c r="M497" s="28">
        <f>IF(L497=1,IF(COUNTIFS(LOG!$C$2:$C$2001,F497,LOG!$E$2:$E$2001,B497,LOG!$D$2:$D$2001,"*BOOKED")+COUNTIFS(LOG!$C$2:$C$2001,F497,LOG!$E$2:$E$2001,"",LOG!$D$2:$D$2001,"*BOOKED")&gt;0,1,0),0)</f>
        <v>0</v>
      </c>
      <c r="N497" s="28">
        <f>IF(L497=1,IF(COUNTIFS(LOG!$C$2:$C$2001,F497,LOG!$E$2:$E$2001,B497,LOG!$D$2:$D$2001,"NOT_INTERESTED")+COUNTIFS(LOG!$C$2:$C$2001,F497,LOG!$E$2:$E$2001,"",LOG!$D$2:$D$2001,"NOT_INTERESTED")&gt;0,1,0),0)</f>
        <v>0</v>
      </c>
      <c r="O497" s="28">
        <f>IF(L497=1,IF(COUNTIFS(LOG!$C$2:$C$2001,F497,LOG!$D$2:$D$2001,"STOP")+COUNTIFS(LOG!$C$2:$C$2001,F497,LOG!$D$2:$D$2001,"WRONG_NUMBER")&gt;0,1,IF(ISNUMBER(SEARCH("STOP",AT497)),1,0)),0)</f>
        <v>0</v>
      </c>
      <c r="P497" s="28">
        <f>IF(L497=1,IF(IFERROR(INDEX(PARTNERS!$D$2:$D$88,MATCH(B497,PARTNERS!$A$2:$A$88,0)),"")="NO SLOTS",1,IF(AND(IFERROR(INDEX(PARTNERS!$D$2:$D$88,MATCH(B497,PARTNERS!$A$2:$A$88,0)),"")&lt;&gt;"REOPENED",COUNTIFS(LOG!$E$2:$E$2001,B497,LOG!$D$2:$D$2001,"NO_SLOTS")&gt;0),1,0)),0)</f>
        <v>0</v>
      </c>
      <c r="Q497" s="28">
        <f>IF(L497=1,COUNTIFS(LOG!$C$2:$C$2001,F497,LOG!$H$2:$H$2001,1),0)</f>
        <v>0</v>
      </c>
      <c r="R497" s="46">
        <f>IF(Q497&gt;0,_xlfn.MAXIFS(LOG!$G$2:$G$2001,LOG!$C$2:$C$2001,F497,LOG!$H$2:$H$2001,1),0)</f>
        <v>0</v>
      </c>
      <c r="S497" s="28" t="str">
        <f>IF(Q497&gt;0,IFERROR(INDEX(LOG!$D$2:$D$2001,MATCH(F497&amp;"|"&amp;Q497,LOG!$I$2:$I$2001,0)),""),"")</f>
        <v/>
      </c>
      <c r="T497" s="28">
        <f>IF(S497="",0,IFERROR(VLOOKUP(S497,LISTS!$A$2:$E$10,4,FALSE),0))</f>
        <v>0</v>
      </c>
      <c r="U497" s="46">
        <f t="shared" si="79"/>
        <v>0</v>
      </c>
      <c r="V497" s="46">
        <f>IF(L497=1,H497+SETTINGS!$B$5/24,"")</f>
        <v>46309.82708333333</v>
      </c>
      <c r="W497" s="28">
        <f ca="1">IF(L497=1,(V497-SETTINGS!$B$4)*24,"")</f>
        <v>-1.6666666720993817E-2</v>
      </c>
      <c r="X497" s="28">
        <f ca="1">IF(AND(L497=1,K497="OK",M497=0,N497=0,O497=0,P497=0,SETTINGS!$B$4&lt;V497,Q497&lt;SETTINGS!$B$6),1,0)</f>
        <v>0</v>
      </c>
      <c r="Y497" s="28">
        <f ca="1">IF(AND(X497=1,SETTINGS!$B$4&gt;=H497,SETTINGS!$B$4&gt;=U497,ROUND(MOD(SETTINGS!$B$4,1)*1440,0)&gt;=ROUND(SETTINGS!$B$7*1440,0),ROUND(MOD(SETTINGS!$B$4,1)*1440,0)&lt;ROUND(SETTINGS!$B$8*1440,0)),1,0)</f>
        <v>0</v>
      </c>
      <c r="Z497" s="28" t="str">
        <f ca="1">IF(B497="","",IF(ROUND(MOD(SETTINGS!$B$4,1)*1440,0)&lt;ROUND(SETTINGS!$B$11*1440,0),"Ram",IF(ROUND(MOD(SETTINGS!$B$4,1)*1440,0)&gt;=ROUND(SETTINGS!$B$10*1440,0),"Shyam",IF(MOD(IFERROR(VALUE(RIGHT(F497,2)),0),2)=0,"Ram","Shyam"))))</f>
        <v>Shyam</v>
      </c>
      <c r="AA497" s="28">
        <f t="shared" ca="1" si="80"/>
        <v>0</v>
      </c>
      <c r="AB497" s="28">
        <f ca="1">IF(X497=1,COUNTIFS($F$2:F497,F497,$X$2:X497,1),0)</f>
        <v>0</v>
      </c>
      <c r="AC497" s="28" t="str">
        <f>IF(L497=1,IF(IFERROR(INDEX(PARTNERS!$C$2:$C$88,MATCH(B497,PARTNERS!$A$2:$A$88,0)),"")="YES","YES","NO"),"")</f>
        <v>NO</v>
      </c>
      <c r="AD497" s="28" t="str">
        <f>IF(L497=1,IFERROR(INDEX(PARTNERS!$B$2:$B$88,MATCH(B497,PARTNERS!$A$2:$A$88,0)),""),"")</f>
        <v>https://calendly.com/partner000/interview</v>
      </c>
      <c r="AE497" s="28">
        <f ca="1">IF(X497=1,IFERROR(INDEX(SETTINGS!$B$34:$D$36,MATCH(I497,SETTINGS!$A$34:$A$36,0),MIN(Q497,2)+1),SETTINGS!$B$36),0)</f>
        <v>0</v>
      </c>
      <c r="AF497" s="28">
        <f t="shared" si="81"/>
        <v>1</v>
      </c>
      <c r="AG497" s="28">
        <f ca="1">IF(AND(Y497=1,AB497=1),ROUND(AA497*AE497*IF(AF497&gt;1,SETTINGS!$B$16,1)*IF(W497&lt;=SETTINGS!$B$14,SETTINGS!$B$15,1)*IF(AU497=1,SETTINGS!$B$21,1),6),0)</f>
        <v>0</v>
      </c>
      <c r="AH497" s="28" t="str">
        <f ca="1">IF(AG497&gt;0,COUNTIFS($Z$2:$Z$601,Z497,$AG$2:$AG$601,"&gt;"&amp;AG497)+COUNTIFS($Z$2:Z497,Z497,$AG$2:AG497,AG497),"")</f>
        <v/>
      </c>
      <c r="AI497" s="28" t="str">
        <f t="shared" ca="1" si="82"/>
        <v/>
      </c>
      <c r="AJ497" s="28" t="str">
        <f t="shared" ca="1" si="83"/>
        <v/>
      </c>
      <c r="AK497" s="28">
        <f>IF(L497=1,IF(COUNTIFS($F$2:F497,F497,$L$2:L497,1)=1,1,0),0)</f>
        <v>1</v>
      </c>
      <c r="AL497" s="28" t="str">
        <f ca="1">IF(B497="","",IF(K497="DUPLICATE","Duplicate (removed)",IF(AO497=1,"Scheduled within 24h",IF(M497=1,"Scheduled late",IF(K497="BAD CONTACT","Bad contact details",IF(O497=1,"Stopped / wrong number",IF(N497=1,"Not interested",IF(P497=1,"Partner has no slots",IF(SETTINGS!$B$4&gt;=V497,IF(Q497=0,"Missed deadline: never tried","Missed deadline: tried, not booked"),IF(Q497&gt;=SETTINGS!$B$6,"No reply after max tries","Open"))))))))))</f>
        <v>Missed deadline: never tried</v>
      </c>
      <c r="AM497" s="46" t="str">
        <f>IF(M497=1,IF(_xlfn.MINIFS(LOG!$G$2:$G$2001,LOG!$C$2:$C$2001,F497,LOG!$E$2:$E$2001,B497,LOG!$D$2:$D$2001,"*BOOKED")=0,_xlfn.MINIFS(LOG!$G$2:$G$2001,LOG!$C$2:$C$2001,F497,LOG!$E$2:$E$2001,"",LOG!$D$2:$D$2001,"*BOOKED"),IF(_xlfn.MINIFS(LOG!$G$2:$G$2001,LOG!$C$2:$C$2001,F497,LOG!$E$2:$E$2001,"",LOG!$D$2:$D$2001,"*BOOKED")=0,_xlfn.MINIFS(LOG!$G$2:$G$2001,LOG!$C$2:$C$2001,F497,LOG!$E$2:$E$2001,B497,LOG!$D$2:$D$2001,"*BOOKED"),MIN(_xlfn.MINIFS(LOG!$G$2:$G$2001,LOG!$C$2:$C$2001,F497,LOG!$E$2:$E$2001,B497,LOG!$D$2:$D$2001,"*BOOKED"),_xlfn.MINIFS(LOG!$G$2:$G$2001,LOG!$C$2:$C$2001,F497,LOG!$E$2:$E$2001,"",LOG!$D$2:$D$2001,"*BOOKED")))),"")</f>
        <v/>
      </c>
      <c r="AN497" s="28" t="str">
        <f t="shared" si="84"/>
        <v/>
      </c>
      <c r="AO497" s="28">
        <f>IF(AND(M497=1,AN497&lt;&gt;""),IF(AN497&lt;=SETTINGS!$B$5,1,0),0)</f>
        <v>0</v>
      </c>
      <c r="AP497" s="28">
        <f>IF(M497=1,IF(COUNTIFS(LOG!$C$2:$C$2001,F497,LOG!$E$2:$E$2001,B497,LOG!$D$2:$D$2001,"BOOKED")+COUNTIFS(LOG!$C$2:$C$2001,F497,LOG!$E$2:$E$2001,"",LOG!$D$2:$D$2001,"BOOKED")&gt;0,1,0),0)</f>
        <v>0</v>
      </c>
      <c r="AQ497" s="28" t="str">
        <f t="shared" si="85"/>
        <v>Yash</v>
      </c>
      <c r="AR497" s="28">
        <f>IF(AND(AK497=1,K497="OK"),COUNTIFS($AK$2:AK497,1,$K$2:K497,"OK"),"")</f>
        <v>404</v>
      </c>
      <c r="AS497" s="28" t="str">
        <f>IF(L497=1,IFERROR(INDEX(MESSAGES!$J$9:$J$1008,MATCH(F497,MESSAGES!$M$9:$M$1008,0))&amp;"",""),"")</f>
        <v/>
      </c>
      <c r="AT497" s="28" t="str">
        <f>IF(L497=1,IFERROR(INDEX(MESSAGES!$K$9:$K$1008,MATCH(F497,MESSAGES!$M$9:$M$1008,0))&amp;"",""),"")</f>
        <v/>
      </c>
      <c r="AU497" s="28">
        <f t="shared" ca="1" si="86"/>
        <v>0</v>
      </c>
      <c r="AV497" s="28" t="str">
        <f t="shared" si="87"/>
        <v>HOLD</v>
      </c>
    </row>
    <row r="498" spans="1:48" x14ac:dyDescent="0.35">
      <c r="A498" s="28">
        <v>497</v>
      </c>
      <c r="B498" s="28" t="str">
        <f>IF(INPUT!A498="","",TRIM(INPUT!A498))</f>
        <v>Partner 008</v>
      </c>
      <c r="C498" s="28" t="str">
        <f>IF(B498="","",INPUT!C498)</f>
        <v>interviewer1@partner008.example.com</v>
      </c>
      <c r="D498" s="28" t="str">
        <f>IF(B498="","",INPUT!D498)</f>
        <v>Zoya H.</v>
      </c>
      <c r="E498" s="28" t="str">
        <f>IF(B498="","",INPUT!E498)</f>
        <v>zoya.h227@example.com</v>
      </c>
      <c r="F498" s="43" t="str">
        <f>IF(B498="","",TRIM(INPUT!F498&amp;""))</f>
        <v>9000002958</v>
      </c>
      <c r="G498" s="28" t="str">
        <f>IF(B498="","",INPUT!H498)</f>
        <v>Round1</v>
      </c>
      <c r="H498" s="46">
        <f>IF(B498="","",INPUT!I498)</f>
        <v>46308.82708333333</v>
      </c>
      <c r="I498" s="28" t="str">
        <f>IF(B498="","",IF(INPUT!J498="","None",INPUT!J498))</f>
        <v>None</v>
      </c>
      <c r="J498" s="28" t="str">
        <f t="shared" si="77"/>
        <v>zoya.h227@example.com|partner 008|Round1|interviewer1@partner008.example.com</v>
      </c>
      <c r="K498" s="28" t="str">
        <f>IF(B498="","",IF(SUMPRODUCT(($J$2:$J$601=J498)*($H$2:$H$601&lt;H498))+SUMPRODUCT(($J$2:J498=J498)*($H$2:H498=H498))-1&gt;0,"DUPLICATE",IF(AND(ISNUMBER(SEARCH("@",E498)),ISNUMBER(SEARCH(".",E498)),LEN(F498)=10,ISNUMBER(VALUE(F498))),"OK","BAD CONTACT")))</f>
        <v>OK</v>
      </c>
      <c r="L498" s="28">
        <f t="shared" si="78"/>
        <v>1</v>
      </c>
      <c r="M498" s="28">
        <f>IF(L498=1,IF(COUNTIFS(LOG!$C$2:$C$2001,F498,LOG!$E$2:$E$2001,B498,LOG!$D$2:$D$2001,"*BOOKED")+COUNTIFS(LOG!$C$2:$C$2001,F498,LOG!$E$2:$E$2001,"",LOG!$D$2:$D$2001,"*BOOKED")&gt;0,1,0),0)</f>
        <v>0</v>
      </c>
      <c r="N498" s="28">
        <f>IF(L498=1,IF(COUNTIFS(LOG!$C$2:$C$2001,F498,LOG!$E$2:$E$2001,B498,LOG!$D$2:$D$2001,"NOT_INTERESTED")+COUNTIFS(LOG!$C$2:$C$2001,F498,LOG!$E$2:$E$2001,"",LOG!$D$2:$D$2001,"NOT_INTERESTED")&gt;0,1,0),0)</f>
        <v>0</v>
      </c>
      <c r="O498" s="28">
        <f>IF(L498=1,IF(COUNTIFS(LOG!$C$2:$C$2001,F498,LOG!$D$2:$D$2001,"STOP")+COUNTIFS(LOG!$C$2:$C$2001,F498,LOG!$D$2:$D$2001,"WRONG_NUMBER")&gt;0,1,IF(ISNUMBER(SEARCH("STOP",AT498)),1,0)),0)</f>
        <v>0</v>
      </c>
      <c r="P498" s="28">
        <f>IF(L498=1,IF(IFERROR(INDEX(PARTNERS!$D$2:$D$88,MATCH(B498,PARTNERS!$A$2:$A$88,0)),"")="NO SLOTS",1,IF(AND(IFERROR(INDEX(PARTNERS!$D$2:$D$88,MATCH(B498,PARTNERS!$A$2:$A$88,0)),"")&lt;&gt;"REOPENED",COUNTIFS(LOG!$E$2:$E$2001,B498,LOG!$D$2:$D$2001,"NO_SLOTS")&gt;0),1,0)),0)</f>
        <v>0</v>
      </c>
      <c r="Q498" s="28">
        <f>IF(L498=1,COUNTIFS(LOG!$C$2:$C$2001,F498,LOG!$H$2:$H$2001,1),0)</f>
        <v>3</v>
      </c>
      <c r="R498" s="46">
        <f>IF(Q498&gt;0,_xlfn.MAXIFS(LOG!$G$2:$G$2001,LOG!$C$2:$C$2001,F498,LOG!$H$2:$H$2001,1),0)</f>
        <v>46309.67092024631</v>
      </c>
      <c r="S498" s="28" t="str">
        <f>IF(Q498&gt;0,IFERROR(INDEX(LOG!$D$2:$D$2001,MATCH(F498&amp;"|"&amp;Q498,LOG!$I$2:$I$2001,0)),""),"")</f>
        <v>NO_ANSWER</v>
      </c>
      <c r="T498" s="28">
        <f>IF(S498="",0,IFERROR(VLOOKUP(S498,LISTS!$A$2:$E$10,4,FALSE),0))</f>
        <v>120</v>
      </c>
      <c r="U498" s="46">
        <f t="shared" si="79"/>
        <v>46309.754253579646</v>
      </c>
      <c r="V498" s="46">
        <f>IF(L498=1,H498+SETTINGS!$B$5/24,"")</f>
        <v>46309.82708333333</v>
      </c>
      <c r="W498" s="28">
        <f ca="1">IF(L498=1,(V498-SETTINGS!$B$4)*24,"")</f>
        <v>-1.6666666720993817E-2</v>
      </c>
      <c r="X498" s="28">
        <f ca="1">IF(AND(L498=1,K498="OK",M498=0,N498=0,O498=0,P498=0,SETTINGS!$B$4&lt;V498,Q498&lt;SETTINGS!$B$6),1,0)</f>
        <v>0</v>
      </c>
      <c r="Y498" s="28">
        <f ca="1">IF(AND(X498=1,SETTINGS!$B$4&gt;=H498,SETTINGS!$B$4&gt;=U498,ROUND(MOD(SETTINGS!$B$4,1)*1440,0)&gt;=ROUND(SETTINGS!$B$7*1440,0),ROUND(MOD(SETTINGS!$B$4,1)*1440,0)&lt;ROUND(SETTINGS!$B$8*1440,0)),1,0)</f>
        <v>0</v>
      </c>
      <c r="Z498" s="28" t="str">
        <f ca="1">IF(B498="","",IF(ROUND(MOD(SETTINGS!$B$4,1)*1440,0)&lt;ROUND(SETTINGS!$B$11*1440,0),"Ram",IF(ROUND(MOD(SETTINGS!$B$4,1)*1440,0)&gt;=ROUND(SETTINGS!$B$10*1440,0),"Shyam",IF(MOD(IFERROR(VALUE(RIGHT(F498,2)),0),2)=0,"Ram","Shyam"))))</f>
        <v>Shyam</v>
      </c>
      <c r="AA498" s="28">
        <f t="shared" ca="1" si="80"/>
        <v>0</v>
      </c>
      <c r="AB498" s="28">
        <f ca="1">IF(X498=1,COUNTIFS($F$2:F498,F498,$X$2:X498,1),0)</f>
        <v>0</v>
      </c>
      <c r="AC498" s="28" t="str">
        <f>IF(L498=1,IF(IFERROR(INDEX(PARTNERS!$C$2:$C$88,MATCH(B498,PARTNERS!$A$2:$A$88,0)),"")="YES","YES","NO"),"")</f>
        <v>YES</v>
      </c>
      <c r="AD498" s="28" t="str">
        <f>IF(L498=1,IFERROR(INDEX(PARTNERS!$B$2:$B$88,MATCH(B498,PARTNERS!$A$2:$A$88,0)),""),"")</f>
        <v>https://calendly.com/partner008/interview</v>
      </c>
      <c r="AE498" s="28">
        <f ca="1">IF(X498=1,IFERROR(INDEX(SETTINGS!$B$34:$D$36,MATCH(I498,SETTINGS!$A$34:$A$36,0),MIN(Q498,2)+1),SETTINGS!$B$36),0)</f>
        <v>0</v>
      </c>
      <c r="AF498" s="28">
        <f t="shared" si="81"/>
        <v>1</v>
      </c>
      <c r="AG498" s="28">
        <f ca="1">IF(AND(Y498=1,AB498=1),ROUND(AA498*AE498*IF(AF498&gt;1,SETTINGS!$B$16,1)*IF(W498&lt;=SETTINGS!$B$14,SETTINGS!$B$15,1)*IF(AU498=1,SETTINGS!$B$21,1),6),0)</f>
        <v>0</v>
      </c>
      <c r="AH498" s="28" t="str">
        <f ca="1">IF(AG498&gt;0,COUNTIFS($Z$2:$Z$601,Z498,$AG$2:$AG$601,"&gt;"&amp;AG498)+COUNTIFS($Z$2:Z498,Z498,$AG$2:AG498,AG498),"")</f>
        <v/>
      </c>
      <c r="AI498" s="28" t="str">
        <f t="shared" ca="1" si="82"/>
        <v/>
      </c>
      <c r="AJ498" s="28" t="str">
        <f t="shared" ca="1" si="83"/>
        <v/>
      </c>
      <c r="AK498" s="28">
        <f>IF(L498=1,IF(COUNTIFS($F$2:F498,F498,$L$2:L498,1)=1,1,0),0)</f>
        <v>0</v>
      </c>
      <c r="AL498" s="28" t="str">
        <f ca="1">IF(B498="","",IF(K498="DUPLICATE","Duplicate (removed)",IF(AO498=1,"Scheduled within 24h",IF(M498=1,"Scheduled late",IF(K498="BAD CONTACT","Bad contact details",IF(O498=1,"Stopped / wrong number",IF(N498=1,"Not interested",IF(P498=1,"Partner has no slots",IF(SETTINGS!$B$4&gt;=V498,IF(Q498=0,"Missed deadline: never tried","Missed deadline: tried, not booked"),IF(Q498&gt;=SETTINGS!$B$6,"No reply after max tries","Open"))))))))))</f>
        <v>Missed deadline: tried, not booked</v>
      </c>
      <c r="AM498" s="46" t="str">
        <f>IF(M498=1,IF(_xlfn.MINIFS(LOG!$G$2:$G$2001,LOG!$C$2:$C$2001,F498,LOG!$E$2:$E$2001,B498,LOG!$D$2:$D$2001,"*BOOKED")=0,_xlfn.MINIFS(LOG!$G$2:$G$2001,LOG!$C$2:$C$2001,F498,LOG!$E$2:$E$2001,"",LOG!$D$2:$D$2001,"*BOOKED"),IF(_xlfn.MINIFS(LOG!$G$2:$G$2001,LOG!$C$2:$C$2001,F498,LOG!$E$2:$E$2001,"",LOG!$D$2:$D$2001,"*BOOKED")=0,_xlfn.MINIFS(LOG!$G$2:$G$2001,LOG!$C$2:$C$2001,F498,LOG!$E$2:$E$2001,B498,LOG!$D$2:$D$2001,"*BOOKED"),MIN(_xlfn.MINIFS(LOG!$G$2:$G$2001,LOG!$C$2:$C$2001,F498,LOG!$E$2:$E$2001,B498,LOG!$D$2:$D$2001,"*BOOKED"),_xlfn.MINIFS(LOG!$G$2:$G$2001,LOG!$C$2:$C$2001,F498,LOG!$E$2:$E$2001,"",LOG!$D$2:$D$2001,"*BOOKED")))),"")</f>
        <v/>
      </c>
      <c r="AN498" s="28" t="str">
        <f t="shared" si="84"/>
        <v/>
      </c>
      <c r="AO498" s="28">
        <f>IF(AND(M498=1,AN498&lt;&gt;""),IF(AN498&lt;=SETTINGS!$B$5,1,0),0)</f>
        <v>0</v>
      </c>
      <c r="AP498" s="28">
        <f>IF(M498=1,IF(COUNTIFS(LOG!$C$2:$C$2001,F498,LOG!$E$2:$E$2001,B498,LOG!$D$2:$D$2001,"BOOKED")+COUNTIFS(LOG!$C$2:$C$2001,F498,LOG!$E$2:$E$2001,"",LOG!$D$2:$D$2001,"BOOKED")&gt;0,1,0),0)</f>
        <v>0</v>
      </c>
      <c r="AQ498" s="28" t="str">
        <f t="shared" si="85"/>
        <v>Zoya</v>
      </c>
      <c r="AR498" s="28" t="str">
        <f>IF(AND(AK498=1,K498="OK"),COUNTIFS($AK$2:AK498,1,$K$2:K498,"OK"),"")</f>
        <v/>
      </c>
      <c r="AS498" s="28" t="str">
        <f>IF(L498=1,IFERROR(INDEX(MESSAGES!$J$9:$J$1008,MATCH(F498,MESSAGES!$M$9:$M$1008,0))&amp;"",""),"")</f>
        <v/>
      </c>
      <c r="AT498" s="28" t="str">
        <f>IF(L498=1,IFERROR(INDEX(MESSAGES!$K$9:$K$1008,MATCH(F498,MESSAGES!$M$9:$M$1008,0))&amp;"",""),"")</f>
        <v/>
      </c>
      <c r="AU498" s="28">
        <f t="shared" ca="1" si="86"/>
        <v>0</v>
      </c>
      <c r="AV498" s="28" t="str">
        <f t="shared" si="87"/>
        <v>HOLD</v>
      </c>
    </row>
    <row r="499" spans="1:48" x14ac:dyDescent="0.35">
      <c r="A499" s="28">
        <v>498</v>
      </c>
      <c r="B499" s="28" t="str">
        <f>IF(INPUT!A499="","",TRIM(INPUT!A499))</f>
        <v>Partner 009</v>
      </c>
      <c r="C499" s="28" t="str">
        <f>IF(B499="","",INPUT!C499)</f>
        <v>interviewer2@partner009.example.com</v>
      </c>
      <c r="D499" s="28" t="str">
        <f>IF(B499="","",INPUT!D499)</f>
        <v>Zoya J.</v>
      </c>
      <c r="E499" s="28" t="str">
        <f>IF(B499="","",INPUT!E499)</f>
        <v>zoya.j257@example.com</v>
      </c>
      <c r="F499" s="43" t="str">
        <f>IF(B499="","",TRIM(INPUT!F499&amp;""))</f>
        <v>9000003348</v>
      </c>
      <c r="G499" s="28" t="str">
        <f>IF(B499="","",INPUT!H499)</f>
        <v>Round1</v>
      </c>
      <c r="H499" s="46">
        <f>IF(B499="","",INPUT!I499)</f>
        <v>46308.82708333333</v>
      </c>
      <c r="I499" s="28" t="str">
        <f>IF(B499="","",IF(INPUT!J499="","None",INPUT!J499))</f>
        <v>Clicked</v>
      </c>
      <c r="J499" s="28" t="str">
        <f t="shared" si="77"/>
        <v>zoya.j257@example.com|partner 009|Round1|interviewer2@partner009.example.com</v>
      </c>
      <c r="K499" s="28" t="str">
        <f>IF(B499="","",IF(SUMPRODUCT(($J$2:$J$601=J499)*($H$2:$H$601&lt;H499))+SUMPRODUCT(($J$2:J499=J499)*($H$2:H499=H499))-1&gt;0,"DUPLICATE",IF(AND(ISNUMBER(SEARCH("@",E499)),ISNUMBER(SEARCH(".",E499)),LEN(F499)=10,ISNUMBER(VALUE(F499))),"OK","BAD CONTACT")))</f>
        <v>OK</v>
      </c>
      <c r="L499" s="28">
        <f t="shared" si="78"/>
        <v>1</v>
      </c>
      <c r="M499" s="28">
        <f>IF(L499=1,IF(COUNTIFS(LOG!$C$2:$C$2001,F499,LOG!$E$2:$E$2001,B499,LOG!$D$2:$D$2001,"*BOOKED")+COUNTIFS(LOG!$C$2:$C$2001,F499,LOG!$E$2:$E$2001,"",LOG!$D$2:$D$2001,"*BOOKED")&gt;0,1,0),0)</f>
        <v>1</v>
      </c>
      <c r="N499" s="28">
        <f>IF(L499=1,IF(COUNTIFS(LOG!$C$2:$C$2001,F499,LOG!$E$2:$E$2001,B499,LOG!$D$2:$D$2001,"NOT_INTERESTED")+COUNTIFS(LOG!$C$2:$C$2001,F499,LOG!$E$2:$E$2001,"",LOG!$D$2:$D$2001,"NOT_INTERESTED")&gt;0,1,0),0)</f>
        <v>0</v>
      </c>
      <c r="O499" s="28">
        <f>IF(L499=1,IF(COUNTIFS(LOG!$C$2:$C$2001,F499,LOG!$D$2:$D$2001,"STOP")+COUNTIFS(LOG!$C$2:$C$2001,F499,LOG!$D$2:$D$2001,"WRONG_NUMBER")&gt;0,1,IF(ISNUMBER(SEARCH("STOP",AT499)),1,0)),0)</f>
        <v>0</v>
      </c>
      <c r="P499" s="28">
        <f>IF(L499=1,IF(IFERROR(INDEX(PARTNERS!$D$2:$D$88,MATCH(B499,PARTNERS!$A$2:$A$88,0)),"")="NO SLOTS",1,IF(AND(IFERROR(INDEX(PARTNERS!$D$2:$D$88,MATCH(B499,PARTNERS!$A$2:$A$88,0)),"")&lt;&gt;"REOPENED",COUNTIFS(LOG!$E$2:$E$2001,B499,LOG!$D$2:$D$2001,"NO_SLOTS")&gt;0),1,0)),0)</f>
        <v>0</v>
      </c>
      <c r="Q499" s="28">
        <f>IF(L499=1,COUNTIFS(LOG!$C$2:$C$2001,F499,LOG!$H$2:$H$2001,1),0)</f>
        <v>2</v>
      </c>
      <c r="R499" s="46">
        <f>IF(Q499&gt;0,_xlfn.MAXIFS(LOG!$G$2:$G$2001,LOG!$C$2:$C$2001,F499,LOG!$H$2:$H$2001,1),0)</f>
        <v>46309.742320502068</v>
      </c>
      <c r="S499" s="28" t="str">
        <f>IF(Q499&gt;0,IFERROR(INDEX(LOG!$D$2:$D$2001,MATCH(F499&amp;"|"&amp;Q499,LOG!$I$2:$I$2001,0)),""),"")</f>
        <v>BOOKED</v>
      </c>
      <c r="T499" s="28">
        <f>IF(S499="",0,IFERROR(VLOOKUP(S499,LISTS!$A$2:$E$10,4,FALSE),0))</f>
        <v>0</v>
      </c>
      <c r="U499" s="46">
        <f t="shared" si="79"/>
        <v>46309.742320502068</v>
      </c>
      <c r="V499" s="46">
        <f>IF(L499=1,H499+SETTINGS!$B$5/24,"")</f>
        <v>46309.82708333333</v>
      </c>
      <c r="W499" s="28">
        <f ca="1">IF(L499=1,(V499-SETTINGS!$B$4)*24,"")</f>
        <v>-1.6666666720993817E-2</v>
      </c>
      <c r="X499" s="28">
        <f ca="1">IF(AND(L499=1,K499="OK",M499=0,N499=0,O499=0,P499=0,SETTINGS!$B$4&lt;V499,Q499&lt;SETTINGS!$B$6),1,0)</f>
        <v>0</v>
      </c>
      <c r="Y499" s="28">
        <f ca="1">IF(AND(X499=1,SETTINGS!$B$4&gt;=H499,SETTINGS!$B$4&gt;=U499,ROUND(MOD(SETTINGS!$B$4,1)*1440,0)&gt;=ROUND(SETTINGS!$B$7*1440,0),ROUND(MOD(SETTINGS!$B$4,1)*1440,0)&lt;ROUND(SETTINGS!$B$8*1440,0)),1,0)</f>
        <v>0</v>
      </c>
      <c r="Z499" s="28" t="str">
        <f ca="1">IF(B499="","",IF(ROUND(MOD(SETTINGS!$B$4,1)*1440,0)&lt;ROUND(SETTINGS!$B$11*1440,0),"Ram",IF(ROUND(MOD(SETTINGS!$B$4,1)*1440,0)&gt;=ROUND(SETTINGS!$B$10*1440,0),"Shyam",IF(MOD(IFERROR(VALUE(RIGHT(F499,2)),0),2)=0,"Ram","Shyam"))))</f>
        <v>Shyam</v>
      </c>
      <c r="AA499" s="28">
        <f t="shared" ca="1" si="80"/>
        <v>0</v>
      </c>
      <c r="AB499" s="28">
        <f ca="1">IF(X499=1,COUNTIFS($F$2:F499,F499,$X$2:X499,1),0)</f>
        <v>0</v>
      </c>
      <c r="AC499" s="28" t="str">
        <f>IF(L499=1,IF(IFERROR(INDEX(PARTNERS!$C$2:$C$88,MATCH(B499,PARTNERS!$A$2:$A$88,0)),"")="YES","YES","NO"),"")</f>
        <v>YES</v>
      </c>
      <c r="AD499" s="28" t="str">
        <f>IF(L499=1,IFERROR(INDEX(PARTNERS!$B$2:$B$88,MATCH(B499,PARTNERS!$A$2:$A$88,0)),""),"")</f>
        <v>https://calendly.com/partner009/interview</v>
      </c>
      <c r="AE499" s="28">
        <f ca="1">IF(X499=1,IFERROR(INDEX(SETTINGS!$B$34:$D$36,MATCH(I499,SETTINGS!$A$34:$A$36,0),MIN(Q499,2)+1),SETTINGS!$B$36),0)</f>
        <v>0</v>
      </c>
      <c r="AF499" s="28">
        <f t="shared" si="81"/>
        <v>1</v>
      </c>
      <c r="AG499" s="28">
        <f ca="1">IF(AND(Y499=1,AB499=1),ROUND(AA499*AE499*IF(AF499&gt;1,SETTINGS!$B$16,1)*IF(W499&lt;=SETTINGS!$B$14,SETTINGS!$B$15,1)*IF(AU499=1,SETTINGS!$B$21,1),6),0)</f>
        <v>0</v>
      </c>
      <c r="AH499" s="28" t="str">
        <f ca="1">IF(AG499&gt;0,COUNTIFS($Z$2:$Z$601,Z499,$AG$2:$AG$601,"&gt;"&amp;AG499)+COUNTIFS($Z$2:Z499,Z499,$AG$2:AG499,AG499),"")</f>
        <v/>
      </c>
      <c r="AI499" s="28" t="str">
        <f t="shared" ca="1" si="82"/>
        <v/>
      </c>
      <c r="AJ499" s="28" t="str">
        <f t="shared" ca="1" si="83"/>
        <v/>
      </c>
      <c r="AK499" s="28">
        <f>IF(L499=1,IF(COUNTIFS($F$2:F499,F499,$L$2:L499,1)=1,1,0),0)</f>
        <v>0</v>
      </c>
      <c r="AL499" s="28" t="str">
        <f>IF(B499="","",IF(K499="DUPLICATE","Duplicate (removed)",IF(AO499=1,"Scheduled within 24h",IF(M499=1,"Scheduled late",IF(K499="BAD CONTACT","Bad contact details",IF(O499=1,"Stopped / wrong number",IF(N499=1,"Not interested",IF(P499=1,"Partner has no slots",IF(SETTINGS!$B$4&gt;=V499,IF(Q499=0,"Missed deadline: never tried","Missed deadline: tried, not booked"),IF(Q499&gt;=SETTINGS!$B$6,"No reply after max tries","Open"))))))))))</f>
        <v>Scheduled within 24h</v>
      </c>
      <c r="AM499" s="46">
        <f>IF(M499=1,IF(_xlfn.MINIFS(LOG!$G$2:$G$2001,LOG!$C$2:$C$2001,F499,LOG!$E$2:$E$2001,B499,LOG!$D$2:$D$2001,"*BOOKED")=0,_xlfn.MINIFS(LOG!$G$2:$G$2001,LOG!$C$2:$C$2001,F499,LOG!$E$2:$E$2001,"",LOG!$D$2:$D$2001,"*BOOKED"),IF(_xlfn.MINIFS(LOG!$G$2:$G$2001,LOG!$C$2:$C$2001,F499,LOG!$E$2:$E$2001,"",LOG!$D$2:$D$2001,"*BOOKED")=0,_xlfn.MINIFS(LOG!$G$2:$G$2001,LOG!$C$2:$C$2001,F499,LOG!$E$2:$E$2001,B499,LOG!$D$2:$D$2001,"*BOOKED"),MIN(_xlfn.MINIFS(LOG!$G$2:$G$2001,LOG!$C$2:$C$2001,F499,LOG!$E$2:$E$2001,B499,LOG!$D$2:$D$2001,"*BOOKED"),_xlfn.MINIFS(LOG!$G$2:$G$2001,LOG!$C$2:$C$2001,F499,LOG!$E$2:$E$2001,"",LOG!$D$2:$D$2001,"*BOOKED")))),"")</f>
        <v>46309.742320502068</v>
      </c>
      <c r="AN499" s="28">
        <f t="shared" si="84"/>
        <v>21.965692049707286</v>
      </c>
      <c r="AO499" s="28">
        <f>IF(AND(M499=1,AN499&lt;&gt;""),IF(AN499&lt;=SETTINGS!$B$5,1,0),0)</f>
        <v>1</v>
      </c>
      <c r="AP499" s="28">
        <f>IF(M499=1,IF(COUNTIFS(LOG!$C$2:$C$2001,F499,LOG!$E$2:$E$2001,B499,LOG!$D$2:$D$2001,"BOOKED")+COUNTIFS(LOG!$C$2:$C$2001,F499,LOG!$E$2:$E$2001,"",LOG!$D$2:$D$2001,"BOOKED")&gt;0,1,0),0)</f>
        <v>1</v>
      </c>
      <c r="AQ499" s="28" t="str">
        <f t="shared" si="85"/>
        <v>Zoya</v>
      </c>
      <c r="AR499" s="28" t="str">
        <f>IF(AND(AK499=1,K499="OK"),COUNTIFS($AK$2:AK499,1,$K$2:K499,"OK"),"")</f>
        <v/>
      </c>
      <c r="AS499" s="28" t="str">
        <f>IF(L499=1,IFERROR(INDEX(MESSAGES!$J$9:$J$1008,MATCH(F499,MESSAGES!$M$9:$M$1008,0))&amp;"",""),"")</f>
        <v/>
      </c>
      <c r="AT499" s="28" t="str">
        <f>IF(L499=1,IFERROR(INDEX(MESSAGES!$K$9:$K$1008,MATCH(F499,MESSAGES!$M$9:$M$1008,0))&amp;"",""),"")</f>
        <v/>
      </c>
      <c r="AU499" s="28">
        <f t="shared" ca="1" si="86"/>
        <v>0</v>
      </c>
      <c r="AV499" s="28" t="str">
        <f t="shared" si="87"/>
        <v>SEND</v>
      </c>
    </row>
    <row r="500" spans="1:48" x14ac:dyDescent="0.35">
      <c r="A500" s="28">
        <v>499</v>
      </c>
      <c r="B500" s="28" t="str">
        <f>IF(INPUT!A500="","",TRIM(INPUT!A500))</f>
        <v>Partner 057</v>
      </c>
      <c r="C500" s="28" t="str">
        <f>IF(B500="","",INPUT!C500)</f>
        <v>interviewer0@partner057.example.com</v>
      </c>
      <c r="D500" s="28" t="str">
        <f>IF(B500="","",INPUT!D500)</f>
        <v>Nisha P.</v>
      </c>
      <c r="E500" s="28" t="str">
        <f>IF(B500="","",INPUT!E500)</f>
        <v>nisha.p417@example.com</v>
      </c>
      <c r="F500" s="43" t="str">
        <f>IF(B500="","",TRIM(INPUT!F500&amp;""))</f>
        <v>9000005428</v>
      </c>
      <c r="G500" s="28" t="str">
        <f>IF(B500="","",INPUT!H500)</f>
        <v>Round1</v>
      </c>
      <c r="H500" s="46">
        <f>IF(B500="","",INPUT!I500)</f>
        <v>46308.82708333333</v>
      </c>
      <c r="I500" s="28" t="str">
        <f>IF(B500="","",IF(INPUT!J500="","None",INPUT!J500))</f>
        <v>Opened</v>
      </c>
      <c r="J500" s="28" t="str">
        <f t="shared" si="77"/>
        <v>nisha.p417@example.com|partner 057|Round1|interviewer0@partner057.example.com</v>
      </c>
      <c r="K500" s="28" t="str">
        <f>IF(B500="","",IF(SUMPRODUCT(($J$2:$J$601=J500)*($H$2:$H$601&lt;H500))+SUMPRODUCT(($J$2:J500=J500)*($H$2:H500=H500))-1&gt;0,"DUPLICATE",IF(AND(ISNUMBER(SEARCH("@",E500)),ISNUMBER(SEARCH(".",E500)),LEN(F500)=10,ISNUMBER(VALUE(F500))),"OK","BAD CONTACT")))</f>
        <v>OK</v>
      </c>
      <c r="L500" s="28">
        <f t="shared" si="78"/>
        <v>1</v>
      </c>
      <c r="M500" s="28">
        <f>IF(L500=1,IF(COUNTIFS(LOG!$C$2:$C$2001,F500,LOG!$E$2:$E$2001,B500,LOG!$D$2:$D$2001,"*BOOKED")+COUNTIFS(LOG!$C$2:$C$2001,F500,LOG!$E$2:$E$2001,"",LOG!$D$2:$D$2001,"*BOOKED")&gt;0,1,0),0)</f>
        <v>0</v>
      </c>
      <c r="N500" s="28">
        <f>IF(L500=1,IF(COUNTIFS(LOG!$C$2:$C$2001,F500,LOG!$E$2:$E$2001,B500,LOG!$D$2:$D$2001,"NOT_INTERESTED")+COUNTIFS(LOG!$C$2:$C$2001,F500,LOG!$E$2:$E$2001,"",LOG!$D$2:$D$2001,"NOT_INTERESTED")&gt;0,1,0),0)</f>
        <v>0</v>
      </c>
      <c r="O500" s="28">
        <f>IF(L500=1,IF(COUNTIFS(LOG!$C$2:$C$2001,F500,LOG!$D$2:$D$2001,"STOP")+COUNTIFS(LOG!$C$2:$C$2001,F500,LOG!$D$2:$D$2001,"WRONG_NUMBER")&gt;0,1,IF(ISNUMBER(SEARCH("STOP",AT500)),1,0)),0)</f>
        <v>0</v>
      </c>
      <c r="P500" s="28">
        <f>IF(L500=1,IF(IFERROR(INDEX(PARTNERS!$D$2:$D$88,MATCH(B500,PARTNERS!$A$2:$A$88,0)),"")="NO SLOTS",1,IF(AND(IFERROR(INDEX(PARTNERS!$D$2:$D$88,MATCH(B500,PARTNERS!$A$2:$A$88,0)),"")&lt;&gt;"REOPENED",COUNTIFS(LOG!$E$2:$E$2001,B500,LOG!$D$2:$D$2001,"NO_SLOTS")&gt;0),1,0)),0)</f>
        <v>0</v>
      </c>
      <c r="Q500" s="28">
        <f>IF(L500=1,COUNTIFS(LOG!$C$2:$C$2001,F500,LOG!$H$2:$H$2001,1),0)</f>
        <v>0</v>
      </c>
      <c r="R500" s="46">
        <f>IF(Q500&gt;0,_xlfn.MAXIFS(LOG!$G$2:$G$2001,LOG!$C$2:$C$2001,F500,LOG!$H$2:$H$2001,1),0)</f>
        <v>0</v>
      </c>
      <c r="S500" s="28" t="str">
        <f>IF(Q500&gt;0,IFERROR(INDEX(LOG!$D$2:$D$2001,MATCH(F500&amp;"|"&amp;Q500,LOG!$I$2:$I$2001,0)),""),"")</f>
        <v/>
      </c>
      <c r="T500" s="28">
        <f>IF(S500="",0,IFERROR(VLOOKUP(S500,LISTS!$A$2:$E$10,4,FALSE),0))</f>
        <v>0</v>
      </c>
      <c r="U500" s="46">
        <f t="shared" si="79"/>
        <v>0</v>
      </c>
      <c r="V500" s="46">
        <f>IF(L500=1,H500+SETTINGS!$B$5/24,"")</f>
        <v>46309.82708333333</v>
      </c>
      <c r="W500" s="28">
        <f ca="1">IF(L500=1,(V500-SETTINGS!$B$4)*24,"")</f>
        <v>-1.6666666720993817E-2</v>
      </c>
      <c r="X500" s="28">
        <f ca="1">IF(AND(L500=1,K500="OK",M500=0,N500=0,O500=0,P500=0,SETTINGS!$B$4&lt;V500,Q500&lt;SETTINGS!$B$6),1,0)</f>
        <v>0</v>
      </c>
      <c r="Y500" s="28">
        <f ca="1">IF(AND(X500=1,SETTINGS!$B$4&gt;=H500,SETTINGS!$B$4&gt;=U500,ROUND(MOD(SETTINGS!$B$4,1)*1440,0)&gt;=ROUND(SETTINGS!$B$7*1440,0),ROUND(MOD(SETTINGS!$B$4,1)*1440,0)&lt;ROUND(SETTINGS!$B$8*1440,0)),1,0)</f>
        <v>0</v>
      </c>
      <c r="Z500" s="28" t="str">
        <f ca="1">IF(B500="","",IF(ROUND(MOD(SETTINGS!$B$4,1)*1440,0)&lt;ROUND(SETTINGS!$B$11*1440,0),"Ram",IF(ROUND(MOD(SETTINGS!$B$4,1)*1440,0)&gt;=ROUND(SETTINGS!$B$10*1440,0),"Shyam",IF(MOD(IFERROR(VALUE(RIGHT(F500,2)),0),2)=0,"Ram","Shyam"))))</f>
        <v>Shyam</v>
      </c>
      <c r="AA500" s="28">
        <f t="shared" ca="1" si="80"/>
        <v>0</v>
      </c>
      <c r="AB500" s="28">
        <f ca="1">IF(X500=1,COUNTIFS($F$2:F500,F500,$X$2:X500,1),0)</f>
        <v>0</v>
      </c>
      <c r="AC500" s="28" t="str">
        <f>IF(L500=1,IF(IFERROR(INDEX(PARTNERS!$C$2:$C$88,MATCH(B500,PARTNERS!$A$2:$A$88,0)),"")="YES","YES","NO"),"")</f>
        <v>YES</v>
      </c>
      <c r="AD500" s="28" t="str">
        <f>IF(L500=1,IFERROR(INDEX(PARTNERS!$B$2:$B$88,MATCH(B500,PARTNERS!$A$2:$A$88,0)),""),"")</f>
        <v>https://calendly.com/partner057/interview</v>
      </c>
      <c r="AE500" s="28">
        <f ca="1">IF(X500=1,IFERROR(INDEX(SETTINGS!$B$34:$D$36,MATCH(I500,SETTINGS!$A$34:$A$36,0),MIN(Q500,2)+1),SETTINGS!$B$36),0)</f>
        <v>0</v>
      </c>
      <c r="AF500" s="28">
        <f t="shared" si="81"/>
        <v>1</v>
      </c>
      <c r="AG500" s="28">
        <f ca="1">IF(AND(Y500=1,AB500=1),ROUND(AA500*AE500*IF(AF500&gt;1,SETTINGS!$B$16,1)*IF(W500&lt;=SETTINGS!$B$14,SETTINGS!$B$15,1)*IF(AU500=1,SETTINGS!$B$21,1),6),0)</f>
        <v>0</v>
      </c>
      <c r="AH500" s="28" t="str">
        <f ca="1">IF(AG500&gt;0,COUNTIFS($Z$2:$Z$601,Z500,$AG$2:$AG$601,"&gt;"&amp;AG500)+COUNTIFS($Z$2:Z500,Z500,$AG$2:AG500,AG500),"")</f>
        <v/>
      </c>
      <c r="AI500" s="28" t="str">
        <f t="shared" ca="1" si="82"/>
        <v/>
      </c>
      <c r="AJ500" s="28" t="str">
        <f t="shared" ca="1" si="83"/>
        <v/>
      </c>
      <c r="AK500" s="28">
        <f>IF(L500=1,IF(COUNTIFS($F$2:F500,F500,$L$2:L500,1)=1,1,0),0)</f>
        <v>1</v>
      </c>
      <c r="AL500" s="28" t="str">
        <f ca="1">IF(B500="","",IF(K500="DUPLICATE","Duplicate (removed)",IF(AO500=1,"Scheduled within 24h",IF(M500=1,"Scheduled late",IF(K500="BAD CONTACT","Bad contact details",IF(O500=1,"Stopped / wrong number",IF(N500=1,"Not interested",IF(P500=1,"Partner has no slots",IF(SETTINGS!$B$4&gt;=V500,IF(Q500=0,"Missed deadline: never tried","Missed deadline: tried, not booked"),IF(Q500&gt;=SETTINGS!$B$6,"No reply after max tries","Open"))))))))))</f>
        <v>Missed deadline: never tried</v>
      </c>
      <c r="AM500" s="46" t="str">
        <f>IF(M500=1,IF(_xlfn.MINIFS(LOG!$G$2:$G$2001,LOG!$C$2:$C$2001,F500,LOG!$E$2:$E$2001,B500,LOG!$D$2:$D$2001,"*BOOKED")=0,_xlfn.MINIFS(LOG!$G$2:$G$2001,LOG!$C$2:$C$2001,F500,LOG!$E$2:$E$2001,"",LOG!$D$2:$D$2001,"*BOOKED"),IF(_xlfn.MINIFS(LOG!$G$2:$G$2001,LOG!$C$2:$C$2001,F500,LOG!$E$2:$E$2001,"",LOG!$D$2:$D$2001,"*BOOKED")=0,_xlfn.MINIFS(LOG!$G$2:$G$2001,LOG!$C$2:$C$2001,F500,LOG!$E$2:$E$2001,B500,LOG!$D$2:$D$2001,"*BOOKED"),MIN(_xlfn.MINIFS(LOG!$G$2:$G$2001,LOG!$C$2:$C$2001,F500,LOG!$E$2:$E$2001,B500,LOG!$D$2:$D$2001,"*BOOKED"),_xlfn.MINIFS(LOG!$G$2:$G$2001,LOG!$C$2:$C$2001,F500,LOG!$E$2:$E$2001,"",LOG!$D$2:$D$2001,"*BOOKED")))),"")</f>
        <v/>
      </c>
      <c r="AN500" s="28" t="str">
        <f t="shared" si="84"/>
        <v/>
      </c>
      <c r="AO500" s="28">
        <f>IF(AND(M500=1,AN500&lt;&gt;""),IF(AN500&lt;=SETTINGS!$B$5,1,0),0)</f>
        <v>0</v>
      </c>
      <c r="AP500" s="28">
        <f>IF(M500=1,IF(COUNTIFS(LOG!$C$2:$C$2001,F500,LOG!$E$2:$E$2001,B500,LOG!$D$2:$D$2001,"BOOKED")+COUNTIFS(LOG!$C$2:$C$2001,F500,LOG!$E$2:$E$2001,"",LOG!$D$2:$D$2001,"BOOKED")&gt;0,1,0),0)</f>
        <v>0</v>
      </c>
      <c r="AQ500" s="28" t="str">
        <f t="shared" si="85"/>
        <v>Nisha</v>
      </c>
      <c r="AR500" s="28">
        <f>IF(AND(AK500=1,K500="OK"),COUNTIFS($AK$2:AK500,1,$K$2:K500,"OK"),"")</f>
        <v>405</v>
      </c>
      <c r="AS500" s="28" t="str">
        <f>IF(L500=1,IFERROR(INDEX(MESSAGES!$J$9:$J$1008,MATCH(F500,MESSAGES!$M$9:$M$1008,0))&amp;"",""),"")</f>
        <v/>
      </c>
      <c r="AT500" s="28" t="str">
        <f>IF(L500=1,IFERROR(INDEX(MESSAGES!$K$9:$K$1008,MATCH(F500,MESSAGES!$M$9:$M$1008,0))&amp;"",""),"")</f>
        <v/>
      </c>
      <c r="AU500" s="28">
        <f t="shared" ca="1" si="86"/>
        <v>0</v>
      </c>
      <c r="AV500" s="28" t="str">
        <f t="shared" si="87"/>
        <v>SEND</v>
      </c>
    </row>
    <row r="501" spans="1:48" x14ac:dyDescent="0.35">
      <c r="A501" s="28">
        <v>500</v>
      </c>
      <c r="B501" s="28" t="str">
        <f>IF(INPUT!A501="","",TRIM(INPUT!A501))</f>
        <v>Partner 020</v>
      </c>
      <c r="C501" s="28" t="str">
        <f>IF(B501="","",INPUT!C501)</f>
        <v>interviewer0@partner020.example.com</v>
      </c>
      <c r="D501" s="28" t="str">
        <f>IF(B501="","",INPUT!D501)</f>
        <v>Meera N.</v>
      </c>
      <c r="E501" s="28" t="str">
        <f>IF(B501="","",INPUT!E501)</f>
        <v>meera.n367@example.com</v>
      </c>
      <c r="F501" s="43" t="str">
        <f>IF(B501="","",TRIM(INPUT!F501&amp;""))</f>
        <v>9000004778</v>
      </c>
      <c r="G501" s="28" t="str">
        <f>IF(B501="","",INPUT!H501)</f>
        <v>Round1</v>
      </c>
      <c r="H501" s="46">
        <f>IF(B501="","",INPUT!I501)</f>
        <v>46308.82708333333</v>
      </c>
      <c r="I501" s="28" t="str">
        <f>IF(B501="","",IF(INPUT!J501="","None",INPUT!J501))</f>
        <v>None</v>
      </c>
      <c r="J501" s="28" t="str">
        <f t="shared" si="77"/>
        <v>meera.n367@example.com|partner 020|Round1|interviewer0@partner020.example.com</v>
      </c>
      <c r="K501" s="28" t="str">
        <f>IF(B501="","",IF(SUMPRODUCT(($J$2:$J$601=J501)*($H$2:$H$601&lt;H501))+SUMPRODUCT(($J$2:J501=J501)*($H$2:H501=H501))-1&gt;0,"DUPLICATE",IF(AND(ISNUMBER(SEARCH("@",E501)),ISNUMBER(SEARCH(".",E501)),LEN(F501)=10,ISNUMBER(VALUE(F501))),"OK","BAD CONTACT")))</f>
        <v>OK</v>
      </c>
      <c r="L501" s="28">
        <f t="shared" si="78"/>
        <v>1</v>
      </c>
      <c r="M501" s="28">
        <f>IF(L501=1,IF(COUNTIFS(LOG!$C$2:$C$2001,F501,LOG!$E$2:$E$2001,B501,LOG!$D$2:$D$2001,"*BOOKED")+COUNTIFS(LOG!$C$2:$C$2001,F501,LOG!$E$2:$E$2001,"",LOG!$D$2:$D$2001,"*BOOKED")&gt;0,1,0),0)</f>
        <v>0</v>
      </c>
      <c r="N501" s="28">
        <f>IF(L501=1,IF(COUNTIFS(LOG!$C$2:$C$2001,F501,LOG!$E$2:$E$2001,B501,LOG!$D$2:$D$2001,"NOT_INTERESTED")+COUNTIFS(LOG!$C$2:$C$2001,F501,LOG!$E$2:$E$2001,"",LOG!$D$2:$D$2001,"NOT_INTERESTED")&gt;0,1,0),0)</f>
        <v>0</v>
      </c>
      <c r="O501" s="28">
        <f>IF(L501=1,IF(COUNTIFS(LOG!$C$2:$C$2001,F501,LOG!$D$2:$D$2001,"STOP")+COUNTIFS(LOG!$C$2:$C$2001,F501,LOG!$D$2:$D$2001,"WRONG_NUMBER")&gt;0,1,IF(ISNUMBER(SEARCH("STOP",AT501)),1,0)),0)</f>
        <v>0</v>
      </c>
      <c r="P501" s="28">
        <f>IF(L501=1,IF(IFERROR(INDEX(PARTNERS!$D$2:$D$88,MATCH(B501,PARTNERS!$A$2:$A$88,0)),"")="NO SLOTS",1,IF(AND(IFERROR(INDEX(PARTNERS!$D$2:$D$88,MATCH(B501,PARTNERS!$A$2:$A$88,0)),"")&lt;&gt;"REOPENED",COUNTIFS(LOG!$E$2:$E$2001,B501,LOG!$D$2:$D$2001,"NO_SLOTS")&gt;0),1,0)),0)</f>
        <v>0</v>
      </c>
      <c r="Q501" s="28">
        <f>IF(L501=1,COUNTIFS(LOG!$C$2:$C$2001,F501,LOG!$H$2:$H$2001,1),0)</f>
        <v>0</v>
      </c>
      <c r="R501" s="46">
        <f>IF(Q501&gt;0,_xlfn.MAXIFS(LOG!$G$2:$G$2001,LOG!$C$2:$C$2001,F501,LOG!$H$2:$H$2001,1),0)</f>
        <v>0</v>
      </c>
      <c r="S501" s="28" t="str">
        <f>IF(Q501&gt;0,IFERROR(INDEX(LOG!$D$2:$D$2001,MATCH(F501&amp;"|"&amp;Q501,LOG!$I$2:$I$2001,0)),""),"")</f>
        <v/>
      </c>
      <c r="T501" s="28">
        <f>IF(S501="",0,IFERROR(VLOOKUP(S501,LISTS!$A$2:$E$10,4,FALSE),0))</f>
        <v>0</v>
      </c>
      <c r="U501" s="46">
        <f t="shared" si="79"/>
        <v>0</v>
      </c>
      <c r="V501" s="46">
        <f>IF(L501=1,H501+SETTINGS!$B$5/24,"")</f>
        <v>46309.82708333333</v>
      </c>
      <c r="W501" s="28">
        <f ca="1">IF(L501=1,(V501-SETTINGS!$B$4)*24,"")</f>
        <v>-1.6666666720993817E-2</v>
      </c>
      <c r="X501" s="28">
        <f ca="1">IF(AND(L501=1,K501="OK",M501=0,N501=0,O501=0,P501=0,SETTINGS!$B$4&lt;V501,Q501&lt;SETTINGS!$B$6),1,0)</f>
        <v>0</v>
      </c>
      <c r="Y501" s="28">
        <f ca="1">IF(AND(X501=1,SETTINGS!$B$4&gt;=H501,SETTINGS!$B$4&gt;=U501,ROUND(MOD(SETTINGS!$B$4,1)*1440,0)&gt;=ROUND(SETTINGS!$B$7*1440,0),ROUND(MOD(SETTINGS!$B$4,1)*1440,0)&lt;ROUND(SETTINGS!$B$8*1440,0)),1,0)</f>
        <v>0</v>
      </c>
      <c r="Z501" s="28" t="str">
        <f ca="1">IF(B501="","",IF(ROUND(MOD(SETTINGS!$B$4,1)*1440,0)&lt;ROUND(SETTINGS!$B$11*1440,0),"Ram",IF(ROUND(MOD(SETTINGS!$B$4,1)*1440,0)&gt;=ROUND(SETTINGS!$B$10*1440,0),"Shyam",IF(MOD(IFERROR(VALUE(RIGHT(F501,2)),0),2)=0,"Ram","Shyam"))))</f>
        <v>Shyam</v>
      </c>
      <c r="AA501" s="28">
        <f t="shared" ca="1" si="80"/>
        <v>0</v>
      </c>
      <c r="AB501" s="28">
        <f ca="1">IF(X501=1,COUNTIFS($F$2:F501,F501,$X$2:X501,1),0)</f>
        <v>0</v>
      </c>
      <c r="AC501" s="28" t="str">
        <f>IF(L501=1,IF(IFERROR(INDEX(PARTNERS!$C$2:$C$88,MATCH(B501,PARTNERS!$A$2:$A$88,0)),"")="YES","YES","NO"),"")</f>
        <v>YES</v>
      </c>
      <c r="AD501" s="28" t="str">
        <f>IF(L501=1,IFERROR(INDEX(PARTNERS!$B$2:$B$88,MATCH(B501,PARTNERS!$A$2:$A$88,0)),""),"")</f>
        <v>https://calendly.com/partner020/interview</v>
      </c>
      <c r="AE501" s="28">
        <f ca="1">IF(X501=1,IFERROR(INDEX(SETTINGS!$B$34:$D$36,MATCH(I501,SETTINGS!$A$34:$A$36,0),MIN(Q501,2)+1),SETTINGS!$B$36),0)</f>
        <v>0</v>
      </c>
      <c r="AF501" s="28">
        <f t="shared" si="81"/>
        <v>1</v>
      </c>
      <c r="AG501" s="28">
        <f ca="1">IF(AND(Y501=1,AB501=1),ROUND(AA501*AE501*IF(AF501&gt;1,SETTINGS!$B$16,1)*IF(W501&lt;=SETTINGS!$B$14,SETTINGS!$B$15,1)*IF(AU501=1,SETTINGS!$B$21,1),6),0)</f>
        <v>0</v>
      </c>
      <c r="AH501" s="28" t="str">
        <f ca="1">IF(AG501&gt;0,COUNTIFS($Z$2:$Z$601,Z501,$AG$2:$AG$601,"&gt;"&amp;AG501)+COUNTIFS($Z$2:Z501,Z501,$AG$2:AG501,AG501),"")</f>
        <v/>
      </c>
      <c r="AI501" s="28" t="str">
        <f t="shared" ca="1" si="82"/>
        <v/>
      </c>
      <c r="AJ501" s="28" t="str">
        <f t="shared" ca="1" si="83"/>
        <v/>
      </c>
      <c r="AK501" s="28">
        <f>IF(L501=1,IF(COUNTIFS($F$2:F501,F501,$L$2:L501,1)=1,1,0),0)</f>
        <v>1</v>
      </c>
      <c r="AL501" s="28" t="str">
        <f ca="1">IF(B501="","",IF(K501="DUPLICATE","Duplicate (removed)",IF(AO501=1,"Scheduled within 24h",IF(M501=1,"Scheduled late",IF(K501="BAD CONTACT","Bad contact details",IF(O501=1,"Stopped / wrong number",IF(N501=1,"Not interested",IF(P501=1,"Partner has no slots",IF(SETTINGS!$B$4&gt;=V501,IF(Q501=0,"Missed deadline: never tried","Missed deadline: tried, not booked"),IF(Q501&gt;=SETTINGS!$B$6,"No reply after max tries","Open"))))))))))</f>
        <v>Missed deadline: never tried</v>
      </c>
      <c r="AM501" s="46" t="str">
        <f>IF(M501=1,IF(_xlfn.MINIFS(LOG!$G$2:$G$2001,LOG!$C$2:$C$2001,F501,LOG!$E$2:$E$2001,B501,LOG!$D$2:$D$2001,"*BOOKED")=0,_xlfn.MINIFS(LOG!$G$2:$G$2001,LOG!$C$2:$C$2001,F501,LOG!$E$2:$E$2001,"",LOG!$D$2:$D$2001,"*BOOKED"),IF(_xlfn.MINIFS(LOG!$G$2:$G$2001,LOG!$C$2:$C$2001,F501,LOG!$E$2:$E$2001,"",LOG!$D$2:$D$2001,"*BOOKED")=0,_xlfn.MINIFS(LOG!$G$2:$G$2001,LOG!$C$2:$C$2001,F501,LOG!$E$2:$E$2001,B501,LOG!$D$2:$D$2001,"*BOOKED"),MIN(_xlfn.MINIFS(LOG!$G$2:$G$2001,LOG!$C$2:$C$2001,F501,LOG!$E$2:$E$2001,B501,LOG!$D$2:$D$2001,"*BOOKED"),_xlfn.MINIFS(LOG!$G$2:$G$2001,LOG!$C$2:$C$2001,F501,LOG!$E$2:$E$2001,"",LOG!$D$2:$D$2001,"*BOOKED")))),"")</f>
        <v/>
      </c>
      <c r="AN501" s="28" t="str">
        <f t="shared" si="84"/>
        <v/>
      </c>
      <c r="AO501" s="28">
        <f>IF(AND(M501=1,AN501&lt;&gt;""),IF(AN501&lt;=SETTINGS!$B$5,1,0),0)</f>
        <v>0</v>
      </c>
      <c r="AP501" s="28">
        <f>IF(M501=1,IF(COUNTIFS(LOG!$C$2:$C$2001,F501,LOG!$E$2:$E$2001,B501,LOG!$D$2:$D$2001,"BOOKED")+COUNTIFS(LOG!$C$2:$C$2001,F501,LOG!$E$2:$E$2001,"",LOG!$D$2:$D$2001,"BOOKED")&gt;0,1,0),0)</f>
        <v>0</v>
      </c>
      <c r="AQ501" s="28" t="str">
        <f t="shared" si="85"/>
        <v>Meera</v>
      </c>
      <c r="AR501" s="28">
        <f>IF(AND(AK501=1,K501="OK"),COUNTIFS($AK$2:AK501,1,$K$2:K501,"OK"),"")</f>
        <v>406</v>
      </c>
      <c r="AS501" s="28" t="str">
        <f>IF(L501=1,IFERROR(INDEX(MESSAGES!$J$9:$J$1008,MATCH(F501,MESSAGES!$M$9:$M$1008,0))&amp;"",""),"")</f>
        <v/>
      </c>
      <c r="AT501" s="28" t="str">
        <f>IF(L501=1,IFERROR(INDEX(MESSAGES!$K$9:$K$1008,MATCH(F501,MESSAGES!$M$9:$M$1008,0))&amp;"",""),"")</f>
        <v/>
      </c>
      <c r="AU501" s="28">
        <f t="shared" ca="1" si="86"/>
        <v>0</v>
      </c>
      <c r="AV501" s="28" t="str">
        <f t="shared" si="87"/>
        <v>HOLD</v>
      </c>
    </row>
    <row r="502" spans="1:48" x14ac:dyDescent="0.35">
      <c r="A502" s="28">
        <v>501</v>
      </c>
      <c r="B502" s="28" t="str">
        <f>IF(INPUT!A502="","",TRIM(INPUT!A502))</f>
        <v>Partner 001</v>
      </c>
      <c r="C502" s="28" t="str">
        <f>IF(B502="","",INPUT!C502)</f>
        <v>interviewer0@partner001.example.com</v>
      </c>
      <c r="D502" s="28" t="str">
        <f>IF(B502="","",INPUT!D502)</f>
        <v>Ira C.</v>
      </c>
      <c r="E502" s="28" t="str">
        <f>IF(B502="","",INPUT!E502)</f>
        <v>ira.c065@example.com</v>
      </c>
      <c r="F502" s="43" t="str">
        <f>IF(B502="","",TRIM(INPUT!F502&amp;""))</f>
        <v>9000000852</v>
      </c>
      <c r="G502" s="28" t="str">
        <f>IF(B502="","",INPUT!H502)</f>
        <v>Round1</v>
      </c>
      <c r="H502" s="46">
        <f>IF(B502="","",INPUT!I502)</f>
        <v>46308.82708333333</v>
      </c>
      <c r="I502" s="28" t="str">
        <f>IF(B502="","",IF(INPUT!J502="","None",INPUT!J502))</f>
        <v>Clicked</v>
      </c>
      <c r="J502" s="28" t="str">
        <f t="shared" si="77"/>
        <v>ira.c065@example.com|partner 001|Round1|interviewer0@partner001.example.com</v>
      </c>
      <c r="K502" s="28" t="str">
        <f>IF(B502="","",IF(SUMPRODUCT(($J$2:$J$601=J502)*($H$2:$H$601&lt;H502))+SUMPRODUCT(($J$2:J502=J502)*($H$2:H502=H502))-1&gt;0,"DUPLICATE",IF(AND(ISNUMBER(SEARCH("@",E502)),ISNUMBER(SEARCH(".",E502)),LEN(F502)=10,ISNUMBER(VALUE(F502))),"OK","BAD CONTACT")))</f>
        <v>OK</v>
      </c>
      <c r="L502" s="28">
        <f t="shared" si="78"/>
        <v>1</v>
      </c>
      <c r="M502" s="28">
        <f>IF(L502=1,IF(COUNTIFS(LOG!$C$2:$C$2001,F502,LOG!$E$2:$E$2001,B502,LOG!$D$2:$D$2001,"*BOOKED")+COUNTIFS(LOG!$C$2:$C$2001,F502,LOG!$E$2:$E$2001,"",LOG!$D$2:$D$2001,"*BOOKED")&gt;0,1,0),0)</f>
        <v>1</v>
      </c>
      <c r="N502" s="28">
        <f>IF(L502=1,IF(COUNTIFS(LOG!$C$2:$C$2001,F502,LOG!$E$2:$E$2001,B502,LOG!$D$2:$D$2001,"NOT_INTERESTED")+COUNTIFS(LOG!$C$2:$C$2001,F502,LOG!$E$2:$E$2001,"",LOG!$D$2:$D$2001,"NOT_INTERESTED")&gt;0,1,0),0)</f>
        <v>0</v>
      </c>
      <c r="O502" s="28">
        <f>IF(L502=1,IF(COUNTIFS(LOG!$C$2:$C$2001,F502,LOG!$D$2:$D$2001,"STOP")+COUNTIFS(LOG!$C$2:$C$2001,F502,LOG!$D$2:$D$2001,"WRONG_NUMBER")&gt;0,1,IF(ISNUMBER(SEARCH("STOP",AT502)),1,0)),0)</f>
        <v>0</v>
      </c>
      <c r="P502" s="28">
        <f>IF(L502=1,IF(IFERROR(INDEX(PARTNERS!$D$2:$D$88,MATCH(B502,PARTNERS!$A$2:$A$88,0)),"")="NO SLOTS",1,IF(AND(IFERROR(INDEX(PARTNERS!$D$2:$D$88,MATCH(B502,PARTNERS!$A$2:$A$88,0)),"")&lt;&gt;"REOPENED",COUNTIFS(LOG!$E$2:$E$2001,B502,LOG!$D$2:$D$2001,"NO_SLOTS")&gt;0),1,0)),0)</f>
        <v>0</v>
      </c>
      <c r="Q502" s="28">
        <f>IF(L502=1,COUNTIFS(LOG!$C$2:$C$2001,F502,LOG!$H$2:$H$2001,1),0)</f>
        <v>2</v>
      </c>
      <c r="R502" s="46">
        <f>IF(Q502&gt;0,_xlfn.MAXIFS(LOG!$G$2:$G$2001,LOG!$C$2:$C$2001,F502,LOG!$H$2:$H$2001,1),0)</f>
        <v>46309.739476690047</v>
      </c>
      <c r="S502" s="28" t="str">
        <f>IF(Q502&gt;0,IFERROR(INDEX(LOG!$D$2:$D$2001,MATCH(F502&amp;"|"&amp;Q502,LOG!$I$2:$I$2001,0)),""),"")</f>
        <v>BOOKED</v>
      </c>
      <c r="T502" s="28">
        <f>IF(S502="",0,IFERROR(VLOOKUP(S502,LISTS!$A$2:$E$10,4,FALSE),0))</f>
        <v>0</v>
      </c>
      <c r="U502" s="46">
        <f t="shared" si="79"/>
        <v>46309.739476690047</v>
      </c>
      <c r="V502" s="46">
        <f>IF(L502=1,H502+SETTINGS!$B$5/24,"")</f>
        <v>46309.82708333333</v>
      </c>
      <c r="W502" s="28">
        <f ca="1">IF(L502=1,(V502-SETTINGS!$B$4)*24,"")</f>
        <v>-1.6666666720993817E-2</v>
      </c>
      <c r="X502" s="28">
        <f ca="1">IF(AND(L502=1,K502="OK",M502=0,N502=0,O502=0,P502=0,SETTINGS!$B$4&lt;V502,Q502&lt;SETTINGS!$B$6),1,0)</f>
        <v>0</v>
      </c>
      <c r="Y502" s="28">
        <f ca="1">IF(AND(X502=1,SETTINGS!$B$4&gt;=H502,SETTINGS!$B$4&gt;=U502,ROUND(MOD(SETTINGS!$B$4,1)*1440,0)&gt;=ROUND(SETTINGS!$B$7*1440,0),ROUND(MOD(SETTINGS!$B$4,1)*1440,0)&lt;ROUND(SETTINGS!$B$8*1440,0)),1,0)</f>
        <v>0</v>
      </c>
      <c r="Z502" s="28" t="str">
        <f ca="1">IF(B502="","",IF(ROUND(MOD(SETTINGS!$B$4,1)*1440,0)&lt;ROUND(SETTINGS!$B$11*1440,0),"Ram",IF(ROUND(MOD(SETTINGS!$B$4,1)*1440,0)&gt;=ROUND(SETTINGS!$B$10*1440,0),"Shyam",IF(MOD(IFERROR(VALUE(RIGHT(F502,2)),0),2)=0,"Ram","Shyam"))))</f>
        <v>Shyam</v>
      </c>
      <c r="AA502" s="28">
        <f t="shared" ca="1" si="80"/>
        <v>0</v>
      </c>
      <c r="AB502" s="28">
        <f ca="1">IF(X502=1,COUNTIFS($F$2:F502,F502,$X$2:X502,1),0)</f>
        <v>0</v>
      </c>
      <c r="AC502" s="28" t="str">
        <f>IF(L502=1,IF(IFERROR(INDEX(PARTNERS!$C$2:$C$88,MATCH(B502,PARTNERS!$A$2:$A$88,0)),"")="YES","YES","NO"),"")</f>
        <v>NO</v>
      </c>
      <c r="AD502" s="28" t="str">
        <f>IF(L502=1,IFERROR(INDEX(PARTNERS!$B$2:$B$88,MATCH(B502,PARTNERS!$A$2:$A$88,0)),""),"")</f>
        <v>https://calendly.com/partner001/interview</v>
      </c>
      <c r="AE502" s="28">
        <f ca="1">IF(X502=1,IFERROR(INDEX(SETTINGS!$B$34:$D$36,MATCH(I502,SETTINGS!$A$34:$A$36,0),MIN(Q502,2)+1),SETTINGS!$B$36),0)</f>
        <v>0</v>
      </c>
      <c r="AF502" s="28">
        <f t="shared" si="81"/>
        <v>1</v>
      </c>
      <c r="AG502" s="28">
        <f ca="1">IF(AND(Y502=1,AB502=1),ROUND(AA502*AE502*IF(AF502&gt;1,SETTINGS!$B$16,1)*IF(W502&lt;=SETTINGS!$B$14,SETTINGS!$B$15,1)*IF(AU502=1,SETTINGS!$B$21,1),6),0)</f>
        <v>0</v>
      </c>
      <c r="AH502" s="28" t="str">
        <f ca="1">IF(AG502&gt;0,COUNTIFS($Z$2:$Z$601,Z502,$AG$2:$AG$601,"&gt;"&amp;AG502)+COUNTIFS($Z$2:Z502,Z502,$AG$2:AG502,AG502),"")</f>
        <v/>
      </c>
      <c r="AI502" s="28" t="str">
        <f t="shared" ca="1" si="82"/>
        <v/>
      </c>
      <c r="AJ502" s="28" t="str">
        <f t="shared" ca="1" si="83"/>
        <v/>
      </c>
      <c r="AK502" s="28">
        <f>IF(L502=1,IF(COUNTIFS($F$2:F502,F502,$L$2:L502,1)=1,1,0),0)</f>
        <v>0</v>
      </c>
      <c r="AL502" s="28" t="str">
        <f>IF(B502="","",IF(K502="DUPLICATE","Duplicate (removed)",IF(AO502=1,"Scheduled within 24h",IF(M502=1,"Scheduled late",IF(K502="BAD CONTACT","Bad contact details",IF(O502=1,"Stopped / wrong number",IF(N502=1,"Not interested",IF(P502=1,"Partner has no slots",IF(SETTINGS!$B$4&gt;=V502,IF(Q502=0,"Missed deadline: never tried","Missed deadline: tried, not booked"),IF(Q502&gt;=SETTINGS!$B$6,"No reply after max tries","Open"))))))))))</f>
        <v>Scheduled within 24h</v>
      </c>
      <c r="AM502" s="46">
        <f>IF(M502=1,IF(_xlfn.MINIFS(LOG!$G$2:$G$2001,LOG!$C$2:$C$2001,F502,LOG!$E$2:$E$2001,B502,LOG!$D$2:$D$2001,"*BOOKED")=0,_xlfn.MINIFS(LOG!$G$2:$G$2001,LOG!$C$2:$C$2001,F502,LOG!$E$2:$E$2001,"",LOG!$D$2:$D$2001,"*BOOKED"),IF(_xlfn.MINIFS(LOG!$G$2:$G$2001,LOG!$C$2:$C$2001,F502,LOG!$E$2:$E$2001,"",LOG!$D$2:$D$2001,"*BOOKED")=0,_xlfn.MINIFS(LOG!$G$2:$G$2001,LOG!$C$2:$C$2001,F502,LOG!$E$2:$E$2001,B502,LOG!$D$2:$D$2001,"*BOOKED"),MIN(_xlfn.MINIFS(LOG!$G$2:$G$2001,LOG!$C$2:$C$2001,F502,LOG!$E$2:$E$2001,B502,LOG!$D$2:$D$2001,"*BOOKED"),_xlfn.MINIFS(LOG!$G$2:$G$2001,LOG!$C$2:$C$2001,F502,LOG!$E$2:$E$2001,"",LOG!$D$2:$D$2001,"*BOOKED")))),"")</f>
        <v>46309.459890352977</v>
      </c>
      <c r="AN502" s="28">
        <f t="shared" si="84"/>
        <v>15.187368471524678</v>
      </c>
      <c r="AO502" s="28">
        <f>IF(AND(M502=1,AN502&lt;&gt;""),IF(AN502&lt;=SETTINGS!$B$5,1,0),0)</f>
        <v>1</v>
      </c>
      <c r="AP502" s="28">
        <f>IF(M502=1,IF(COUNTIFS(LOG!$C$2:$C$2001,F502,LOG!$E$2:$E$2001,B502,LOG!$D$2:$D$2001,"BOOKED")+COUNTIFS(LOG!$C$2:$C$2001,F502,LOG!$E$2:$E$2001,"",LOG!$D$2:$D$2001,"BOOKED")&gt;0,1,0),0)</f>
        <v>1</v>
      </c>
      <c r="AQ502" s="28" t="str">
        <f t="shared" si="85"/>
        <v>Ira</v>
      </c>
      <c r="AR502" s="28" t="str">
        <f>IF(AND(AK502=1,K502="OK"),COUNTIFS($AK$2:AK502,1,$K$2:K502,"OK"),"")</f>
        <v/>
      </c>
      <c r="AS502" s="28" t="str">
        <f>IF(L502=1,IFERROR(INDEX(MESSAGES!$J$9:$J$1008,MATCH(F502,MESSAGES!$M$9:$M$1008,0))&amp;"",""),"")</f>
        <v/>
      </c>
      <c r="AT502" s="28" t="str">
        <f>IF(L502=1,IFERROR(INDEX(MESSAGES!$K$9:$K$1008,MATCH(F502,MESSAGES!$M$9:$M$1008,0))&amp;"",""),"")</f>
        <v/>
      </c>
      <c r="AU502" s="28">
        <f t="shared" ca="1" si="86"/>
        <v>0</v>
      </c>
      <c r="AV502" s="28" t="str">
        <f t="shared" si="87"/>
        <v>HOLD</v>
      </c>
    </row>
    <row r="503" spans="1:48" x14ac:dyDescent="0.35">
      <c r="A503" s="28">
        <v>502</v>
      </c>
      <c r="B503" s="28" t="str">
        <f>IF(INPUT!A503="","",TRIM(INPUT!A503))</f>
        <v>Partner 099</v>
      </c>
      <c r="C503" s="28" t="str">
        <f>IF(B503="","",INPUT!C503)</f>
        <v>interviewer0@partner099.example.com</v>
      </c>
      <c r="D503" s="28" t="str">
        <f>IF(B503="","",INPUT!D503)</f>
        <v>Saanvi L.</v>
      </c>
      <c r="E503" s="28" t="str">
        <f>IF(B503="","",INPUT!E503)</f>
        <v>saanvi.l309@example.com</v>
      </c>
      <c r="F503" s="43" t="str">
        <f>IF(B503="","",TRIM(INPUT!F503&amp;""))</f>
        <v>9000004024</v>
      </c>
      <c r="G503" s="28" t="str">
        <f>IF(B503="","",INPUT!H503)</f>
        <v>Round1</v>
      </c>
      <c r="H503" s="46">
        <f>IF(B503="","",INPUT!I503)</f>
        <v>46308.82708333333</v>
      </c>
      <c r="I503" s="28" t="str">
        <f>IF(B503="","",IF(INPUT!J503="","None",INPUT!J503))</f>
        <v>Opened</v>
      </c>
      <c r="J503" s="28" t="str">
        <f t="shared" si="77"/>
        <v>saanvi.l309@example.com|partner 099|Round1|interviewer0@partner099.example.com</v>
      </c>
      <c r="K503" s="28" t="str">
        <f>IF(B503="","",IF(SUMPRODUCT(($J$2:$J$601=J503)*($H$2:$H$601&lt;H503))+SUMPRODUCT(($J$2:J503=J503)*($H$2:H503=H503))-1&gt;0,"DUPLICATE",IF(AND(ISNUMBER(SEARCH("@",E503)),ISNUMBER(SEARCH(".",E503)),LEN(F503)=10,ISNUMBER(VALUE(F503))),"OK","BAD CONTACT")))</f>
        <v>OK</v>
      </c>
      <c r="L503" s="28">
        <f t="shared" si="78"/>
        <v>1</v>
      </c>
      <c r="M503" s="28">
        <f>IF(L503=1,IF(COUNTIFS(LOG!$C$2:$C$2001,F503,LOG!$E$2:$E$2001,B503,LOG!$D$2:$D$2001,"*BOOKED")+COUNTIFS(LOG!$C$2:$C$2001,F503,LOG!$E$2:$E$2001,"",LOG!$D$2:$D$2001,"*BOOKED")&gt;0,1,0),0)</f>
        <v>0</v>
      </c>
      <c r="N503" s="28">
        <f>IF(L503=1,IF(COUNTIFS(LOG!$C$2:$C$2001,F503,LOG!$E$2:$E$2001,B503,LOG!$D$2:$D$2001,"NOT_INTERESTED")+COUNTIFS(LOG!$C$2:$C$2001,F503,LOG!$E$2:$E$2001,"",LOG!$D$2:$D$2001,"NOT_INTERESTED")&gt;0,1,0),0)</f>
        <v>0</v>
      </c>
      <c r="O503" s="28">
        <f>IF(L503=1,IF(COUNTIFS(LOG!$C$2:$C$2001,F503,LOG!$D$2:$D$2001,"STOP")+COUNTIFS(LOG!$C$2:$C$2001,F503,LOG!$D$2:$D$2001,"WRONG_NUMBER")&gt;0,1,IF(ISNUMBER(SEARCH("STOP",AT503)),1,0)),0)</f>
        <v>0</v>
      </c>
      <c r="P503" s="28">
        <f>IF(L503=1,IF(IFERROR(INDEX(PARTNERS!$D$2:$D$88,MATCH(B503,PARTNERS!$A$2:$A$88,0)),"")="NO SLOTS",1,IF(AND(IFERROR(INDEX(PARTNERS!$D$2:$D$88,MATCH(B503,PARTNERS!$A$2:$A$88,0)),"")&lt;&gt;"REOPENED",COUNTIFS(LOG!$E$2:$E$2001,B503,LOG!$D$2:$D$2001,"NO_SLOTS")&gt;0),1,0)),0)</f>
        <v>0</v>
      </c>
      <c r="Q503" s="28">
        <f>IF(L503=1,COUNTIFS(LOG!$C$2:$C$2001,F503,LOG!$H$2:$H$2001,1),0)</f>
        <v>0</v>
      </c>
      <c r="R503" s="46">
        <f>IF(Q503&gt;0,_xlfn.MAXIFS(LOG!$G$2:$G$2001,LOG!$C$2:$C$2001,F503,LOG!$H$2:$H$2001,1),0)</f>
        <v>0</v>
      </c>
      <c r="S503" s="28" t="str">
        <f>IF(Q503&gt;0,IFERROR(INDEX(LOG!$D$2:$D$2001,MATCH(F503&amp;"|"&amp;Q503,LOG!$I$2:$I$2001,0)),""),"")</f>
        <v/>
      </c>
      <c r="T503" s="28">
        <f>IF(S503="",0,IFERROR(VLOOKUP(S503,LISTS!$A$2:$E$10,4,FALSE),0))</f>
        <v>0</v>
      </c>
      <c r="U503" s="46">
        <f t="shared" si="79"/>
        <v>0</v>
      </c>
      <c r="V503" s="46">
        <f>IF(L503=1,H503+SETTINGS!$B$5/24,"")</f>
        <v>46309.82708333333</v>
      </c>
      <c r="W503" s="28">
        <f ca="1">IF(L503=1,(V503-SETTINGS!$B$4)*24,"")</f>
        <v>-1.6666666720993817E-2</v>
      </c>
      <c r="X503" s="28">
        <f ca="1">IF(AND(L503=1,K503="OK",M503=0,N503=0,O503=0,P503=0,SETTINGS!$B$4&lt;V503,Q503&lt;SETTINGS!$B$6),1,0)</f>
        <v>0</v>
      </c>
      <c r="Y503" s="28">
        <f ca="1">IF(AND(X503=1,SETTINGS!$B$4&gt;=H503,SETTINGS!$B$4&gt;=U503,ROUND(MOD(SETTINGS!$B$4,1)*1440,0)&gt;=ROUND(SETTINGS!$B$7*1440,0),ROUND(MOD(SETTINGS!$B$4,1)*1440,0)&lt;ROUND(SETTINGS!$B$8*1440,0)),1,0)</f>
        <v>0</v>
      </c>
      <c r="Z503" s="28" t="str">
        <f ca="1">IF(B503="","",IF(ROUND(MOD(SETTINGS!$B$4,1)*1440,0)&lt;ROUND(SETTINGS!$B$11*1440,0),"Ram",IF(ROUND(MOD(SETTINGS!$B$4,1)*1440,0)&gt;=ROUND(SETTINGS!$B$10*1440,0),"Shyam",IF(MOD(IFERROR(VALUE(RIGHT(F503,2)),0),2)=0,"Ram","Shyam"))))</f>
        <v>Shyam</v>
      </c>
      <c r="AA503" s="28">
        <f t="shared" ca="1" si="80"/>
        <v>0</v>
      </c>
      <c r="AB503" s="28">
        <f ca="1">IF(X503=1,COUNTIFS($F$2:F503,F503,$X$2:X503,1),0)</f>
        <v>0</v>
      </c>
      <c r="AC503" s="28" t="str">
        <f>IF(L503=1,IF(IFERROR(INDEX(PARTNERS!$C$2:$C$88,MATCH(B503,PARTNERS!$A$2:$A$88,0)),"")="YES","YES","NO"),"")</f>
        <v>YES</v>
      </c>
      <c r="AD503" s="28" t="str">
        <f>IF(L503=1,IFERROR(INDEX(PARTNERS!$B$2:$B$88,MATCH(B503,PARTNERS!$A$2:$A$88,0)),""),"")</f>
        <v>https://calendly.com/partner099/interview</v>
      </c>
      <c r="AE503" s="28">
        <f ca="1">IF(X503=1,IFERROR(INDEX(SETTINGS!$B$34:$D$36,MATCH(I503,SETTINGS!$A$34:$A$36,0),MIN(Q503,2)+1),SETTINGS!$B$36),0)</f>
        <v>0</v>
      </c>
      <c r="AF503" s="28">
        <f t="shared" si="81"/>
        <v>1</v>
      </c>
      <c r="AG503" s="28">
        <f ca="1">IF(AND(Y503=1,AB503=1),ROUND(AA503*AE503*IF(AF503&gt;1,SETTINGS!$B$16,1)*IF(W503&lt;=SETTINGS!$B$14,SETTINGS!$B$15,1)*IF(AU503=1,SETTINGS!$B$21,1),6),0)</f>
        <v>0</v>
      </c>
      <c r="AH503" s="28" t="str">
        <f ca="1">IF(AG503&gt;0,COUNTIFS($Z$2:$Z$601,Z503,$AG$2:$AG$601,"&gt;"&amp;AG503)+COUNTIFS($Z$2:Z503,Z503,$AG$2:AG503,AG503),"")</f>
        <v/>
      </c>
      <c r="AI503" s="28" t="str">
        <f t="shared" ca="1" si="82"/>
        <v/>
      </c>
      <c r="AJ503" s="28" t="str">
        <f t="shared" ca="1" si="83"/>
        <v/>
      </c>
      <c r="AK503" s="28">
        <f>IF(L503=1,IF(COUNTIFS($F$2:F503,F503,$L$2:L503,1)=1,1,0),0)</f>
        <v>1</v>
      </c>
      <c r="AL503" s="28" t="str">
        <f ca="1">IF(B503="","",IF(K503="DUPLICATE","Duplicate (removed)",IF(AO503=1,"Scheduled within 24h",IF(M503=1,"Scheduled late",IF(K503="BAD CONTACT","Bad contact details",IF(O503=1,"Stopped / wrong number",IF(N503=1,"Not interested",IF(P503=1,"Partner has no slots",IF(SETTINGS!$B$4&gt;=V503,IF(Q503=0,"Missed deadline: never tried","Missed deadline: tried, not booked"),IF(Q503&gt;=SETTINGS!$B$6,"No reply after max tries","Open"))))))))))</f>
        <v>Missed deadline: never tried</v>
      </c>
      <c r="AM503" s="46" t="str">
        <f>IF(M503=1,IF(_xlfn.MINIFS(LOG!$G$2:$G$2001,LOG!$C$2:$C$2001,F503,LOG!$E$2:$E$2001,B503,LOG!$D$2:$D$2001,"*BOOKED")=0,_xlfn.MINIFS(LOG!$G$2:$G$2001,LOG!$C$2:$C$2001,F503,LOG!$E$2:$E$2001,"",LOG!$D$2:$D$2001,"*BOOKED"),IF(_xlfn.MINIFS(LOG!$G$2:$G$2001,LOG!$C$2:$C$2001,F503,LOG!$E$2:$E$2001,"",LOG!$D$2:$D$2001,"*BOOKED")=0,_xlfn.MINIFS(LOG!$G$2:$G$2001,LOG!$C$2:$C$2001,F503,LOG!$E$2:$E$2001,B503,LOG!$D$2:$D$2001,"*BOOKED"),MIN(_xlfn.MINIFS(LOG!$G$2:$G$2001,LOG!$C$2:$C$2001,F503,LOG!$E$2:$E$2001,B503,LOG!$D$2:$D$2001,"*BOOKED"),_xlfn.MINIFS(LOG!$G$2:$G$2001,LOG!$C$2:$C$2001,F503,LOG!$E$2:$E$2001,"",LOG!$D$2:$D$2001,"*BOOKED")))),"")</f>
        <v/>
      </c>
      <c r="AN503" s="28" t="str">
        <f t="shared" si="84"/>
        <v/>
      </c>
      <c r="AO503" s="28">
        <f>IF(AND(M503=1,AN503&lt;&gt;""),IF(AN503&lt;=SETTINGS!$B$5,1,0),0)</f>
        <v>0</v>
      </c>
      <c r="AP503" s="28">
        <f>IF(M503=1,IF(COUNTIFS(LOG!$C$2:$C$2001,F503,LOG!$E$2:$E$2001,B503,LOG!$D$2:$D$2001,"BOOKED")+COUNTIFS(LOG!$C$2:$C$2001,F503,LOG!$E$2:$E$2001,"",LOG!$D$2:$D$2001,"BOOKED")&gt;0,1,0),0)</f>
        <v>0</v>
      </c>
      <c r="AQ503" s="28" t="str">
        <f t="shared" si="85"/>
        <v>Saanvi</v>
      </c>
      <c r="AR503" s="28">
        <f>IF(AND(AK503=1,K503="OK"),COUNTIFS($AK$2:AK503,1,$K$2:K503,"OK"),"")</f>
        <v>407</v>
      </c>
      <c r="AS503" s="28" t="str">
        <f>IF(L503=1,IFERROR(INDEX(MESSAGES!$J$9:$J$1008,MATCH(F503,MESSAGES!$M$9:$M$1008,0))&amp;"",""),"")</f>
        <v/>
      </c>
      <c r="AT503" s="28" t="str">
        <f>IF(L503=1,IFERROR(INDEX(MESSAGES!$K$9:$K$1008,MATCH(F503,MESSAGES!$M$9:$M$1008,0))&amp;"",""),"")</f>
        <v/>
      </c>
      <c r="AU503" s="28">
        <f t="shared" ca="1" si="86"/>
        <v>0</v>
      </c>
      <c r="AV503" s="28" t="str">
        <f t="shared" si="87"/>
        <v>SEND</v>
      </c>
    </row>
    <row r="504" spans="1:48" x14ac:dyDescent="0.35">
      <c r="A504" s="28">
        <v>503</v>
      </c>
      <c r="B504" s="28" t="str">
        <f>IF(INPUT!A504="","",TRIM(INPUT!A504))</f>
        <v>Partner 000</v>
      </c>
      <c r="C504" s="28" t="str">
        <f>IF(B504="","",INPUT!C504)</f>
        <v>interviewer2@partner000.example.com</v>
      </c>
      <c r="D504" s="28" t="str">
        <f>IF(B504="","",INPUT!D504)</f>
        <v>Kiara M.</v>
      </c>
      <c r="E504" s="28" t="str">
        <f>IF(B504="","",INPUT!E504)</f>
        <v>kiara.m341@example.com</v>
      </c>
      <c r="F504" s="43" t="str">
        <f>IF(B504="","",TRIM(INPUT!F504&amp;""))</f>
        <v>9000004440</v>
      </c>
      <c r="G504" s="28" t="str">
        <f>IF(B504="","",INPUT!H504)</f>
        <v>Round1</v>
      </c>
      <c r="H504" s="46">
        <f>IF(B504="","",INPUT!I504)</f>
        <v>46308.82708333333</v>
      </c>
      <c r="I504" s="28" t="str">
        <f>IF(B504="","",IF(INPUT!J504="","None",INPUT!J504))</f>
        <v>Clicked</v>
      </c>
      <c r="J504" s="28" t="str">
        <f t="shared" si="77"/>
        <v>kiara.m341@example.com|partner 000|Round1|interviewer2@partner000.example.com</v>
      </c>
      <c r="K504" s="28" t="str">
        <f>IF(B504="","",IF(SUMPRODUCT(($J$2:$J$601=J504)*($H$2:$H$601&lt;H504))+SUMPRODUCT(($J$2:J504=J504)*($H$2:H504=H504))-1&gt;0,"DUPLICATE",IF(AND(ISNUMBER(SEARCH("@",E504)),ISNUMBER(SEARCH(".",E504)),LEN(F504)=10,ISNUMBER(VALUE(F504))),"OK","BAD CONTACT")))</f>
        <v>OK</v>
      </c>
      <c r="L504" s="28">
        <f t="shared" si="78"/>
        <v>1</v>
      </c>
      <c r="M504" s="28">
        <f>IF(L504=1,IF(COUNTIFS(LOG!$C$2:$C$2001,F504,LOG!$E$2:$E$2001,B504,LOG!$D$2:$D$2001,"*BOOKED")+COUNTIFS(LOG!$C$2:$C$2001,F504,LOG!$E$2:$E$2001,"",LOG!$D$2:$D$2001,"*BOOKED")&gt;0,1,0),0)</f>
        <v>1</v>
      </c>
      <c r="N504" s="28">
        <f>IF(L504=1,IF(COUNTIFS(LOG!$C$2:$C$2001,F504,LOG!$E$2:$E$2001,B504,LOG!$D$2:$D$2001,"NOT_INTERESTED")+COUNTIFS(LOG!$C$2:$C$2001,F504,LOG!$E$2:$E$2001,"",LOG!$D$2:$D$2001,"NOT_INTERESTED")&gt;0,1,0),0)</f>
        <v>0</v>
      </c>
      <c r="O504" s="28">
        <f>IF(L504=1,IF(COUNTIFS(LOG!$C$2:$C$2001,F504,LOG!$D$2:$D$2001,"STOP")+COUNTIFS(LOG!$C$2:$C$2001,F504,LOG!$D$2:$D$2001,"WRONG_NUMBER")&gt;0,1,IF(ISNUMBER(SEARCH("STOP",AT504)),1,0)),0)</f>
        <v>0</v>
      </c>
      <c r="P504" s="28">
        <f>IF(L504=1,IF(IFERROR(INDEX(PARTNERS!$D$2:$D$88,MATCH(B504,PARTNERS!$A$2:$A$88,0)),"")="NO SLOTS",1,IF(AND(IFERROR(INDEX(PARTNERS!$D$2:$D$88,MATCH(B504,PARTNERS!$A$2:$A$88,0)),"")&lt;&gt;"REOPENED",COUNTIFS(LOG!$E$2:$E$2001,B504,LOG!$D$2:$D$2001,"NO_SLOTS")&gt;0),1,0)),0)</f>
        <v>0</v>
      </c>
      <c r="Q504" s="28">
        <f>IF(L504=1,COUNTIFS(LOG!$C$2:$C$2001,F504,LOG!$H$2:$H$2001,1),0)</f>
        <v>0</v>
      </c>
      <c r="R504" s="46">
        <f>IF(Q504&gt;0,_xlfn.MAXIFS(LOG!$G$2:$G$2001,LOG!$C$2:$C$2001,F504,LOG!$H$2:$H$2001,1),0)</f>
        <v>0</v>
      </c>
      <c r="S504" s="28" t="str">
        <f>IF(Q504&gt;0,IFERROR(INDEX(LOG!$D$2:$D$2001,MATCH(F504&amp;"|"&amp;Q504,LOG!$I$2:$I$2001,0)),""),"")</f>
        <v/>
      </c>
      <c r="T504" s="28">
        <f>IF(S504="",0,IFERROR(VLOOKUP(S504,LISTS!$A$2:$E$10,4,FALSE),0))</f>
        <v>0</v>
      </c>
      <c r="U504" s="46">
        <f t="shared" si="79"/>
        <v>0</v>
      </c>
      <c r="V504" s="46">
        <f>IF(L504=1,H504+SETTINGS!$B$5/24,"")</f>
        <v>46309.82708333333</v>
      </c>
      <c r="W504" s="28">
        <f ca="1">IF(L504=1,(V504-SETTINGS!$B$4)*24,"")</f>
        <v>-1.6666666720993817E-2</v>
      </c>
      <c r="X504" s="28">
        <f ca="1">IF(AND(L504=1,K504="OK",M504=0,N504=0,O504=0,P504=0,SETTINGS!$B$4&lt;V504,Q504&lt;SETTINGS!$B$6),1,0)</f>
        <v>0</v>
      </c>
      <c r="Y504" s="28">
        <f ca="1">IF(AND(X504=1,SETTINGS!$B$4&gt;=H504,SETTINGS!$B$4&gt;=U504,ROUND(MOD(SETTINGS!$B$4,1)*1440,0)&gt;=ROUND(SETTINGS!$B$7*1440,0),ROUND(MOD(SETTINGS!$B$4,1)*1440,0)&lt;ROUND(SETTINGS!$B$8*1440,0)),1,0)</f>
        <v>0</v>
      </c>
      <c r="Z504" s="28" t="str">
        <f ca="1">IF(B504="","",IF(ROUND(MOD(SETTINGS!$B$4,1)*1440,0)&lt;ROUND(SETTINGS!$B$11*1440,0),"Ram",IF(ROUND(MOD(SETTINGS!$B$4,1)*1440,0)&gt;=ROUND(SETTINGS!$B$10*1440,0),"Shyam",IF(MOD(IFERROR(VALUE(RIGHT(F504,2)),0),2)=0,"Ram","Shyam"))))</f>
        <v>Shyam</v>
      </c>
      <c r="AA504" s="28">
        <f t="shared" ca="1" si="80"/>
        <v>0</v>
      </c>
      <c r="AB504" s="28">
        <f ca="1">IF(X504=1,COUNTIFS($F$2:F504,F504,$X$2:X504,1),0)</f>
        <v>0</v>
      </c>
      <c r="AC504" s="28" t="str">
        <f>IF(L504=1,IF(IFERROR(INDEX(PARTNERS!$C$2:$C$88,MATCH(B504,PARTNERS!$A$2:$A$88,0)),"")="YES","YES","NO"),"")</f>
        <v>NO</v>
      </c>
      <c r="AD504" s="28" t="str">
        <f>IF(L504=1,IFERROR(INDEX(PARTNERS!$B$2:$B$88,MATCH(B504,PARTNERS!$A$2:$A$88,0)),""),"")</f>
        <v>https://calendly.com/partner000/interview</v>
      </c>
      <c r="AE504" s="28">
        <f ca="1">IF(X504=1,IFERROR(INDEX(SETTINGS!$B$34:$D$36,MATCH(I504,SETTINGS!$A$34:$A$36,0),MIN(Q504,2)+1),SETTINGS!$B$36),0)</f>
        <v>0</v>
      </c>
      <c r="AF504" s="28">
        <f t="shared" si="81"/>
        <v>1</v>
      </c>
      <c r="AG504" s="28">
        <f ca="1">IF(AND(Y504=1,AB504=1),ROUND(AA504*AE504*IF(AF504&gt;1,SETTINGS!$B$16,1)*IF(W504&lt;=SETTINGS!$B$14,SETTINGS!$B$15,1)*IF(AU504=1,SETTINGS!$B$21,1),6),0)</f>
        <v>0</v>
      </c>
      <c r="AH504" s="28" t="str">
        <f ca="1">IF(AG504&gt;0,COUNTIFS($Z$2:$Z$601,Z504,$AG$2:$AG$601,"&gt;"&amp;AG504)+COUNTIFS($Z$2:Z504,Z504,$AG$2:AG504,AG504),"")</f>
        <v/>
      </c>
      <c r="AI504" s="28" t="str">
        <f t="shared" ca="1" si="82"/>
        <v/>
      </c>
      <c r="AJ504" s="28" t="str">
        <f t="shared" ca="1" si="83"/>
        <v/>
      </c>
      <c r="AK504" s="28">
        <f>IF(L504=1,IF(COUNTIFS($F$2:F504,F504,$L$2:L504,1)=1,1,0),0)</f>
        <v>0</v>
      </c>
      <c r="AL504" s="28" t="str">
        <f>IF(B504="","",IF(K504="DUPLICATE","Duplicate (removed)",IF(AO504=1,"Scheduled within 24h",IF(M504=1,"Scheduled late",IF(K504="BAD CONTACT","Bad contact details",IF(O504=1,"Stopped / wrong number",IF(N504=1,"Not interested",IF(P504=1,"Partner has no slots",IF(SETTINGS!$B$4&gt;=V504,IF(Q504=0,"Missed deadline: never tried","Missed deadline: tried, not booked"),IF(Q504&gt;=SETTINGS!$B$6,"No reply after max tries","Open"))))))))))</f>
        <v>Scheduled within 24h</v>
      </c>
      <c r="AM504" s="46">
        <f>IF(M504=1,IF(_xlfn.MINIFS(LOG!$G$2:$G$2001,LOG!$C$2:$C$2001,F504,LOG!$E$2:$E$2001,B504,LOG!$D$2:$D$2001,"*BOOKED")=0,_xlfn.MINIFS(LOG!$G$2:$G$2001,LOG!$C$2:$C$2001,F504,LOG!$E$2:$E$2001,"",LOG!$D$2:$D$2001,"*BOOKED"),IF(_xlfn.MINIFS(LOG!$G$2:$G$2001,LOG!$C$2:$C$2001,F504,LOG!$E$2:$E$2001,"",LOG!$D$2:$D$2001,"*BOOKED")=0,_xlfn.MINIFS(LOG!$G$2:$G$2001,LOG!$C$2:$C$2001,F504,LOG!$E$2:$E$2001,B504,LOG!$D$2:$D$2001,"*BOOKED"),MIN(_xlfn.MINIFS(LOG!$G$2:$G$2001,LOG!$C$2:$C$2001,F504,LOG!$E$2:$E$2001,B504,LOG!$D$2:$D$2001,"*BOOKED"),_xlfn.MINIFS(LOG!$G$2:$G$2001,LOG!$C$2:$C$2001,F504,LOG!$E$2:$E$2001,"",LOG!$D$2:$D$2001,"*BOOKED")))),"")</f>
        <v>46309.312794894875</v>
      </c>
      <c r="AN504" s="28">
        <f t="shared" si="84"/>
        <v>11.657077477080747</v>
      </c>
      <c r="AO504" s="28">
        <f>IF(AND(M504=1,AN504&lt;&gt;""),IF(AN504&lt;=SETTINGS!$B$5,1,0),0)</f>
        <v>1</v>
      </c>
      <c r="AP504" s="28">
        <f>IF(M504=1,IF(COUNTIFS(LOG!$C$2:$C$2001,F504,LOG!$E$2:$E$2001,B504,LOG!$D$2:$D$2001,"BOOKED")+COUNTIFS(LOG!$C$2:$C$2001,F504,LOG!$E$2:$E$2001,"",LOG!$D$2:$D$2001,"BOOKED")&gt;0,1,0),0)</f>
        <v>0</v>
      </c>
      <c r="AQ504" s="28" t="str">
        <f t="shared" si="85"/>
        <v>Kiara</v>
      </c>
      <c r="AR504" s="28" t="str">
        <f>IF(AND(AK504=1,K504="OK"),COUNTIFS($AK$2:AK504,1,$K$2:K504,"OK"),"")</f>
        <v/>
      </c>
      <c r="AS504" s="28" t="str">
        <f>IF(L504=1,IFERROR(INDEX(MESSAGES!$J$9:$J$1008,MATCH(F504,MESSAGES!$M$9:$M$1008,0))&amp;"",""),"")</f>
        <v/>
      </c>
      <c r="AT504" s="28" t="str">
        <f>IF(L504=1,IFERROR(INDEX(MESSAGES!$K$9:$K$1008,MATCH(F504,MESSAGES!$M$9:$M$1008,0))&amp;"",""),"")</f>
        <v/>
      </c>
      <c r="AU504" s="28">
        <f t="shared" ca="1" si="86"/>
        <v>0</v>
      </c>
      <c r="AV504" s="28" t="str">
        <f t="shared" si="87"/>
        <v>SEND</v>
      </c>
    </row>
    <row r="505" spans="1:48" x14ac:dyDescent="0.35">
      <c r="A505" s="28">
        <v>504</v>
      </c>
      <c r="B505" s="28" t="str">
        <f>IF(INPUT!A505="","",TRIM(INPUT!A505))</f>
        <v>Partner 009</v>
      </c>
      <c r="C505" s="28" t="str">
        <f>IF(B505="","",INPUT!C505)</f>
        <v>interviewer1@partner009.example.com</v>
      </c>
      <c r="D505" s="28" t="str">
        <f>IF(B505="","",INPUT!D505)</f>
        <v>Yash E.</v>
      </c>
      <c r="E505" s="28" t="str">
        <f>IF(B505="","",INPUT!E505)</f>
        <v>yash.e136@example.com</v>
      </c>
      <c r="F505" s="43" t="str">
        <f>IF(B505="","",TRIM(INPUT!F505&amp;""))</f>
        <v>9000001775</v>
      </c>
      <c r="G505" s="28" t="str">
        <f>IF(B505="","",INPUT!H505)</f>
        <v>Round1</v>
      </c>
      <c r="H505" s="46">
        <f>IF(B505="","",INPUT!I505)</f>
        <v>46308.82708333333</v>
      </c>
      <c r="I505" s="28" t="str">
        <f>IF(B505="","",IF(INPUT!J505="","None",INPUT!J505))</f>
        <v>Clicked</v>
      </c>
      <c r="J505" s="28" t="str">
        <f t="shared" si="77"/>
        <v>yash.e136@example.com|partner 009|Round1|interviewer1@partner009.example.com</v>
      </c>
      <c r="K505" s="28" t="str">
        <f>IF(B505="","",IF(SUMPRODUCT(($J$2:$J$601=J505)*($H$2:$H$601&lt;H505))+SUMPRODUCT(($J$2:J505=J505)*($H$2:H505=H505))-1&gt;0,"DUPLICATE",IF(AND(ISNUMBER(SEARCH("@",E505)),ISNUMBER(SEARCH(".",E505)),LEN(F505)=10,ISNUMBER(VALUE(F505))),"OK","BAD CONTACT")))</f>
        <v>OK</v>
      </c>
      <c r="L505" s="28">
        <f t="shared" si="78"/>
        <v>1</v>
      </c>
      <c r="M505" s="28">
        <f>IF(L505=1,IF(COUNTIFS(LOG!$C$2:$C$2001,F505,LOG!$E$2:$E$2001,B505,LOG!$D$2:$D$2001,"*BOOKED")+COUNTIFS(LOG!$C$2:$C$2001,F505,LOG!$E$2:$E$2001,"",LOG!$D$2:$D$2001,"*BOOKED")&gt;0,1,0),0)</f>
        <v>1</v>
      </c>
      <c r="N505" s="28">
        <f>IF(L505=1,IF(COUNTIFS(LOG!$C$2:$C$2001,F505,LOG!$E$2:$E$2001,B505,LOG!$D$2:$D$2001,"NOT_INTERESTED")+COUNTIFS(LOG!$C$2:$C$2001,F505,LOG!$E$2:$E$2001,"",LOG!$D$2:$D$2001,"NOT_INTERESTED")&gt;0,1,0),0)</f>
        <v>0</v>
      </c>
      <c r="O505" s="28">
        <f>IF(L505=1,IF(COUNTIFS(LOG!$C$2:$C$2001,F505,LOG!$D$2:$D$2001,"STOP")+COUNTIFS(LOG!$C$2:$C$2001,F505,LOG!$D$2:$D$2001,"WRONG_NUMBER")&gt;0,1,IF(ISNUMBER(SEARCH("STOP",AT505)),1,0)),0)</f>
        <v>0</v>
      </c>
      <c r="P505" s="28">
        <f>IF(L505=1,IF(IFERROR(INDEX(PARTNERS!$D$2:$D$88,MATCH(B505,PARTNERS!$A$2:$A$88,0)),"")="NO SLOTS",1,IF(AND(IFERROR(INDEX(PARTNERS!$D$2:$D$88,MATCH(B505,PARTNERS!$A$2:$A$88,0)),"")&lt;&gt;"REOPENED",COUNTIFS(LOG!$E$2:$E$2001,B505,LOG!$D$2:$D$2001,"NO_SLOTS")&gt;0),1,0)),0)</f>
        <v>0</v>
      </c>
      <c r="Q505" s="28">
        <f>IF(L505=1,COUNTIFS(LOG!$C$2:$C$2001,F505,LOG!$H$2:$H$2001,1),0)</f>
        <v>1</v>
      </c>
      <c r="R505" s="46">
        <f>IF(Q505&gt;0,_xlfn.MAXIFS(LOG!$G$2:$G$2001,LOG!$C$2:$C$2001,F505,LOG!$H$2:$H$2001,1),0)</f>
        <v>46309.697956969067</v>
      </c>
      <c r="S505" s="28" t="str">
        <f>IF(Q505&gt;0,IFERROR(INDEX(LOG!$D$2:$D$2001,MATCH(F505&amp;"|"&amp;Q505,LOG!$I$2:$I$2001,0)),""),"")</f>
        <v>BOOKED</v>
      </c>
      <c r="T505" s="28">
        <f>IF(S505="",0,IFERROR(VLOOKUP(S505,LISTS!$A$2:$E$10,4,FALSE),0))</f>
        <v>0</v>
      </c>
      <c r="U505" s="46">
        <f t="shared" si="79"/>
        <v>46309.697956969067</v>
      </c>
      <c r="V505" s="46">
        <f>IF(L505=1,H505+SETTINGS!$B$5/24,"")</f>
        <v>46309.82708333333</v>
      </c>
      <c r="W505" s="28">
        <f ca="1">IF(L505=1,(V505-SETTINGS!$B$4)*24,"")</f>
        <v>-1.6666666720993817E-2</v>
      </c>
      <c r="X505" s="28">
        <f ca="1">IF(AND(L505=1,K505="OK",M505=0,N505=0,O505=0,P505=0,SETTINGS!$B$4&lt;V505,Q505&lt;SETTINGS!$B$6),1,0)</f>
        <v>0</v>
      </c>
      <c r="Y505" s="28">
        <f ca="1">IF(AND(X505=1,SETTINGS!$B$4&gt;=H505,SETTINGS!$B$4&gt;=U505,ROUND(MOD(SETTINGS!$B$4,1)*1440,0)&gt;=ROUND(SETTINGS!$B$7*1440,0),ROUND(MOD(SETTINGS!$B$4,1)*1440,0)&lt;ROUND(SETTINGS!$B$8*1440,0)),1,0)</f>
        <v>0</v>
      </c>
      <c r="Z505" s="28" t="str">
        <f ca="1">IF(B505="","",IF(ROUND(MOD(SETTINGS!$B$4,1)*1440,0)&lt;ROUND(SETTINGS!$B$11*1440,0),"Ram",IF(ROUND(MOD(SETTINGS!$B$4,1)*1440,0)&gt;=ROUND(SETTINGS!$B$10*1440,0),"Shyam",IF(MOD(IFERROR(VALUE(RIGHT(F505,2)),0),2)=0,"Ram","Shyam"))))</f>
        <v>Shyam</v>
      </c>
      <c r="AA505" s="28">
        <f t="shared" ca="1" si="80"/>
        <v>0</v>
      </c>
      <c r="AB505" s="28">
        <f ca="1">IF(X505=1,COUNTIFS($F$2:F505,F505,$X$2:X505,1),0)</f>
        <v>0</v>
      </c>
      <c r="AC505" s="28" t="str">
        <f>IF(L505=1,IF(IFERROR(INDEX(PARTNERS!$C$2:$C$88,MATCH(B505,PARTNERS!$A$2:$A$88,0)),"")="YES","YES","NO"),"")</f>
        <v>YES</v>
      </c>
      <c r="AD505" s="28" t="str">
        <f>IF(L505=1,IFERROR(INDEX(PARTNERS!$B$2:$B$88,MATCH(B505,PARTNERS!$A$2:$A$88,0)),""),"")</f>
        <v>https://calendly.com/partner009/interview</v>
      </c>
      <c r="AE505" s="28">
        <f ca="1">IF(X505=1,IFERROR(INDEX(SETTINGS!$B$34:$D$36,MATCH(I505,SETTINGS!$A$34:$A$36,0),MIN(Q505,2)+1),SETTINGS!$B$36),0)</f>
        <v>0</v>
      </c>
      <c r="AF505" s="28">
        <f t="shared" si="81"/>
        <v>1</v>
      </c>
      <c r="AG505" s="28">
        <f ca="1">IF(AND(Y505=1,AB505=1),ROUND(AA505*AE505*IF(AF505&gt;1,SETTINGS!$B$16,1)*IF(W505&lt;=SETTINGS!$B$14,SETTINGS!$B$15,1)*IF(AU505=1,SETTINGS!$B$21,1),6),0)</f>
        <v>0</v>
      </c>
      <c r="AH505" s="28" t="str">
        <f ca="1">IF(AG505&gt;0,COUNTIFS($Z$2:$Z$601,Z505,$AG$2:$AG$601,"&gt;"&amp;AG505)+COUNTIFS($Z$2:Z505,Z505,$AG$2:AG505,AG505),"")</f>
        <v/>
      </c>
      <c r="AI505" s="28" t="str">
        <f t="shared" ca="1" si="82"/>
        <v/>
      </c>
      <c r="AJ505" s="28" t="str">
        <f t="shared" ca="1" si="83"/>
        <v/>
      </c>
      <c r="AK505" s="28">
        <f>IF(L505=1,IF(COUNTIFS($F$2:F505,F505,$L$2:L505,1)=1,1,0),0)</f>
        <v>1</v>
      </c>
      <c r="AL505" s="28" t="str">
        <f>IF(B505="","",IF(K505="DUPLICATE","Duplicate (removed)",IF(AO505=1,"Scheduled within 24h",IF(M505=1,"Scheduled late",IF(K505="BAD CONTACT","Bad contact details",IF(O505=1,"Stopped / wrong number",IF(N505=1,"Not interested",IF(P505=1,"Partner has no slots",IF(SETTINGS!$B$4&gt;=V505,IF(Q505=0,"Missed deadline: never tried","Missed deadline: tried, not booked"),IF(Q505&gt;=SETTINGS!$B$6,"No reply after max tries","Open"))))))))))</f>
        <v>Scheduled within 24h</v>
      </c>
      <c r="AM505" s="46">
        <f>IF(M505=1,IF(_xlfn.MINIFS(LOG!$G$2:$G$2001,LOG!$C$2:$C$2001,F505,LOG!$E$2:$E$2001,B505,LOG!$D$2:$D$2001,"*BOOKED")=0,_xlfn.MINIFS(LOG!$G$2:$G$2001,LOG!$C$2:$C$2001,F505,LOG!$E$2:$E$2001,"",LOG!$D$2:$D$2001,"*BOOKED"),IF(_xlfn.MINIFS(LOG!$G$2:$G$2001,LOG!$C$2:$C$2001,F505,LOG!$E$2:$E$2001,"",LOG!$D$2:$D$2001,"*BOOKED")=0,_xlfn.MINIFS(LOG!$G$2:$G$2001,LOG!$C$2:$C$2001,F505,LOG!$E$2:$E$2001,B505,LOG!$D$2:$D$2001,"*BOOKED"),MIN(_xlfn.MINIFS(LOG!$G$2:$G$2001,LOG!$C$2:$C$2001,F505,LOG!$E$2:$E$2001,B505,LOG!$D$2:$D$2001,"*BOOKED"),_xlfn.MINIFS(LOG!$G$2:$G$2001,LOG!$C$2:$C$2001,F505,LOG!$E$2:$E$2001,"",LOG!$D$2:$D$2001,"*BOOKED")))),"")</f>
        <v>46309.697956969067</v>
      </c>
      <c r="AN505" s="28">
        <f t="shared" si="84"/>
        <v>20.90096725767944</v>
      </c>
      <c r="AO505" s="28">
        <f>IF(AND(M505=1,AN505&lt;&gt;""),IF(AN505&lt;=SETTINGS!$B$5,1,0),0)</f>
        <v>1</v>
      </c>
      <c r="AP505" s="28">
        <f>IF(M505=1,IF(COUNTIFS(LOG!$C$2:$C$2001,F505,LOG!$E$2:$E$2001,B505,LOG!$D$2:$D$2001,"BOOKED")+COUNTIFS(LOG!$C$2:$C$2001,F505,LOG!$E$2:$E$2001,"",LOG!$D$2:$D$2001,"BOOKED")&gt;0,1,0),0)</f>
        <v>1</v>
      </c>
      <c r="AQ505" s="28" t="str">
        <f t="shared" si="85"/>
        <v>Yash</v>
      </c>
      <c r="AR505" s="28">
        <f>IF(AND(AK505=1,K505="OK"),COUNTIFS($AK$2:AK505,1,$K$2:K505,"OK"),"")</f>
        <v>408</v>
      </c>
      <c r="AS505" s="28" t="str">
        <f>IF(L505=1,IFERROR(INDEX(MESSAGES!$J$9:$J$1008,MATCH(F505,MESSAGES!$M$9:$M$1008,0))&amp;"",""),"")</f>
        <v/>
      </c>
      <c r="AT505" s="28" t="str">
        <f>IF(L505=1,IFERROR(INDEX(MESSAGES!$K$9:$K$1008,MATCH(F505,MESSAGES!$M$9:$M$1008,0))&amp;"",""),"")</f>
        <v/>
      </c>
      <c r="AU505" s="28">
        <f t="shared" ca="1" si="86"/>
        <v>0</v>
      </c>
      <c r="AV505" s="28" t="str">
        <f t="shared" si="87"/>
        <v>HOLD</v>
      </c>
    </row>
    <row r="506" spans="1:48" x14ac:dyDescent="0.35">
      <c r="A506" s="28">
        <v>505</v>
      </c>
      <c r="B506" s="28" t="str">
        <f>IF(INPUT!A506="","",TRIM(INPUT!A506))</f>
        <v>Partner 019</v>
      </c>
      <c r="C506" s="28" t="str">
        <f>IF(B506="","",INPUT!C506)</f>
        <v>interviewer0@partner019.example.com</v>
      </c>
      <c r="D506" s="28" t="str">
        <f>IF(B506="","",INPUT!D506)</f>
        <v>Zoya K.</v>
      </c>
      <c r="E506" s="28" t="str">
        <f>IF(B506="","",INPUT!E506)</f>
        <v>zoya.k287@example.com</v>
      </c>
      <c r="F506" s="43" t="str">
        <f>IF(B506="","",TRIM(INPUT!F506&amp;""))</f>
        <v>9000003738</v>
      </c>
      <c r="G506" s="28" t="str">
        <f>IF(B506="","",INPUT!H506)</f>
        <v>Round1</v>
      </c>
      <c r="H506" s="46">
        <f>IF(B506="","",INPUT!I506)</f>
        <v>46308.82708333333</v>
      </c>
      <c r="I506" s="28" t="str">
        <f>IF(B506="","",IF(INPUT!J506="","None",INPUT!J506))</f>
        <v>None</v>
      </c>
      <c r="J506" s="28" t="str">
        <f t="shared" si="77"/>
        <v>zoya.k287@example.com|partner 019|Round1|interviewer0@partner019.example.com</v>
      </c>
      <c r="K506" s="28" t="str">
        <f>IF(B506="","",IF(SUMPRODUCT(($J$2:$J$601=J506)*($H$2:$H$601&lt;H506))+SUMPRODUCT(($J$2:J506=J506)*($H$2:H506=H506))-1&gt;0,"DUPLICATE",IF(AND(ISNUMBER(SEARCH("@",E506)),ISNUMBER(SEARCH(".",E506)),LEN(F506)=10,ISNUMBER(VALUE(F506))),"OK","BAD CONTACT")))</f>
        <v>OK</v>
      </c>
      <c r="L506" s="28">
        <f t="shared" si="78"/>
        <v>1</v>
      </c>
      <c r="M506" s="28">
        <f>IF(L506=1,IF(COUNTIFS(LOG!$C$2:$C$2001,F506,LOG!$E$2:$E$2001,B506,LOG!$D$2:$D$2001,"*BOOKED")+COUNTIFS(LOG!$C$2:$C$2001,F506,LOG!$E$2:$E$2001,"",LOG!$D$2:$D$2001,"*BOOKED")&gt;0,1,0),0)</f>
        <v>0</v>
      </c>
      <c r="N506" s="28">
        <f>IF(L506=1,IF(COUNTIFS(LOG!$C$2:$C$2001,F506,LOG!$E$2:$E$2001,B506,LOG!$D$2:$D$2001,"NOT_INTERESTED")+COUNTIFS(LOG!$C$2:$C$2001,F506,LOG!$E$2:$E$2001,"",LOG!$D$2:$D$2001,"NOT_INTERESTED")&gt;0,1,0),0)</f>
        <v>0</v>
      </c>
      <c r="O506" s="28">
        <f>IF(L506=1,IF(COUNTIFS(LOG!$C$2:$C$2001,F506,LOG!$D$2:$D$2001,"STOP")+COUNTIFS(LOG!$C$2:$C$2001,F506,LOG!$D$2:$D$2001,"WRONG_NUMBER")&gt;0,1,IF(ISNUMBER(SEARCH("STOP",AT506)),1,0)),0)</f>
        <v>0</v>
      </c>
      <c r="P506" s="28">
        <f>IF(L506=1,IF(IFERROR(INDEX(PARTNERS!$D$2:$D$88,MATCH(B506,PARTNERS!$A$2:$A$88,0)),"")="NO SLOTS",1,IF(AND(IFERROR(INDEX(PARTNERS!$D$2:$D$88,MATCH(B506,PARTNERS!$A$2:$A$88,0)),"")&lt;&gt;"REOPENED",COUNTIFS(LOG!$E$2:$E$2001,B506,LOG!$D$2:$D$2001,"NO_SLOTS")&gt;0),1,0)),0)</f>
        <v>0</v>
      </c>
      <c r="Q506" s="28">
        <f>IF(L506=1,COUNTIFS(LOG!$C$2:$C$2001,F506,LOG!$H$2:$H$2001,1),0)</f>
        <v>2</v>
      </c>
      <c r="R506" s="46">
        <f>IF(Q506&gt;0,_xlfn.MAXIFS(LOG!$G$2:$G$2001,LOG!$C$2:$C$2001,F506,LOG!$H$2:$H$2001,1),0)</f>
        <v>46309.639751395473</v>
      </c>
      <c r="S506" s="28" t="str">
        <f>IF(Q506&gt;0,IFERROR(INDEX(LOG!$D$2:$D$2001,MATCH(F506&amp;"|"&amp;Q506,LOG!$I$2:$I$2001,0)),""),"")</f>
        <v>NO_ANSWER</v>
      </c>
      <c r="T506" s="28">
        <f>IF(S506="",0,IFERROR(VLOOKUP(S506,LISTS!$A$2:$E$10,4,FALSE),0))</f>
        <v>120</v>
      </c>
      <c r="U506" s="46">
        <f t="shared" si="79"/>
        <v>46309.723084728808</v>
      </c>
      <c r="V506" s="46">
        <f>IF(L506=1,H506+SETTINGS!$B$5/24,"")</f>
        <v>46309.82708333333</v>
      </c>
      <c r="W506" s="28">
        <f ca="1">IF(L506=1,(V506-SETTINGS!$B$4)*24,"")</f>
        <v>-1.6666666720993817E-2</v>
      </c>
      <c r="X506" s="28">
        <f ca="1">IF(AND(L506=1,K506="OK",M506=0,N506=0,O506=0,P506=0,SETTINGS!$B$4&lt;V506,Q506&lt;SETTINGS!$B$6),1,0)</f>
        <v>0</v>
      </c>
      <c r="Y506" s="28">
        <f ca="1">IF(AND(X506=1,SETTINGS!$B$4&gt;=H506,SETTINGS!$B$4&gt;=U506,ROUND(MOD(SETTINGS!$B$4,1)*1440,0)&gt;=ROUND(SETTINGS!$B$7*1440,0),ROUND(MOD(SETTINGS!$B$4,1)*1440,0)&lt;ROUND(SETTINGS!$B$8*1440,0)),1,0)</f>
        <v>0</v>
      </c>
      <c r="Z506" s="28" t="str">
        <f ca="1">IF(B506="","",IF(ROUND(MOD(SETTINGS!$B$4,1)*1440,0)&lt;ROUND(SETTINGS!$B$11*1440,0),"Ram",IF(ROUND(MOD(SETTINGS!$B$4,1)*1440,0)&gt;=ROUND(SETTINGS!$B$10*1440,0),"Shyam",IF(MOD(IFERROR(VALUE(RIGHT(F506,2)),0),2)=0,"Ram","Shyam"))))</f>
        <v>Shyam</v>
      </c>
      <c r="AA506" s="28">
        <f t="shared" ca="1" si="80"/>
        <v>0</v>
      </c>
      <c r="AB506" s="28">
        <f ca="1">IF(X506=1,COUNTIFS($F$2:F506,F506,$X$2:X506,1),0)</f>
        <v>0</v>
      </c>
      <c r="AC506" s="28" t="str">
        <f>IF(L506=1,IF(IFERROR(INDEX(PARTNERS!$C$2:$C$88,MATCH(B506,PARTNERS!$A$2:$A$88,0)),"")="YES","YES","NO"),"")</f>
        <v>NO</v>
      </c>
      <c r="AD506" s="28" t="str">
        <f>IF(L506=1,IFERROR(INDEX(PARTNERS!$B$2:$B$88,MATCH(B506,PARTNERS!$A$2:$A$88,0)),""),"")</f>
        <v>https://calendly.com/partner019/interview</v>
      </c>
      <c r="AE506" s="28">
        <f ca="1">IF(X506=1,IFERROR(INDEX(SETTINGS!$B$34:$D$36,MATCH(I506,SETTINGS!$A$34:$A$36,0),MIN(Q506,2)+1),SETTINGS!$B$36),0)</f>
        <v>0</v>
      </c>
      <c r="AF506" s="28">
        <f t="shared" si="81"/>
        <v>1</v>
      </c>
      <c r="AG506" s="28">
        <f ca="1">IF(AND(Y506=1,AB506=1),ROUND(AA506*AE506*IF(AF506&gt;1,SETTINGS!$B$16,1)*IF(W506&lt;=SETTINGS!$B$14,SETTINGS!$B$15,1)*IF(AU506=1,SETTINGS!$B$21,1),6),0)</f>
        <v>0</v>
      </c>
      <c r="AH506" s="28" t="str">
        <f ca="1">IF(AG506&gt;0,COUNTIFS($Z$2:$Z$601,Z506,$AG$2:$AG$601,"&gt;"&amp;AG506)+COUNTIFS($Z$2:Z506,Z506,$AG$2:AG506,AG506),"")</f>
        <v/>
      </c>
      <c r="AI506" s="28" t="str">
        <f t="shared" ca="1" si="82"/>
        <v/>
      </c>
      <c r="AJ506" s="28" t="str">
        <f t="shared" ca="1" si="83"/>
        <v/>
      </c>
      <c r="AK506" s="28">
        <f>IF(L506=1,IF(COUNTIFS($F$2:F506,F506,$L$2:L506,1)=1,1,0),0)</f>
        <v>0</v>
      </c>
      <c r="AL506" s="28" t="str">
        <f ca="1">IF(B506="","",IF(K506="DUPLICATE","Duplicate (removed)",IF(AO506=1,"Scheduled within 24h",IF(M506=1,"Scheduled late",IF(K506="BAD CONTACT","Bad contact details",IF(O506=1,"Stopped / wrong number",IF(N506=1,"Not interested",IF(P506=1,"Partner has no slots",IF(SETTINGS!$B$4&gt;=V506,IF(Q506=0,"Missed deadline: never tried","Missed deadline: tried, not booked"),IF(Q506&gt;=SETTINGS!$B$6,"No reply after max tries","Open"))))))))))</f>
        <v>Missed deadline: tried, not booked</v>
      </c>
      <c r="AM506" s="46" t="str">
        <f>IF(M506=1,IF(_xlfn.MINIFS(LOG!$G$2:$G$2001,LOG!$C$2:$C$2001,F506,LOG!$E$2:$E$2001,B506,LOG!$D$2:$D$2001,"*BOOKED")=0,_xlfn.MINIFS(LOG!$G$2:$G$2001,LOG!$C$2:$C$2001,F506,LOG!$E$2:$E$2001,"",LOG!$D$2:$D$2001,"*BOOKED"),IF(_xlfn.MINIFS(LOG!$G$2:$G$2001,LOG!$C$2:$C$2001,F506,LOG!$E$2:$E$2001,"",LOG!$D$2:$D$2001,"*BOOKED")=0,_xlfn.MINIFS(LOG!$G$2:$G$2001,LOG!$C$2:$C$2001,F506,LOG!$E$2:$E$2001,B506,LOG!$D$2:$D$2001,"*BOOKED"),MIN(_xlfn.MINIFS(LOG!$G$2:$G$2001,LOG!$C$2:$C$2001,F506,LOG!$E$2:$E$2001,B506,LOG!$D$2:$D$2001,"*BOOKED"),_xlfn.MINIFS(LOG!$G$2:$G$2001,LOG!$C$2:$C$2001,F506,LOG!$E$2:$E$2001,"",LOG!$D$2:$D$2001,"*BOOKED")))),"")</f>
        <v/>
      </c>
      <c r="AN506" s="28" t="str">
        <f t="shared" si="84"/>
        <v/>
      </c>
      <c r="AO506" s="28">
        <f>IF(AND(M506=1,AN506&lt;&gt;""),IF(AN506&lt;=SETTINGS!$B$5,1,0),0)</f>
        <v>0</v>
      </c>
      <c r="AP506" s="28">
        <f>IF(M506=1,IF(COUNTIFS(LOG!$C$2:$C$2001,F506,LOG!$E$2:$E$2001,B506,LOG!$D$2:$D$2001,"BOOKED")+COUNTIFS(LOG!$C$2:$C$2001,F506,LOG!$E$2:$E$2001,"",LOG!$D$2:$D$2001,"BOOKED")&gt;0,1,0),0)</f>
        <v>0</v>
      </c>
      <c r="AQ506" s="28" t="str">
        <f t="shared" si="85"/>
        <v>Zoya</v>
      </c>
      <c r="AR506" s="28" t="str">
        <f>IF(AND(AK506=1,K506="OK"),COUNTIFS($AK$2:AK506,1,$K$2:K506,"OK"),"")</f>
        <v/>
      </c>
      <c r="AS506" s="28" t="str">
        <f>IF(L506=1,IFERROR(INDEX(MESSAGES!$J$9:$J$1008,MATCH(F506,MESSAGES!$M$9:$M$1008,0))&amp;"",""),"")</f>
        <v/>
      </c>
      <c r="AT506" s="28" t="str">
        <f>IF(L506=1,IFERROR(INDEX(MESSAGES!$K$9:$K$1008,MATCH(F506,MESSAGES!$M$9:$M$1008,0))&amp;"",""),"")</f>
        <v/>
      </c>
      <c r="AU506" s="28">
        <f t="shared" ca="1" si="86"/>
        <v>0</v>
      </c>
      <c r="AV506" s="28" t="str">
        <f t="shared" si="87"/>
        <v>HOLD</v>
      </c>
    </row>
    <row r="507" spans="1:48" x14ac:dyDescent="0.35">
      <c r="A507" s="28">
        <v>506</v>
      </c>
      <c r="B507" s="28" t="str">
        <f>IF(INPUT!A507="","",TRIM(INPUT!A507))</f>
        <v>Partner 001</v>
      </c>
      <c r="C507" s="28" t="str">
        <f>IF(B507="","",INPUT!C507)</f>
        <v>interviewer0@partner001.example.com</v>
      </c>
      <c r="D507" s="28" t="str">
        <f>IF(B507="","",INPUT!D507)</f>
        <v>Arjun M.</v>
      </c>
      <c r="E507" s="28" t="str">
        <f>IF(B507="","",INPUT!E507)</f>
        <v>arjun.m338@example.com</v>
      </c>
      <c r="F507" s="43" t="str">
        <f>IF(B507="","",TRIM(INPUT!F507&amp;""))</f>
        <v>9000004401</v>
      </c>
      <c r="G507" s="28" t="str">
        <f>IF(B507="","",INPUT!H507)</f>
        <v>Round1</v>
      </c>
      <c r="H507" s="46">
        <f>IF(B507="","",INPUT!I507)</f>
        <v>46308.82708333333</v>
      </c>
      <c r="I507" s="28" t="str">
        <f>IF(B507="","",IF(INPUT!J507="","None",INPUT!J507))</f>
        <v>None</v>
      </c>
      <c r="J507" s="28" t="str">
        <f t="shared" si="77"/>
        <v>arjun.m338@example.com|partner 001|Round1|interviewer0@partner001.example.com</v>
      </c>
      <c r="K507" s="28" t="str">
        <f>IF(B507="","",IF(SUMPRODUCT(($J$2:$J$601=J507)*($H$2:$H$601&lt;H507))+SUMPRODUCT(($J$2:J507=J507)*($H$2:H507=H507))-1&gt;0,"DUPLICATE",IF(AND(ISNUMBER(SEARCH("@",E507)),ISNUMBER(SEARCH(".",E507)),LEN(F507)=10,ISNUMBER(VALUE(F507))),"OK","BAD CONTACT")))</f>
        <v>OK</v>
      </c>
      <c r="L507" s="28">
        <f t="shared" si="78"/>
        <v>1</v>
      </c>
      <c r="M507" s="28">
        <f>IF(L507=1,IF(COUNTIFS(LOG!$C$2:$C$2001,F507,LOG!$E$2:$E$2001,B507,LOG!$D$2:$D$2001,"*BOOKED")+COUNTIFS(LOG!$C$2:$C$2001,F507,LOG!$E$2:$E$2001,"",LOG!$D$2:$D$2001,"*BOOKED")&gt;0,1,0),0)</f>
        <v>0</v>
      </c>
      <c r="N507" s="28">
        <f>IF(L507=1,IF(COUNTIFS(LOG!$C$2:$C$2001,F507,LOG!$E$2:$E$2001,B507,LOG!$D$2:$D$2001,"NOT_INTERESTED")+COUNTIFS(LOG!$C$2:$C$2001,F507,LOG!$E$2:$E$2001,"",LOG!$D$2:$D$2001,"NOT_INTERESTED")&gt;0,1,0),0)</f>
        <v>0</v>
      </c>
      <c r="O507" s="28">
        <f>IF(L507=1,IF(COUNTIFS(LOG!$C$2:$C$2001,F507,LOG!$D$2:$D$2001,"STOP")+COUNTIFS(LOG!$C$2:$C$2001,F507,LOG!$D$2:$D$2001,"WRONG_NUMBER")&gt;0,1,IF(ISNUMBER(SEARCH("STOP",AT507)),1,0)),0)</f>
        <v>0</v>
      </c>
      <c r="P507" s="28">
        <f>IF(L507=1,IF(IFERROR(INDEX(PARTNERS!$D$2:$D$88,MATCH(B507,PARTNERS!$A$2:$A$88,0)),"")="NO SLOTS",1,IF(AND(IFERROR(INDEX(PARTNERS!$D$2:$D$88,MATCH(B507,PARTNERS!$A$2:$A$88,0)),"")&lt;&gt;"REOPENED",COUNTIFS(LOG!$E$2:$E$2001,B507,LOG!$D$2:$D$2001,"NO_SLOTS")&gt;0),1,0)),0)</f>
        <v>0</v>
      </c>
      <c r="Q507" s="28">
        <f>IF(L507=1,COUNTIFS(LOG!$C$2:$C$2001,F507,LOG!$H$2:$H$2001,1),0)</f>
        <v>0</v>
      </c>
      <c r="R507" s="46">
        <f>IF(Q507&gt;0,_xlfn.MAXIFS(LOG!$G$2:$G$2001,LOG!$C$2:$C$2001,F507,LOG!$H$2:$H$2001,1),0)</f>
        <v>0</v>
      </c>
      <c r="S507" s="28" t="str">
        <f>IF(Q507&gt;0,IFERROR(INDEX(LOG!$D$2:$D$2001,MATCH(F507&amp;"|"&amp;Q507,LOG!$I$2:$I$2001,0)),""),"")</f>
        <v/>
      </c>
      <c r="T507" s="28">
        <f>IF(S507="",0,IFERROR(VLOOKUP(S507,LISTS!$A$2:$E$10,4,FALSE),0))</f>
        <v>0</v>
      </c>
      <c r="U507" s="46">
        <f t="shared" si="79"/>
        <v>0</v>
      </c>
      <c r="V507" s="46">
        <f>IF(L507=1,H507+SETTINGS!$B$5/24,"")</f>
        <v>46309.82708333333</v>
      </c>
      <c r="W507" s="28">
        <f ca="1">IF(L507=1,(V507-SETTINGS!$B$4)*24,"")</f>
        <v>-1.6666666720993817E-2</v>
      </c>
      <c r="X507" s="28">
        <f ca="1">IF(AND(L507=1,K507="OK",M507=0,N507=0,O507=0,P507=0,SETTINGS!$B$4&lt;V507,Q507&lt;SETTINGS!$B$6),1,0)</f>
        <v>0</v>
      </c>
      <c r="Y507" s="28">
        <f ca="1">IF(AND(X507=1,SETTINGS!$B$4&gt;=H507,SETTINGS!$B$4&gt;=U507,ROUND(MOD(SETTINGS!$B$4,1)*1440,0)&gt;=ROUND(SETTINGS!$B$7*1440,0),ROUND(MOD(SETTINGS!$B$4,1)*1440,0)&lt;ROUND(SETTINGS!$B$8*1440,0)),1,0)</f>
        <v>0</v>
      </c>
      <c r="Z507" s="28" t="str">
        <f ca="1">IF(B507="","",IF(ROUND(MOD(SETTINGS!$B$4,1)*1440,0)&lt;ROUND(SETTINGS!$B$11*1440,0),"Ram",IF(ROUND(MOD(SETTINGS!$B$4,1)*1440,0)&gt;=ROUND(SETTINGS!$B$10*1440,0),"Shyam",IF(MOD(IFERROR(VALUE(RIGHT(F507,2)),0),2)=0,"Ram","Shyam"))))</f>
        <v>Shyam</v>
      </c>
      <c r="AA507" s="28">
        <f t="shared" ca="1" si="80"/>
        <v>0</v>
      </c>
      <c r="AB507" s="28">
        <f ca="1">IF(X507=1,COUNTIFS($F$2:F507,F507,$X$2:X507,1),0)</f>
        <v>0</v>
      </c>
      <c r="AC507" s="28" t="str">
        <f>IF(L507=1,IF(IFERROR(INDEX(PARTNERS!$C$2:$C$88,MATCH(B507,PARTNERS!$A$2:$A$88,0)),"")="YES","YES","NO"),"")</f>
        <v>NO</v>
      </c>
      <c r="AD507" s="28" t="str">
        <f>IF(L507=1,IFERROR(INDEX(PARTNERS!$B$2:$B$88,MATCH(B507,PARTNERS!$A$2:$A$88,0)),""),"")</f>
        <v>https://calendly.com/partner001/interview</v>
      </c>
      <c r="AE507" s="28">
        <f ca="1">IF(X507=1,IFERROR(INDEX(SETTINGS!$B$34:$D$36,MATCH(I507,SETTINGS!$A$34:$A$36,0),MIN(Q507,2)+1),SETTINGS!$B$36),0)</f>
        <v>0</v>
      </c>
      <c r="AF507" s="28">
        <f t="shared" si="81"/>
        <v>1</v>
      </c>
      <c r="AG507" s="28">
        <f ca="1">IF(AND(Y507=1,AB507=1),ROUND(AA507*AE507*IF(AF507&gt;1,SETTINGS!$B$16,1)*IF(W507&lt;=SETTINGS!$B$14,SETTINGS!$B$15,1)*IF(AU507=1,SETTINGS!$B$21,1),6),0)</f>
        <v>0</v>
      </c>
      <c r="AH507" s="28" t="str">
        <f ca="1">IF(AG507&gt;0,COUNTIFS($Z$2:$Z$601,Z507,$AG$2:$AG$601,"&gt;"&amp;AG507)+COUNTIFS($Z$2:Z507,Z507,$AG$2:AG507,AG507),"")</f>
        <v/>
      </c>
      <c r="AI507" s="28" t="str">
        <f t="shared" ca="1" si="82"/>
        <v/>
      </c>
      <c r="AJ507" s="28" t="str">
        <f t="shared" ca="1" si="83"/>
        <v/>
      </c>
      <c r="AK507" s="28">
        <f>IF(L507=1,IF(COUNTIFS($F$2:F507,F507,$L$2:L507,1)=1,1,0),0)</f>
        <v>0</v>
      </c>
      <c r="AL507" s="28" t="str">
        <f ca="1">IF(B507="","",IF(K507="DUPLICATE","Duplicate (removed)",IF(AO507=1,"Scheduled within 24h",IF(M507=1,"Scheduled late",IF(K507="BAD CONTACT","Bad contact details",IF(O507=1,"Stopped / wrong number",IF(N507=1,"Not interested",IF(P507=1,"Partner has no slots",IF(SETTINGS!$B$4&gt;=V507,IF(Q507=0,"Missed deadline: never tried","Missed deadline: tried, not booked"),IF(Q507&gt;=SETTINGS!$B$6,"No reply after max tries","Open"))))))))))</f>
        <v>Missed deadline: never tried</v>
      </c>
      <c r="AM507" s="46" t="str">
        <f>IF(M507=1,IF(_xlfn.MINIFS(LOG!$G$2:$G$2001,LOG!$C$2:$C$2001,F507,LOG!$E$2:$E$2001,B507,LOG!$D$2:$D$2001,"*BOOKED")=0,_xlfn.MINIFS(LOG!$G$2:$G$2001,LOG!$C$2:$C$2001,F507,LOG!$E$2:$E$2001,"",LOG!$D$2:$D$2001,"*BOOKED"),IF(_xlfn.MINIFS(LOG!$G$2:$G$2001,LOG!$C$2:$C$2001,F507,LOG!$E$2:$E$2001,"",LOG!$D$2:$D$2001,"*BOOKED")=0,_xlfn.MINIFS(LOG!$G$2:$G$2001,LOG!$C$2:$C$2001,F507,LOG!$E$2:$E$2001,B507,LOG!$D$2:$D$2001,"*BOOKED"),MIN(_xlfn.MINIFS(LOG!$G$2:$G$2001,LOG!$C$2:$C$2001,F507,LOG!$E$2:$E$2001,B507,LOG!$D$2:$D$2001,"*BOOKED"),_xlfn.MINIFS(LOG!$G$2:$G$2001,LOG!$C$2:$C$2001,F507,LOG!$E$2:$E$2001,"",LOG!$D$2:$D$2001,"*BOOKED")))),"")</f>
        <v/>
      </c>
      <c r="AN507" s="28" t="str">
        <f t="shared" si="84"/>
        <v/>
      </c>
      <c r="AO507" s="28">
        <f>IF(AND(M507=1,AN507&lt;&gt;""),IF(AN507&lt;=SETTINGS!$B$5,1,0),0)</f>
        <v>0</v>
      </c>
      <c r="AP507" s="28">
        <f>IF(M507=1,IF(COUNTIFS(LOG!$C$2:$C$2001,F507,LOG!$E$2:$E$2001,B507,LOG!$D$2:$D$2001,"BOOKED")+COUNTIFS(LOG!$C$2:$C$2001,F507,LOG!$E$2:$E$2001,"",LOG!$D$2:$D$2001,"BOOKED")&gt;0,1,0),0)</f>
        <v>0</v>
      </c>
      <c r="AQ507" s="28" t="str">
        <f t="shared" si="85"/>
        <v>Arjun</v>
      </c>
      <c r="AR507" s="28" t="str">
        <f>IF(AND(AK507=1,K507="OK"),COUNTIFS($AK$2:AK507,1,$K$2:K507,"OK"),"")</f>
        <v/>
      </c>
      <c r="AS507" s="28" t="str">
        <f>IF(L507=1,IFERROR(INDEX(MESSAGES!$J$9:$J$1008,MATCH(F507,MESSAGES!$M$9:$M$1008,0))&amp;"",""),"")</f>
        <v/>
      </c>
      <c r="AT507" s="28" t="str">
        <f>IF(L507=1,IFERROR(INDEX(MESSAGES!$K$9:$K$1008,MATCH(F507,MESSAGES!$M$9:$M$1008,0))&amp;"",""),"")</f>
        <v/>
      </c>
      <c r="AU507" s="28">
        <f t="shared" ca="1" si="86"/>
        <v>0</v>
      </c>
      <c r="AV507" s="28" t="str">
        <f t="shared" si="87"/>
        <v>SEND</v>
      </c>
    </row>
    <row r="508" spans="1:48" x14ac:dyDescent="0.35">
      <c r="A508" s="28">
        <v>507</v>
      </c>
      <c r="B508" s="28" t="str">
        <f>IF(INPUT!A508="","",TRIM(INPUT!A508))</f>
        <v>Partner 004</v>
      </c>
      <c r="C508" s="28" t="str">
        <f>IF(B508="","",INPUT!C508)</f>
        <v>interviewer0@partner004.example.com</v>
      </c>
      <c r="D508" s="28" t="str">
        <f>IF(B508="","",INPUT!D508)</f>
        <v>Rahul P.</v>
      </c>
      <c r="E508" s="28" t="str">
        <f>IF(B508="","",INPUT!E508)</f>
        <v>rahul.p416@example.com</v>
      </c>
      <c r="F508" s="43" t="str">
        <f>IF(B508="","",TRIM(INPUT!F508&amp;""))</f>
        <v>9000005415</v>
      </c>
      <c r="G508" s="28" t="str">
        <f>IF(B508="","",INPUT!H508)</f>
        <v>Round1</v>
      </c>
      <c r="H508" s="46">
        <f>IF(B508="","",INPUT!I508)</f>
        <v>46308.82708333333</v>
      </c>
      <c r="I508" s="28" t="str">
        <f>IF(B508="","",IF(INPUT!J508="","None",INPUT!J508))</f>
        <v>Opened</v>
      </c>
      <c r="J508" s="28" t="str">
        <f t="shared" si="77"/>
        <v>rahul.p416@example.com|partner 004|Round1|interviewer0@partner004.example.com</v>
      </c>
      <c r="K508" s="28" t="str">
        <f>IF(B508="","",IF(SUMPRODUCT(($J$2:$J$601=J508)*($H$2:$H$601&lt;H508))+SUMPRODUCT(($J$2:J508=J508)*($H$2:H508=H508))-1&gt;0,"DUPLICATE",IF(AND(ISNUMBER(SEARCH("@",E508)),ISNUMBER(SEARCH(".",E508)),LEN(F508)=10,ISNUMBER(VALUE(F508))),"OK","BAD CONTACT")))</f>
        <v>OK</v>
      </c>
      <c r="L508" s="28">
        <f t="shared" si="78"/>
        <v>1</v>
      </c>
      <c r="M508" s="28">
        <f>IF(L508=1,IF(COUNTIFS(LOG!$C$2:$C$2001,F508,LOG!$E$2:$E$2001,B508,LOG!$D$2:$D$2001,"*BOOKED")+COUNTIFS(LOG!$C$2:$C$2001,F508,LOG!$E$2:$E$2001,"",LOG!$D$2:$D$2001,"*BOOKED")&gt;0,1,0),0)</f>
        <v>0</v>
      </c>
      <c r="N508" s="28">
        <f>IF(L508=1,IF(COUNTIFS(LOG!$C$2:$C$2001,F508,LOG!$E$2:$E$2001,B508,LOG!$D$2:$D$2001,"NOT_INTERESTED")+COUNTIFS(LOG!$C$2:$C$2001,F508,LOG!$E$2:$E$2001,"",LOG!$D$2:$D$2001,"NOT_INTERESTED")&gt;0,1,0),0)</f>
        <v>0</v>
      </c>
      <c r="O508" s="28">
        <f>IF(L508=1,IF(COUNTIFS(LOG!$C$2:$C$2001,F508,LOG!$D$2:$D$2001,"STOP")+COUNTIFS(LOG!$C$2:$C$2001,F508,LOG!$D$2:$D$2001,"WRONG_NUMBER")&gt;0,1,IF(ISNUMBER(SEARCH("STOP",AT508)),1,0)),0)</f>
        <v>0</v>
      </c>
      <c r="P508" s="28">
        <f>IF(L508=1,IF(IFERROR(INDEX(PARTNERS!$D$2:$D$88,MATCH(B508,PARTNERS!$A$2:$A$88,0)),"")="NO SLOTS",1,IF(AND(IFERROR(INDEX(PARTNERS!$D$2:$D$88,MATCH(B508,PARTNERS!$A$2:$A$88,0)),"")&lt;&gt;"REOPENED",COUNTIFS(LOG!$E$2:$E$2001,B508,LOG!$D$2:$D$2001,"NO_SLOTS")&gt;0),1,0)),0)</f>
        <v>0</v>
      </c>
      <c r="Q508" s="28">
        <f>IF(L508=1,COUNTIFS(LOG!$C$2:$C$2001,F508,LOG!$H$2:$H$2001,1),0)</f>
        <v>0</v>
      </c>
      <c r="R508" s="46">
        <f>IF(Q508&gt;0,_xlfn.MAXIFS(LOG!$G$2:$G$2001,LOG!$C$2:$C$2001,F508,LOG!$H$2:$H$2001,1),0)</f>
        <v>0</v>
      </c>
      <c r="S508" s="28" t="str">
        <f>IF(Q508&gt;0,IFERROR(INDEX(LOG!$D$2:$D$2001,MATCH(F508&amp;"|"&amp;Q508,LOG!$I$2:$I$2001,0)),""),"")</f>
        <v/>
      </c>
      <c r="T508" s="28">
        <f>IF(S508="",0,IFERROR(VLOOKUP(S508,LISTS!$A$2:$E$10,4,FALSE),0))</f>
        <v>0</v>
      </c>
      <c r="U508" s="46">
        <f t="shared" si="79"/>
        <v>0</v>
      </c>
      <c r="V508" s="46">
        <f>IF(L508=1,H508+SETTINGS!$B$5/24,"")</f>
        <v>46309.82708333333</v>
      </c>
      <c r="W508" s="28">
        <f ca="1">IF(L508=1,(V508-SETTINGS!$B$4)*24,"")</f>
        <v>-1.6666666720993817E-2</v>
      </c>
      <c r="X508" s="28">
        <f ca="1">IF(AND(L508=1,K508="OK",M508=0,N508=0,O508=0,P508=0,SETTINGS!$B$4&lt;V508,Q508&lt;SETTINGS!$B$6),1,0)</f>
        <v>0</v>
      </c>
      <c r="Y508" s="28">
        <f ca="1">IF(AND(X508=1,SETTINGS!$B$4&gt;=H508,SETTINGS!$B$4&gt;=U508,ROUND(MOD(SETTINGS!$B$4,1)*1440,0)&gt;=ROUND(SETTINGS!$B$7*1440,0),ROUND(MOD(SETTINGS!$B$4,1)*1440,0)&lt;ROUND(SETTINGS!$B$8*1440,0)),1,0)</f>
        <v>0</v>
      </c>
      <c r="Z508" s="28" t="str">
        <f ca="1">IF(B508="","",IF(ROUND(MOD(SETTINGS!$B$4,1)*1440,0)&lt;ROUND(SETTINGS!$B$11*1440,0),"Ram",IF(ROUND(MOD(SETTINGS!$B$4,1)*1440,0)&gt;=ROUND(SETTINGS!$B$10*1440,0),"Shyam",IF(MOD(IFERROR(VALUE(RIGHT(F508,2)),0),2)=0,"Ram","Shyam"))))</f>
        <v>Shyam</v>
      </c>
      <c r="AA508" s="28">
        <f t="shared" ca="1" si="80"/>
        <v>0</v>
      </c>
      <c r="AB508" s="28">
        <f ca="1">IF(X508=1,COUNTIFS($F$2:F508,F508,$X$2:X508,1),0)</f>
        <v>0</v>
      </c>
      <c r="AC508" s="28" t="str">
        <f>IF(L508=1,IF(IFERROR(INDEX(PARTNERS!$C$2:$C$88,MATCH(B508,PARTNERS!$A$2:$A$88,0)),"")="YES","YES","NO"),"")</f>
        <v>YES</v>
      </c>
      <c r="AD508" s="28" t="str">
        <f>IF(L508=1,IFERROR(INDEX(PARTNERS!$B$2:$B$88,MATCH(B508,PARTNERS!$A$2:$A$88,0)),""),"")</f>
        <v>https://calendly.com/partner004/interview</v>
      </c>
      <c r="AE508" s="28">
        <f ca="1">IF(X508=1,IFERROR(INDEX(SETTINGS!$B$34:$D$36,MATCH(I508,SETTINGS!$A$34:$A$36,0),MIN(Q508,2)+1),SETTINGS!$B$36),0)</f>
        <v>0</v>
      </c>
      <c r="AF508" s="28">
        <f t="shared" si="81"/>
        <v>1</v>
      </c>
      <c r="AG508" s="28">
        <f ca="1">IF(AND(Y508=1,AB508=1),ROUND(AA508*AE508*IF(AF508&gt;1,SETTINGS!$B$16,1)*IF(W508&lt;=SETTINGS!$B$14,SETTINGS!$B$15,1)*IF(AU508=1,SETTINGS!$B$21,1),6),0)</f>
        <v>0</v>
      </c>
      <c r="AH508" s="28" t="str">
        <f ca="1">IF(AG508&gt;0,COUNTIFS($Z$2:$Z$601,Z508,$AG$2:$AG$601,"&gt;"&amp;AG508)+COUNTIFS($Z$2:Z508,Z508,$AG$2:AG508,AG508),"")</f>
        <v/>
      </c>
      <c r="AI508" s="28" t="str">
        <f t="shared" ca="1" si="82"/>
        <v/>
      </c>
      <c r="AJ508" s="28" t="str">
        <f t="shared" ca="1" si="83"/>
        <v/>
      </c>
      <c r="AK508" s="28">
        <f>IF(L508=1,IF(COUNTIFS($F$2:F508,F508,$L$2:L508,1)=1,1,0),0)</f>
        <v>1</v>
      </c>
      <c r="AL508" s="28" t="str">
        <f ca="1">IF(B508="","",IF(K508="DUPLICATE","Duplicate (removed)",IF(AO508=1,"Scheduled within 24h",IF(M508=1,"Scheduled late",IF(K508="BAD CONTACT","Bad contact details",IF(O508=1,"Stopped / wrong number",IF(N508=1,"Not interested",IF(P508=1,"Partner has no slots",IF(SETTINGS!$B$4&gt;=V508,IF(Q508=0,"Missed deadline: never tried","Missed deadline: tried, not booked"),IF(Q508&gt;=SETTINGS!$B$6,"No reply after max tries","Open"))))))))))</f>
        <v>Missed deadline: never tried</v>
      </c>
      <c r="AM508" s="46" t="str">
        <f>IF(M508=1,IF(_xlfn.MINIFS(LOG!$G$2:$G$2001,LOG!$C$2:$C$2001,F508,LOG!$E$2:$E$2001,B508,LOG!$D$2:$D$2001,"*BOOKED")=0,_xlfn.MINIFS(LOG!$G$2:$G$2001,LOG!$C$2:$C$2001,F508,LOG!$E$2:$E$2001,"",LOG!$D$2:$D$2001,"*BOOKED"),IF(_xlfn.MINIFS(LOG!$G$2:$G$2001,LOG!$C$2:$C$2001,F508,LOG!$E$2:$E$2001,"",LOG!$D$2:$D$2001,"*BOOKED")=0,_xlfn.MINIFS(LOG!$G$2:$G$2001,LOG!$C$2:$C$2001,F508,LOG!$E$2:$E$2001,B508,LOG!$D$2:$D$2001,"*BOOKED"),MIN(_xlfn.MINIFS(LOG!$G$2:$G$2001,LOG!$C$2:$C$2001,F508,LOG!$E$2:$E$2001,B508,LOG!$D$2:$D$2001,"*BOOKED"),_xlfn.MINIFS(LOG!$G$2:$G$2001,LOG!$C$2:$C$2001,F508,LOG!$E$2:$E$2001,"",LOG!$D$2:$D$2001,"*BOOKED")))),"")</f>
        <v/>
      </c>
      <c r="AN508" s="28" t="str">
        <f t="shared" si="84"/>
        <v/>
      </c>
      <c r="AO508" s="28">
        <f>IF(AND(M508=1,AN508&lt;&gt;""),IF(AN508&lt;=SETTINGS!$B$5,1,0),0)</f>
        <v>0</v>
      </c>
      <c r="AP508" s="28">
        <f>IF(M508=1,IF(COUNTIFS(LOG!$C$2:$C$2001,F508,LOG!$E$2:$E$2001,B508,LOG!$D$2:$D$2001,"BOOKED")+COUNTIFS(LOG!$C$2:$C$2001,F508,LOG!$E$2:$E$2001,"",LOG!$D$2:$D$2001,"BOOKED")&gt;0,1,0),0)</f>
        <v>0</v>
      </c>
      <c r="AQ508" s="28" t="str">
        <f t="shared" si="85"/>
        <v>Rahul</v>
      </c>
      <c r="AR508" s="28">
        <f>IF(AND(AK508=1,K508="OK"),COUNTIFS($AK$2:AK508,1,$K$2:K508,"OK"),"")</f>
        <v>409</v>
      </c>
      <c r="AS508" s="28" t="str">
        <f>IF(L508=1,IFERROR(INDEX(MESSAGES!$J$9:$J$1008,MATCH(F508,MESSAGES!$M$9:$M$1008,0))&amp;"",""),"")</f>
        <v/>
      </c>
      <c r="AT508" s="28" t="str">
        <f>IF(L508=1,IFERROR(INDEX(MESSAGES!$K$9:$K$1008,MATCH(F508,MESSAGES!$M$9:$M$1008,0))&amp;"",""),"")</f>
        <v/>
      </c>
      <c r="AU508" s="28">
        <f t="shared" ca="1" si="86"/>
        <v>0</v>
      </c>
      <c r="AV508" s="28" t="str">
        <f t="shared" si="87"/>
        <v>HOLD</v>
      </c>
    </row>
    <row r="509" spans="1:48" x14ac:dyDescent="0.35">
      <c r="A509" s="28">
        <v>508</v>
      </c>
      <c r="B509" s="28" t="str">
        <f>IF(INPUT!A509="","",TRIM(INPUT!A509))</f>
        <v>Partner 062</v>
      </c>
      <c r="C509" s="28" t="str">
        <f>IF(B509="","",INPUT!C509)</f>
        <v>interviewer1@partner062.example.com</v>
      </c>
      <c r="D509" s="28" t="str">
        <f>IF(B509="","",INPUT!D509)</f>
        <v>Kavya G.</v>
      </c>
      <c r="E509" s="28" t="str">
        <f>IF(B509="","",INPUT!E509)</f>
        <v>kavya.g209@example.com</v>
      </c>
      <c r="F509" s="43" t="str">
        <f>IF(B509="","",TRIM(INPUT!F509&amp;""))</f>
        <v>9000002724</v>
      </c>
      <c r="G509" s="28" t="str">
        <f>IF(B509="","",INPUT!H509)</f>
        <v>Round1</v>
      </c>
      <c r="H509" s="46">
        <f>IF(B509="","",INPUT!I509)</f>
        <v>46308.82708333333</v>
      </c>
      <c r="I509" s="28" t="str">
        <f>IF(B509="","",IF(INPUT!J509="","None",INPUT!J509))</f>
        <v>Opened</v>
      </c>
      <c r="J509" s="28" t="str">
        <f t="shared" si="77"/>
        <v>kavya.g209@example.com|partner 062|Round1|interviewer1@partner062.example.com</v>
      </c>
      <c r="K509" s="28" t="str">
        <f>IF(B509="","",IF(SUMPRODUCT(($J$2:$J$601=J509)*($H$2:$H$601&lt;H509))+SUMPRODUCT(($J$2:J509=J509)*($H$2:H509=H509))-1&gt;0,"DUPLICATE",IF(AND(ISNUMBER(SEARCH("@",E509)),ISNUMBER(SEARCH(".",E509)),LEN(F509)=10,ISNUMBER(VALUE(F509))),"OK","BAD CONTACT")))</f>
        <v>OK</v>
      </c>
      <c r="L509" s="28">
        <f t="shared" si="78"/>
        <v>1</v>
      </c>
      <c r="M509" s="28">
        <f>IF(L509=1,IF(COUNTIFS(LOG!$C$2:$C$2001,F509,LOG!$E$2:$E$2001,B509,LOG!$D$2:$D$2001,"*BOOKED")+COUNTIFS(LOG!$C$2:$C$2001,F509,LOG!$E$2:$E$2001,"",LOG!$D$2:$D$2001,"*BOOKED")&gt;0,1,0),0)</f>
        <v>0</v>
      </c>
      <c r="N509" s="28">
        <f>IF(L509=1,IF(COUNTIFS(LOG!$C$2:$C$2001,F509,LOG!$E$2:$E$2001,B509,LOG!$D$2:$D$2001,"NOT_INTERESTED")+COUNTIFS(LOG!$C$2:$C$2001,F509,LOG!$E$2:$E$2001,"",LOG!$D$2:$D$2001,"NOT_INTERESTED")&gt;0,1,0),0)</f>
        <v>0</v>
      </c>
      <c r="O509" s="28">
        <f>IF(L509=1,IF(COUNTIFS(LOG!$C$2:$C$2001,F509,LOG!$D$2:$D$2001,"STOP")+COUNTIFS(LOG!$C$2:$C$2001,F509,LOG!$D$2:$D$2001,"WRONG_NUMBER")&gt;0,1,IF(ISNUMBER(SEARCH("STOP",AT509)),1,0)),0)</f>
        <v>0</v>
      </c>
      <c r="P509" s="28">
        <f>IF(L509=1,IF(IFERROR(INDEX(PARTNERS!$D$2:$D$88,MATCH(B509,PARTNERS!$A$2:$A$88,0)),"")="NO SLOTS",1,IF(AND(IFERROR(INDEX(PARTNERS!$D$2:$D$88,MATCH(B509,PARTNERS!$A$2:$A$88,0)),"")&lt;&gt;"REOPENED",COUNTIFS(LOG!$E$2:$E$2001,B509,LOG!$D$2:$D$2001,"NO_SLOTS")&gt;0),1,0)),0)</f>
        <v>0</v>
      </c>
      <c r="Q509" s="28">
        <f>IF(L509=1,COUNTIFS(LOG!$C$2:$C$2001,F509,LOG!$H$2:$H$2001,1),0)</f>
        <v>3</v>
      </c>
      <c r="R509" s="46">
        <f>IF(Q509&gt;0,_xlfn.MAXIFS(LOG!$G$2:$G$2001,LOG!$C$2:$C$2001,F509,LOG!$H$2:$H$2001,1),0)</f>
        <v>46309.733211218263</v>
      </c>
      <c r="S509" s="28" t="str">
        <f>IF(Q509&gt;0,IFERROR(INDEX(LOG!$D$2:$D$2001,MATCH(F509&amp;"|"&amp;Q509,LOG!$I$2:$I$2001,0)),""),"")</f>
        <v>CALL_BACK</v>
      </c>
      <c r="T509" s="28">
        <f>IF(S509="",0,IFERROR(VLOOKUP(S509,LISTS!$A$2:$E$10,4,FALSE),0))</f>
        <v>120</v>
      </c>
      <c r="U509" s="46">
        <f t="shared" si="79"/>
        <v>46309.816544551599</v>
      </c>
      <c r="V509" s="46">
        <f>IF(L509=1,H509+SETTINGS!$B$5/24,"")</f>
        <v>46309.82708333333</v>
      </c>
      <c r="W509" s="28">
        <f ca="1">IF(L509=1,(V509-SETTINGS!$B$4)*24,"")</f>
        <v>-1.6666666720993817E-2</v>
      </c>
      <c r="X509" s="28">
        <f ca="1">IF(AND(L509=1,K509="OK",M509=0,N509=0,O509=0,P509=0,SETTINGS!$B$4&lt;V509,Q509&lt;SETTINGS!$B$6),1,0)</f>
        <v>0</v>
      </c>
      <c r="Y509" s="28">
        <f ca="1">IF(AND(X509=1,SETTINGS!$B$4&gt;=H509,SETTINGS!$B$4&gt;=U509,ROUND(MOD(SETTINGS!$B$4,1)*1440,0)&gt;=ROUND(SETTINGS!$B$7*1440,0),ROUND(MOD(SETTINGS!$B$4,1)*1440,0)&lt;ROUND(SETTINGS!$B$8*1440,0)),1,0)</f>
        <v>0</v>
      </c>
      <c r="Z509" s="28" t="str">
        <f ca="1">IF(B509="","",IF(ROUND(MOD(SETTINGS!$B$4,1)*1440,0)&lt;ROUND(SETTINGS!$B$11*1440,0),"Ram",IF(ROUND(MOD(SETTINGS!$B$4,1)*1440,0)&gt;=ROUND(SETTINGS!$B$10*1440,0),"Shyam",IF(MOD(IFERROR(VALUE(RIGHT(F509,2)),0),2)=0,"Ram","Shyam"))))</f>
        <v>Shyam</v>
      </c>
      <c r="AA509" s="28">
        <f t="shared" ca="1" si="80"/>
        <v>0</v>
      </c>
      <c r="AB509" s="28">
        <f ca="1">IF(X509=1,COUNTIFS($F$2:F509,F509,$X$2:X509,1),0)</f>
        <v>0</v>
      </c>
      <c r="AC509" s="28" t="str">
        <f>IF(L509=1,IF(IFERROR(INDEX(PARTNERS!$C$2:$C$88,MATCH(B509,PARTNERS!$A$2:$A$88,0)),"")="YES","YES","NO"),"")</f>
        <v>YES</v>
      </c>
      <c r="AD509" s="28" t="str">
        <f>IF(L509=1,IFERROR(INDEX(PARTNERS!$B$2:$B$88,MATCH(B509,PARTNERS!$A$2:$A$88,0)),""),"")</f>
        <v>https://calendly.com/partner062/interview</v>
      </c>
      <c r="AE509" s="28">
        <f ca="1">IF(X509=1,IFERROR(INDEX(SETTINGS!$B$34:$D$36,MATCH(I509,SETTINGS!$A$34:$A$36,0),MIN(Q509,2)+1),SETTINGS!$B$36),0)</f>
        <v>0</v>
      </c>
      <c r="AF509" s="28">
        <f t="shared" si="81"/>
        <v>1</v>
      </c>
      <c r="AG509" s="28">
        <f ca="1">IF(AND(Y509=1,AB509=1),ROUND(AA509*AE509*IF(AF509&gt;1,SETTINGS!$B$16,1)*IF(W509&lt;=SETTINGS!$B$14,SETTINGS!$B$15,1)*IF(AU509=1,SETTINGS!$B$21,1),6),0)</f>
        <v>0</v>
      </c>
      <c r="AH509" s="28" t="str">
        <f ca="1">IF(AG509&gt;0,COUNTIFS($Z$2:$Z$601,Z509,$AG$2:$AG$601,"&gt;"&amp;AG509)+COUNTIFS($Z$2:Z509,Z509,$AG$2:AG509,AG509),"")</f>
        <v/>
      </c>
      <c r="AI509" s="28" t="str">
        <f t="shared" ca="1" si="82"/>
        <v/>
      </c>
      <c r="AJ509" s="28" t="str">
        <f t="shared" ca="1" si="83"/>
        <v/>
      </c>
      <c r="AK509" s="28">
        <f>IF(L509=1,IF(COUNTIFS($F$2:F509,F509,$L$2:L509,1)=1,1,0),0)</f>
        <v>0</v>
      </c>
      <c r="AL509" s="28" t="str">
        <f ca="1">IF(B509="","",IF(K509="DUPLICATE","Duplicate (removed)",IF(AO509=1,"Scheduled within 24h",IF(M509=1,"Scheduled late",IF(K509="BAD CONTACT","Bad contact details",IF(O509=1,"Stopped / wrong number",IF(N509=1,"Not interested",IF(P509=1,"Partner has no slots",IF(SETTINGS!$B$4&gt;=V509,IF(Q509=0,"Missed deadline: never tried","Missed deadline: tried, not booked"),IF(Q509&gt;=SETTINGS!$B$6,"No reply after max tries","Open"))))))))))</f>
        <v>Missed deadline: tried, not booked</v>
      </c>
      <c r="AM509" s="46" t="str">
        <f>IF(M509=1,IF(_xlfn.MINIFS(LOG!$G$2:$G$2001,LOG!$C$2:$C$2001,F509,LOG!$E$2:$E$2001,B509,LOG!$D$2:$D$2001,"*BOOKED")=0,_xlfn.MINIFS(LOG!$G$2:$G$2001,LOG!$C$2:$C$2001,F509,LOG!$E$2:$E$2001,"",LOG!$D$2:$D$2001,"*BOOKED"),IF(_xlfn.MINIFS(LOG!$G$2:$G$2001,LOG!$C$2:$C$2001,F509,LOG!$E$2:$E$2001,"",LOG!$D$2:$D$2001,"*BOOKED")=0,_xlfn.MINIFS(LOG!$G$2:$G$2001,LOG!$C$2:$C$2001,F509,LOG!$E$2:$E$2001,B509,LOG!$D$2:$D$2001,"*BOOKED"),MIN(_xlfn.MINIFS(LOG!$G$2:$G$2001,LOG!$C$2:$C$2001,F509,LOG!$E$2:$E$2001,B509,LOG!$D$2:$D$2001,"*BOOKED"),_xlfn.MINIFS(LOG!$G$2:$G$2001,LOG!$C$2:$C$2001,F509,LOG!$E$2:$E$2001,"",LOG!$D$2:$D$2001,"*BOOKED")))),"")</f>
        <v/>
      </c>
      <c r="AN509" s="28" t="str">
        <f t="shared" si="84"/>
        <v/>
      </c>
      <c r="AO509" s="28">
        <f>IF(AND(M509=1,AN509&lt;&gt;""),IF(AN509&lt;=SETTINGS!$B$5,1,0),0)</f>
        <v>0</v>
      </c>
      <c r="AP509" s="28">
        <f>IF(M509=1,IF(COUNTIFS(LOG!$C$2:$C$2001,F509,LOG!$E$2:$E$2001,B509,LOG!$D$2:$D$2001,"BOOKED")+COUNTIFS(LOG!$C$2:$C$2001,F509,LOG!$E$2:$E$2001,"",LOG!$D$2:$D$2001,"BOOKED")&gt;0,1,0),0)</f>
        <v>0</v>
      </c>
      <c r="AQ509" s="28" t="str">
        <f t="shared" si="85"/>
        <v>Kavya</v>
      </c>
      <c r="AR509" s="28" t="str">
        <f>IF(AND(AK509=1,K509="OK"),COUNTIFS($AK$2:AK509,1,$K$2:K509,"OK"),"")</f>
        <v/>
      </c>
      <c r="AS509" s="28" t="str">
        <f>IF(L509=1,IFERROR(INDEX(MESSAGES!$J$9:$J$1008,MATCH(F509,MESSAGES!$M$9:$M$1008,0))&amp;"",""),"")</f>
        <v/>
      </c>
      <c r="AT509" s="28" t="str">
        <f>IF(L509=1,IFERROR(INDEX(MESSAGES!$K$9:$K$1008,MATCH(F509,MESSAGES!$M$9:$M$1008,0))&amp;"",""),"")</f>
        <v/>
      </c>
      <c r="AU509" s="28">
        <f t="shared" ca="1" si="86"/>
        <v>0</v>
      </c>
      <c r="AV509" s="28" t="str">
        <f t="shared" si="87"/>
        <v>SEND</v>
      </c>
    </row>
    <row r="510" spans="1:48" x14ac:dyDescent="0.35">
      <c r="A510" s="28">
        <v>509</v>
      </c>
      <c r="B510" s="28" t="str">
        <f>IF(INPUT!A510="","",TRIM(INPUT!A510))</f>
        <v>Partner 035</v>
      </c>
      <c r="C510" s="28" t="str">
        <f>IF(B510="","",INPUT!C510)</f>
        <v>interviewer2@partner035.example.com</v>
      </c>
      <c r="D510" s="28" t="str">
        <f>IF(B510="","",INPUT!D510)</f>
        <v>Pooja H.</v>
      </c>
      <c r="E510" s="28" t="str">
        <f>IF(B510="","",INPUT!E510)</f>
        <v>pooja.h231@example.com</v>
      </c>
      <c r="F510" s="43" t="str">
        <f>IF(B510="","",TRIM(INPUT!F510&amp;""))</f>
        <v>9000003010</v>
      </c>
      <c r="G510" s="28" t="str">
        <f>IF(B510="","",INPUT!H510)</f>
        <v>Round1</v>
      </c>
      <c r="H510" s="46">
        <f>IF(B510="","",INPUT!I510)</f>
        <v>46308.82708333333</v>
      </c>
      <c r="I510" s="28" t="str">
        <f>IF(B510="","",IF(INPUT!J510="","None",INPUT!J510))</f>
        <v>None</v>
      </c>
      <c r="J510" s="28" t="str">
        <f t="shared" si="77"/>
        <v>pooja.h231@example.com|partner 035|Round1|interviewer2@partner035.example.com</v>
      </c>
      <c r="K510" s="28" t="str">
        <f>IF(B510="","",IF(SUMPRODUCT(($J$2:$J$601=J510)*($H$2:$H$601&lt;H510))+SUMPRODUCT(($J$2:J510=J510)*($H$2:H510=H510))-1&gt;0,"DUPLICATE",IF(AND(ISNUMBER(SEARCH("@",E510)),ISNUMBER(SEARCH(".",E510)),LEN(F510)=10,ISNUMBER(VALUE(F510))),"OK","BAD CONTACT")))</f>
        <v>OK</v>
      </c>
      <c r="L510" s="28">
        <f t="shared" si="78"/>
        <v>1</v>
      </c>
      <c r="M510" s="28">
        <f>IF(L510=1,IF(COUNTIFS(LOG!$C$2:$C$2001,F510,LOG!$E$2:$E$2001,B510,LOG!$D$2:$D$2001,"*BOOKED")+COUNTIFS(LOG!$C$2:$C$2001,F510,LOG!$E$2:$E$2001,"",LOG!$D$2:$D$2001,"*BOOKED")&gt;0,1,0),0)</f>
        <v>0</v>
      </c>
      <c r="N510" s="28">
        <f>IF(L510=1,IF(COUNTIFS(LOG!$C$2:$C$2001,F510,LOG!$E$2:$E$2001,B510,LOG!$D$2:$D$2001,"NOT_INTERESTED")+COUNTIFS(LOG!$C$2:$C$2001,F510,LOG!$E$2:$E$2001,"",LOG!$D$2:$D$2001,"NOT_INTERESTED")&gt;0,1,0),0)</f>
        <v>0</v>
      </c>
      <c r="O510" s="28">
        <f>IF(L510=1,IF(COUNTIFS(LOG!$C$2:$C$2001,F510,LOG!$D$2:$D$2001,"STOP")+COUNTIFS(LOG!$C$2:$C$2001,F510,LOG!$D$2:$D$2001,"WRONG_NUMBER")&gt;0,1,IF(ISNUMBER(SEARCH("STOP",AT510)),1,0)),0)</f>
        <v>0</v>
      </c>
      <c r="P510" s="28">
        <f>IF(L510=1,IF(IFERROR(INDEX(PARTNERS!$D$2:$D$88,MATCH(B510,PARTNERS!$A$2:$A$88,0)),"")="NO SLOTS",1,IF(AND(IFERROR(INDEX(PARTNERS!$D$2:$D$88,MATCH(B510,PARTNERS!$A$2:$A$88,0)),"")&lt;&gt;"REOPENED",COUNTIFS(LOG!$E$2:$E$2001,B510,LOG!$D$2:$D$2001,"NO_SLOTS")&gt;0),1,0)),0)</f>
        <v>0</v>
      </c>
      <c r="Q510" s="28">
        <f>IF(L510=1,COUNTIFS(LOG!$C$2:$C$2001,F510,LOG!$H$2:$H$2001,1),0)</f>
        <v>0</v>
      </c>
      <c r="R510" s="46">
        <f>IF(Q510&gt;0,_xlfn.MAXIFS(LOG!$G$2:$G$2001,LOG!$C$2:$C$2001,F510,LOG!$H$2:$H$2001,1),0)</f>
        <v>0</v>
      </c>
      <c r="S510" s="28" t="str">
        <f>IF(Q510&gt;0,IFERROR(INDEX(LOG!$D$2:$D$2001,MATCH(F510&amp;"|"&amp;Q510,LOG!$I$2:$I$2001,0)),""),"")</f>
        <v/>
      </c>
      <c r="T510" s="28">
        <f>IF(S510="",0,IFERROR(VLOOKUP(S510,LISTS!$A$2:$E$10,4,FALSE),0))</f>
        <v>0</v>
      </c>
      <c r="U510" s="46">
        <f t="shared" si="79"/>
        <v>0</v>
      </c>
      <c r="V510" s="46">
        <f>IF(L510=1,H510+SETTINGS!$B$5/24,"")</f>
        <v>46309.82708333333</v>
      </c>
      <c r="W510" s="28">
        <f ca="1">IF(L510=1,(V510-SETTINGS!$B$4)*24,"")</f>
        <v>-1.6666666720993817E-2</v>
      </c>
      <c r="X510" s="28">
        <f ca="1">IF(AND(L510=1,K510="OK",M510=0,N510=0,O510=0,P510=0,SETTINGS!$B$4&lt;V510,Q510&lt;SETTINGS!$B$6),1,0)</f>
        <v>0</v>
      </c>
      <c r="Y510" s="28">
        <f ca="1">IF(AND(X510=1,SETTINGS!$B$4&gt;=H510,SETTINGS!$B$4&gt;=U510,ROUND(MOD(SETTINGS!$B$4,1)*1440,0)&gt;=ROUND(SETTINGS!$B$7*1440,0),ROUND(MOD(SETTINGS!$B$4,1)*1440,0)&lt;ROUND(SETTINGS!$B$8*1440,0)),1,0)</f>
        <v>0</v>
      </c>
      <c r="Z510" s="28" t="str">
        <f ca="1">IF(B510="","",IF(ROUND(MOD(SETTINGS!$B$4,1)*1440,0)&lt;ROUND(SETTINGS!$B$11*1440,0),"Ram",IF(ROUND(MOD(SETTINGS!$B$4,1)*1440,0)&gt;=ROUND(SETTINGS!$B$10*1440,0),"Shyam",IF(MOD(IFERROR(VALUE(RIGHT(F510,2)),0),2)=0,"Ram","Shyam"))))</f>
        <v>Shyam</v>
      </c>
      <c r="AA510" s="28">
        <f t="shared" ca="1" si="80"/>
        <v>0</v>
      </c>
      <c r="AB510" s="28">
        <f ca="1">IF(X510=1,COUNTIFS($F$2:F510,F510,$X$2:X510,1),0)</f>
        <v>0</v>
      </c>
      <c r="AC510" s="28" t="str">
        <f>IF(L510=1,IF(IFERROR(INDEX(PARTNERS!$C$2:$C$88,MATCH(B510,PARTNERS!$A$2:$A$88,0)),"")="YES","YES","NO"),"")</f>
        <v>NO</v>
      </c>
      <c r="AD510" s="28" t="str">
        <f>IF(L510=1,IFERROR(INDEX(PARTNERS!$B$2:$B$88,MATCH(B510,PARTNERS!$A$2:$A$88,0)),""),"")</f>
        <v>https://calendly.com/partner035/interview</v>
      </c>
      <c r="AE510" s="28">
        <f ca="1">IF(X510=1,IFERROR(INDEX(SETTINGS!$B$34:$D$36,MATCH(I510,SETTINGS!$A$34:$A$36,0),MIN(Q510,2)+1),SETTINGS!$B$36),0)</f>
        <v>0</v>
      </c>
      <c r="AF510" s="28">
        <f t="shared" si="81"/>
        <v>1</v>
      </c>
      <c r="AG510" s="28">
        <f ca="1">IF(AND(Y510=1,AB510=1),ROUND(AA510*AE510*IF(AF510&gt;1,SETTINGS!$B$16,1)*IF(W510&lt;=SETTINGS!$B$14,SETTINGS!$B$15,1)*IF(AU510=1,SETTINGS!$B$21,1),6),0)</f>
        <v>0</v>
      </c>
      <c r="AH510" s="28" t="str">
        <f ca="1">IF(AG510&gt;0,COUNTIFS($Z$2:$Z$601,Z510,$AG$2:$AG$601,"&gt;"&amp;AG510)+COUNTIFS($Z$2:Z510,Z510,$AG$2:AG510,AG510),"")</f>
        <v/>
      </c>
      <c r="AI510" s="28" t="str">
        <f t="shared" ca="1" si="82"/>
        <v/>
      </c>
      <c r="AJ510" s="28" t="str">
        <f t="shared" ca="1" si="83"/>
        <v/>
      </c>
      <c r="AK510" s="28">
        <f>IF(L510=1,IF(COUNTIFS($F$2:F510,F510,$L$2:L510,1)=1,1,0),0)</f>
        <v>1</v>
      </c>
      <c r="AL510" s="28" t="str">
        <f ca="1">IF(B510="","",IF(K510="DUPLICATE","Duplicate (removed)",IF(AO510=1,"Scheduled within 24h",IF(M510=1,"Scheduled late",IF(K510="BAD CONTACT","Bad contact details",IF(O510=1,"Stopped / wrong number",IF(N510=1,"Not interested",IF(P510=1,"Partner has no slots",IF(SETTINGS!$B$4&gt;=V510,IF(Q510=0,"Missed deadline: never tried","Missed deadline: tried, not booked"),IF(Q510&gt;=SETTINGS!$B$6,"No reply after max tries","Open"))))))))))</f>
        <v>Missed deadline: never tried</v>
      </c>
      <c r="AM510" s="46" t="str">
        <f>IF(M510=1,IF(_xlfn.MINIFS(LOG!$G$2:$G$2001,LOG!$C$2:$C$2001,F510,LOG!$E$2:$E$2001,B510,LOG!$D$2:$D$2001,"*BOOKED")=0,_xlfn.MINIFS(LOG!$G$2:$G$2001,LOG!$C$2:$C$2001,F510,LOG!$E$2:$E$2001,"",LOG!$D$2:$D$2001,"*BOOKED"),IF(_xlfn.MINIFS(LOG!$G$2:$G$2001,LOG!$C$2:$C$2001,F510,LOG!$E$2:$E$2001,"",LOG!$D$2:$D$2001,"*BOOKED")=0,_xlfn.MINIFS(LOG!$G$2:$G$2001,LOG!$C$2:$C$2001,F510,LOG!$E$2:$E$2001,B510,LOG!$D$2:$D$2001,"*BOOKED"),MIN(_xlfn.MINIFS(LOG!$G$2:$G$2001,LOG!$C$2:$C$2001,F510,LOG!$E$2:$E$2001,B510,LOG!$D$2:$D$2001,"*BOOKED"),_xlfn.MINIFS(LOG!$G$2:$G$2001,LOG!$C$2:$C$2001,F510,LOG!$E$2:$E$2001,"",LOG!$D$2:$D$2001,"*BOOKED")))),"")</f>
        <v/>
      </c>
      <c r="AN510" s="28" t="str">
        <f t="shared" si="84"/>
        <v/>
      </c>
      <c r="AO510" s="28">
        <f>IF(AND(M510=1,AN510&lt;&gt;""),IF(AN510&lt;=SETTINGS!$B$5,1,0),0)</f>
        <v>0</v>
      </c>
      <c r="AP510" s="28">
        <f>IF(M510=1,IF(COUNTIFS(LOG!$C$2:$C$2001,F510,LOG!$E$2:$E$2001,B510,LOG!$D$2:$D$2001,"BOOKED")+COUNTIFS(LOG!$C$2:$C$2001,F510,LOG!$E$2:$E$2001,"",LOG!$D$2:$D$2001,"BOOKED")&gt;0,1,0),0)</f>
        <v>0</v>
      </c>
      <c r="AQ510" s="28" t="str">
        <f t="shared" si="85"/>
        <v>Pooja</v>
      </c>
      <c r="AR510" s="28">
        <f>IF(AND(AK510=1,K510="OK"),COUNTIFS($AK$2:AK510,1,$K$2:K510,"OK"),"")</f>
        <v>410</v>
      </c>
      <c r="AS510" s="28" t="str">
        <f>IF(L510=1,IFERROR(INDEX(MESSAGES!$J$9:$J$1008,MATCH(F510,MESSAGES!$M$9:$M$1008,0))&amp;"",""),"")</f>
        <v/>
      </c>
      <c r="AT510" s="28" t="str">
        <f>IF(L510=1,IFERROR(INDEX(MESSAGES!$K$9:$K$1008,MATCH(F510,MESSAGES!$M$9:$M$1008,0))&amp;"",""),"")</f>
        <v/>
      </c>
      <c r="AU510" s="28">
        <f t="shared" ca="1" si="86"/>
        <v>0</v>
      </c>
      <c r="AV510" s="28" t="str">
        <f t="shared" si="87"/>
        <v>HOLD</v>
      </c>
    </row>
    <row r="511" spans="1:48" x14ac:dyDescent="0.35">
      <c r="A511" s="28">
        <v>510</v>
      </c>
      <c r="B511" s="28" t="str">
        <f>IF(INPUT!A511="","",TRIM(INPUT!A511))</f>
        <v>Partner 065</v>
      </c>
      <c r="C511" s="28" t="str">
        <f>IF(B511="","",INPUT!C511)</f>
        <v>interviewer1@partner065.example.com</v>
      </c>
      <c r="D511" s="28" t="str">
        <f>IF(B511="","",INPUT!D511)</f>
        <v>Kavya C.</v>
      </c>
      <c r="E511" s="28" t="str">
        <f>IF(B511="","",INPUT!E511)</f>
        <v>kavya.c089@example.com</v>
      </c>
      <c r="F511" s="43" t="str">
        <f>IF(B511="","",TRIM(INPUT!F511&amp;""))</f>
        <v>9000001164</v>
      </c>
      <c r="G511" s="28" t="str">
        <f>IF(B511="","",INPUT!H511)</f>
        <v>Round3</v>
      </c>
      <c r="H511" s="46">
        <f>IF(B511="","",INPUT!I511)</f>
        <v>46308.82708333333</v>
      </c>
      <c r="I511" s="28" t="str">
        <f>IF(B511="","",IF(INPUT!J511="","None",INPUT!J511))</f>
        <v>None</v>
      </c>
      <c r="J511" s="28" t="str">
        <f t="shared" si="77"/>
        <v>kavya.c089@example.com|partner 065|Round3|interviewer1@partner065.example.com</v>
      </c>
      <c r="K511" s="28" t="str">
        <f>IF(B511="","",IF(SUMPRODUCT(($J$2:$J$601=J511)*($H$2:$H$601&lt;H511))+SUMPRODUCT(($J$2:J511=J511)*($H$2:H511=H511))-1&gt;0,"DUPLICATE",IF(AND(ISNUMBER(SEARCH("@",E511)),ISNUMBER(SEARCH(".",E511)),LEN(F511)=10,ISNUMBER(VALUE(F511))),"OK","BAD CONTACT")))</f>
        <v>OK</v>
      </c>
      <c r="L511" s="28">
        <f t="shared" si="78"/>
        <v>1</v>
      </c>
      <c r="M511" s="28">
        <f>IF(L511=1,IF(COUNTIFS(LOG!$C$2:$C$2001,F511,LOG!$E$2:$E$2001,B511,LOG!$D$2:$D$2001,"*BOOKED")+COUNTIFS(LOG!$C$2:$C$2001,F511,LOG!$E$2:$E$2001,"",LOG!$D$2:$D$2001,"*BOOKED")&gt;0,1,0),0)</f>
        <v>0</v>
      </c>
      <c r="N511" s="28">
        <f>IF(L511=1,IF(COUNTIFS(LOG!$C$2:$C$2001,F511,LOG!$E$2:$E$2001,B511,LOG!$D$2:$D$2001,"NOT_INTERESTED")+COUNTIFS(LOG!$C$2:$C$2001,F511,LOG!$E$2:$E$2001,"",LOG!$D$2:$D$2001,"NOT_INTERESTED")&gt;0,1,0),0)</f>
        <v>0</v>
      </c>
      <c r="O511" s="28">
        <f>IF(L511=1,IF(COUNTIFS(LOG!$C$2:$C$2001,F511,LOG!$D$2:$D$2001,"STOP")+COUNTIFS(LOG!$C$2:$C$2001,F511,LOG!$D$2:$D$2001,"WRONG_NUMBER")&gt;0,1,IF(ISNUMBER(SEARCH("STOP",AT511)),1,0)),0)</f>
        <v>0</v>
      </c>
      <c r="P511" s="28">
        <f>IF(L511=1,IF(IFERROR(INDEX(PARTNERS!$D$2:$D$88,MATCH(B511,PARTNERS!$A$2:$A$88,0)),"")="NO SLOTS",1,IF(AND(IFERROR(INDEX(PARTNERS!$D$2:$D$88,MATCH(B511,PARTNERS!$A$2:$A$88,0)),"")&lt;&gt;"REOPENED",COUNTIFS(LOG!$E$2:$E$2001,B511,LOG!$D$2:$D$2001,"NO_SLOTS")&gt;0),1,0)),0)</f>
        <v>0</v>
      </c>
      <c r="Q511" s="28">
        <f>IF(L511=1,COUNTIFS(LOG!$C$2:$C$2001,F511,LOG!$H$2:$H$2001,1),0)</f>
        <v>0</v>
      </c>
      <c r="R511" s="46">
        <f>IF(Q511&gt;0,_xlfn.MAXIFS(LOG!$G$2:$G$2001,LOG!$C$2:$C$2001,F511,LOG!$H$2:$H$2001,1),0)</f>
        <v>0</v>
      </c>
      <c r="S511" s="28" t="str">
        <f>IF(Q511&gt;0,IFERROR(INDEX(LOG!$D$2:$D$2001,MATCH(F511&amp;"|"&amp;Q511,LOG!$I$2:$I$2001,0)),""),"")</f>
        <v/>
      </c>
      <c r="T511" s="28">
        <f>IF(S511="",0,IFERROR(VLOOKUP(S511,LISTS!$A$2:$E$10,4,FALSE),0))</f>
        <v>0</v>
      </c>
      <c r="U511" s="46">
        <f t="shared" si="79"/>
        <v>0</v>
      </c>
      <c r="V511" s="46">
        <f>IF(L511=1,H511+SETTINGS!$B$5/24,"")</f>
        <v>46309.82708333333</v>
      </c>
      <c r="W511" s="28">
        <f ca="1">IF(L511=1,(V511-SETTINGS!$B$4)*24,"")</f>
        <v>-1.6666666720993817E-2</v>
      </c>
      <c r="X511" s="28">
        <f ca="1">IF(AND(L511=1,K511="OK",M511=0,N511=0,O511=0,P511=0,SETTINGS!$B$4&lt;V511,Q511&lt;SETTINGS!$B$6),1,0)</f>
        <v>0</v>
      </c>
      <c r="Y511" s="28">
        <f ca="1">IF(AND(X511=1,SETTINGS!$B$4&gt;=H511,SETTINGS!$B$4&gt;=U511,ROUND(MOD(SETTINGS!$B$4,1)*1440,0)&gt;=ROUND(SETTINGS!$B$7*1440,0),ROUND(MOD(SETTINGS!$B$4,1)*1440,0)&lt;ROUND(SETTINGS!$B$8*1440,0)),1,0)</f>
        <v>0</v>
      </c>
      <c r="Z511" s="28" t="str">
        <f ca="1">IF(B511="","",IF(ROUND(MOD(SETTINGS!$B$4,1)*1440,0)&lt;ROUND(SETTINGS!$B$11*1440,0),"Ram",IF(ROUND(MOD(SETTINGS!$B$4,1)*1440,0)&gt;=ROUND(SETTINGS!$B$10*1440,0),"Shyam",IF(MOD(IFERROR(VALUE(RIGHT(F511,2)),0),2)=0,"Ram","Shyam"))))</f>
        <v>Shyam</v>
      </c>
      <c r="AA511" s="28">
        <f t="shared" ca="1" si="80"/>
        <v>0</v>
      </c>
      <c r="AB511" s="28">
        <f ca="1">IF(X511=1,COUNTIFS($F$2:F511,F511,$X$2:X511,1),0)</f>
        <v>0</v>
      </c>
      <c r="AC511" s="28" t="str">
        <f>IF(L511=1,IF(IFERROR(INDEX(PARTNERS!$C$2:$C$88,MATCH(B511,PARTNERS!$A$2:$A$88,0)),"")="YES","YES","NO"),"")</f>
        <v>YES</v>
      </c>
      <c r="AD511" s="28" t="str">
        <f>IF(L511=1,IFERROR(INDEX(PARTNERS!$B$2:$B$88,MATCH(B511,PARTNERS!$A$2:$A$88,0)),""),"")</f>
        <v>https://calendly.com/partner065/interview</v>
      </c>
      <c r="AE511" s="28">
        <f ca="1">IF(X511=1,IFERROR(INDEX(SETTINGS!$B$34:$D$36,MATCH(I511,SETTINGS!$A$34:$A$36,0),MIN(Q511,2)+1),SETTINGS!$B$36),0)</f>
        <v>0</v>
      </c>
      <c r="AF511" s="28">
        <f t="shared" si="81"/>
        <v>3</v>
      </c>
      <c r="AG511" s="28">
        <f ca="1">IF(AND(Y511=1,AB511=1),ROUND(AA511*AE511*IF(AF511&gt;1,SETTINGS!$B$16,1)*IF(W511&lt;=SETTINGS!$B$14,SETTINGS!$B$15,1)*IF(AU511=1,SETTINGS!$B$21,1),6),0)</f>
        <v>0</v>
      </c>
      <c r="AH511" s="28" t="str">
        <f ca="1">IF(AG511&gt;0,COUNTIFS($Z$2:$Z$601,Z511,$AG$2:$AG$601,"&gt;"&amp;AG511)+COUNTIFS($Z$2:Z511,Z511,$AG$2:AG511,AG511),"")</f>
        <v/>
      </c>
      <c r="AI511" s="28" t="str">
        <f t="shared" ca="1" si="82"/>
        <v/>
      </c>
      <c r="AJ511" s="28" t="str">
        <f t="shared" ca="1" si="83"/>
        <v/>
      </c>
      <c r="AK511" s="28">
        <f>IF(L511=1,IF(COUNTIFS($F$2:F511,F511,$L$2:L511,1)=1,1,0),0)</f>
        <v>0</v>
      </c>
      <c r="AL511" s="28" t="str">
        <f ca="1">IF(B511="","",IF(K511="DUPLICATE","Duplicate (removed)",IF(AO511=1,"Scheduled within 24h",IF(M511=1,"Scheduled late",IF(K511="BAD CONTACT","Bad contact details",IF(O511=1,"Stopped / wrong number",IF(N511=1,"Not interested",IF(P511=1,"Partner has no slots",IF(SETTINGS!$B$4&gt;=V511,IF(Q511=0,"Missed deadline: never tried","Missed deadline: tried, not booked"),IF(Q511&gt;=SETTINGS!$B$6,"No reply after max tries","Open"))))))))))</f>
        <v>Missed deadline: never tried</v>
      </c>
      <c r="AM511" s="46" t="str">
        <f>IF(M511=1,IF(_xlfn.MINIFS(LOG!$G$2:$G$2001,LOG!$C$2:$C$2001,F511,LOG!$E$2:$E$2001,B511,LOG!$D$2:$D$2001,"*BOOKED")=0,_xlfn.MINIFS(LOG!$G$2:$G$2001,LOG!$C$2:$C$2001,F511,LOG!$E$2:$E$2001,"",LOG!$D$2:$D$2001,"*BOOKED"),IF(_xlfn.MINIFS(LOG!$G$2:$G$2001,LOG!$C$2:$C$2001,F511,LOG!$E$2:$E$2001,"",LOG!$D$2:$D$2001,"*BOOKED")=0,_xlfn.MINIFS(LOG!$G$2:$G$2001,LOG!$C$2:$C$2001,F511,LOG!$E$2:$E$2001,B511,LOG!$D$2:$D$2001,"*BOOKED"),MIN(_xlfn.MINIFS(LOG!$G$2:$G$2001,LOG!$C$2:$C$2001,F511,LOG!$E$2:$E$2001,B511,LOG!$D$2:$D$2001,"*BOOKED"),_xlfn.MINIFS(LOG!$G$2:$G$2001,LOG!$C$2:$C$2001,F511,LOG!$E$2:$E$2001,"",LOG!$D$2:$D$2001,"*BOOKED")))),"")</f>
        <v/>
      </c>
      <c r="AN511" s="28" t="str">
        <f t="shared" si="84"/>
        <v/>
      </c>
      <c r="AO511" s="28">
        <f>IF(AND(M511=1,AN511&lt;&gt;""),IF(AN511&lt;=SETTINGS!$B$5,1,0),0)</f>
        <v>0</v>
      </c>
      <c r="AP511" s="28">
        <f>IF(M511=1,IF(COUNTIFS(LOG!$C$2:$C$2001,F511,LOG!$E$2:$E$2001,B511,LOG!$D$2:$D$2001,"BOOKED")+COUNTIFS(LOG!$C$2:$C$2001,F511,LOG!$E$2:$E$2001,"",LOG!$D$2:$D$2001,"BOOKED")&gt;0,1,0),0)</f>
        <v>0</v>
      </c>
      <c r="AQ511" s="28" t="str">
        <f t="shared" si="85"/>
        <v>Kavya</v>
      </c>
      <c r="AR511" s="28" t="str">
        <f>IF(AND(AK511=1,K511="OK"),COUNTIFS($AK$2:AK511,1,$K$2:K511,"OK"),"")</f>
        <v/>
      </c>
      <c r="AS511" s="28" t="str">
        <f>IF(L511=1,IFERROR(INDEX(MESSAGES!$J$9:$J$1008,MATCH(F511,MESSAGES!$M$9:$M$1008,0))&amp;"",""),"")</f>
        <v/>
      </c>
      <c r="AT511" s="28" t="str">
        <f>IF(L511=1,IFERROR(INDEX(MESSAGES!$K$9:$K$1008,MATCH(F511,MESSAGES!$M$9:$M$1008,0))&amp;"",""),"")</f>
        <v/>
      </c>
      <c r="AU511" s="28">
        <f t="shared" ca="1" si="86"/>
        <v>0</v>
      </c>
      <c r="AV511" s="28" t="str">
        <f t="shared" si="87"/>
        <v>SEND</v>
      </c>
    </row>
    <row r="512" spans="1:48" x14ac:dyDescent="0.35">
      <c r="A512" s="28">
        <v>511</v>
      </c>
      <c r="B512" s="28" t="str">
        <f>IF(INPUT!A512="","",TRIM(INPUT!A512))</f>
        <v>Partner 002</v>
      </c>
      <c r="C512" s="28" t="str">
        <f>IF(B512="","",INPUT!C512)</f>
        <v>interviewer1@partner002.example.com</v>
      </c>
      <c r="D512" s="28" t="str">
        <f>IF(B512="","",INPUT!D512)</f>
        <v>Kiara G.</v>
      </c>
      <c r="E512" s="28" t="str">
        <f>IF(B512="","",INPUT!E512)</f>
        <v>kiara.g191@example.com</v>
      </c>
      <c r="F512" s="43" t="str">
        <f>IF(B512="","",TRIM(INPUT!F512&amp;""))</f>
        <v>9000002490</v>
      </c>
      <c r="G512" s="28" t="str">
        <f>IF(B512="","",INPUT!H512)</f>
        <v>Round1</v>
      </c>
      <c r="H512" s="46">
        <f>IF(B512="","",INPUT!I512)</f>
        <v>46308.82708333333</v>
      </c>
      <c r="I512" s="28" t="str">
        <f>IF(B512="","",IF(INPUT!J512="","None",INPUT!J512))</f>
        <v>None</v>
      </c>
      <c r="J512" s="28" t="str">
        <f t="shared" si="77"/>
        <v>kiara.g191@example.com|partner 002|Round1|interviewer1@partner002.example.com</v>
      </c>
      <c r="K512" s="28" t="str">
        <f>IF(B512="","",IF(SUMPRODUCT(($J$2:$J$601=J512)*($H$2:$H$601&lt;H512))+SUMPRODUCT(($J$2:J512=J512)*($H$2:H512=H512))-1&gt;0,"DUPLICATE",IF(AND(ISNUMBER(SEARCH("@",E512)),ISNUMBER(SEARCH(".",E512)),LEN(F512)=10,ISNUMBER(VALUE(F512))),"OK","BAD CONTACT")))</f>
        <v>OK</v>
      </c>
      <c r="L512" s="28">
        <f t="shared" si="78"/>
        <v>1</v>
      </c>
      <c r="M512" s="28">
        <f>IF(L512=1,IF(COUNTIFS(LOG!$C$2:$C$2001,F512,LOG!$E$2:$E$2001,B512,LOG!$D$2:$D$2001,"*BOOKED")+COUNTIFS(LOG!$C$2:$C$2001,F512,LOG!$E$2:$E$2001,"",LOG!$D$2:$D$2001,"*BOOKED")&gt;0,1,0),0)</f>
        <v>0</v>
      </c>
      <c r="N512" s="28">
        <f>IF(L512=1,IF(COUNTIFS(LOG!$C$2:$C$2001,F512,LOG!$E$2:$E$2001,B512,LOG!$D$2:$D$2001,"NOT_INTERESTED")+COUNTIFS(LOG!$C$2:$C$2001,F512,LOG!$E$2:$E$2001,"",LOG!$D$2:$D$2001,"NOT_INTERESTED")&gt;0,1,0),0)</f>
        <v>0</v>
      </c>
      <c r="O512" s="28">
        <f>IF(L512=1,IF(COUNTIFS(LOG!$C$2:$C$2001,F512,LOG!$D$2:$D$2001,"STOP")+COUNTIFS(LOG!$C$2:$C$2001,F512,LOG!$D$2:$D$2001,"WRONG_NUMBER")&gt;0,1,IF(ISNUMBER(SEARCH("STOP",AT512)),1,0)),0)</f>
        <v>0</v>
      </c>
      <c r="P512" s="28">
        <f>IF(L512=1,IF(IFERROR(INDEX(PARTNERS!$D$2:$D$88,MATCH(B512,PARTNERS!$A$2:$A$88,0)),"")="NO SLOTS",1,IF(AND(IFERROR(INDEX(PARTNERS!$D$2:$D$88,MATCH(B512,PARTNERS!$A$2:$A$88,0)),"")&lt;&gt;"REOPENED",COUNTIFS(LOG!$E$2:$E$2001,B512,LOG!$D$2:$D$2001,"NO_SLOTS")&gt;0),1,0)),0)</f>
        <v>0</v>
      </c>
      <c r="Q512" s="28">
        <f>IF(L512=1,COUNTIFS(LOG!$C$2:$C$2001,F512,LOG!$H$2:$H$2001,1),0)</f>
        <v>0</v>
      </c>
      <c r="R512" s="46">
        <f>IF(Q512&gt;0,_xlfn.MAXIFS(LOG!$G$2:$G$2001,LOG!$C$2:$C$2001,F512,LOG!$H$2:$H$2001,1),0)</f>
        <v>0</v>
      </c>
      <c r="S512" s="28" t="str">
        <f>IF(Q512&gt;0,IFERROR(INDEX(LOG!$D$2:$D$2001,MATCH(F512&amp;"|"&amp;Q512,LOG!$I$2:$I$2001,0)),""),"")</f>
        <v/>
      </c>
      <c r="T512" s="28">
        <f>IF(S512="",0,IFERROR(VLOOKUP(S512,LISTS!$A$2:$E$10,4,FALSE),0))</f>
        <v>0</v>
      </c>
      <c r="U512" s="46">
        <f t="shared" si="79"/>
        <v>0</v>
      </c>
      <c r="V512" s="46">
        <f>IF(L512=1,H512+SETTINGS!$B$5/24,"")</f>
        <v>46309.82708333333</v>
      </c>
      <c r="W512" s="28">
        <f ca="1">IF(L512=1,(V512-SETTINGS!$B$4)*24,"")</f>
        <v>-1.6666666720993817E-2</v>
      </c>
      <c r="X512" s="28">
        <f ca="1">IF(AND(L512=1,K512="OK",M512=0,N512=0,O512=0,P512=0,SETTINGS!$B$4&lt;V512,Q512&lt;SETTINGS!$B$6),1,0)</f>
        <v>0</v>
      </c>
      <c r="Y512" s="28">
        <f ca="1">IF(AND(X512=1,SETTINGS!$B$4&gt;=H512,SETTINGS!$B$4&gt;=U512,ROUND(MOD(SETTINGS!$B$4,1)*1440,0)&gt;=ROUND(SETTINGS!$B$7*1440,0),ROUND(MOD(SETTINGS!$B$4,1)*1440,0)&lt;ROUND(SETTINGS!$B$8*1440,0)),1,0)</f>
        <v>0</v>
      </c>
      <c r="Z512" s="28" t="str">
        <f ca="1">IF(B512="","",IF(ROUND(MOD(SETTINGS!$B$4,1)*1440,0)&lt;ROUND(SETTINGS!$B$11*1440,0),"Ram",IF(ROUND(MOD(SETTINGS!$B$4,1)*1440,0)&gt;=ROUND(SETTINGS!$B$10*1440,0),"Shyam",IF(MOD(IFERROR(VALUE(RIGHT(F512,2)),0),2)=0,"Ram","Shyam"))))</f>
        <v>Shyam</v>
      </c>
      <c r="AA512" s="28">
        <f t="shared" ca="1" si="80"/>
        <v>0</v>
      </c>
      <c r="AB512" s="28">
        <f ca="1">IF(X512=1,COUNTIFS($F$2:F512,F512,$X$2:X512,1),0)</f>
        <v>0</v>
      </c>
      <c r="AC512" s="28" t="str">
        <f>IF(L512=1,IF(IFERROR(INDEX(PARTNERS!$C$2:$C$88,MATCH(B512,PARTNERS!$A$2:$A$88,0)),"")="YES","YES","NO"),"")</f>
        <v>YES</v>
      </c>
      <c r="AD512" s="28" t="str">
        <f>IF(L512=1,IFERROR(INDEX(PARTNERS!$B$2:$B$88,MATCH(B512,PARTNERS!$A$2:$A$88,0)),""),"")</f>
        <v>https://calendly.com/partner002/interview</v>
      </c>
      <c r="AE512" s="28">
        <f ca="1">IF(X512=1,IFERROR(INDEX(SETTINGS!$B$34:$D$36,MATCH(I512,SETTINGS!$A$34:$A$36,0),MIN(Q512,2)+1),SETTINGS!$B$36),0)</f>
        <v>0</v>
      </c>
      <c r="AF512" s="28">
        <f t="shared" si="81"/>
        <v>1</v>
      </c>
      <c r="AG512" s="28">
        <f ca="1">IF(AND(Y512=1,AB512=1),ROUND(AA512*AE512*IF(AF512&gt;1,SETTINGS!$B$16,1)*IF(W512&lt;=SETTINGS!$B$14,SETTINGS!$B$15,1)*IF(AU512=1,SETTINGS!$B$21,1),6),0)</f>
        <v>0</v>
      </c>
      <c r="AH512" s="28" t="str">
        <f ca="1">IF(AG512&gt;0,COUNTIFS($Z$2:$Z$601,Z512,$AG$2:$AG$601,"&gt;"&amp;AG512)+COUNTIFS($Z$2:Z512,Z512,$AG$2:AG512,AG512),"")</f>
        <v/>
      </c>
      <c r="AI512" s="28" t="str">
        <f t="shared" ca="1" si="82"/>
        <v/>
      </c>
      <c r="AJ512" s="28" t="str">
        <f t="shared" ca="1" si="83"/>
        <v/>
      </c>
      <c r="AK512" s="28">
        <f>IF(L512=1,IF(COUNTIFS($F$2:F512,F512,$L$2:L512,1)=1,1,0),0)</f>
        <v>1</v>
      </c>
      <c r="AL512" s="28" t="str">
        <f ca="1">IF(B512="","",IF(K512="DUPLICATE","Duplicate (removed)",IF(AO512=1,"Scheduled within 24h",IF(M512=1,"Scheduled late",IF(K512="BAD CONTACT","Bad contact details",IF(O512=1,"Stopped / wrong number",IF(N512=1,"Not interested",IF(P512=1,"Partner has no slots",IF(SETTINGS!$B$4&gt;=V512,IF(Q512=0,"Missed deadline: never tried","Missed deadline: tried, not booked"),IF(Q512&gt;=SETTINGS!$B$6,"No reply after max tries","Open"))))))))))</f>
        <v>Missed deadline: never tried</v>
      </c>
      <c r="AM512" s="46" t="str">
        <f>IF(M512=1,IF(_xlfn.MINIFS(LOG!$G$2:$G$2001,LOG!$C$2:$C$2001,F512,LOG!$E$2:$E$2001,B512,LOG!$D$2:$D$2001,"*BOOKED")=0,_xlfn.MINIFS(LOG!$G$2:$G$2001,LOG!$C$2:$C$2001,F512,LOG!$E$2:$E$2001,"",LOG!$D$2:$D$2001,"*BOOKED"),IF(_xlfn.MINIFS(LOG!$G$2:$G$2001,LOG!$C$2:$C$2001,F512,LOG!$E$2:$E$2001,"",LOG!$D$2:$D$2001,"*BOOKED")=0,_xlfn.MINIFS(LOG!$G$2:$G$2001,LOG!$C$2:$C$2001,F512,LOG!$E$2:$E$2001,B512,LOG!$D$2:$D$2001,"*BOOKED"),MIN(_xlfn.MINIFS(LOG!$G$2:$G$2001,LOG!$C$2:$C$2001,F512,LOG!$E$2:$E$2001,B512,LOG!$D$2:$D$2001,"*BOOKED"),_xlfn.MINIFS(LOG!$G$2:$G$2001,LOG!$C$2:$C$2001,F512,LOG!$E$2:$E$2001,"",LOG!$D$2:$D$2001,"*BOOKED")))),"")</f>
        <v/>
      </c>
      <c r="AN512" s="28" t="str">
        <f t="shared" si="84"/>
        <v/>
      </c>
      <c r="AO512" s="28">
        <f>IF(AND(M512=1,AN512&lt;&gt;""),IF(AN512&lt;=SETTINGS!$B$5,1,0),0)</f>
        <v>0</v>
      </c>
      <c r="AP512" s="28">
        <f>IF(M512=1,IF(COUNTIFS(LOG!$C$2:$C$2001,F512,LOG!$E$2:$E$2001,B512,LOG!$D$2:$D$2001,"BOOKED")+COUNTIFS(LOG!$C$2:$C$2001,F512,LOG!$E$2:$E$2001,"",LOG!$D$2:$D$2001,"BOOKED")&gt;0,1,0),0)</f>
        <v>0</v>
      </c>
      <c r="AQ512" s="28" t="str">
        <f t="shared" si="85"/>
        <v>Kiara</v>
      </c>
      <c r="AR512" s="28">
        <f>IF(AND(AK512=1,K512="OK"),COUNTIFS($AK$2:AK512,1,$K$2:K512,"OK"),"")</f>
        <v>411</v>
      </c>
      <c r="AS512" s="28" t="str">
        <f>IF(L512=1,IFERROR(INDEX(MESSAGES!$J$9:$J$1008,MATCH(F512,MESSAGES!$M$9:$M$1008,0))&amp;"",""),"")</f>
        <v/>
      </c>
      <c r="AT512" s="28" t="str">
        <f>IF(L512=1,IFERROR(INDEX(MESSAGES!$K$9:$K$1008,MATCH(F512,MESSAGES!$M$9:$M$1008,0))&amp;"",""),"")</f>
        <v/>
      </c>
      <c r="AU512" s="28">
        <f t="shared" ca="1" si="86"/>
        <v>0</v>
      </c>
      <c r="AV512" s="28" t="str">
        <f t="shared" si="87"/>
        <v>HOLD</v>
      </c>
    </row>
    <row r="513" spans="1:48" x14ac:dyDescent="0.35">
      <c r="A513" s="28">
        <v>512</v>
      </c>
      <c r="B513" s="28" t="str">
        <f>IF(INPUT!A513="","",TRIM(INPUT!A513))</f>
        <v>Partner 000</v>
      </c>
      <c r="C513" s="28" t="str">
        <f>IF(B513="","",INPUT!C513)</f>
        <v>interviewer2@partner000.example.com</v>
      </c>
      <c r="D513" s="28" t="str">
        <f>IF(B513="","",INPUT!D513)</f>
        <v>Arjun N.</v>
      </c>
      <c r="E513" s="28" t="str">
        <f>IF(B513="","",INPUT!E513)</f>
        <v>arjun.n368@example.com</v>
      </c>
      <c r="F513" s="43" t="str">
        <f>IF(B513="","",TRIM(INPUT!F513&amp;""))</f>
        <v>9000004791</v>
      </c>
      <c r="G513" s="28" t="str">
        <f>IF(B513="","",INPUT!H513)</f>
        <v>Round1</v>
      </c>
      <c r="H513" s="46">
        <f>IF(B513="","",INPUT!I513)</f>
        <v>46308.82708333333</v>
      </c>
      <c r="I513" s="28" t="str">
        <f>IF(B513="","",IF(INPUT!J513="","None",INPUT!J513))</f>
        <v>Clicked</v>
      </c>
      <c r="J513" s="28" t="str">
        <f t="shared" si="77"/>
        <v>arjun.n368@example.com|partner 000|Round1|interviewer2@partner000.example.com</v>
      </c>
      <c r="K513" s="28" t="str">
        <f>IF(B513="","",IF(SUMPRODUCT(($J$2:$J$601=J513)*($H$2:$H$601&lt;H513))+SUMPRODUCT(($J$2:J513=J513)*($H$2:H513=H513))-1&gt;0,"DUPLICATE",IF(AND(ISNUMBER(SEARCH("@",E513)),ISNUMBER(SEARCH(".",E513)),LEN(F513)=10,ISNUMBER(VALUE(F513))),"OK","BAD CONTACT")))</f>
        <v>OK</v>
      </c>
      <c r="L513" s="28">
        <f t="shared" si="78"/>
        <v>1</v>
      </c>
      <c r="M513" s="28">
        <f>IF(L513=1,IF(COUNTIFS(LOG!$C$2:$C$2001,F513,LOG!$E$2:$E$2001,B513,LOG!$D$2:$D$2001,"*BOOKED")+COUNTIFS(LOG!$C$2:$C$2001,F513,LOG!$E$2:$E$2001,"",LOG!$D$2:$D$2001,"*BOOKED")&gt;0,1,0),0)</f>
        <v>1</v>
      </c>
      <c r="N513" s="28">
        <f>IF(L513=1,IF(COUNTIFS(LOG!$C$2:$C$2001,F513,LOG!$E$2:$E$2001,B513,LOG!$D$2:$D$2001,"NOT_INTERESTED")+COUNTIFS(LOG!$C$2:$C$2001,F513,LOG!$E$2:$E$2001,"",LOG!$D$2:$D$2001,"NOT_INTERESTED")&gt;0,1,0),0)</f>
        <v>0</v>
      </c>
      <c r="O513" s="28">
        <f>IF(L513=1,IF(COUNTIFS(LOG!$C$2:$C$2001,F513,LOG!$D$2:$D$2001,"STOP")+COUNTIFS(LOG!$C$2:$C$2001,F513,LOG!$D$2:$D$2001,"WRONG_NUMBER")&gt;0,1,IF(ISNUMBER(SEARCH("STOP",AT513)),1,0)),0)</f>
        <v>0</v>
      </c>
      <c r="P513" s="28">
        <f>IF(L513=1,IF(IFERROR(INDEX(PARTNERS!$D$2:$D$88,MATCH(B513,PARTNERS!$A$2:$A$88,0)),"")="NO SLOTS",1,IF(AND(IFERROR(INDEX(PARTNERS!$D$2:$D$88,MATCH(B513,PARTNERS!$A$2:$A$88,0)),"")&lt;&gt;"REOPENED",COUNTIFS(LOG!$E$2:$E$2001,B513,LOG!$D$2:$D$2001,"NO_SLOTS")&gt;0),1,0)),0)</f>
        <v>0</v>
      </c>
      <c r="Q513" s="28">
        <f>IF(L513=1,COUNTIFS(LOG!$C$2:$C$2001,F513,LOG!$H$2:$H$2001,1),0)</f>
        <v>1</v>
      </c>
      <c r="R513" s="46">
        <f>IF(Q513&gt;0,_xlfn.MAXIFS(LOG!$G$2:$G$2001,LOG!$C$2:$C$2001,F513,LOG!$H$2:$H$2001,1),0)</f>
        <v>46309.420780410117</v>
      </c>
      <c r="S513" s="28" t="str">
        <f>IF(Q513&gt;0,IFERROR(INDEX(LOG!$D$2:$D$2001,MATCH(F513&amp;"|"&amp;Q513,LOG!$I$2:$I$2001,0)),""),"")</f>
        <v>SENT_LINK</v>
      </c>
      <c r="T513" s="28">
        <f>IF(S513="",0,IFERROR(VLOOKUP(S513,LISTS!$A$2:$E$10,4,FALSE),0))</f>
        <v>180</v>
      </c>
      <c r="U513" s="46">
        <f t="shared" si="79"/>
        <v>46309.545780410117</v>
      </c>
      <c r="V513" s="46">
        <f>IF(L513=1,H513+SETTINGS!$B$5/24,"")</f>
        <v>46309.82708333333</v>
      </c>
      <c r="W513" s="28">
        <f ca="1">IF(L513=1,(V513-SETTINGS!$B$4)*24,"")</f>
        <v>-1.6666666720993817E-2</v>
      </c>
      <c r="X513" s="28">
        <f ca="1">IF(AND(L513=1,K513="OK",M513=0,N513=0,O513=0,P513=0,SETTINGS!$B$4&lt;V513,Q513&lt;SETTINGS!$B$6),1,0)</f>
        <v>0</v>
      </c>
      <c r="Y513" s="28">
        <f ca="1">IF(AND(X513=1,SETTINGS!$B$4&gt;=H513,SETTINGS!$B$4&gt;=U513,ROUND(MOD(SETTINGS!$B$4,1)*1440,0)&gt;=ROUND(SETTINGS!$B$7*1440,0),ROUND(MOD(SETTINGS!$B$4,1)*1440,0)&lt;ROUND(SETTINGS!$B$8*1440,0)),1,0)</f>
        <v>0</v>
      </c>
      <c r="Z513" s="28" t="str">
        <f ca="1">IF(B513="","",IF(ROUND(MOD(SETTINGS!$B$4,1)*1440,0)&lt;ROUND(SETTINGS!$B$11*1440,0),"Ram",IF(ROUND(MOD(SETTINGS!$B$4,1)*1440,0)&gt;=ROUND(SETTINGS!$B$10*1440,0),"Shyam",IF(MOD(IFERROR(VALUE(RIGHT(F513,2)),0),2)=0,"Ram","Shyam"))))</f>
        <v>Shyam</v>
      </c>
      <c r="AA513" s="28">
        <f t="shared" ca="1" si="80"/>
        <v>0</v>
      </c>
      <c r="AB513" s="28">
        <f ca="1">IF(X513=1,COUNTIFS($F$2:F513,F513,$X$2:X513,1),0)</f>
        <v>0</v>
      </c>
      <c r="AC513" s="28" t="str">
        <f>IF(L513=1,IF(IFERROR(INDEX(PARTNERS!$C$2:$C$88,MATCH(B513,PARTNERS!$A$2:$A$88,0)),"")="YES","YES","NO"),"")</f>
        <v>NO</v>
      </c>
      <c r="AD513" s="28" t="str">
        <f>IF(L513=1,IFERROR(INDEX(PARTNERS!$B$2:$B$88,MATCH(B513,PARTNERS!$A$2:$A$88,0)),""),"")</f>
        <v>https://calendly.com/partner000/interview</v>
      </c>
      <c r="AE513" s="28">
        <f ca="1">IF(X513=1,IFERROR(INDEX(SETTINGS!$B$34:$D$36,MATCH(I513,SETTINGS!$A$34:$A$36,0),MIN(Q513,2)+1),SETTINGS!$B$36),0)</f>
        <v>0</v>
      </c>
      <c r="AF513" s="28">
        <f t="shared" si="81"/>
        <v>1</v>
      </c>
      <c r="AG513" s="28">
        <f ca="1">IF(AND(Y513=1,AB513=1),ROUND(AA513*AE513*IF(AF513&gt;1,SETTINGS!$B$16,1)*IF(W513&lt;=SETTINGS!$B$14,SETTINGS!$B$15,1)*IF(AU513=1,SETTINGS!$B$21,1),6),0)</f>
        <v>0</v>
      </c>
      <c r="AH513" s="28" t="str">
        <f ca="1">IF(AG513&gt;0,COUNTIFS($Z$2:$Z$601,Z513,$AG$2:$AG$601,"&gt;"&amp;AG513)+COUNTIFS($Z$2:Z513,Z513,$AG$2:AG513,AG513),"")</f>
        <v/>
      </c>
      <c r="AI513" s="28" t="str">
        <f t="shared" ca="1" si="82"/>
        <v/>
      </c>
      <c r="AJ513" s="28" t="str">
        <f t="shared" ca="1" si="83"/>
        <v/>
      </c>
      <c r="AK513" s="28">
        <f>IF(L513=1,IF(COUNTIFS($F$2:F513,F513,$L$2:L513,1)=1,1,0),0)</f>
        <v>0</v>
      </c>
      <c r="AL513" s="28" t="str">
        <f>IF(B513="","",IF(K513="DUPLICATE","Duplicate (removed)",IF(AO513=1,"Scheduled within 24h",IF(M513=1,"Scheduled late",IF(K513="BAD CONTACT","Bad contact details",IF(O513=1,"Stopped / wrong number",IF(N513=1,"Not interested",IF(P513=1,"Partner has no slots",IF(SETTINGS!$B$4&gt;=V513,IF(Q513=0,"Missed deadline: never tried","Missed deadline: tried, not booked"),IF(Q513&gt;=SETTINGS!$B$6,"No reply after max tries","Open"))))))))))</f>
        <v>Scheduled within 24h</v>
      </c>
      <c r="AM513" s="46">
        <f>IF(M513=1,IF(_xlfn.MINIFS(LOG!$G$2:$G$2001,LOG!$C$2:$C$2001,F513,LOG!$E$2:$E$2001,B513,LOG!$D$2:$D$2001,"*BOOKED")=0,_xlfn.MINIFS(LOG!$G$2:$G$2001,LOG!$C$2:$C$2001,F513,LOG!$E$2:$E$2001,"",LOG!$D$2:$D$2001,"*BOOKED"),IF(_xlfn.MINIFS(LOG!$G$2:$G$2001,LOG!$C$2:$C$2001,F513,LOG!$E$2:$E$2001,"",LOG!$D$2:$D$2001,"*BOOKED")=0,_xlfn.MINIFS(LOG!$G$2:$G$2001,LOG!$C$2:$C$2001,F513,LOG!$E$2:$E$2001,B513,LOG!$D$2:$D$2001,"*BOOKED"),MIN(_xlfn.MINIFS(LOG!$G$2:$G$2001,LOG!$C$2:$C$2001,F513,LOG!$E$2:$E$2001,B513,LOG!$D$2:$D$2001,"*BOOKED"),_xlfn.MINIFS(LOG!$G$2:$G$2001,LOG!$C$2:$C$2001,F513,LOG!$E$2:$E$2001,"",LOG!$D$2:$D$2001,"*BOOKED")))),"")</f>
        <v>46309.441581253384</v>
      </c>
      <c r="AN513" s="28">
        <f t="shared" si="84"/>
        <v>14.747950081306044</v>
      </c>
      <c r="AO513" s="28">
        <f>IF(AND(M513=1,AN513&lt;&gt;""),IF(AN513&lt;=SETTINGS!$B$5,1,0),0)</f>
        <v>1</v>
      </c>
      <c r="AP513" s="28">
        <f>IF(M513=1,IF(COUNTIFS(LOG!$C$2:$C$2001,F513,LOG!$E$2:$E$2001,B513,LOG!$D$2:$D$2001,"BOOKED")+COUNTIFS(LOG!$C$2:$C$2001,F513,LOG!$E$2:$E$2001,"",LOG!$D$2:$D$2001,"BOOKED")&gt;0,1,0),0)</f>
        <v>0</v>
      </c>
      <c r="AQ513" s="28" t="str">
        <f t="shared" si="85"/>
        <v>Arjun</v>
      </c>
      <c r="AR513" s="28" t="str">
        <f>IF(AND(AK513=1,K513="OK"),COUNTIFS($AK$2:AK513,1,$K$2:K513,"OK"),"")</f>
        <v/>
      </c>
      <c r="AS513" s="28" t="str">
        <f>IF(L513=1,IFERROR(INDEX(MESSAGES!$J$9:$J$1008,MATCH(F513,MESSAGES!$M$9:$M$1008,0))&amp;"",""),"")</f>
        <v/>
      </c>
      <c r="AT513" s="28" t="str">
        <f>IF(L513=1,IFERROR(INDEX(MESSAGES!$K$9:$K$1008,MATCH(F513,MESSAGES!$M$9:$M$1008,0))&amp;"",""),"")</f>
        <v/>
      </c>
      <c r="AU513" s="28">
        <f t="shared" ca="1" si="86"/>
        <v>0</v>
      </c>
      <c r="AV513" s="28" t="str">
        <f t="shared" si="87"/>
        <v>HOLD</v>
      </c>
    </row>
    <row r="514" spans="1:48" x14ac:dyDescent="0.35">
      <c r="A514" s="28">
        <v>513</v>
      </c>
      <c r="B514" s="28" t="str">
        <f>IF(INPUT!A514="","",TRIM(INPUT!A514))</f>
        <v>Partner 050</v>
      </c>
      <c r="C514" s="28" t="str">
        <f>IF(B514="","",INPUT!C514)</f>
        <v>interviewer2@partner050.example.com</v>
      </c>
      <c r="D514" s="28" t="str">
        <f>IF(B514="","",INPUT!D514)</f>
        <v>Nisha A.</v>
      </c>
      <c r="E514" s="28" t="str">
        <f>IF(B514="","",INPUT!E514)</f>
        <v>nisha.a027@example.com</v>
      </c>
      <c r="F514" s="43" t="str">
        <f>IF(B514="","",TRIM(INPUT!F514&amp;""))</f>
        <v>9000000358</v>
      </c>
      <c r="G514" s="28" t="str">
        <f>IF(B514="","",INPUT!H514)</f>
        <v>Round1</v>
      </c>
      <c r="H514" s="46">
        <f>IF(B514="","",INPUT!I514)</f>
        <v>46308.82708333333</v>
      </c>
      <c r="I514" s="28" t="str">
        <f>IF(B514="","",IF(INPUT!J514="","None",INPUT!J514))</f>
        <v>None</v>
      </c>
      <c r="J514" s="28" t="str">
        <f t="shared" ref="J514:J577" si="88">IF(B514="","",LOWER(E514)&amp;"|"&amp;LOWER(B514)&amp;"|"&amp;G514&amp;"|"&amp;LOWER(C514))</f>
        <v>nisha.a027@example.com|partner 050|Round1|interviewer2@partner050.example.com</v>
      </c>
      <c r="K514" s="28" t="str">
        <f>IF(B514="","",IF(SUMPRODUCT(($J$2:$J$601=J514)*($H$2:$H$601&lt;H514))+SUMPRODUCT(($J$2:J514=J514)*($H$2:H514=H514))-1&gt;0,"DUPLICATE",IF(AND(ISNUMBER(SEARCH("@",E514)),ISNUMBER(SEARCH(".",E514)),LEN(F514)=10,ISNUMBER(VALUE(F514))),"OK","BAD CONTACT")))</f>
        <v>OK</v>
      </c>
      <c r="L514" s="28">
        <f t="shared" ref="L514:L577" si="89">IF(B514="",0,IF(K514="DUPLICATE",0,1))</f>
        <v>1</v>
      </c>
      <c r="M514" s="28">
        <f>IF(L514=1,IF(COUNTIFS(LOG!$C$2:$C$2001,F514,LOG!$E$2:$E$2001,B514,LOG!$D$2:$D$2001,"*BOOKED")+COUNTIFS(LOG!$C$2:$C$2001,F514,LOG!$E$2:$E$2001,"",LOG!$D$2:$D$2001,"*BOOKED")&gt;0,1,0),0)</f>
        <v>0</v>
      </c>
      <c r="N514" s="28">
        <f>IF(L514=1,IF(COUNTIFS(LOG!$C$2:$C$2001,F514,LOG!$E$2:$E$2001,B514,LOG!$D$2:$D$2001,"NOT_INTERESTED")+COUNTIFS(LOG!$C$2:$C$2001,F514,LOG!$E$2:$E$2001,"",LOG!$D$2:$D$2001,"NOT_INTERESTED")&gt;0,1,0),0)</f>
        <v>0</v>
      </c>
      <c r="O514" s="28">
        <f>IF(L514=1,IF(COUNTIFS(LOG!$C$2:$C$2001,F514,LOG!$D$2:$D$2001,"STOP")+COUNTIFS(LOG!$C$2:$C$2001,F514,LOG!$D$2:$D$2001,"WRONG_NUMBER")&gt;0,1,IF(ISNUMBER(SEARCH("STOP",AT514)),1,0)),0)</f>
        <v>0</v>
      </c>
      <c r="P514" s="28">
        <f>IF(L514=1,IF(IFERROR(INDEX(PARTNERS!$D$2:$D$88,MATCH(B514,PARTNERS!$A$2:$A$88,0)),"")="NO SLOTS",1,IF(AND(IFERROR(INDEX(PARTNERS!$D$2:$D$88,MATCH(B514,PARTNERS!$A$2:$A$88,0)),"")&lt;&gt;"REOPENED",COUNTIFS(LOG!$E$2:$E$2001,B514,LOG!$D$2:$D$2001,"NO_SLOTS")&gt;0),1,0)),0)</f>
        <v>0</v>
      </c>
      <c r="Q514" s="28">
        <f>IF(L514=1,COUNTIFS(LOG!$C$2:$C$2001,F514,LOG!$H$2:$H$2001,1),0)</f>
        <v>0</v>
      </c>
      <c r="R514" s="46">
        <f>IF(Q514&gt;0,_xlfn.MAXIFS(LOG!$G$2:$G$2001,LOG!$C$2:$C$2001,F514,LOG!$H$2:$H$2001,1),0)</f>
        <v>0</v>
      </c>
      <c r="S514" s="28" t="str">
        <f>IF(Q514&gt;0,IFERROR(INDEX(LOG!$D$2:$D$2001,MATCH(F514&amp;"|"&amp;Q514,LOG!$I$2:$I$2001,0)),""),"")</f>
        <v/>
      </c>
      <c r="T514" s="28">
        <f>IF(S514="",0,IFERROR(VLOOKUP(S514,LISTS!$A$2:$E$10,4,FALSE),0))</f>
        <v>0</v>
      </c>
      <c r="U514" s="46">
        <f t="shared" ref="U514:U577" si="90">IF(Q514=0,0,R514+T514/1440)</f>
        <v>0</v>
      </c>
      <c r="V514" s="46">
        <f>IF(L514=1,H514+SETTINGS!$B$5/24,"")</f>
        <v>46309.82708333333</v>
      </c>
      <c r="W514" s="28">
        <f ca="1">IF(L514=1,(V514-SETTINGS!$B$4)*24,"")</f>
        <v>-1.6666666720993817E-2</v>
      </c>
      <c r="X514" s="28">
        <f ca="1">IF(AND(L514=1,K514="OK",M514=0,N514=0,O514=0,P514=0,SETTINGS!$B$4&lt;V514,Q514&lt;SETTINGS!$B$6),1,0)</f>
        <v>0</v>
      </c>
      <c r="Y514" s="28">
        <f ca="1">IF(AND(X514=1,SETTINGS!$B$4&gt;=H514,SETTINGS!$B$4&gt;=U514,ROUND(MOD(SETTINGS!$B$4,1)*1440,0)&gt;=ROUND(SETTINGS!$B$7*1440,0),ROUND(MOD(SETTINGS!$B$4,1)*1440,0)&lt;ROUND(SETTINGS!$B$8*1440,0)),1,0)</f>
        <v>0</v>
      </c>
      <c r="Z514" s="28" t="str">
        <f ca="1">IF(B514="","",IF(ROUND(MOD(SETTINGS!$B$4,1)*1440,0)&lt;ROUND(SETTINGS!$B$11*1440,0),"Ram",IF(ROUND(MOD(SETTINGS!$B$4,1)*1440,0)&gt;=ROUND(SETTINGS!$B$10*1440,0),"Shyam",IF(MOD(IFERROR(VALUE(RIGHT(F514,2)),0),2)=0,"Ram","Shyam"))))</f>
        <v>Shyam</v>
      </c>
      <c r="AA514" s="28">
        <f t="shared" ref="AA514:AA577" ca="1" si="91">IF(X514=1,COUNTIFS($F$2:$F$601,F514,$X$2:$X$601,1),0)</f>
        <v>0</v>
      </c>
      <c r="AB514" s="28">
        <f ca="1">IF(X514=1,COUNTIFS($F$2:F514,F514,$X$2:X514,1),0)</f>
        <v>0</v>
      </c>
      <c r="AC514" s="28" t="str">
        <f>IF(L514=1,IF(IFERROR(INDEX(PARTNERS!$C$2:$C$88,MATCH(B514,PARTNERS!$A$2:$A$88,0)),"")="YES","YES","NO"),"")</f>
        <v>NO</v>
      </c>
      <c r="AD514" s="28" t="str">
        <f>IF(L514=1,IFERROR(INDEX(PARTNERS!$B$2:$B$88,MATCH(B514,PARTNERS!$A$2:$A$88,0)),""),"")</f>
        <v>https://calendly.com/partner050/interview</v>
      </c>
      <c r="AE514" s="28">
        <f ca="1">IF(X514=1,IFERROR(INDEX(SETTINGS!$B$34:$D$36,MATCH(I514,SETTINGS!$A$34:$A$36,0),MIN(Q514,2)+1),SETTINGS!$B$36),0)</f>
        <v>0</v>
      </c>
      <c r="AF514" s="28">
        <f t="shared" ref="AF514:AF577" si="92">IF(L514=1,IFERROR(VALUE(RIGHT(G514,1)),1),0)</f>
        <v>1</v>
      </c>
      <c r="AG514" s="28">
        <f ca="1">IF(AND(Y514=1,AB514=1),ROUND(AA514*AE514*IF(AF514&gt;1,SETTINGS!$B$16,1)*IF(W514&lt;=SETTINGS!$B$14,SETTINGS!$B$15,1)*IF(AU514=1,SETTINGS!$B$21,1),6),0)</f>
        <v>0</v>
      </c>
      <c r="AH514" s="28" t="str">
        <f ca="1">IF(AG514&gt;0,COUNTIFS($Z$2:$Z$601,Z514,$AG$2:$AG$601,"&gt;"&amp;AG514)+COUNTIFS($Z$2:Z514,Z514,$AG$2:AG514,AG514),"")</f>
        <v/>
      </c>
      <c r="AI514" s="28" t="str">
        <f t="shared" ref="AI514:AI577" ca="1" si="93">IF(AH514&lt;&gt;"",Z514&amp;"|"&amp;AH514,"")</f>
        <v/>
      </c>
      <c r="AJ514" s="28" t="str">
        <f t="shared" ref="AJ514:AJ577" ca="1" si="94">IF(X514=1,F514&amp;"|"&amp;AB514,"")</f>
        <v/>
      </c>
      <c r="AK514" s="28">
        <f>IF(L514=1,IF(COUNTIFS($F$2:F514,F514,$L$2:L514,1)=1,1,0),0)</f>
        <v>1</v>
      </c>
      <c r="AL514" s="28" t="str">
        <f ca="1">IF(B514="","",IF(K514="DUPLICATE","Duplicate (removed)",IF(AO514=1,"Scheduled within 24h",IF(M514=1,"Scheduled late",IF(K514="BAD CONTACT","Bad contact details",IF(O514=1,"Stopped / wrong number",IF(N514=1,"Not interested",IF(P514=1,"Partner has no slots",IF(SETTINGS!$B$4&gt;=V514,IF(Q514=0,"Missed deadline: never tried","Missed deadline: tried, not booked"),IF(Q514&gt;=SETTINGS!$B$6,"No reply after max tries","Open"))))))))))</f>
        <v>Missed deadline: never tried</v>
      </c>
      <c r="AM514" s="46" t="str">
        <f>IF(M514=1,IF(_xlfn.MINIFS(LOG!$G$2:$G$2001,LOG!$C$2:$C$2001,F514,LOG!$E$2:$E$2001,B514,LOG!$D$2:$D$2001,"*BOOKED")=0,_xlfn.MINIFS(LOG!$G$2:$G$2001,LOG!$C$2:$C$2001,F514,LOG!$E$2:$E$2001,"",LOG!$D$2:$D$2001,"*BOOKED"),IF(_xlfn.MINIFS(LOG!$G$2:$G$2001,LOG!$C$2:$C$2001,F514,LOG!$E$2:$E$2001,"",LOG!$D$2:$D$2001,"*BOOKED")=0,_xlfn.MINIFS(LOG!$G$2:$G$2001,LOG!$C$2:$C$2001,F514,LOG!$E$2:$E$2001,B514,LOG!$D$2:$D$2001,"*BOOKED"),MIN(_xlfn.MINIFS(LOG!$G$2:$G$2001,LOG!$C$2:$C$2001,F514,LOG!$E$2:$E$2001,B514,LOG!$D$2:$D$2001,"*BOOKED"),_xlfn.MINIFS(LOG!$G$2:$G$2001,LOG!$C$2:$C$2001,F514,LOG!$E$2:$E$2001,"",LOG!$D$2:$D$2001,"*BOOKED")))),"")</f>
        <v/>
      </c>
      <c r="AN514" s="28" t="str">
        <f t="shared" ref="AN514:AN577" si="95">IF(M514=1,(AM514-H514)*24,"")</f>
        <v/>
      </c>
      <c r="AO514" s="28">
        <f>IF(AND(M514=1,AN514&lt;&gt;""),IF(AN514&lt;=SETTINGS!$B$5,1,0),0)</f>
        <v>0</v>
      </c>
      <c r="AP514" s="28">
        <f>IF(M514=1,IF(COUNTIFS(LOG!$C$2:$C$2001,F514,LOG!$E$2:$E$2001,B514,LOG!$D$2:$D$2001,"BOOKED")+COUNTIFS(LOG!$C$2:$C$2001,F514,LOG!$E$2:$E$2001,"",LOG!$D$2:$D$2001,"BOOKED")&gt;0,1,0),0)</f>
        <v>0</v>
      </c>
      <c r="AQ514" s="28" t="str">
        <f t="shared" ref="AQ514:AQ577" si="96">IF(B514="","",LEFT(D514,FIND(" ",D514&amp;" ")-1))</f>
        <v>Nisha</v>
      </c>
      <c r="AR514" s="28">
        <f>IF(AND(AK514=1,K514="OK"),COUNTIFS($AK$2:AK514,1,$K$2:K514,"OK"),"")</f>
        <v>412</v>
      </c>
      <c r="AS514" s="28" t="str">
        <f>IF(L514=1,IFERROR(INDEX(MESSAGES!$J$9:$J$1008,MATCH(F514,MESSAGES!$M$9:$M$1008,0))&amp;"",""),"")</f>
        <v/>
      </c>
      <c r="AT514" s="28" t="str">
        <f>IF(L514=1,IFERROR(INDEX(MESSAGES!$K$9:$K$1008,MATCH(F514,MESSAGES!$M$9:$M$1008,0))&amp;"",""),"")</f>
        <v/>
      </c>
      <c r="AU514" s="28">
        <f t="shared" ref="AU514:AU577" ca="1" si="97">IF(AND(X514=1,ISNUMBER(SEARCH("YES",AT514))),1,0)</f>
        <v>0</v>
      </c>
      <c r="AV514" s="28" t="str">
        <f t="shared" ref="AV514:AV577" si="98">IF(L514=1,IF(MOD(IFERROR(VALUE(MID(F514,9,1)),0),2)=0,"SEND","HOLD"),"")</f>
        <v>HOLD</v>
      </c>
    </row>
    <row r="515" spans="1:48" x14ac:dyDescent="0.35">
      <c r="A515" s="28">
        <v>514</v>
      </c>
      <c r="B515" s="28" t="str">
        <f>IF(INPUT!A515="","",TRIM(INPUT!A515))</f>
        <v>Partner 021</v>
      </c>
      <c r="C515" s="28" t="str">
        <f>IF(B515="","",INPUT!C515)</f>
        <v>interviewer2@partner021.example.com</v>
      </c>
      <c r="D515" s="28" t="str">
        <f>IF(B515="","",INPUT!D515)</f>
        <v>Kabir F.</v>
      </c>
      <c r="E515" s="28" t="str">
        <f>IF(B515="","",INPUT!E515)</f>
        <v>kabir.f152@example.com</v>
      </c>
      <c r="F515" s="43" t="str">
        <f>IF(B515="","",TRIM(INPUT!F515&amp;""))</f>
        <v>9000001983</v>
      </c>
      <c r="G515" s="28" t="str">
        <f>IF(B515="","",INPUT!H515)</f>
        <v>Round1</v>
      </c>
      <c r="H515" s="46">
        <f>IF(B515="","",INPUT!I515)</f>
        <v>46308.82708333333</v>
      </c>
      <c r="I515" s="28" t="str">
        <f>IF(B515="","",IF(INPUT!J515="","None",INPUT!J515))</f>
        <v>None</v>
      </c>
      <c r="J515" s="28" t="str">
        <f t="shared" si="88"/>
        <v>kabir.f152@example.com|partner 021|Round1|interviewer2@partner021.example.com</v>
      </c>
      <c r="K515" s="28" t="str">
        <f>IF(B515="","",IF(SUMPRODUCT(($J$2:$J$601=J515)*($H$2:$H$601&lt;H515))+SUMPRODUCT(($J$2:J515=J515)*($H$2:H515=H515))-1&gt;0,"DUPLICATE",IF(AND(ISNUMBER(SEARCH("@",E515)),ISNUMBER(SEARCH(".",E515)),LEN(F515)=10,ISNUMBER(VALUE(F515))),"OK","BAD CONTACT")))</f>
        <v>OK</v>
      </c>
      <c r="L515" s="28">
        <f t="shared" si="89"/>
        <v>1</v>
      </c>
      <c r="M515" s="28">
        <f>IF(L515=1,IF(COUNTIFS(LOG!$C$2:$C$2001,F515,LOG!$E$2:$E$2001,B515,LOG!$D$2:$D$2001,"*BOOKED")+COUNTIFS(LOG!$C$2:$C$2001,F515,LOG!$E$2:$E$2001,"",LOG!$D$2:$D$2001,"*BOOKED")&gt;0,1,0),0)</f>
        <v>0</v>
      </c>
      <c r="N515" s="28">
        <f>IF(L515=1,IF(COUNTIFS(LOG!$C$2:$C$2001,F515,LOG!$E$2:$E$2001,B515,LOG!$D$2:$D$2001,"NOT_INTERESTED")+COUNTIFS(LOG!$C$2:$C$2001,F515,LOG!$E$2:$E$2001,"",LOG!$D$2:$D$2001,"NOT_INTERESTED")&gt;0,1,0),0)</f>
        <v>0</v>
      </c>
      <c r="O515" s="28">
        <f>IF(L515=1,IF(COUNTIFS(LOG!$C$2:$C$2001,F515,LOG!$D$2:$D$2001,"STOP")+COUNTIFS(LOG!$C$2:$C$2001,F515,LOG!$D$2:$D$2001,"WRONG_NUMBER")&gt;0,1,IF(ISNUMBER(SEARCH("STOP",AT515)),1,0)),0)</f>
        <v>0</v>
      </c>
      <c r="P515" s="28">
        <f>IF(L515=1,IF(IFERROR(INDEX(PARTNERS!$D$2:$D$88,MATCH(B515,PARTNERS!$A$2:$A$88,0)),"")="NO SLOTS",1,IF(AND(IFERROR(INDEX(PARTNERS!$D$2:$D$88,MATCH(B515,PARTNERS!$A$2:$A$88,0)),"")&lt;&gt;"REOPENED",COUNTIFS(LOG!$E$2:$E$2001,B515,LOG!$D$2:$D$2001,"NO_SLOTS")&gt;0),1,0)),0)</f>
        <v>0</v>
      </c>
      <c r="Q515" s="28">
        <f>IF(L515=1,COUNTIFS(LOG!$C$2:$C$2001,F515,LOG!$H$2:$H$2001,1),0)</f>
        <v>0</v>
      </c>
      <c r="R515" s="46">
        <f>IF(Q515&gt;0,_xlfn.MAXIFS(LOG!$G$2:$G$2001,LOG!$C$2:$C$2001,F515,LOG!$H$2:$H$2001,1),0)</f>
        <v>0</v>
      </c>
      <c r="S515" s="28" t="str">
        <f>IF(Q515&gt;0,IFERROR(INDEX(LOG!$D$2:$D$2001,MATCH(F515&amp;"|"&amp;Q515,LOG!$I$2:$I$2001,0)),""),"")</f>
        <v/>
      </c>
      <c r="T515" s="28">
        <f>IF(S515="",0,IFERROR(VLOOKUP(S515,LISTS!$A$2:$E$10,4,FALSE),0))</f>
        <v>0</v>
      </c>
      <c r="U515" s="46">
        <f t="shared" si="90"/>
        <v>0</v>
      </c>
      <c r="V515" s="46">
        <f>IF(L515=1,H515+SETTINGS!$B$5/24,"")</f>
        <v>46309.82708333333</v>
      </c>
      <c r="W515" s="28">
        <f ca="1">IF(L515=1,(V515-SETTINGS!$B$4)*24,"")</f>
        <v>-1.6666666720993817E-2</v>
      </c>
      <c r="X515" s="28">
        <f ca="1">IF(AND(L515=1,K515="OK",M515=0,N515=0,O515=0,P515=0,SETTINGS!$B$4&lt;V515,Q515&lt;SETTINGS!$B$6),1,0)</f>
        <v>0</v>
      </c>
      <c r="Y515" s="28">
        <f ca="1">IF(AND(X515=1,SETTINGS!$B$4&gt;=H515,SETTINGS!$B$4&gt;=U515,ROUND(MOD(SETTINGS!$B$4,1)*1440,0)&gt;=ROUND(SETTINGS!$B$7*1440,0),ROUND(MOD(SETTINGS!$B$4,1)*1440,0)&lt;ROUND(SETTINGS!$B$8*1440,0)),1,0)</f>
        <v>0</v>
      </c>
      <c r="Z515" s="28" t="str">
        <f ca="1">IF(B515="","",IF(ROUND(MOD(SETTINGS!$B$4,1)*1440,0)&lt;ROUND(SETTINGS!$B$11*1440,0),"Ram",IF(ROUND(MOD(SETTINGS!$B$4,1)*1440,0)&gt;=ROUND(SETTINGS!$B$10*1440,0),"Shyam",IF(MOD(IFERROR(VALUE(RIGHT(F515,2)),0),2)=0,"Ram","Shyam"))))</f>
        <v>Shyam</v>
      </c>
      <c r="AA515" s="28">
        <f t="shared" ca="1" si="91"/>
        <v>0</v>
      </c>
      <c r="AB515" s="28">
        <f ca="1">IF(X515=1,COUNTIFS($F$2:F515,F515,$X$2:X515,1),0)</f>
        <v>0</v>
      </c>
      <c r="AC515" s="28" t="str">
        <f>IF(L515=1,IF(IFERROR(INDEX(PARTNERS!$C$2:$C$88,MATCH(B515,PARTNERS!$A$2:$A$88,0)),"")="YES","YES","NO"),"")</f>
        <v>NO</v>
      </c>
      <c r="AD515" s="28" t="str">
        <f>IF(L515=1,IFERROR(INDEX(PARTNERS!$B$2:$B$88,MATCH(B515,PARTNERS!$A$2:$A$88,0)),""),"")</f>
        <v>https://calendly.com/partner021/interview</v>
      </c>
      <c r="AE515" s="28">
        <f ca="1">IF(X515=1,IFERROR(INDEX(SETTINGS!$B$34:$D$36,MATCH(I515,SETTINGS!$A$34:$A$36,0),MIN(Q515,2)+1),SETTINGS!$B$36),0)</f>
        <v>0</v>
      </c>
      <c r="AF515" s="28">
        <f t="shared" si="92"/>
        <v>1</v>
      </c>
      <c r="AG515" s="28">
        <f ca="1">IF(AND(Y515=1,AB515=1),ROUND(AA515*AE515*IF(AF515&gt;1,SETTINGS!$B$16,1)*IF(W515&lt;=SETTINGS!$B$14,SETTINGS!$B$15,1)*IF(AU515=1,SETTINGS!$B$21,1),6),0)</f>
        <v>0</v>
      </c>
      <c r="AH515" s="28" t="str">
        <f ca="1">IF(AG515&gt;0,COUNTIFS($Z$2:$Z$601,Z515,$AG$2:$AG$601,"&gt;"&amp;AG515)+COUNTIFS($Z$2:Z515,Z515,$AG$2:AG515,AG515),"")</f>
        <v/>
      </c>
      <c r="AI515" s="28" t="str">
        <f t="shared" ca="1" si="93"/>
        <v/>
      </c>
      <c r="AJ515" s="28" t="str">
        <f t="shared" ca="1" si="94"/>
        <v/>
      </c>
      <c r="AK515" s="28">
        <f>IF(L515=1,IF(COUNTIFS($F$2:F515,F515,$L$2:L515,1)=1,1,0),0)</f>
        <v>1</v>
      </c>
      <c r="AL515" s="28" t="str">
        <f ca="1">IF(B515="","",IF(K515="DUPLICATE","Duplicate (removed)",IF(AO515=1,"Scheduled within 24h",IF(M515=1,"Scheduled late",IF(K515="BAD CONTACT","Bad contact details",IF(O515=1,"Stopped / wrong number",IF(N515=1,"Not interested",IF(P515=1,"Partner has no slots",IF(SETTINGS!$B$4&gt;=V515,IF(Q515=0,"Missed deadline: never tried","Missed deadline: tried, not booked"),IF(Q515&gt;=SETTINGS!$B$6,"No reply after max tries","Open"))))))))))</f>
        <v>Missed deadline: never tried</v>
      </c>
      <c r="AM515" s="46" t="str">
        <f>IF(M515=1,IF(_xlfn.MINIFS(LOG!$G$2:$G$2001,LOG!$C$2:$C$2001,F515,LOG!$E$2:$E$2001,B515,LOG!$D$2:$D$2001,"*BOOKED")=0,_xlfn.MINIFS(LOG!$G$2:$G$2001,LOG!$C$2:$C$2001,F515,LOG!$E$2:$E$2001,"",LOG!$D$2:$D$2001,"*BOOKED"),IF(_xlfn.MINIFS(LOG!$G$2:$G$2001,LOG!$C$2:$C$2001,F515,LOG!$E$2:$E$2001,"",LOG!$D$2:$D$2001,"*BOOKED")=0,_xlfn.MINIFS(LOG!$G$2:$G$2001,LOG!$C$2:$C$2001,F515,LOG!$E$2:$E$2001,B515,LOG!$D$2:$D$2001,"*BOOKED"),MIN(_xlfn.MINIFS(LOG!$G$2:$G$2001,LOG!$C$2:$C$2001,F515,LOG!$E$2:$E$2001,B515,LOG!$D$2:$D$2001,"*BOOKED"),_xlfn.MINIFS(LOG!$G$2:$G$2001,LOG!$C$2:$C$2001,F515,LOG!$E$2:$E$2001,"",LOG!$D$2:$D$2001,"*BOOKED")))),"")</f>
        <v/>
      </c>
      <c r="AN515" s="28" t="str">
        <f t="shared" si="95"/>
        <v/>
      </c>
      <c r="AO515" s="28">
        <f>IF(AND(M515=1,AN515&lt;&gt;""),IF(AN515&lt;=SETTINGS!$B$5,1,0),0)</f>
        <v>0</v>
      </c>
      <c r="AP515" s="28">
        <f>IF(M515=1,IF(COUNTIFS(LOG!$C$2:$C$2001,F515,LOG!$E$2:$E$2001,B515,LOG!$D$2:$D$2001,"BOOKED")+COUNTIFS(LOG!$C$2:$C$2001,F515,LOG!$E$2:$E$2001,"",LOG!$D$2:$D$2001,"BOOKED")&gt;0,1,0),0)</f>
        <v>0</v>
      </c>
      <c r="AQ515" s="28" t="str">
        <f t="shared" si="96"/>
        <v>Kabir</v>
      </c>
      <c r="AR515" s="28">
        <f>IF(AND(AK515=1,K515="OK"),COUNTIFS($AK$2:AK515,1,$K$2:K515,"OK"),"")</f>
        <v>413</v>
      </c>
      <c r="AS515" s="28" t="str">
        <f>IF(L515=1,IFERROR(INDEX(MESSAGES!$J$9:$J$1008,MATCH(F515,MESSAGES!$M$9:$M$1008,0))&amp;"",""),"")</f>
        <v/>
      </c>
      <c r="AT515" s="28" t="str">
        <f>IF(L515=1,IFERROR(INDEX(MESSAGES!$K$9:$K$1008,MATCH(F515,MESSAGES!$M$9:$M$1008,0))&amp;"",""),"")</f>
        <v/>
      </c>
      <c r="AU515" s="28">
        <f t="shared" ca="1" si="97"/>
        <v>0</v>
      </c>
      <c r="AV515" s="28" t="str">
        <f t="shared" si="98"/>
        <v>SEND</v>
      </c>
    </row>
    <row r="516" spans="1:48" x14ac:dyDescent="0.35">
      <c r="A516" s="28">
        <v>515</v>
      </c>
      <c r="B516" s="28" t="str">
        <f>IF(INPUT!A516="","",TRIM(INPUT!A516))</f>
        <v>Partner 001</v>
      </c>
      <c r="C516" s="28" t="str">
        <f>IF(B516="","",INPUT!C516)</f>
        <v>interviewer2@partner001.example.com</v>
      </c>
      <c r="D516" s="28" t="str">
        <f>IF(B516="","",INPUT!D516)</f>
        <v>Meera C.</v>
      </c>
      <c r="E516" s="28" t="str">
        <f>IF(B516="","",INPUT!E516)</f>
        <v>meera.c067@example.com</v>
      </c>
      <c r="F516" s="43" t="str">
        <f>IF(B516="","",TRIM(INPUT!F516&amp;""))</f>
        <v>9000000878</v>
      </c>
      <c r="G516" s="28" t="str">
        <f>IF(B516="","",INPUT!H516)</f>
        <v>Round1</v>
      </c>
      <c r="H516" s="46">
        <f>IF(B516="","",INPUT!I516)</f>
        <v>46308.82708333333</v>
      </c>
      <c r="I516" s="28" t="str">
        <f>IF(B516="","",IF(INPUT!J516="","None",INPUT!J516))</f>
        <v>Opened</v>
      </c>
      <c r="J516" s="28" t="str">
        <f t="shared" si="88"/>
        <v>meera.c067@example.com|partner 001|Round1|interviewer2@partner001.example.com</v>
      </c>
      <c r="K516" s="28" t="str">
        <f>IF(B516="","",IF(SUMPRODUCT(($J$2:$J$601=J516)*($H$2:$H$601&lt;H516))+SUMPRODUCT(($J$2:J516=J516)*($H$2:H516=H516))-1&gt;0,"DUPLICATE",IF(AND(ISNUMBER(SEARCH("@",E516)),ISNUMBER(SEARCH(".",E516)),LEN(F516)=10,ISNUMBER(VALUE(F516))),"OK","BAD CONTACT")))</f>
        <v>OK</v>
      </c>
      <c r="L516" s="28">
        <f t="shared" si="89"/>
        <v>1</v>
      </c>
      <c r="M516" s="28">
        <f>IF(L516=1,IF(COUNTIFS(LOG!$C$2:$C$2001,F516,LOG!$E$2:$E$2001,B516,LOG!$D$2:$D$2001,"*BOOKED")+COUNTIFS(LOG!$C$2:$C$2001,F516,LOG!$E$2:$E$2001,"",LOG!$D$2:$D$2001,"*BOOKED")&gt;0,1,0),0)</f>
        <v>0</v>
      </c>
      <c r="N516" s="28">
        <f>IF(L516=1,IF(COUNTIFS(LOG!$C$2:$C$2001,F516,LOG!$E$2:$E$2001,B516,LOG!$D$2:$D$2001,"NOT_INTERESTED")+COUNTIFS(LOG!$C$2:$C$2001,F516,LOG!$E$2:$E$2001,"",LOG!$D$2:$D$2001,"NOT_INTERESTED")&gt;0,1,0),0)</f>
        <v>0</v>
      </c>
      <c r="O516" s="28">
        <f>IF(L516=1,IF(COUNTIFS(LOG!$C$2:$C$2001,F516,LOG!$D$2:$D$2001,"STOP")+COUNTIFS(LOG!$C$2:$C$2001,F516,LOG!$D$2:$D$2001,"WRONG_NUMBER")&gt;0,1,IF(ISNUMBER(SEARCH("STOP",AT516)),1,0)),0)</f>
        <v>0</v>
      </c>
      <c r="P516" s="28">
        <f>IF(L516=1,IF(IFERROR(INDEX(PARTNERS!$D$2:$D$88,MATCH(B516,PARTNERS!$A$2:$A$88,0)),"")="NO SLOTS",1,IF(AND(IFERROR(INDEX(PARTNERS!$D$2:$D$88,MATCH(B516,PARTNERS!$A$2:$A$88,0)),"")&lt;&gt;"REOPENED",COUNTIFS(LOG!$E$2:$E$2001,B516,LOG!$D$2:$D$2001,"NO_SLOTS")&gt;0),1,0)),0)</f>
        <v>0</v>
      </c>
      <c r="Q516" s="28">
        <f>IF(L516=1,COUNTIFS(LOG!$C$2:$C$2001,F516,LOG!$H$2:$H$2001,1),0)</f>
        <v>0</v>
      </c>
      <c r="R516" s="46">
        <f>IF(Q516&gt;0,_xlfn.MAXIFS(LOG!$G$2:$G$2001,LOG!$C$2:$C$2001,F516,LOG!$H$2:$H$2001,1),0)</f>
        <v>0</v>
      </c>
      <c r="S516" s="28" t="str">
        <f>IF(Q516&gt;0,IFERROR(INDEX(LOG!$D$2:$D$2001,MATCH(F516&amp;"|"&amp;Q516,LOG!$I$2:$I$2001,0)),""),"")</f>
        <v/>
      </c>
      <c r="T516" s="28">
        <f>IF(S516="",0,IFERROR(VLOOKUP(S516,LISTS!$A$2:$E$10,4,FALSE),0))</f>
        <v>0</v>
      </c>
      <c r="U516" s="46">
        <f t="shared" si="90"/>
        <v>0</v>
      </c>
      <c r="V516" s="46">
        <f>IF(L516=1,H516+SETTINGS!$B$5/24,"")</f>
        <v>46309.82708333333</v>
      </c>
      <c r="W516" s="28">
        <f ca="1">IF(L516=1,(V516-SETTINGS!$B$4)*24,"")</f>
        <v>-1.6666666720993817E-2</v>
      </c>
      <c r="X516" s="28">
        <f ca="1">IF(AND(L516=1,K516="OK",M516=0,N516=0,O516=0,P516=0,SETTINGS!$B$4&lt;V516,Q516&lt;SETTINGS!$B$6),1,0)</f>
        <v>0</v>
      </c>
      <c r="Y516" s="28">
        <f ca="1">IF(AND(X516=1,SETTINGS!$B$4&gt;=H516,SETTINGS!$B$4&gt;=U516,ROUND(MOD(SETTINGS!$B$4,1)*1440,0)&gt;=ROUND(SETTINGS!$B$7*1440,0),ROUND(MOD(SETTINGS!$B$4,1)*1440,0)&lt;ROUND(SETTINGS!$B$8*1440,0)),1,0)</f>
        <v>0</v>
      </c>
      <c r="Z516" s="28" t="str">
        <f ca="1">IF(B516="","",IF(ROUND(MOD(SETTINGS!$B$4,1)*1440,0)&lt;ROUND(SETTINGS!$B$11*1440,0),"Ram",IF(ROUND(MOD(SETTINGS!$B$4,1)*1440,0)&gt;=ROUND(SETTINGS!$B$10*1440,0),"Shyam",IF(MOD(IFERROR(VALUE(RIGHT(F516,2)),0),2)=0,"Ram","Shyam"))))</f>
        <v>Shyam</v>
      </c>
      <c r="AA516" s="28">
        <f t="shared" ca="1" si="91"/>
        <v>0</v>
      </c>
      <c r="AB516" s="28">
        <f ca="1">IF(X516=1,COUNTIFS($F$2:F516,F516,$X$2:X516,1),0)</f>
        <v>0</v>
      </c>
      <c r="AC516" s="28" t="str">
        <f>IF(L516=1,IF(IFERROR(INDEX(PARTNERS!$C$2:$C$88,MATCH(B516,PARTNERS!$A$2:$A$88,0)),"")="YES","YES","NO"),"")</f>
        <v>NO</v>
      </c>
      <c r="AD516" s="28" t="str">
        <f>IF(L516=1,IFERROR(INDEX(PARTNERS!$B$2:$B$88,MATCH(B516,PARTNERS!$A$2:$A$88,0)),""),"")</f>
        <v>https://calendly.com/partner001/interview</v>
      </c>
      <c r="AE516" s="28">
        <f ca="1">IF(X516=1,IFERROR(INDEX(SETTINGS!$B$34:$D$36,MATCH(I516,SETTINGS!$A$34:$A$36,0),MIN(Q516,2)+1),SETTINGS!$B$36),0)</f>
        <v>0</v>
      </c>
      <c r="AF516" s="28">
        <f t="shared" si="92"/>
        <v>1</v>
      </c>
      <c r="AG516" s="28">
        <f ca="1">IF(AND(Y516=1,AB516=1),ROUND(AA516*AE516*IF(AF516&gt;1,SETTINGS!$B$16,1)*IF(W516&lt;=SETTINGS!$B$14,SETTINGS!$B$15,1)*IF(AU516=1,SETTINGS!$B$21,1),6),0)</f>
        <v>0</v>
      </c>
      <c r="AH516" s="28" t="str">
        <f ca="1">IF(AG516&gt;0,COUNTIFS($Z$2:$Z$601,Z516,$AG$2:$AG$601,"&gt;"&amp;AG516)+COUNTIFS($Z$2:Z516,Z516,$AG$2:AG516,AG516),"")</f>
        <v/>
      </c>
      <c r="AI516" s="28" t="str">
        <f t="shared" ca="1" si="93"/>
        <v/>
      </c>
      <c r="AJ516" s="28" t="str">
        <f t="shared" ca="1" si="94"/>
        <v/>
      </c>
      <c r="AK516" s="28">
        <f>IF(L516=1,IF(COUNTIFS($F$2:F516,F516,$L$2:L516,1)=1,1,0),0)</f>
        <v>1</v>
      </c>
      <c r="AL516" s="28" t="str">
        <f ca="1">IF(B516="","",IF(K516="DUPLICATE","Duplicate (removed)",IF(AO516=1,"Scheduled within 24h",IF(M516=1,"Scheduled late",IF(K516="BAD CONTACT","Bad contact details",IF(O516=1,"Stopped / wrong number",IF(N516=1,"Not interested",IF(P516=1,"Partner has no slots",IF(SETTINGS!$B$4&gt;=V516,IF(Q516=0,"Missed deadline: never tried","Missed deadline: tried, not booked"),IF(Q516&gt;=SETTINGS!$B$6,"No reply after max tries","Open"))))))))))</f>
        <v>Missed deadline: never tried</v>
      </c>
      <c r="AM516" s="46" t="str">
        <f>IF(M516=1,IF(_xlfn.MINIFS(LOG!$G$2:$G$2001,LOG!$C$2:$C$2001,F516,LOG!$E$2:$E$2001,B516,LOG!$D$2:$D$2001,"*BOOKED")=0,_xlfn.MINIFS(LOG!$G$2:$G$2001,LOG!$C$2:$C$2001,F516,LOG!$E$2:$E$2001,"",LOG!$D$2:$D$2001,"*BOOKED"),IF(_xlfn.MINIFS(LOG!$G$2:$G$2001,LOG!$C$2:$C$2001,F516,LOG!$E$2:$E$2001,"",LOG!$D$2:$D$2001,"*BOOKED")=0,_xlfn.MINIFS(LOG!$G$2:$G$2001,LOG!$C$2:$C$2001,F516,LOG!$E$2:$E$2001,B516,LOG!$D$2:$D$2001,"*BOOKED"),MIN(_xlfn.MINIFS(LOG!$G$2:$G$2001,LOG!$C$2:$C$2001,F516,LOG!$E$2:$E$2001,B516,LOG!$D$2:$D$2001,"*BOOKED"),_xlfn.MINIFS(LOG!$G$2:$G$2001,LOG!$C$2:$C$2001,F516,LOG!$E$2:$E$2001,"",LOG!$D$2:$D$2001,"*BOOKED")))),"")</f>
        <v/>
      </c>
      <c r="AN516" s="28" t="str">
        <f t="shared" si="95"/>
        <v/>
      </c>
      <c r="AO516" s="28">
        <f>IF(AND(M516=1,AN516&lt;&gt;""),IF(AN516&lt;=SETTINGS!$B$5,1,0),0)</f>
        <v>0</v>
      </c>
      <c r="AP516" s="28">
        <f>IF(M516=1,IF(COUNTIFS(LOG!$C$2:$C$2001,F516,LOG!$E$2:$E$2001,B516,LOG!$D$2:$D$2001,"BOOKED")+COUNTIFS(LOG!$C$2:$C$2001,F516,LOG!$E$2:$E$2001,"",LOG!$D$2:$D$2001,"BOOKED")&gt;0,1,0),0)</f>
        <v>0</v>
      </c>
      <c r="AQ516" s="28" t="str">
        <f t="shared" si="96"/>
        <v>Meera</v>
      </c>
      <c r="AR516" s="28">
        <f>IF(AND(AK516=1,K516="OK"),COUNTIFS($AK$2:AK516,1,$K$2:K516,"OK"),"")</f>
        <v>414</v>
      </c>
      <c r="AS516" s="28" t="str">
        <f>IF(L516=1,IFERROR(INDEX(MESSAGES!$J$9:$J$1008,MATCH(F516,MESSAGES!$M$9:$M$1008,0))&amp;"",""),"")</f>
        <v/>
      </c>
      <c r="AT516" s="28" t="str">
        <f>IF(L516=1,IFERROR(INDEX(MESSAGES!$K$9:$K$1008,MATCH(F516,MESSAGES!$M$9:$M$1008,0))&amp;"",""),"")</f>
        <v/>
      </c>
      <c r="AU516" s="28">
        <f t="shared" ca="1" si="97"/>
        <v>0</v>
      </c>
      <c r="AV516" s="28" t="str">
        <f t="shared" si="98"/>
        <v>HOLD</v>
      </c>
    </row>
    <row r="517" spans="1:48" x14ac:dyDescent="0.35">
      <c r="A517" s="28">
        <v>516</v>
      </c>
      <c r="B517" s="28" t="str">
        <f>IF(INPUT!A517="","",TRIM(INPUT!A517))</f>
        <v>Partner 020</v>
      </c>
      <c r="C517" s="28" t="str">
        <f>IF(B517="","",INPUT!C517)</f>
        <v>interviewer1@partner020.example.com</v>
      </c>
      <c r="D517" s="28" t="str">
        <f>IF(B517="","",INPUT!D517)</f>
        <v>Kavya D.</v>
      </c>
      <c r="E517" s="28" t="str">
        <f>IF(B517="","",INPUT!E517)</f>
        <v>kavya.d119@example.com</v>
      </c>
      <c r="F517" s="43" t="str">
        <f>IF(B517="","",TRIM(INPUT!F517&amp;""))</f>
        <v>9000001554</v>
      </c>
      <c r="G517" s="28" t="str">
        <f>IF(B517="","",INPUT!H517)</f>
        <v>Round1</v>
      </c>
      <c r="H517" s="46">
        <f>IF(B517="","",INPUT!I517)</f>
        <v>46308.82708333333</v>
      </c>
      <c r="I517" s="28" t="str">
        <f>IF(B517="","",IF(INPUT!J517="","None",INPUT!J517))</f>
        <v>Opened</v>
      </c>
      <c r="J517" s="28" t="str">
        <f t="shared" si="88"/>
        <v>kavya.d119@example.com|partner 020|Round1|interviewer1@partner020.example.com</v>
      </c>
      <c r="K517" s="28" t="str">
        <f>IF(B517="","",IF(SUMPRODUCT(($J$2:$J$601=J517)*($H$2:$H$601&lt;H517))+SUMPRODUCT(($J$2:J517=J517)*($H$2:H517=H517))-1&gt;0,"DUPLICATE",IF(AND(ISNUMBER(SEARCH("@",E517)),ISNUMBER(SEARCH(".",E517)),LEN(F517)=10,ISNUMBER(VALUE(F517))),"OK","BAD CONTACT")))</f>
        <v>OK</v>
      </c>
      <c r="L517" s="28">
        <f t="shared" si="89"/>
        <v>1</v>
      </c>
      <c r="M517" s="28">
        <f>IF(L517=1,IF(COUNTIFS(LOG!$C$2:$C$2001,F517,LOG!$E$2:$E$2001,B517,LOG!$D$2:$D$2001,"*BOOKED")+COUNTIFS(LOG!$C$2:$C$2001,F517,LOG!$E$2:$E$2001,"",LOG!$D$2:$D$2001,"*BOOKED")&gt;0,1,0),0)</f>
        <v>0</v>
      </c>
      <c r="N517" s="28">
        <f>IF(L517=1,IF(COUNTIFS(LOG!$C$2:$C$2001,F517,LOG!$E$2:$E$2001,B517,LOG!$D$2:$D$2001,"NOT_INTERESTED")+COUNTIFS(LOG!$C$2:$C$2001,F517,LOG!$E$2:$E$2001,"",LOG!$D$2:$D$2001,"NOT_INTERESTED")&gt;0,1,0),0)</f>
        <v>0</v>
      </c>
      <c r="O517" s="28">
        <f>IF(L517=1,IF(COUNTIFS(LOG!$C$2:$C$2001,F517,LOG!$D$2:$D$2001,"STOP")+COUNTIFS(LOG!$C$2:$C$2001,F517,LOG!$D$2:$D$2001,"WRONG_NUMBER")&gt;0,1,IF(ISNUMBER(SEARCH("STOP",AT517)),1,0)),0)</f>
        <v>0</v>
      </c>
      <c r="P517" s="28">
        <f>IF(L517=1,IF(IFERROR(INDEX(PARTNERS!$D$2:$D$88,MATCH(B517,PARTNERS!$A$2:$A$88,0)),"")="NO SLOTS",1,IF(AND(IFERROR(INDEX(PARTNERS!$D$2:$D$88,MATCH(B517,PARTNERS!$A$2:$A$88,0)),"")&lt;&gt;"REOPENED",COUNTIFS(LOG!$E$2:$E$2001,B517,LOG!$D$2:$D$2001,"NO_SLOTS")&gt;0),1,0)),0)</f>
        <v>0</v>
      </c>
      <c r="Q517" s="28">
        <f>IF(L517=1,COUNTIFS(LOG!$C$2:$C$2001,F517,LOG!$H$2:$H$2001,1),0)</f>
        <v>0</v>
      </c>
      <c r="R517" s="46">
        <f>IF(Q517&gt;0,_xlfn.MAXIFS(LOG!$G$2:$G$2001,LOG!$C$2:$C$2001,F517,LOG!$H$2:$H$2001,1),0)</f>
        <v>0</v>
      </c>
      <c r="S517" s="28" t="str">
        <f>IF(Q517&gt;0,IFERROR(INDEX(LOG!$D$2:$D$2001,MATCH(F517&amp;"|"&amp;Q517,LOG!$I$2:$I$2001,0)),""),"")</f>
        <v/>
      </c>
      <c r="T517" s="28">
        <f>IF(S517="",0,IFERROR(VLOOKUP(S517,LISTS!$A$2:$E$10,4,FALSE),0))</f>
        <v>0</v>
      </c>
      <c r="U517" s="46">
        <f t="shared" si="90"/>
        <v>0</v>
      </c>
      <c r="V517" s="46">
        <f>IF(L517=1,H517+SETTINGS!$B$5/24,"")</f>
        <v>46309.82708333333</v>
      </c>
      <c r="W517" s="28">
        <f ca="1">IF(L517=1,(V517-SETTINGS!$B$4)*24,"")</f>
        <v>-1.6666666720993817E-2</v>
      </c>
      <c r="X517" s="28">
        <f ca="1">IF(AND(L517=1,K517="OK",M517=0,N517=0,O517=0,P517=0,SETTINGS!$B$4&lt;V517,Q517&lt;SETTINGS!$B$6),1,0)</f>
        <v>0</v>
      </c>
      <c r="Y517" s="28">
        <f ca="1">IF(AND(X517=1,SETTINGS!$B$4&gt;=H517,SETTINGS!$B$4&gt;=U517,ROUND(MOD(SETTINGS!$B$4,1)*1440,0)&gt;=ROUND(SETTINGS!$B$7*1440,0),ROUND(MOD(SETTINGS!$B$4,1)*1440,0)&lt;ROUND(SETTINGS!$B$8*1440,0)),1,0)</f>
        <v>0</v>
      </c>
      <c r="Z517" s="28" t="str">
        <f ca="1">IF(B517="","",IF(ROUND(MOD(SETTINGS!$B$4,1)*1440,0)&lt;ROUND(SETTINGS!$B$11*1440,0),"Ram",IF(ROUND(MOD(SETTINGS!$B$4,1)*1440,0)&gt;=ROUND(SETTINGS!$B$10*1440,0),"Shyam",IF(MOD(IFERROR(VALUE(RIGHT(F517,2)),0),2)=0,"Ram","Shyam"))))</f>
        <v>Shyam</v>
      </c>
      <c r="AA517" s="28">
        <f t="shared" ca="1" si="91"/>
        <v>0</v>
      </c>
      <c r="AB517" s="28">
        <f ca="1">IF(X517=1,COUNTIFS($F$2:F517,F517,$X$2:X517,1),0)</f>
        <v>0</v>
      </c>
      <c r="AC517" s="28" t="str">
        <f>IF(L517=1,IF(IFERROR(INDEX(PARTNERS!$C$2:$C$88,MATCH(B517,PARTNERS!$A$2:$A$88,0)),"")="YES","YES","NO"),"")</f>
        <v>YES</v>
      </c>
      <c r="AD517" s="28" t="str">
        <f>IF(L517=1,IFERROR(INDEX(PARTNERS!$B$2:$B$88,MATCH(B517,PARTNERS!$A$2:$A$88,0)),""),"")</f>
        <v>https://calendly.com/partner020/interview</v>
      </c>
      <c r="AE517" s="28">
        <f ca="1">IF(X517=1,IFERROR(INDEX(SETTINGS!$B$34:$D$36,MATCH(I517,SETTINGS!$A$34:$A$36,0),MIN(Q517,2)+1),SETTINGS!$B$36),0)</f>
        <v>0</v>
      </c>
      <c r="AF517" s="28">
        <f t="shared" si="92"/>
        <v>1</v>
      </c>
      <c r="AG517" s="28">
        <f ca="1">IF(AND(Y517=1,AB517=1),ROUND(AA517*AE517*IF(AF517&gt;1,SETTINGS!$B$16,1)*IF(W517&lt;=SETTINGS!$B$14,SETTINGS!$B$15,1)*IF(AU517=1,SETTINGS!$B$21,1),6),0)</f>
        <v>0</v>
      </c>
      <c r="AH517" s="28" t="str">
        <f ca="1">IF(AG517&gt;0,COUNTIFS($Z$2:$Z$601,Z517,$AG$2:$AG$601,"&gt;"&amp;AG517)+COUNTIFS($Z$2:Z517,Z517,$AG$2:AG517,AG517),"")</f>
        <v/>
      </c>
      <c r="AI517" s="28" t="str">
        <f t="shared" ca="1" si="93"/>
        <v/>
      </c>
      <c r="AJ517" s="28" t="str">
        <f t="shared" ca="1" si="94"/>
        <v/>
      </c>
      <c r="AK517" s="28">
        <f>IF(L517=1,IF(COUNTIFS($F$2:F517,F517,$L$2:L517,1)=1,1,0),0)</f>
        <v>1</v>
      </c>
      <c r="AL517" s="28" t="str">
        <f ca="1">IF(B517="","",IF(K517="DUPLICATE","Duplicate (removed)",IF(AO517=1,"Scheduled within 24h",IF(M517=1,"Scheduled late",IF(K517="BAD CONTACT","Bad contact details",IF(O517=1,"Stopped / wrong number",IF(N517=1,"Not interested",IF(P517=1,"Partner has no slots",IF(SETTINGS!$B$4&gt;=V517,IF(Q517=0,"Missed deadline: never tried","Missed deadline: tried, not booked"),IF(Q517&gt;=SETTINGS!$B$6,"No reply after max tries","Open"))))))))))</f>
        <v>Missed deadline: never tried</v>
      </c>
      <c r="AM517" s="46" t="str">
        <f>IF(M517=1,IF(_xlfn.MINIFS(LOG!$G$2:$G$2001,LOG!$C$2:$C$2001,F517,LOG!$E$2:$E$2001,B517,LOG!$D$2:$D$2001,"*BOOKED")=0,_xlfn.MINIFS(LOG!$G$2:$G$2001,LOG!$C$2:$C$2001,F517,LOG!$E$2:$E$2001,"",LOG!$D$2:$D$2001,"*BOOKED"),IF(_xlfn.MINIFS(LOG!$G$2:$G$2001,LOG!$C$2:$C$2001,F517,LOG!$E$2:$E$2001,"",LOG!$D$2:$D$2001,"*BOOKED")=0,_xlfn.MINIFS(LOG!$G$2:$G$2001,LOG!$C$2:$C$2001,F517,LOG!$E$2:$E$2001,B517,LOG!$D$2:$D$2001,"*BOOKED"),MIN(_xlfn.MINIFS(LOG!$G$2:$G$2001,LOG!$C$2:$C$2001,F517,LOG!$E$2:$E$2001,B517,LOG!$D$2:$D$2001,"*BOOKED"),_xlfn.MINIFS(LOG!$G$2:$G$2001,LOG!$C$2:$C$2001,F517,LOG!$E$2:$E$2001,"",LOG!$D$2:$D$2001,"*BOOKED")))),"")</f>
        <v/>
      </c>
      <c r="AN517" s="28" t="str">
        <f t="shared" si="95"/>
        <v/>
      </c>
      <c r="AO517" s="28">
        <f>IF(AND(M517=1,AN517&lt;&gt;""),IF(AN517&lt;=SETTINGS!$B$5,1,0),0)</f>
        <v>0</v>
      </c>
      <c r="AP517" s="28">
        <f>IF(M517=1,IF(COUNTIFS(LOG!$C$2:$C$2001,F517,LOG!$E$2:$E$2001,B517,LOG!$D$2:$D$2001,"BOOKED")+COUNTIFS(LOG!$C$2:$C$2001,F517,LOG!$E$2:$E$2001,"",LOG!$D$2:$D$2001,"BOOKED")&gt;0,1,0),0)</f>
        <v>0</v>
      </c>
      <c r="AQ517" s="28" t="str">
        <f t="shared" si="96"/>
        <v>Kavya</v>
      </c>
      <c r="AR517" s="28">
        <f>IF(AND(AK517=1,K517="OK"),COUNTIFS($AK$2:AK517,1,$K$2:K517,"OK"),"")</f>
        <v>415</v>
      </c>
      <c r="AS517" s="28" t="str">
        <f>IF(L517=1,IFERROR(INDEX(MESSAGES!$J$9:$J$1008,MATCH(F517,MESSAGES!$M$9:$M$1008,0))&amp;"",""),"")</f>
        <v/>
      </c>
      <c r="AT517" s="28" t="str">
        <f>IF(L517=1,IFERROR(INDEX(MESSAGES!$K$9:$K$1008,MATCH(F517,MESSAGES!$M$9:$M$1008,0))&amp;"",""),"")</f>
        <v/>
      </c>
      <c r="AU517" s="28">
        <f t="shared" ca="1" si="97"/>
        <v>0</v>
      </c>
      <c r="AV517" s="28" t="str">
        <f t="shared" si="98"/>
        <v>HOLD</v>
      </c>
    </row>
    <row r="518" spans="1:48" x14ac:dyDescent="0.35">
      <c r="A518" s="28">
        <v>517</v>
      </c>
      <c r="B518" s="28" t="str">
        <f>IF(INPUT!A518="","",TRIM(INPUT!A518))</f>
        <v>Partner 014</v>
      </c>
      <c r="C518" s="28" t="str">
        <f>IF(B518="","",INPUT!C518)</f>
        <v>interviewer1@partner014.example.com</v>
      </c>
      <c r="D518" s="28" t="str">
        <f>IF(B518="","",INPUT!D518)</f>
        <v>Ishaan L.</v>
      </c>
      <c r="E518" s="28" t="str">
        <f>IF(B518="","",INPUT!E518)</f>
        <v>ishaan.l314@example.com</v>
      </c>
      <c r="F518" s="43" t="str">
        <f>IF(B518="","",TRIM(INPUT!F518&amp;""))</f>
        <v>9000004089</v>
      </c>
      <c r="G518" s="28" t="str">
        <f>IF(B518="","",INPUT!H518)</f>
        <v>Round1</v>
      </c>
      <c r="H518" s="46">
        <f>IF(B518="","",INPUT!I518)</f>
        <v>46308.82708333333</v>
      </c>
      <c r="I518" s="28" t="str">
        <f>IF(B518="","",IF(INPUT!J518="","None",INPUT!J518))</f>
        <v>Opened</v>
      </c>
      <c r="J518" s="28" t="str">
        <f t="shared" si="88"/>
        <v>ishaan.l314@example.com|partner 014|Round1|interviewer1@partner014.example.com</v>
      </c>
      <c r="K518" s="28" t="str">
        <f>IF(B518="","",IF(SUMPRODUCT(($J$2:$J$601=J518)*($H$2:$H$601&lt;H518))+SUMPRODUCT(($J$2:J518=J518)*($H$2:H518=H518))-1&gt;0,"DUPLICATE",IF(AND(ISNUMBER(SEARCH("@",E518)),ISNUMBER(SEARCH(".",E518)),LEN(F518)=10,ISNUMBER(VALUE(F518))),"OK","BAD CONTACT")))</f>
        <v>OK</v>
      </c>
      <c r="L518" s="28">
        <f t="shared" si="89"/>
        <v>1</v>
      </c>
      <c r="M518" s="28">
        <f>IF(L518=1,IF(COUNTIFS(LOG!$C$2:$C$2001,F518,LOG!$E$2:$E$2001,B518,LOG!$D$2:$D$2001,"*BOOKED")+COUNTIFS(LOG!$C$2:$C$2001,F518,LOG!$E$2:$E$2001,"",LOG!$D$2:$D$2001,"*BOOKED")&gt;0,1,0),0)</f>
        <v>0</v>
      </c>
      <c r="N518" s="28">
        <f>IF(L518=1,IF(COUNTIFS(LOG!$C$2:$C$2001,F518,LOG!$E$2:$E$2001,B518,LOG!$D$2:$D$2001,"NOT_INTERESTED")+COUNTIFS(LOG!$C$2:$C$2001,F518,LOG!$E$2:$E$2001,"",LOG!$D$2:$D$2001,"NOT_INTERESTED")&gt;0,1,0),0)</f>
        <v>0</v>
      </c>
      <c r="O518" s="28">
        <f>IF(L518=1,IF(COUNTIFS(LOG!$C$2:$C$2001,F518,LOG!$D$2:$D$2001,"STOP")+COUNTIFS(LOG!$C$2:$C$2001,F518,LOG!$D$2:$D$2001,"WRONG_NUMBER")&gt;0,1,IF(ISNUMBER(SEARCH("STOP",AT518)),1,0)),0)</f>
        <v>0</v>
      </c>
      <c r="P518" s="28">
        <f>IF(L518=1,IF(IFERROR(INDEX(PARTNERS!$D$2:$D$88,MATCH(B518,PARTNERS!$A$2:$A$88,0)),"")="NO SLOTS",1,IF(AND(IFERROR(INDEX(PARTNERS!$D$2:$D$88,MATCH(B518,PARTNERS!$A$2:$A$88,0)),"")&lt;&gt;"REOPENED",COUNTIFS(LOG!$E$2:$E$2001,B518,LOG!$D$2:$D$2001,"NO_SLOTS")&gt;0),1,0)),0)</f>
        <v>0</v>
      </c>
      <c r="Q518" s="28">
        <f>IF(L518=1,COUNTIFS(LOG!$C$2:$C$2001,F518,LOG!$H$2:$H$2001,1),0)</f>
        <v>3</v>
      </c>
      <c r="R518" s="46">
        <f>IF(Q518&gt;0,_xlfn.MAXIFS(LOG!$G$2:$G$2001,LOG!$C$2:$C$2001,F518,LOG!$H$2:$H$2001,1),0)</f>
        <v>46309.71586280824</v>
      </c>
      <c r="S518" s="28" t="str">
        <f>IF(Q518&gt;0,IFERROR(INDEX(LOG!$D$2:$D$2001,MATCH(F518&amp;"|"&amp;Q518,LOG!$I$2:$I$2001,0)),""),"")</f>
        <v>SENT_LINK</v>
      </c>
      <c r="T518" s="28">
        <f>IF(S518="",0,IFERROR(VLOOKUP(S518,LISTS!$A$2:$E$10,4,FALSE),0))</f>
        <v>180</v>
      </c>
      <c r="U518" s="46">
        <f t="shared" si="90"/>
        <v>46309.84086280824</v>
      </c>
      <c r="V518" s="46">
        <f>IF(L518=1,H518+SETTINGS!$B$5/24,"")</f>
        <v>46309.82708333333</v>
      </c>
      <c r="W518" s="28">
        <f ca="1">IF(L518=1,(V518-SETTINGS!$B$4)*24,"")</f>
        <v>-1.6666666720993817E-2</v>
      </c>
      <c r="X518" s="28">
        <f ca="1">IF(AND(L518=1,K518="OK",M518=0,N518=0,O518=0,P518=0,SETTINGS!$B$4&lt;V518,Q518&lt;SETTINGS!$B$6),1,0)</f>
        <v>0</v>
      </c>
      <c r="Y518" s="28">
        <f ca="1">IF(AND(X518=1,SETTINGS!$B$4&gt;=H518,SETTINGS!$B$4&gt;=U518,ROUND(MOD(SETTINGS!$B$4,1)*1440,0)&gt;=ROUND(SETTINGS!$B$7*1440,0),ROUND(MOD(SETTINGS!$B$4,1)*1440,0)&lt;ROUND(SETTINGS!$B$8*1440,0)),1,0)</f>
        <v>0</v>
      </c>
      <c r="Z518" s="28" t="str">
        <f ca="1">IF(B518="","",IF(ROUND(MOD(SETTINGS!$B$4,1)*1440,0)&lt;ROUND(SETTINGS!$B$11*1440,0),"Ram",IF(ROUND(MOD(SETTINGS!$B$4,1)*1440,0)&gt;=ROUND(SETTINGS!$B$10*1440,0),"Shyam",IF(MOD(IFERROR(VALUE(RIGHT(F518,2)),0),2)=0,"Ram","Shyam"))))</f>
        <v>Shyam</v>
      </c>
      <c r="AA518" s="28">
        <f t="shared" ca="1" si="91"/>
        <v>0</v>
      </c>
      <c r="AB518" s="28">
        <f ca="1">IF(X518=1,COUNTIFS($F$2:F518,F518,$X$2:X518,1),0)</f>
        <v>0</v>
      </c>
      <c r="AC518" s="28" t="str">
        <f>IF(L518=1,IF(IFERROR(INDEX(PARTNERS!$C$2:$C$88,MATCH(B518,PARTNERS!$A$2:$A$88,0)),"")="YES","YES","NO"),"")</f>
        <v>NO</v>
      </c>
      <c r="AD518" s="28" t="str">
        <f>IF(L518=1,IFERROR(INDEX(PARTNERS!$B$2:$B$88,MATCH(B518,PARTNERS!$A$2:$A$88,0)),""),"")</f>
        <v>https://calendly.com/partner014/interview</v>
      </c>
      <c r="AE518" s="28">
        <f ca="1">IF(X518=1,IFERROR(INDEX(SETTINGS!$B$34:$D$36,MATCH(I518,SETTINGS!$A$34:$A$36,0),MIN(Q518,2)+1),SETTINGS!$B$36),0)</f>
        <v>0</v>
      </c>
      <c r="AF518" s="28">
        <f t="shared" si="92"/>
        <v>1</v>
      </c>
      <c r="AG518" s="28">
        <f ca="1">IF(AND(Y518=1,AB518=1),ROUND(AA518*AE518*IF(AF518&gt;1,SETTINGS!$B$16,1)*IF(W518&lt;=SETTINGS!$B$14,SETTINGS!$B$15,1)*IF(AU518=1,SETTINGS!$B$21,1),6),0)</f>
        <v>0</v>
      </c>
      <c r="AH518" s="28" t="str">
        <f ca="1">IF(AG518&gt;0,COUNTIFS($Z$2:$Z$601,Z518,$AG$2:$AG$601,"&gt;"&amp;AG518)+COUNTIFS($Z$2:Z518,Z518,$AG$2:AG518,AG518),"")</f>
        <v/>
      </c>
      <c r="AI518" s="28" t="str">
        <f t="shared" ca="1" si="93"/>
        <v/>
      </c>
      <c r="AJ518" s="28" t="str">
        <f t="shared" ca="1" si="94"/>
        <v/>
      </c>
      <c r="AK518" s="28">
        <f>IF(L518=1,IF(COUNTIFS($F$2:F518,F518,$L$2:L518,1)=1,1,0),0)</f>
        <v>0</v>
      </c>
      <c r="AL518" s="28" t="str">
        <f ca="1">IF(B518="","",IF(K518="DUPLICATE","Duplicate (removed)",IF(AO518=1,"Scheduled within 24h",IF(M518=1,"Scheduled late",IF(K518="BAD CONTACT","Bad contact details",IF(O518=1,"Stopped / wrong number",IF(N518=1,"Not interested",IF(P518=1,"Partner has no slots",IF(SETTINGS!$B$4&gt;=V518,IF(Q518=0,"Missed deadline: never tried","Missed deadline: tried, not booked"),IF(Q518&gt;=SETTINGS!$B$6,"No reply after max tries","Open"))))))))))</f>
        <v>Missed deadline: tried, not booked</v>
      </c>
      <c r="AM518" s="46" t="str">
        <f>IF(M518=1,IF(_xlfn.MINIFS(LOG!$G$2:$G$2001,LOG!$C$2:$C$2001,F518,LOG!$E$2:$E$2001,B518,LOG!$D$2:$D$2001,"*BOOKED")=0,_xlfn.MINIFS(LOG!$G$2:$G$2001,LOG!$C$2:$C$2001,F518,LOG!$E$2:$E$2001,"",LOG!$D$2:$D$2001,"*BOOKED"),IF(_xlfn.MINIFS(LOG!$G$2:$G$2001,LOG!$C$2:$C$2001,F518,LOG!$E$2:$E$2001,"",LOG!$D$2:$D$2001,"*BOOKED")=0,_xlfn.MINIFS(LOG!$G$2:$G$2001,LOG!$C$2:$C$2001,F518,LOG!$E$2:$E$2001,B518,LOG!$D$2:$D$2001,"*BOOKED"),MIN(_xlfn.MINIFS(LOG!$G$2:$G$2001,LOG!$C$2:$C$2001,F518,LOG!$E$2:$E$2001,B518,LOG!$D$2:$D$2001,"*BOOKED"),_xlfn.MINIFS(LOG!$G$2:$G$2001,LOG!$C$2:$C$2001,F518,LOG!$E$2:$E$2001,"",LOG!$D$2:$D$2001,"*BOOKED")))),"")</f>
        <v/>
      </c>
      <c r="AN518" s="28" t="str">
        <f t="shared" si="95"/>
        <v/>
      </c>
      <c r="AO518" s="28">
        <f>IF(AND(M518=1,AN518&lt;&gt;""),IF(AN518&lt;=SETTINGS!$B$5,1,0),0)</f>
        <v>0</v>
      </c>
      <c r="AP518" s="28">
        <f>IF(M518=1,IF(COUNTIFS(LOG!$C$2:$C$2001,F518,LOG!$E$2:$E$2001,B518,LOG!$D$2:$D$2001,"BOOKED")+COUNTIFS(LOG!$C$2:$C$2001,F518,LOG!$E$2:$E$2001,"",LOG!$D$2:$D$2001,"BOOKED")&gt;0,1,0),0)</f>
        <v>0</v>
      </c>
      <c r="AQ518" s="28" t="str">
        <f t="shared" si="96"/>
        <v>Ishaan</v>
      </c>
      <c r="AR518" s="28" t="str">
        <f>IF(AND(AK518=1,K518="OK"),COUNTIFS($AK$2:AK518,1,$K$2:K518,"OK"),"")</f>
        <v/>
      </c>
      <c r="AS518" s="28" t="str">
        <f>IF(L518=1,IFERROR(INDEX(MESSAGES!$J$9:$J$1008,MATCH(F518,MESSAGES!$M$9:$M$1008,0))&amp;"",""),"")</f>
        <v/>
      </c>
      <c r="AT518" s="28" t="str">
        <f>IF(L518=1,IFERROR(INDEX(MESSAGES!$K$9:$K$1008,MATCH(F518,MESSAGES!$M$9:$M$1008,0))&amp;"",""),"")</f>
        <v/>
      </c>
      <c r="AU518" s="28">
        <f t="shared" ca="1" si="97"/>
        <v>0</v>
      </c>
      <c r="AV518" s="28" t="str">
        <f t="shared" si="98"/>
        <v>SEND</v>
      </c>
    </row>
    <row r="519" spans="1:48" x14ac:dyDescent="0.35">
      <c r="A519" s="28">
        <v>518</v>
      </c>
      <c r="B519" s="28" t="str">
        <f>IF(INPUT!A519="","",TRIM(INPUT!A519))</f>
        <v>Partner 018</v>
      </c>
      <c r="C519" s="28" t="str">
        <f>IF(B519="","",INPUT!C519)</f>
        <v>interviewer1@partner018.example.com</v>
      </c>
      <c r="D519" s="28" t="str">
        <f>IF(B519="","",INPUT!D519)</f>
        <v>Varun A.</v>
      </c>
      <c r="E519" s="28" t="str">
        <f>IF(B519="","",INPUT!E519)</f>
        <v>varun.a028@example.com</v>
      </c>
      <c r="F519" s="43" t="str">
        <f>IF(B519="","",TRIM(INPUT!F519&amp;""))</f>
        <v>9000000371</v>
      </c>
      <c r="G519" s="28" t="str">
        <f>IF(B519="","",INPUT!H519)</f>
        <v>Round1</v>
      </c>
      <c r="H519" s="46">
        <f>IF(B519="","",INPUT!I519)</f>
        <v>46308.82708333333</v>
      </c>
      <c r="I519" s="28" t="str">
        <f>IF(B519="","",IF(INPUT!J519="","None",INPUT!J519))</f>
        <v>Clicked</v>
      </c>
      <c r="J519" s="28" t="str">
        <f t="shared" si="88"/>
        <v>varun.a028@example.com|partner 018|Round1|interviewer1@partner018.example.com</v>
      </c>
      <c r="K519" s="28" t="str">
        <f>IF(B519="","",IF(SUMPRODUCT(($J$2:$J$601=J519)*($H$2:$H$601&lt;H519))+SUMPRODUCT(($J$2:J519=J519)*($H$2:H519=H519))-1&gt;0,"DUPLICATE",IF(AND(ISNUMBER(SEARCH("@",E519)),ISNUMBER(SEARCH(".",E519)),LEN(F519)=10,ISNUMBER(VALUE(F519))),"OK","BAD CONTACT")))</f>
        <v>OK</v>
      </c>
      <c r="L519" s="28">
        <f t="shared" si="89"/>
        <v>1</v>
      </c>
      <c r="M519" s="28">
        <f>IF(L519=1,IF(COUNTIFS(LOG!$C$2:$C$2001,F519,LOG!$E$2:$E$2001,B519,LOG!$D$2:$D$2001,"*BOOKED")+COUNTIFS(LOG!$C$2:$C$2001,F519,LOG!$E$2:$E$2001,"",LOG!$D$2:$D$2001,"*BOOKED")&gt;0,1,0),0)</f>
        <v>0</v>
      </c>
      <c r="N519" s="28">
        <f>IF(L519=1,IF(COUNTIFS(LOG!$C$2:$C$2001,F519,LOG!$E$2:$E$2001,B519,LOG!$D$2:$D$2001,"NOT_INTERESTED")+COUNTIFS(LOG!$C$2:$C$2001,F519,LOG!$E$2:$E$2001,"",LOG!$D$2:$D$2001,"NOT_INTERESTED")&gt;0,1,0),0)</f>
        <v>0</v>
      </c>
      <c r="O519" s="28">
        <f>IF(L519=1,IF(COUNTIFS(LOG!$C$2:$C$2001,F519,LOG!$D$2:$D$2001,"STOP")+COUNTIFS(LOG!$C$2:$C$2001,F519,LOG!$D$2:$D$2001,"WRONG_NUMBER")&gt;0,1,IF(ISNUMBER(SEARCH("STOP",AT519)),1,0)),0)</f>
        <v>0</v>
      </c>
      <c r="P519" s="28">
        <f>IF(L519=1,IF(IFERROR(INDEX(PARTNERS!$D$2:$D$88,MATCH(B519,PARTNERS!$A$2:$A$88,0)),"")="NO SLOTS",1,IF(AND(IFERROR(INDEX(PARTNERS!$D$2:$D$88,MATCH(B519,PARTNERS!$A$2:$A$88,0)),"")&lt;&gt;"REOPENED",COUNTIFS(LOG!$E$2:$E$2001,B519,LOG!$D$2:$D$2001,"NO_SLOTS")&gt;0),1,0)),0)</f>
        <v>0</v>
      </c>
      <c r="Q519" s="28">
        <f>IF(L519=1,COUNTIFS(LOG!$C$2:$C$2001,F519,LOG!$H$2:$H$2001,1),0)</f>
        <v>2</v>
      </c>
      <c r="R519" s="46">
        <f>IF(Q519&gt;0,_xlfn.MAXIFS(LOG!$G$2:$G$2001,LOG!$C$2:$C$2001,F519,LOG!$H$2:$H$2001,1),0)</f>
        <v>46309.802167603331</v>
      </c>
      <c r="S519" s="28" t="str">
        <f>IF(Q519&gt;0,IFERROR(INDEX(LOG!$D$2:$D$2001,MATCH(F519&amp;"|"&amp;Q519,LOG!$I$2:$I$2001,0)),""),"")</f>
        <v>CALL_BACK</v>
      </c>
      <c r="T519" s="28">
        <f>IF(S519="",0,IFERROR(VLOOKUP(S519,LISTS!$A$2:$E$10,4,FALSE),0))</f>
        <v>120</v>
      </c>
      <c r="U519" s="46">
        <f t="shared" si="90"/>
        <v>46309.885500936667</v>
      </c>
      <c r="V519" s="46">
        <f>IF(L519=1,H519+SETTINGS!$B$5/24,"")</f>
        <v>46309.82708333333</v>
      </c>
      <c r="W519" s="28">
        <f ca="1">IF(L519=1,(V519-SETTINGS!$B$4)*24,"")</f>
        <v>-1.6666666720993817E-2</v>
      </c>
      <c r="X519" s="28">
        <f ca="1">IF(AND(L519=1,K519="OK",M519=0,N519=0,O519=0,P519=0,SETTINGS!$B$4&lt;V519,Q519&lt;SETTINGS!$B$6),1,0)</f>
        <v>0</v>
      </c>
      <c r="Y519" s="28">
        <f ca="1">IF(AND(X519=1,SETTINGS!$B$4&gt;=H519,SETTINGS!$B$4&gt;=U519,ROUND(MOD(SETTINGS!$B$4,1)*1440,0)&gt;=ROUND(SETTINGS!$B$7*1440,0),ROUND(MOD(SETTINGS!$B$4,1)*1440,0)&lt;ROUND(SETTINGS!$B$8*1440,0)),1,0)</f>
        <v>0</v>
      </c>
      <c r="Z519" s="28" t="str">
        <f ca="1">IF(B519="","",IF(ROUND(MOD(SETTINGS!$B$4,1)*1440,0)&lt;ROUND(SETTINGS!$B$11*1440,0),"Ram",IF(ROUND(MOD(SETTINGS!$B$4,1)*1440,0)&gt;=ROUND(SETTINGS!$B$10*1440,0),"Shyam",IF(MOD(IFERROR(VALUE(RIGHT(F519,2)),0),2)=0,"Ram","Shyam"))))</f>
        <v>Shyam</v>
      </c>
      <c r="AA519" s="28">
        <f t="shared" ca="1" si="91"/>
        <v>0</v>
      </c>
      <c r="AB519" s="28">
        <f ca="1">IF(X519=1,COUNTIFS($F$2:F519,F519,$X$2:X519,1),0)</f>
        <v>0</v>
      </c>
      <c r="AC519" s="28" t="str">
        <f>IF(L519=1,IF(IFERROR(INDEX(PARTNERS!$C$2:$C$88,MATCH(B519,PARTNERS!$A$2:$A$88,0)),"")="YES","YES","NO"),"")</f>
        <v>YES</v>
      </c>
      <c r="AD519" s="28" t="str">
        <f>IF(L519=1,IFERROR(INDEX(PARTNERS!$B$2:$B$88,MATCH(B519,PARTNERS!$A$2:$A$88,0)),""),"")</f>
        <v>https://calendly.com/partner018/interview</v>
      </c>
      <c r="AE519" s="28">
        <f ca="1">IF(X519=1,IFERROR(INDEX(SETTINGS!$B$34:$D$36,MATCH(I519,SETTINGS!$A$34:$A$36,0),MIN(Q519,2)+1),SETTINGS!$B$36),0)</f>
        <v>0</v>
      </c>
      <c r="AF519" s="28">
        <f t="shared" si="92"/>
        <v>1</v>
      </c>
      <c r="AG519" s="28">
        <f ca="1">IF(AND(Y519=1,AB519=1),ROUND(AA519*AE519*IF(AF519&gt;1,SETTINGS!$B$16,1)*IF(W519&lt;=SETTINGS!$B$14,SETTINGS!$B$15,1)*IF(AU519=1,SETTINGS!$B$21,1),6),0)</f>
        <v>0</v>
      </c>
      <c r="AH519" s="28" t="str">
        <f ca="1">IF(AG519&gt;0,COUNTIFS($Z$2:$Z$601,Z519,$AG$2:$AG$601,"&gt;"&amp;AG519)+COUNTIFS($Z$2:Z519,Z519,$AG$2:AG519,AG519),"")</f>
        <v/>
      </c>
      <c r="AI519" s="28" t="str">
        <f t="shared" ca="1" si="93"/>
        <v/>
      </c>
      <c r="AJ519" s="28" t="str">
        <f t="shared" ca="1" si="94"/>
        <v/>
      </c>
      <c r="AK519" s="28">
        <f>IF(L519=1,IF(COUNTIFS($F$2:F519,F519,$L$2:L519,1)=1,1,0),0)</f>
        <v>1</v>
      </c>
      <c r="AL519" s="28" t="str">
        <f ca="1">IF(B519="","",IF(K519="DUPLICATE","Duplicate (removed)",IF(AO519=1,"Scheduled within 24h",IF(M519=1,"Scheduled late",IF(K519="BAD CONTACT","Bad contact details",IF(O519=1,"Stopped / wrong number",IF(N519=1,"Not interested",IF(P519=1,"Partner has no slots",IF(SETTINGS!$B$4&gt;=V519,IF(Q519=0,"Missed deadline: never tried","Missed deadline: tried, not booked"),IF(Q519&gt;=SETTINGS!$B$6,"No reply after max tries","Open"))))))))))</f>
        <v>Missed deadline: tried, not booked</v>
      </c>
      <c r="AM519" s="46" t="str">
        <f>IF(M519=1,IF(_xlfn.MINIFS(LOG!$G$2:$G$2001,LOG!$C$2:$C$2001,F519,LOG!$E$2:$E$2001,B519,LOG!$D$2:$D$2001,"*BOOKED")=0,_xlfn.MINIFS(LOG!$G$2:$G$2001,LOG!$C$2:$C$2001,F519,LOG!$E$2:$E$2001,"",LOG!$D$2:$D$2001,"*BOOKED"),IF(_xlfn.MINIFS(LOG!$G$2:$G$2001,LOG!$C$2:$C$2001,F519,LOG!$E$2:$E$2001,"",LOG!$D$2:$D$2001,"*BOOKED")=0,_xlfn.MINIFS(LOG!$G$2:$G$2001,LOG!$C$2:$C$2001,F519,LOG!$E$2:$E$2001,B519,LOG!$D$2:$D$2001,"*BOOKED"),MIN(_xlfn.MINIFS(LOG!$G$2:$G$2001,LOG!$C$2:$C$2001,F519,LOG!$E$2:$E$2001,B519,LOG!$D$2:$D$2001,"*BOOKED"),_xlfn.MINIFS(LOG!$G$2:$G$2001,LOG!$C$2:$C$2001,F519,LOG!$E$2:$E$2001,"",LOG!$D$2:$D$2001,"*BOOKED")))),"")</f>
        <v/>
      </c>
      <c r="AN519" s="28" t="str">
        <f t="shared" si="95"/>
        <v/>
      </c>
      <c r="AO519" s="28">
        <f>IF(AND(M519=1,AN519&lt;&gt;""),IF(AN519&lt;=SETTINGS!$B$5,1,0),0)</f>
        <v>0</v>
      </c>
      <c r="AP519" s="28">
        <f>IF(M519=1,IF(COUNTIFS(LOG!$C$2:$C$2001,F519,LOG!$E$2:$E$2001,B519,LOG!$D$2:$D$2001,"BOOKED")+COUNTIFS(LOG!$C$2:$C$2001,F519,LOG!$E$2:$E$2001,"",LOG!$D$2:$D$2001,"BOOKED")&gt;0,1,0),0)</f>
        <v>0</v>
      </c>
      <c r="AQ519" s="28" t="str">
        <f t="shared" si="96"/>
        <v>Varun</v>
      </c>
      <c r="AR519" s="28">
        <f>IF(AND(AK519=1,K519="OK"),COUNTIFS($AK$2:AK519,1,$K$2:K519,"OK"),"")</f>
        <v>416</v>
      </c>
      <c r="AS519" s="28" t="str">
        <f>IF(L519=1,IFERROR(INDEX(MESSAGES!$J$9:$J$1008,MATCH(F519,MESSAGES!$M$9:$M$1008,0))&amp;"",""),"")</f>
        <v/>
      </c>
      <c r="AT519" s="28" t="str">
        <f>IF(L519=1,IFERROR(INDEX(MESSAGES!$K$9:$K$1008,MATCH(F519,MESSAGES!$M$9:$M$1008,0))&amp;"",""),"")</f>
        <v/>
      </c>
      <c r="AU519" s="28">
        <f t="shared" ca="1" si="97"/>
        <v>0</v>
      </c>
      <c r="AV519" s="28" t="str">
        <f t="shared" si="98"/>
        <v>HOLD</v>
      </c>
    </row>
    <row r="520" spans="1:48" x14ac:dyDescent="0.35">
      <c r="A520" s="28">
        <v>519</v>
      </c>
      <c r="B520" s="28" t="str">
        <f>IF(INPUT!A520="","",TRIM(INPUT!A520))</f>
        <v>Partner 032</v>
      </c>
      <c r="C520" s="28" t="str">
        <f>IF(B520="","",INPUT!C520)</f>
        <v>interviewer0@partner032.example.com</v>
      </c>
      <c r="D520" s="28" t="str">
        <f>IF(B520="","",INPUT!D520)</f>
        <v>Diya L.</v>
      </c>
      <c r="E520" s="28" t="str">
        <f>IF(B520="","",INPUT!E520)</f>
        <v>diya.l301@example.com</v>
      </c>
      <c r="F520" s="43" t="str">
        <f>IF(B520="","",TRIM(INPUT!F520&amp;""))</f>
        <v>9000003920</v>
      </c>
      <c r="G520" s="28" t="str">
        <f>IF(B520="","",INPUT!H520)</f>
        <v>Round1</v>
      </c>
      <c r="H520" s="46">
        <f>IF(B520="","",INPUT!I520)</f>
        <v>46308.82708333333</v>
      </c>
      <c r="I520" s="28" t="str">
        <f>IF(B520="","",IF(INPUT!J520="","None",INPUT!J520))</f>
        <v>Clicked</v>
      </c>
      <c r="J520" s="28" t="str">
        <f t="shared" si="88"/>
        <v>diya.l301@example.com|partner 032|Round1|interviewer0@partner032.example.com</v>
      </c>
      <c r="K520" s="28" t="str">
        <f>IF(B520="","",IF(SUMPRODUCT(($J$2:$J$601=J520)*($H$2:$H$601&lt;H520))+SUMPRODUCT(($J$2:J520=J520)*($H$2:H520=H520))-1&gt;0,"DUPLICATE",IF(AND(ISNUMBER(SEARCH("@",E520)),ISNUMBER(SEARCH(".",E520)),LEN(F520)=10,ISNUMBER(VALUE(F520))),"OK","BAD CONTACT")))</f>
        <v>OK</v>
      </c>
      <c r="L520" s="28">
        <f t="shared" si="89"/>
        <v>1</v>
      </c>
      <c r="M520" s="28">
        <f>IF(L520=1,IF(COUNTIFS(LOG!$C$2:$C$2001,F520,LOG!$E$2:$E$2001,B520,LOG!$D$2:$D$2001,"*BOOKED")+COUNTIFS(LOG!$C$2:$C$2001,F520,LOG!$E$2:$E$2001,"",LOG!$D$2:$D$2001,"*BOOKED")&gt;0,1,0),0)</f>
        <v>1</v>
      </c>
      <c r="N520" s="28">
        <f>IF(L520=1,IF(COUNTIFS(LOG!$C$2:$C$2001,F520,LOG!$E$2:$E$2001,B520,LOG!$D$2:$D$2001,"NOT_INTERESTED")+COUNTIFS(LOG!$C$2:$C$2001,F520,LOG!$E$2:$E$2001,"",LOG!$D$2:$D$2001,"NOT_INTERESTED")&gt;0,1,0),0)</f>
        <v>0</v>
      </c>
      <c r="O520" s="28">
        <f>IF(L520=1,IF(COUNTIFS(LOG!$C$2:$C$2001,F520,LOG!$D$2:$D$2001,"STOP")+COUNTIFS(LOG!$C$2:$C$2001,F520,LOG!$D$2:$D$2001,"WRONG_NUMBER")&gt;0,1,IF(ISNUMBER(SEARCH("STOP",AT520)),1,0)),0)</f>
        <v>0</v>
      </c>
      <c r="P520" s="28">
        <f>IF(L520=1,IF(IFERROR(INDEX(PARTNERS!$D$2:$D$88,MATCH(B520,PARTNERS!$A$2:$A$88,0)),"")="NO SLOTS",1,IF(AND(IFERROR(INDEX(PARTNERS!$D$2:$D$88,MATCH(B520,PARTNERS!$A$2:$A$88,0)),"")&lt;&gt;"REOPENED",COUNTIFS(LOG!$E$2:$E$2001,B520,LOG!$D$2:$D$2001,"NO_SLOTS")&gt;0),1,0)),0)</f>
        <v>0</v>
      </c>
      <c r="Q520" s="28">
        <f>IF(L520=1,COUNTIFS(LOG!$C$2:$C$2001,F520,LOG!$H$2:$H$2001,1),0)</f>
        <v>0</v>
      </c>
      <c r="R520" s="46">
        <f>IF(Q520&gt;0,_xlfn.MAXIFS(LOG!$G$2:$G$2001,LOG!$C$2:$C$2001,F520,LOG!$H$2:$H$2001,1),0)</f>
        <v>0</v>
      </c>
      <c r="S520" s="28" t="str">
        <f>IF(Q520&gt;0,IFERROR(INDEX(LOG!$D$2:$D$2001,MATCH(F520&amp;"|"&amp;Q520,LOG!$I$2:$I$2001,0)),""),"")</f>
        <v/>
      </c>
      <c r="T520" s="28">
        <f>IF(S520="",0,IFERROR(VLOOKUP(S520,LISTS!$A$2:$E$10,4,FALSE),0))</f>
        <v>0</v>
      </c>
      <c r="U520" s="46">
        <f t="shared" si="90"/>
        <v>0</v>
      </c>
      <c r="V520" s="46">
        <f>IF(L520=1,H520+SETTINGS!$B$5/24,"")</f>
        <v>46309.82708333333</v>
      </c>
      <c r="W520" s="28">
        <f ca="1">IF(L520=1,(V520-SETTINGS!$B$4)*24,"")</f>
        <v>-1.6666666720993817E-2</v>
      </c>
      <c r="X520" s="28">
        <f ca="1">IF(AND(L520=1,K520="OK",M520=0,N520=0,O520=0,P520=0,SETTINGS!$B$4&lt;V520,Q520&lt;SETTINGS!$B$6),1,0)</f>
        <v>0</v>
      </c>
      <c r="Y520" s="28">
        <f ca="1">IF(AND(X520=1,SETTINGS!$B$4&gt;=H520,SETTINGS!$B$4&gt;=U520,ROUND(MOD(SETTINGS!$B$4,1)*1440,0)&gt;=ROUND(SETTINGS!$B$7*1440,0),ROUND(MOD(SETTINGS!$B$4,1)*1440,0)&lt;ROUND(SETTINGS!$B$8*1440,0)),1,0)</f>
        <v>0</v>
      </c>
      <c r="Z520" s="28" t="str">
        <f ca="1">IF(B520="","",IF(ROUND(MOD(SETTINGS!$B$4,1)*1440,0)&lt;ROUND(SETTINGS!$B$11*1440,0),"Ram",IF(ROUND(MOD(SETTINGS!$B$4,1)*1440,0)&gt;=ROUND(SETTINGS!$B$10*1440,0),"Shyam",IF(MOD(IFERROR(VALUE(RIGHT(F520,2)),0),2)=0,"Ram","Shyam"))))</f>
        <v>Shyam</v>
      </c>
      <c r="AA520" s="28">
        <f t="shared" ca="1" si="91"/>
        <v>0</v>
      </c>
      <c r="AB520" s="28">
        <f ca="1">IF(X520=1,COUNTIFS($F$2:F520,F520,$X$2:X520,1),0)</f>
        <v>0</v>
      </c>
      <c r="AC520" s="28" t="str">
        <f>IF(L520=1,IF(IFERROR(INDEX(PARTNERS!$C$2:$C$88,MATCH(B520,PARTNERS!$A$2:$A$88,0)),"")="YES","YES","NO"),"")</f>
        <v>YES</v>
      </c>
      <c r="AD520" s="28" t="str">
        <f>IF(L520=1,IFERROR(INDEX(PARTNERS!$B$2:$B$88,MATCH(B520,PARTNERS!$A$2:$A$88,0)),""),"")</f>
        <v>https://calendly.com/partner032/interview</v>
      </c>
      <c r="AE520" s="28">
        <f ca="1">IF(X520=1,IFERROR(INDEX(SETTINGS!$B$34:$D$36,MATCH(I520,SETTINGS!$A$34:$A$36,0),MIN(Q520,2)+1),SETTINGS!$B$36),0)</f>
        <v>0</v>
      </c>
      <c r="AF520" s="28">
        <f t="shared" si="92"/>
        <v>1</v>
      </c>
      <c r="AG520" s="28">
        <f ca="1">IF(AND(Y520=1,AB520=1),ROUND(AA520*AE520*IF(AF520&gt;1,SETTINGS!$B$16,1)*IF(W520&lt;=SETTINGS!$B$14,SETTINGS!$B$15,1)*IF(AU520=1,SETTINGS!$B$21,1),6),0)</f>
        <v>0</v>
      </c>
      <c r="AH520" s="28" t="str">
        <f ca="1">IF(AG520&gt;0,COUNTIFS($Z$2:$Z$601,Z520,$AG$2:$AG$601,"&gt;"&amp;AG520)+COUNTIFS($Z$2:Z520,Z520,$AG$2:AG520,AG520),"")</f>
        <v/>
      </c>
      <c r="AI520" s="28" t="str">
        <f t="shared" ca="1" si="93"/>
        <v/>
      </c>
      <c r="AJ520" s="28" t="str">
        <f t="shared" ca="1" si="94"/>
        <v/>
      </c>
      <c r="AK520" s="28">
        <f>IF(L520=1,IF(COUNTIFS($F$2:F520,F520,$L$2:L520,1)=1,1,0),0)</f>
        <v>1</v>
      </c>
      <c r="AL520" s="28" t="str">
        <f>IF(B520="","",IF(K520="DUPLICATE","Duplicate (removed)",IF(AO520=1,"Scheduled within 24h",IF(M520=1,"Scheduled late",IF(K520="BAD CONTACT","Bad contact details",IF(O520=1,"Stopped / wrong number",IF(N520=1,"Not interested",IF(P520=1,"Partner has no slots",IF(SETTINGS!$B$4&gt;=V520,IF(Q520=0,"Missed deadline: never tried","Missed deadline: tried, not booked"),IF(Q520&gt;=SETTINGS!$B$6,"No reply after max tries","Open"))))))))))</f>
        <v>Scheduled within 24h</v>
      </c>
      <c r="AM520" s="46">
        <f>IF(M520=1,IF(_xlfn.MINIFS(LOG!$G$2:$G$2001,LOG!$C$2:$C$2001,F520,LOG!$E$2:$E$2001,B520,LOG!$D$2:$D$2001,"*BOOKED")=0,_xlfn.MINIFS(LOG!$G$2:$G$2001,LOG!$C$2:$C$2001,F520,LOG!$E$2:$E$2001,"",LOG!$D$2:$D$2001,"*BOOKED"),IF(_xlfn.MINIFS(LOG!$G$2:$G$2001,LOG!$C$2:$C$2001,F520,LOG!$E$2:$E$2001,"",LOG!$D$2:$D$2001,"*BOOKED")=0,_xlfn.MINIFS(LOG!$G$2:$G$2001,LOG!$C$2:$C$2001,F520,LOG!$E$2:$E$2001,B520,LOG!$D$2:$D$2001,"*BOOKED"),MIN(_xlfn.MINIFS(LOG!$G$2:$G$2001,LOG!$C$2:$C$2001,F520,LOG!$E$2:$E$2001,B520,LOG!$D$2:$D$2001,"*BOOKED"),_xlfn.MINIFS(LOG!$G$2:$G$2001,LOG!$C$2:$C$2001,F520,LOG!$E$2:$E$2001,"",LOG!$D$2:$D$2001,"*BOOKED")))),"")</f>
        <v>46309.569550989152</v>
      </c>
      <c r="AN520" s="28">
        <f t="shared" si="95"/>
        <v>17.81922373973066</v>
      </c>
      <c r="AO520" s="28">
        <f>IF(AND(M520=1,AN520&lt;&gt;""),IF(AN520&lt;=SETTINGS!$B$5,1,0),0)</f>
        <v>1</v>
      </c>
      <c r="AP520" s="28">
        <f>IF(M520=1,IF(COUNTIFS(LOG!$C$2:$C$2001,F520,LOG!$E$2:$E$2001,B520,LOG!$D$2:$D$2001,"BOOKED")+COUNTIFS(LOG!$C$2:$C$2001,F520,LOG!$E$2:$E$2001,"",LOG!$D$2:$D$2001,"BOOKED")&gt;0,1,0),0)</f>
        <v>0</v>
      </c>
      <c r="AQ520" s="28" t="str">
        <f t="shared" si="96"/>
        <v>Diya</v>
      </c>
      <c r="AR520" s="28">
        <f>IF(AND(AK520=1,K520="OK"),COUNTIFS($AK$2:AK520,1,$K$2:K520,"OK"),"")</f>
        <v>417</v>
      </c>
      <c r="AS520" s="28" t="str">
        <f>IF(L520=1,IFERROR(INDEX(MESSAGES!$J$9:$J$1008,MATCH(F520,MESSAGES!$M$9:$M$1008,0))&amp;"",""),"")</f>
        <v/>
      </c>
      <c r="AT520" s="28" t="str">
        <f>IF(L520=1,IFERROR(INDEX(MESSAGES!$K$9:$K$1008,MATCH(F520,MESSAGES!$M$9:$M$1008,0))&amp;"",""),"")</f>
        <v/>
      </c>
      <c r="AU520" s="28">
        <f t="shared" ca="1" si="97"/>
        <v>0</v>
      </c>
      <c r="AV520" s="28" t="str">
        <f t="shared" si="98"/>
        <v>SEND</v>
      </c>
    </row>
    <row r="521" spans="1:48" x14ac:dyDescent="0.35">
      <c r="A521" s="28">
        <v>520</v>
      </c>
      <c r="B521" s="28" t="str">
        <f>IF(INPUT!A521="","",TRIM(INPUT!A521))</f>
        <v>Partner 049</v>
      </c>
      <c r="C521" s="28" t="str">
        <f>IF(B521="","",INPUT!C521)</f>
        <v>interviewer0@partner049.example.com</v>
      </c>
      <c r="D521" s="28" t="str">
        <f>IF(B521="","",INPUT!D521)</f>
        <v>Rahul D.</v>
      </c>
      <c r="E521" s="28" t="str">
        <f>IF(B521="","",INPUT!E521)</f>
        <v>rahul.d116@example.com</v>
      </c>
      <c r="F521" s="43" t="str">
        <f>IF(B521="","",TRIM(INPUT!F521&amp;""))</f>
        <v>9000001515</v>
      </c>
      <c r="G521" s="28" t="str">
        <f>IF(B521="","",INPUT!H521)</f>
        <v>Round1</v>
      </c>
      <c r="H521" s="46">
        <f>IF(B521="","",INPUT!I521)</f>
        <v>46308.82708333333</v>
      </c>
      <c r="I521" s="28" t="str">
        <f>IF(B521="","",IF(INPUT!J521="","None",INPUT!J521))</f>
        <v>Opened</v>
      </c>
      <c r="J521" s="28" t="str">
        <f t="shared" si="88"/>
        <v>rahul.d116@example.com|partner 049|Round1|interviewer0@partner049.example.com</v>
      </c>
      <c r="K521" s="28" t="str">
        <f>IF(B521="","",IF(SUMPRODUCT(($J$2:$J$601=J521)*($H$2:$H$601&lt;H521))+SUMPRODUCT(($J$2:J521=J521)*($H$2:H521=H521))-1&gt;0,"DUPLICATE",IF(AND(ISNUMBER(SEARCH("@",E521)),ISNUMBER(SEARCH(".",E521)),LEN(F521)=10,ISNUMBER(VALUE(F521))),"OK","BAD CONTACT")))</f>
        <v>OK</v>
      </c>
      <c r="L521" s="28">
        <f t="shared" si="89"/>
        <v>1</v>
      </c>
      <c r="M521" s="28">
        <f>IF(L521=1,IF(COUNTIFS(LOG!$C$2:$C$2001,F521,LOG!$E$2:$E$2001,B521,LOG!$D$2:$D$2001,"*BOOKED")+COUNTIFS(LOG!$C$2:$C$2001,F521,LOG!$E$2:$E$2001,"",LOG!$D$2:$D$2001,"*BOOKED")&gt;0,1,0),0)</f>
        <v>1</v>
      </c>
      <c r="N521" s="28">
        <f>IF(L521=1,IF(COUNTIFS(LOG!$C$2:$C$2001,F521,LOG!$E$2:$E$2001,B521,LOG!$D$2:$D$2001,"NOT_INTERESTED")+COUNTIFS(LOG!$C$2:$C$2001,F521,LOG!$E$2:$E$2001,"",LOG!$D$2:$D$2001,"NOT_INTERESTED")&gt;0,1,0),0)</f>
        <v>0</v>
      </c>
      <c r="O521" s="28">
        <f>IF(L521=1,IF(COUNTIFS(LOG!$C$2:$C$2001,F521,LOG!$D$2:$D$2001,"STOP")+COUNTIFS(LOG!$C$2:$C$2001,F521,LOG!$D$2:$D$2001,"WRONG_NUMBER")&gt;0,1,IF(ISNUMBER(SEARCH("STOP",AT521)),1,0)),0)</f>
        <v>0</v>
      </c>
      <c r="P521" s="28">
        <f>IF(L521=1,IF(IFERROR(INDEX(PARTNERS!$D$2:$D$88,MATCH(B521,PARTNERS!$A$2:$A$88,0)),"")="NO SLOTS",1,IF(AND(IFERROR(INDEX(PARTNERS!$D$2:$D$88,MATCH(B521,PARTNERS!$A$2:$A$88,0)),"")&lt;&gt;"REOPENED",COUNTIFS(LOG!$E$2:$E$2001,B521,LOG!$D$2:$D$2001,"NO_SLOTS")&gt;0),1,0)),0)</f>
        <v>0</v>
      </c>
      <c r="Q521" s="28">
        <f>IF(L521=1,COUNTIFS(LOG!$C$2:$C$2001,F521,LOG!$H$2:$H$2001,1),0)</f>
        <v>0</v>
      </c>
      <c r="R521" s="46">
        <f>IF(Q521&gt;0,_xlfn.MAXIFS(LOG!$G$2:$G$2001,LOG!$C$2:$C$2001,F521,LOG!$H$2:$H$2001,1),0)</f>
        <v>0</v>
      </c>
      <c r="S521" s="28" t="str">
        <f>IF(Q521&gt;0,IFERROR(INDEX(LOG!$D$2:$D$2001,MATCH(F521&amp;"|"&amp;Q521,LOG!$I$2:$I$2001,0)),""),"")</f>
        <v/>
      </c>
      <c r="T521" s="28">
        <f>IF(S521="",0,IFERROR(VLOOKUP(S521,LISTS!$A$2:$E$10,4,FALSE),0))</f>
        <v>0</v>
      </c>
      <c r="U521" s="46">
        <f t="shared" si="90"/>
        <v>0</v>
      </c>
      <c r="V521" s="46">
        <f>IF(L521=1,H521+SETTINGS!$B$5/24,"")</f>
        <v>46309.82708333333</v>
      </c>
      <c r="W521" s="28">
        <f ca="1">IF(L521=1,(V521-SETTINGS!$B$4)*24,"")</f>
        <v>-1.6666666720993817E-2</v>
      </c>
      <c r="X521" s="28">
        <f ca="1">IF(AND(L521=1,K521="OK",M521=0,N521=0,O521=0,P521=0,SETTINGS!$B$4&lt;V521,Q521&lt;SETTINGS!$B$6),1,0)</f>
        <v>0</v>
      </c>
      <c r="Y521" s="28">
        <f ca="1">IF(AND(X521=1,SETTINGS!$B$4&gt;=H521,SETTINGS!$B$4&gt;=U521,ROUND(MOD(SETTINGS!$B$4,1)*1440,0)&gt;=ROUND(SETTINGS!$B$7*1440,0),ROUND(MOD(SETTINGS!$B$4,1)*1440,0)&lt;ROUND(SETTINGS!$B$8*1440,0)),1,0)</f>
        <v>0</v>
      </c>
      <c r="Z521" s="28" t="str">
        <f ca="1">IF(B521="","",IF(ROUND(MOD(SETTINGS!$B$4,1)*1440,0)&lt;ROUND(SETTINGS!$B$11*1440,0),"Ram",IF(ROUND(MOD(SETTINGS!$B$4,1)*1440,0)&gt;=ROUND(SETTINGS!$B$10*1440,0),"Shyam",IF(MOD(IFERROR(VALUE(RIGHT(F521,2)),0),2)=0,"Ram","Shyam"))))</f>
        <v>Shyam</v>
      </c>
      <c r="AA521" s="28">
        <f t="shared" ca="1" si="91"/>
        <v>0</v>
      </c>
      <c r="AB521" s="28">
        <f ca="1">IF(X521=1,COUNTIFS($F$2:F521,F521,$X$2:X521,1),0)</f>
        <v>0</v>
      </c>
      <c r="AC521" s="28" t="str">
        <f>IF(L521=1,IF(IFERROR(INDEX(PARTNERS!$C$2:$C$88,MATCH(B521,PARTNERS!$A$2:$A$88,0)),"")="YES","YES","NO"),"")</f>
        <v>YES</v>
      </c>
      <c r="AD521" s="28" t="str">
        <f>IF(L521=1,IFERROR(INDEX(PARTNERS!$B$2:$B$88,MATCH(B521,PARTNERS!$A$2:$A$88,0)),""),"")</f>
        <v>https://calendly.com/partner049/interview</v>
      </c>
      <c r="AE521" s="28">
        <f ca="1">IF(X521=1,IFERROR(INDEX(SETTINGS!$B$34:$D$36,MATCH(I521,SETTINGS!$A$34:$A$36,0),MIN(Q521,2)+1),SETTINGS!$B$36),0)</f>
        <v>0</v>
      </c>
      <c r="AF521" s="28">
        <f t="shared" si="92"/>
        <v>1</v>
      </c>
      <c r="AG521" s="28">
        <f ca="1">IF(AND(Y521=1,AB521=1),ROUND(AA521*AE521*IF(AF521&gt;1,SETTINGS!$B$16,1)*IF(W521&lt;=SETTINGS!$B$14,SETTINGS!$B$15,1)*IF(AU521=1,SETTINGS!$B$21,1),6),0)</f>
        <v>0</v>
      </c>
      <c r="AH521" s="28" t="str">
        <f ca="1">IF(AG521&gt;0,COUNTIFS($Z$2:$Z$601,Z521,$AG$2:$AG$601,"&gt;"&amp;AG521)+COUNTIFS($Z$2:Z521,Z521,$AG$2:AG521,AG521),"")</f>
        <v/>
      </c>
      <c r="AI521" s="28" t="str">
        <f t="shared" ca="1" si="93"/>
        <v/>
      </c>
      <c r="AJ521" s="28" t="str">
        <f t="shared" ca="1" si="94"/>
        <v/>
      </c>
      <c r="AK521" s="28">
        <f>IF(L521=1,IF(COUNTIFS($F$2:F521,F521,$L$2:L521,1)=1,1,0),0)</f>
        <v>1</v>
      </c>
      <c r="AL521" s="28" t="str">
        <f>IF(B521="","",IF(K521="DUPLICATE","Duplicate (removed)",IF(AO521=1,"Scheduled within 24h",IF(M521=1,"Scheduled late",IF(K521="BAD CONTACT","Bad contact details",IF(O521=1,"Stopped / wrong number",IF(N521=1,"Not interested",IF(P521=1,"Partner has no slots",IF(SETTINGS!$B$4&gt;=V521,IF(Q521=0,"Missed deadline: never tried","Missed deadline: tried, not booked"),IF(Q521&gt;=SETTINGS!$B$6,"No reply after max tries","Open"))))))))))</f>
        <v>Scheduled within 24h</v>
      </c>
      <c r="AM521" s="46">
        <f>IF(M521=1,IF(_xlfn.MINIFS(LOG!$G$2:$G$2001,LOG!$C$2:$C$2001,F521,LOG!$E$2:$E$2001,B521,LOG!$D$2:$D$2001,"*BOOKED")=0,_xlfn.MINIFS(LOG!$G$2:$G$2001,LOG!$C$2:$C$2001,F521,LOG!$E$2:$E$2001,"",LOG!$D$2:$D$2001,"*BOOKED"),IF(_xlfn.MINIFS(LOG!$G$2:$G$2001,LOG!$C$2:$C$2001,F521,LOG!$E$2:$E$2001,"",LOG!$D$2:$D$2001,"*BOOKED")=0,_xlfn.MINIFS(LOG!$G$2:$G$2001,LOG!$C$2:$C$2001,F521,LOG!$E$2:$E$2001,B521,LOG!$D$2:$D$2001,"*BOOKED"),MIN(_xlfn.MINIFS(LOG!$G$2:$G$2001,LOG!$C$2:$C$2001,F521,LOG!$E$2:$E$2001,B521,LOG!$D$2:$D$2001,"*BOOKED"),_xlfn.MINIFS(LOG!$G$2:$G$2001,LOG!$C$2:$C$2001,F521,LOG!$E$2:$E$2001,"",LOG!$D$2:$D$2001,"*BOOKED")))),"")</f>
        <v>46308.950861194717</v>
      </c>
      <c r="AN521" s="28">
        <f t="shared" si="95"/>
        <v>2.9706686732824892</v>
      </c>
      <c r="AO521" s="28">
        <f>IF(AND(M521=1,AN521&lt;&gt;""),IF(AN521&lt;=SETTINGS!$B$5,1,0),0)</f>
        <v>1</v>
      </c>
      <c r="AP521" s="28">
        <f>IF(M521=1,IF(COUNTIFS(LOG!$C$2:$C$2001,F521,LOG!$E$2:$E$2001,B521,LOG!$D$2:$D$2001,"BOOKED")+COUNTIFS(LOG!$C$2:$C$2001,F521,LOG!$E$2:$E$2001,"",LOG!$D$2:$D$2001,"BOOKED")&gt;0,1,0),0)</f>
        <v>0</v>
      </c>
      <c r="AQ521" s="28" t="str">
        <f t="shared" si="96"/>
        <v>Rahul</v>
      </c>
      <c r="AR521" s="28">
        <f>IF(AND(AK521=1,K521="OK"),COUNTIFS($AK$2:AK521,1,$K$2:K521,"OK"),"")</f>
        <v>418</v>
      </c>
      <c r="AS521" s="28" t="str">
        <f>IF(L521=1,IFERROR(INDEX(MESSAGES!$J$9:$J$1008,MATCH(F521,MESSAGES!$M$9:$M$1008,0))&amp;"",""),"")</f>
        <v/>
      </c>
      <c r="AT521" s="28" t="str">
        <f>IF(L521=1,IFERROR(INDEX(MESSAGES!$K$9:$K$1008,MATCH(F521,MESSAGES!$M$9:$M$1008,0))&amp;"",""),"")</f>
        <v/>
      </c>
      <c r="AU521" s="28">
        <f t="shared" ca="1" si="97"/>
        <v>0</v>
      </c>
      <c r="AV521" s="28" t="str">
        <f t="shared" si="98"/>
        <v>HOLD</v>
      </c>
    </row>
    <row r="522" spans="1:48" x14ac:dyDescent="0.35">
      <c r="A522" s="28">
        <v>521</v>
      </c>
      <c r="B522" s="28" t="str">
        <f>IF(INPUT!A522="","",TRIM(INPUT!A522))</f>
        <v/>
      </c>
      <c r="C522" s="28" t="str">
        <f>IF(B522="","",INPUT!C522)</f>
        <v/>
      </c>
      <c r="D522" s="28" t="str">
        <f>IF(B522="","",INPUT!D522)</f>
        <v/>
      </c>
      <c r="E522" s="28" t="str">
        <f>IF(B522="","",INPUT!E522)</f>
        <v/>
      </c>
      <c r="F522" s="43" t="str">
        <f>IF(B522="","",TRIM(INPUT!F522&amp;""))</f>
        <v/>
      </c>
      <c r="G522" s="28" t="str">
        <f>IF(B522="","",INPUT!H522)</f>
        <v/>
      </c>
      <c r="H522" s="46" t="str">
        <f>IF(B522="","",INPUT!I522)</f>
        <v/>
      </c>
      <c r="I522" s="28" t="str">
        <f>IF(B522="","",IF(INPUT!J522="","None",INPUT!J522))</f>
        <v/>
      </c>
      <c r="J522" s="28" t="str">
        <f t="shared" si="88"/>
        <v/>
      </c>
      <c r="K522" s="28" t="str">
        <f>IF(B522="","",IF(SUMPRODUCT(($J$2:$J$601=J522)*($H$2:$H$601&lt;H522))+SUMPRODUCT(($J$2:J522=J522)*($H$2:H522=H522))-1&gt;0,"DUPLICATE",IF(AND(ISNUMBER(SEARCH("@",E522)),ISNUMBER(SEARCH(".",E522)),LEN(F522)=10,ISNUMBER(VALUE(F522))),"OK","BAD CONTACT")))</f>
        <v/>
      </c>
      <c r="L522" s="28">
        <f t="shared" si="89"/>
        <v>0</v>
      </c>
      <c r="M522" s="28">
        <f>IF(L522=1,IF(COUNTIFS(LOG!$C$2:$C$2001,F522,LOG!$E$2:$E$2001,B522,LOG!$D$2:$D$2001,"*BOOKED")+COUNTIFS(LOG!$C$2:$C$2001,F522,LOG!$E$2:$E$2001,"",LOG!$D$2:$D$2001,"*BOOKED")&gt;0,1,0),0)</f>
        <v>0</v>
      </c>
      <c r="N522" s="28">
        <f>IF(L522=1,IF(COUNTIFS(LOG!$C$2:$C$2001,F522,LOG!$E$2:$E$2001,B522,LOG!$D$2:$D$2001,"NOT_INTERESTED")+COUNTIFS(LOG!$C$2:$C$2001,F522,LOG!$E$2:$E$2001,"",LOG!$D$2:$D$2001,"NOT_INTERESTED")&gt;0,1,0),0)</f>
        <v>0</v>
      </c>
      <c r="O522" s="28">
        <f>IF(L522=1,IF(COUNTIFS(LOG!$C$2:$C$2001,F522,LOG!$D$2:$D$2001,"STOP")+COUNTIFS(LOG!$C$2:$C$2001,F522,LOG!$D$2:$D$2001,"WRONG_NUMBER")&gt;0,1,IF(ISNUMBER(SEARCH("STOP",AT522)),1,0)),0)</f>
        <v>0</v>
      </c>
      <c r="P522" s="28">
        <f>IF(L522=1,IF(IFERROR(INDEX(PARTNERS!$D$2:$D$88,MATCH(B522,PARTNERS!$A$2:$A$88,0)),"")="NO SLOTS",1,IF(AND(IFERROR(INDEX(PARTNERS!$D$2:$D$88,MATCH(B522,PARTNERS!$A$2:$A$88,0)),"")&lt;&gt;"REOPENED",COUNTIFS(LOG!$E$2:$E$2001,B522,LOG!$D$2:$D$2001,"NO_SLOTS")&gt;0),1,0)),0)</f>
        <v>0</v>
      </c>
      <c r="Q522" s="28">
        <f>IF(L522=1,COUNTIFS(LOG!$C$2:$C$2001,F522,LOG!$H$2:$H$2001,1),0)</f>
        <v>0</v>
      </c>
      <c r="R522" s="46">
        <f>IF(Q522&gt;0,_xlfn.MAXIFS(LOG!$G$2:$G$2001,LOG!$C$2:$C$2001,F522,LOG!$H$2:$H$2001,1),0)</f>
        <v>0</v>
      </c>
      <c r="S522" s="28" t="str">
        <f>IF(Q522&gt;0,IFERROR(INDEX(LOG!$D$2:$D$2001,MATCH(F522&amp;"|"&amp;Q522,LOG!$I$2:$I$2001,0)),""),"")</f>
        <v/>
      </c>
      <c r="T522" s="28">
        <f>IF(S522="",0,IFERROR(VLOOKUP(S522,LISTS!$A$2:$E$10,4,FALSE),0))</f>
        <v>0</v>
      </c>
      <c r="U522" s="46">
        <f t="shared" si="90"/>
        <v>0</v>
      </c>
      <c r="V522" s="46" t="str">
        <f>IF(L522=1,H522+SETTINGS!$B$5/24,"")</f>
        <v/>
      </c>
      <c r="W522" s="28" t="str">
        <f>IF(L522=1,(V522-SETTINGS!$B$4)*24,"")</f>
        <v/>
      </c>
      <c r="X522" s="28">
        <f ca="1">IF(AND(L522=1,K522="OK",M522=0,N522=0,O522=0,P522=0,SETTINGS!$B$4&lt;V522,Q522&lt;SETTINGS!$B$6),1,0)</f>
        <v>0</v>
      </c>
      <c r="Y522" s="28">
        <f ca="1">IF(AND(X522=1,SETTINGS!$B$4&gt;=H522,SETTINGS!$B$4&gt;=U522,ROUND(MOD(SETTINGS!$B$4,1)*1440,0)&gt;=ROUND(SETTINGS!$B$7*1440,0),ROUND(MOD(SETTINGS!$B$4,1)*1440,0)&lt;ROUND(SETTINGS!$B$8*1440,0)),1,0)</f>
        <v>0</v>
      </c>
      <c r="Z522" s="28" t="str">
        <f>IF(B522="","",IF(ROUND(MOD(SETTINGS!$B$4,1)*1440,0)&lt;ROUND(SETTINGS!$B$11*1440,0),"Ram",IF(ROUND(MOD(SETTINGS!$B$4,1)*1440,0)&gt;=ROUND(SETTINGS!$B$10*1440,0),"Shyam",IF(MOD(IFERROR(VALUE(RIGHT(F522,2)),0),2)=0,"Ram","Shyam"))))</f>
        <v/>
      </c>
      <c r="AA522" s="28">
        <f t="shared" ca="1" si="91"/>
        <v>0</v>
      </c>
      <c r="AB522" s="28">
        <f ca="1">IF(X522=1,COUNTIFS($F$2:F522,F522,$X$2:X522,1),0)</f>
        <v>0</v>
      </c>
      <c r="AC522" s="28" t="str">
        <f>IF(L522=1,IF(IFERROR(INDEX(PARTNERS!$C$2:$C$88,MATCH(B522,PARTNERS!$A$2:$A$88,0)),"")="YES","YES","NO"),"")</f>
        <v/>
      </c>
      <c r="AD522" s="28" t="str">
        <f>IF(L522=1,IFERROR(INDEX(PARTNERS!$B$2:$B$88,MATCH(B522,PARTNERS!$A$2:$A$88,0)),""),"")</f>
        <v/>
      </c>
      <c r="AE522" s="28">
        <f ca="1">IF(X522=1,IFERROR(INDEX(SETTINGS!$B$34:$D$36,MATCH(I522,SETTINGS!$A$34:$A$36,0),MIN(Q522,2)+1),SETTINGS!$B$36),0)</f>
        <v>0</v>
      </c>
      <c r="AF522" s="28">
        <f t="shared" si="92"/>
        <v>0</v>
      </c>
      <c r="AG522" s="28">
        <f ca="1">IF(AND(Y522=1,AB522=1),ROUND(AA522*AE522*IF(AF522&gt;1,SETTINGS!$B$16,1)*IF(W522&lt;=SETTINGS!$B$14,SETTINGS!$B$15,1)*IF(AU522=1,SETTINGS!$B$21,1),6),0)</f>
        <v>0</v>
      </c>
      <c r="AH522" s="28" t="str">
        <f ca="1">IF(AG522&gt;0,COUNTIFS($Z$2:$Z$601,Z522,$AG$2:$AG$601,"&gt;"&amp;AG522)+COUNTIFS($Z$2:Z522,Z522,$AG$2:AG522,AG522),"")</f>
        <v/>
      </c>
      <c r="AI522" s="28" t="str">
        <f t="shared" ca="1" si="93"/>
        <v/>
      </c>
      <c r="AJ522" s="28" t="str">
        <f t="shared" ca="1" si="94"/>
        <v/>
      </c>
      <c r="AK522" s="28">
        <f>IF(L522=1,IF(COUNTIFS($F$2:F522,F522,$L$2:L522,1)=1,1,0),0)</f>
        <v>0</v>
      </c>
      <c r="AL522" s="28" t="str">
        <f>IF(B522="","",IF(K522="DUPLICATE","Duplicate (removed)",IF(AO522=1,"Scheduled within 24h",IF(M522=1,"Scheduled late",IF(K522="BAD CONTACT","Bad contact details",IF(O522=1,"Stopped / wrong number",IF(N522=1,"Not interested",IF(P522=1,"Partner has no slots",IF(SETTINGS!$B$4&gt;=V522,IF(Q522=0,"Missed deadline: never tried","Missed deadline: tried, not booked"),IF(Q522&gt;=SETTINGS!$B$6,"No reply after max tries","Open"))))))))))</f>
        <v/>
      </c>
      <c r="AM522" s="46" t="str">
        <f>IF(M522=1,IF(_xlfn.MINIFS(LOG!$G$2:$G$2001,LOG!$C$2:$C$2001,F522,LOG!$E$2:$E$2001,B522,LOG!$D$2:$D$2001,"*BOOKED")=0,_xlfn.MINIFS(LOG!$G$2:$G$2001,LOG!$C$2:$C$2001,F522,LOG!$E$2:$E$2001,"",LOG!$D$2:$D$2001,"*BOOKED"),IF(_xlfn.MINIFS(LOG!$G$2:$G$2001,LOG!$C$2:$C$2001,F522,LOG!$E$2:$E$2001,"",LOG!$D$2:$D$2001,"*BOOKED")=0,_xlfn.MINIFS(LOG!$G$2:$G$2001,LOG!$C$2:$C$2001,F522,LOG!$E$2:$E$2001,B522,LOG!$D$2:$D$2001,"*BOOKED"),MIN(_xlfn.MINIFS(LOG!$G$2:$G$2001,LOG!$C$2:$C$2001,F522,LOG!$E$2:$E$2001,B522,LOG!$D$2:$D$2001,"*BOOKED"),_xlfn.MINIFS(LOG!$G$2:$G$2001,LOG!$C$2:$C$2001,F522,LOG!$E$2:$E$2001,"",LOG!$D$2:$D$2001,"*BOOKED")))),"")</f>
        <v/>
      </c>
      <c r="AN522" s="28" t="str">
        <f t="shared" si="95"/>
        <v/>
      </c>
      <c r="AO522" s="28">
        <f>IF(AND(M522=1,AN522&lt;&gt;""),IF(AN522&lt;=SETTINGS!$B$5,1,0),0)</f>
        <v>0</v>
      </c>
      <c r="AP522" s="28">
        <f>IF(M522=1,IF(COUNTIFS(LOG!$C$2:$C$2001,F522,LOG!$E$2:$E$2001,B522,LOG!$D$2:$D$2001,"BOOKED")+COUNTIFS(LOG!$C$2:$C$2001,F522,LOG!$E$2:$E$2001,"",LOG!$D$2:$D$2001,"BOOKED")&gt;0,1,0),0)</f>
        <v>0</v>
      </c>
      <c r="AQ522" s="28" t="str">
        <f t="shared" si="96"/>
        <v/>
      </c>
      <c r="AR522" s="28" t="str">
        <f>IF(AND(AK522=1,K522="OK"),COUNTIFS($AK$2:AK522,1,$K$2:K522,"OK"),"")</f>
        <v/>
      </c>
      <c r="AS522" s="28" t="str">
        <f>IF(L522=1,IFERROR(INDEX(MESSAGES!$J$9:$J$1008,MATCH(F522,MESSAGES!$M$9:$M$1008,0))&amp;"",""),"")</f>
        <v/>
      </c>
      <c r="AT522" s="28" t="str">
        <f>IF(L522=1,IFERROR(INDEX(MESSAGES!$K$9:$K$1008,MATCH(F522,MESSAGES!$M$9:$M$1008,0))&amp;"",""),"")</f>
        <v/>
      </c>
      <c r="AU522" s="28">
        <f t="shared" ca="1" si="97"/>
        <v>0</v>
      </c>
      <c r="AV522" s="28" t="str">
        <f t="shared" si="98"/>
        <v/>
      </c>
    </row>
    <row r="523" spans="1:48" x14ac:dyDescent="0.35">
      <c r="A523" s="28">
        <v>522</v>
      </c>
      <c r="B523" s="28" t="str">
        <f>IF(INPUT!A523="","",TRIM(INPUT!A523))</f>
        <v/>
      </c>
      <c r="C523" s="28" t="str">
        <f>IF(B523="","",INPUT!C523)</f>
        <v/>
      </c>
      <c r="D523" s="28" t="str">
        <f>IF(B523="","",INPUT!D523)</f>
        <v/>
      </c>
      <c r="E523" s="28" t="str">
        <f>IF(B523="","",INPUT!E523)</f>
        <v/>
      </c>
      <c r="F523" s="43" t="str">
        <f>IF(B523="","",TRIM(INPUT!F523&amp;""))</f>
        <v/>
      </c>
      <c r="G523" s="28" t="str">
        <f>IF(B523="","",INPUT!H523)</f>
        <v/>
      </c>
      <c r="H523" s="46" t="str">
        <f>IF(B523="","",INPUT!I523)</f>
        <v/>
      </c>
      <c r="I523" s="28" t="str">
        <f>IF(B523="","",IF(INPUT!J523="","None",INPUT!J523))</f>
        <v/>
      </c>
      <c r="J523" s="28" t="str">
        <f t="shared" si="88"/>
        <v/>
      </c>
      <c r="K523" s="28" t="str">
        <f>IF(B523="","",IF(SUMPRODUCT(($J$2:$J$601=J523)*($H$2:$H$601&lt;H523))+SUMPRODUCT(($J$2:J523=J523)*($H$2:H523=H523))-1&gt;0,"DUPLICATE",IF(AND(ISNUMBER(SEARCH("@",E523)),ISNUMBER(SEARCH(".",E523)),LEN(F523)=10,ISNUMBER(VALUE(F523))),"OK","BAD CONTACT")))</f>
        <v/>
      </c>
      <c r="L523" s="28">
        <f t="shared" si="89"/>
        <v>0</v>
      </c>
      <c r="M523" s="28">
        <f>IF(L523=1,IF(COUNTIFS(LOG!$C$2:$C$2001,F523,LOG!$E$2:$E$2001,B523,LOG!$D$2:$D$2001,"*BOOKED")+COUNTIFS(LOG!$C$2:$C$2001,F523,LOG!$E$2:$E$2001,"",LOG!$D$2:$D$2001,"*BOOKED")&gt;0,1,0),0)</f>
        <v>0</v>
      </c>
      <c r="N523" s="28">
        <f>IF(L523=1,IF(COUNTIFS(LOG!$C$2:$C$2001,F523,LOG!$E$2:$E$2001,B523,LOG!$D$2:$D$2001,"NOT_INTERESTED")+COUNTIFS(LOG!$C$2:$C$2001,F523,LOG!$E$2:$E$2001,"",LOG!$D$2:$D$2001,"NOT_INTERESTED")&gt;0,1,0),0)</f>
        <v>0</v>
      </c>
      <c r="O523" s="28">
        <f>IF(L523=1,IF(COUNTIFS(LOG!$C$2:$C$2001,F523,LOG!$D$2:$D$2001,"STOP")+COUNTIFS(LOG!$C$2:$C$2001,F523,LOG!$D$2:$D$2001,"WRONG_NUMBER")&gt;0,1,IF(ISNUMBER(SEARCH("STOP",AT523)),1,0)),0)</f>
        <v>0</v>
      </c>
      <c r="P523" s="28">
        <f>IF(L523=1,IF(IFERROR(INDEX(PARTNERS!$D$2:$D$88,MATCH(B523,PARTNERS!$A$2:$A$88,0)),"")="NO SLOTS",1,IF(AND(IFERROR(INDEX(PARTNERS!$D$2:$D$88,MATCH(B523,PARTNERS!$A$2:$A$88,0)),"")&lt;&gt;"REOPENED",COUNTIFS(LOG!$E$2:$E$2001,B523,LOG!$D$2:$D$2001,"NO_SLOTS")&gt;0),1,0)),0)</f>
        <v>0</v>
      </c>
      <c r="Q523" s="28">
        <f>IF(L523=1,COUNTIFS(LOG!$C$2:$C$2001,F523,LOG!$H$2:$H$2001,1),0)</f>
        <v>0</v>
      </c>
      <c r="R523" s="46">
        <f>IF(Q523&gt;0,_xlfn.MAXIFS(LOG!$G$2:$G$2001,LOG!$C$2:$C$2001,F523,LOG!$H$2:$H$2001,1),0)</f>
        <v>0</v>
      </c>
      <c r="S523" s="28" t="str">
        <f>IF(Q523&gt;0,IFERROR(INDEX(LOG!$D$2:$D$2001,MATCH(F523&amp;"|"&amp;Q523,LOG!$I$2:$I$2001,0)),""),"")</f>
        <v/>
      </c>
      <c r="T523" s="28">
        <f>IF(S523="",0,IFERROR(VLOOKUP(S523,LISTS!$A$2:$E$10,4,FALSE),0))</f>
        <v>0</v>
      </c>
      <c r="U523" s="46">
        <f t="shared" si="90"/>
        <v>0</v>
      </c>
      <c r="V523" s="46" t="str">
        <f>IF(L523=1,H523+SETTINGS!$B$5/24,"")</f>
        <v/>
      </c>
      <c r="W523" s="28" t="str">
        <f>IF(L523=1,(V523-SETTINGS!$B$4)*24,"")</f>
        <v/>
      </c>
      <c r="X523" s="28">
        <f ca="1">IF(AND(L523=1,K523="OK",M523=0,N523=0,O523=0,P523=0,SETTINGS!$B$4&lt;V523,Q523&lt;SETTINGS!$B$6),1,0)</f>
        <v>0</v>
      </c>
      <c r="Y523" s="28">
        <f ca="1">IF(AND(X523=1,SETTINGS!$B$4&gt;=H523,SETTINGS!$B$4&gt;=U523,ROUND(MOD(SETTINGS!$B$4,1)*1440,0)&gt;=ROUND(SETTINGS!$B$7*1440,0),ROUND(MOD(SETTINGS!$B$4,1)*1440,0)&lt;ROUND(SETTINGS!$B$8*1440,0)),1,0)</f>
        <v>0</v>
      </c>
      <c r="Z523" s="28" t="str">
        <f>IF(B523="","",IF(ROUND(MOD(SETTINGS!$B$4,1)*1440,0)&lt;ROUND(SETTINGS!$B$11*1440,0),"Ram",IF(ROUND(MOD(SETTINGS!$B$4,1)*1440,0)&gt;=ROUND(SETTINGS!$B$10*1440,0),"Shyam",IF(MOD(IFERROR(VALUE(RIGHT(F523,2)),0),2)=0,"Ram","Shyam"))))</f>
        <v/>
      </c>
      <c r="AA523" s="28">
        <f t="shared" ca="1" si="91"/>
        <v>0</v>
      </c>
      <c r="AB523" s="28">
        <f ca="1">IF(X523=1,COUNTIFS($F$2:F523,F523,$X$2:X523,1),0)</f>
        <v>0</v>
      </c>
      <c r="AC523" s="28" t="str">
        <f>IF(L523=1,IF(IFERROR(INDEX(PARTNERS!$C$2:$C$88,MATCH(B523,PARTNERS!$A$2:$A$88,0)),"")="YES","YES","NO"),"")</f>
        <v/>
      </c>
      <c r="AD523" s="28" t="str">
        <f>IF(L523=1,IFERROR(INDEX(PARTNERS!$B$2:$B$88,MATCH(B523,PARTNERS!$A$2:$A$88,0)),""),"")</f>
        <v/>
      </c>
      <c r="AE523" s="28">
        <f ca="1">IF(X523=1,IFERROR(INDEX(SETTINGS!$B$34:$D$36,MATCH(I523,SETTINGS!$A$34:$A$36,0),MIN(Q523,2)+1),SETTINGS!$B$36),0)</f>
        <v>0</v>
      </c>
      <c r="AF523" s="28">
        <f t="shared" si="92"/>
        <v>0</v>
      </c>
      <c r="AG523" s="28">
        <f ca="1">IF(AND(Y523=1,AB523=1),ROUND(AA523*AE523*IF(AF523&gt;1,SETTINGS!$B$16,1)*IF(W523&lt;=SETTINGS!$B$14,SETTINGS!$B$15,1)*IF(AU523=1,SETTINGS!$B$21,1),6),0)</f>
        <v>0</v>
      </c>
      <c r="AH523" s="28" t="str">
        <f ca="1">IF(AG523&gt;0,COUNTIFS($Z$2:$Z$601,Z523,$AG$2:$AG$601,"&gt;"&amp;AG523)+COUNTIFS($Z$2:Z523,Z523,$AG$2:AG523,AG523),"")</f>
        <v/>
      </c>
      <c r="AI523" s="28" t="str">
        <f t="shared" ca="1" si="93"/>
        <v/>
      </c>
      <c r="AJ523" s="28" t="str">
        <f t="shared" ca="1" si="94"/>
        <v/>
      </c>
      <c r="AK523" s="28">
        <f>IF(L523=1,IF(COUNTIFS($F$2:F523,F523,$L$2:L523,1)=1,1,0),0)</f>
        <v>0</v>
      </c>
      <c r="AL523" s="28" t="str">
        <f>IF(B523="","",IF(K523="DUPLICATE","Duplicate (removed)",IF(AO523=1,"Scheduled within 24h",IF(M523=1,"Scheduled late",IF(K523="BAD CONTACT","Bad contact details",IF(O523=1,"Stopped / wrong number",IF(N523=1,"Not interested",IF(P523=1,"Partner has no slots",IF(SETTINGS!$B$4&gt;=V523,IF(Q523=0,"Missed deadline: never tried","Missed deadline: tried, not booked"),IF(Q523&gt;=SETTINGS!$B$6,"No reply after max tries","Open"))))))))))</f>
        <v/>
      </c>
      <c r="AM523" s="46" t="str">
        <f>IF(M523=1,IF(_xlfn.MINIFS(LOG!$G$2:$G$2001,LOG!$C$2:$C$2001,F523,LOG!$E$2:$E$2001,B523,LOG!$D$2:$D$2001,"*BOOKED")=0,_xlfn.MINIFS(LOG!$G$2:$G$2001,LOG!$C$2:$C$2001,F523,LOG!$E$2:$E$2001,"",LOG!$D$2:$D$2001,"*BOOKED"),IF(_xlfn.MINIFS(LOG!$G$2:$G$2001,LOG!$C$2:$C$2001,F523,LOG!$E$2:$E$2001,"",LOG!$D$2:$D$2001,"*BOOKED")=0,_xlfn.MINIFS(LOG!$G$2:$G$2001,LOG!$C$2:$C$2001,F523,LOG!$E$2:$E$2001,B523,LOG!$D$2:$D$2001,"*BOOKED"),MIN(_xlfn.MINIFS(LOG!$G$2:$G$2001,LOG!$C$2:$C$2001,F523,LOG!$E$2:$E$2001,B523,LOG!$D$2:$D$2001,"*BOOKED"),_xlfn.MINIFS(LOG!$G$2:$G$2001,LOG!$C$2:$C$2001,F523,LOG!$E$2:$E$2001,"",LOG!$D$2:$D$2001,"*BOOKED")))),"")</f>
        <v/>
      </c>
      <c r="AN523" s="28" t="str">
        <f t="shared" si="95"/>
        <v/>
      </c>
      <c r="AO523" s="28">
        <f>IF(AND(M523=1,AN523&lt;&gt;""),IF(AN523&lt;=SETTINGS!$B$5,1,0),0)</f>
        <v>0</v>
      </c>
      <c r="AP523" s="28">
        <f>IF(M523=1,IF(COUNTIFS(LOG!$C$2:$C$2001,F523,LOG!$E$2:$E$2001,B523,LOG!$D$2:$D$2001,"BOOKED")+COUNTIFS(LOG!$C$2:$C$2001,F523,LOG!$E$2:$E$2001,"",LOG!$D$2:$D$2001,"BOOKED")&gt;0,1,0),0)</f>
        <v>0</v>
      </c>
      <c r="AQ523" s="28" t="str">
        <f t="shared" si="96"/>
        <v/>
      </c>
      <c r="AR523" s="28" t="str">
        <f>IF(AND(AK523=1,K523="OK"),COUNTIFS($AK$2:AK523,1,$K$2:K523,"OK"),"")</f>
        <v/>
      </c>
      <c r="AS523" s="28" t="str">
        <f>IF(L523=1,IFERROR(INDEX(MESSAGES!$J$9:$J$1008,MATCH(F523,MESSAGES!$M$9:$M$1008,0))&amp;"",""),"")</f>
        <v/>
      </c>
      <c r="AT523" s="28" t="str">
        <f>IF(L523=1,IFERROR(INDEX(MESSAGES!$K$9:$K$1008,MATCH(F523,MESSAGES!$M$9:$M$1008,0))&amp;"",""),"")</f>
        <v/>
      </c>
      <c r="AU523" s="28">
        <f t="shared" ca="1" si="97"/>
        <v>0</v>
      </c>
      <c r="AV523" s="28" t="str">
        <f t="shared" si="98"/>
        <v/>
      </c>
    </row>
    <row r="524" spans="1:48" x14ac:dyDescent="0.35">
      <c r="A524" s="28">
        <v>523</v>
      </c>
      <c r="B524" s="28" t="str">
        <f>IF(INPUT!A524="","",TRIM(INPUT!A524))</f>
        <v/>
      </c>
      <c r="C524" s="28" t="str">
        <f>IF(B524="","",INPUT!C524)</f>
        <v/>
      </c>
      <c r="D524" s="28" t="str">
        <f>IF(B524="","",INPUT!D524)</f>
        <v/>
      </c>
      <c r="E524" s="28" t="str">
        <f>IF(B524="","",INPUT!E524)</f>
        <v/>
      </c>
      <c r="F524" s="43" t="str">
        <f>IF(B524="","",TRIM(INPUT!F524&amp;""))</f>
        <v/>
      </c>
      <c r="G524" s="28" t="str">
        <f>IF(B524="","",INPUT!H524)</f>
        <v/>
      </c>
      <c r="H524" s="46" t="str">
        <f>IF(B524="","",INPUT!I524)</f>
        <v/>
      </c>
      <c r="I524" s="28" t="str">
        <f>IF(B524="","",IF(INPUT!J524="","None",INPUT!J524))</f>
        <v/>
      </c>
      <c r="J524" s="28" t="str">
        <f t="shared" si="88"/>
        <v/>
      </c>
      <c r="K524" s="28" t="str">
        <f>IF(B524="","",IF(SUMPRODUCT(($J$2:$J$601=J524)*($H$2:$H$601&lt;H524))+SUMPRODUCT(($J$2:J524=J524)*($H$2:H524=H524))-1&gt;0,"DUPLICATE",IF(AND(ISNUMBER(SEARCH("@",E524)),ISNUMBER(SEARCH(".",E524)),LEN(F524)=10,ISNUMBER(VALUE(F524))),"OK","BAD CONTACT")))</f>
        <v/>
      </c>
      <c r="L524" s="28">
        <f t="shared" si="89"/>
        <v>0</v>
      </c>
      <c r="M524" s="28">
        <f>IF(L524=1,IF(COUNTIFS(LOG!$C$2:$C$2001,F524,LOG!$E$2:$E$2001,B524,LOG!$D$2:$D$2001,"*BOOKED")+COUNTIFS(LOG!$C$2:$C$2001,F524,LOG!$E$2:$E$2001,"",LOG!$D$2:$D$2001,"*BOOKED")&gt;0,1,0),0)</f>
        <v>0</v>
      </c>
      <c r="N524" s="28">
        <f>IF(L524=1,IF(COUNTIFS(LOG!$C$2:$C$2001,F524,LOG!$E$2:$E$2001,B524,LOG!$D$2:$D$2001,"NOT_INTERESTED")+COUNTIFS(LOG!$C$2:$C$2001,F524,LOG!$E$2:$E$2001,"",LOG!$D$2:$D$2001,"NOT_INTERESTED")&gt;0,1,0),0)</f>
        <v>0</v>
      </c>
      <c r="O524" s="28">
        <f>IF(L524=1,IF(COUNTIFS(LOG!$C$2:$C$2001,F524,LOG!$D$2:$D$2001,"STOP")+COUNTIFS(LOG!$C$2:$C$2001,F524,LOG!$D$2:$D$2001,"WRONG_NUMBER")&gt;0,1,IF(ISNUMBER(SEARCH("STOP",AT524)),1,0)),0)</f>
        <v>0</v>
      </c>
      <c r="P524" s="28">
        <f>IF(L524=1,IF(IFERROR(INDEX(PARTNERS!$D$2:$D$88,MATCH(B524,PARTNERS!$A$2:$A$88,0)),"")="NO SLOTS",1,IF(AND(IFERROR(INDEX(PARTNERS!$D$2:$D$88,MATCH(B524,PARTNERS!$A$2:$A$88,0)),"")&lt;&gt;"REOPENED",COUNTIFS(LOG!$E$2:$E$2001,B524,LOG!$D$2:$D$2001,"NO_SLOTS")&gt;0),1,0)),0)</f>
        <v>0</v>
      </c>
      <c r="Q524" s="28">
        <f>IF(L524=1,COUNTIFS(LOG!$C$2:$C$2001,F524,LOG!$H$2:$H$2001,1),0)</f>
        <v>0</v>
      </c>
      <c r="R524" s="46">
        <f>IF(Q524&gt;0,_xlfn.MAXIFS(LOG!$G$2:$G$2001,LOG!$C$2:$C$2001,F524,LOG!$H$2:$H$2001,1),0)</f>
        <v>0</v>
      </c>
      <c r="S524" s="28" t="str">
        <f>IF(Q524&gt;0,IFERROR(INDEX(LOG!$D$2:$D$2001,MATCH(F524&amp;"|"&amp;Q524,LOG!$I$2:$I$2001,0)),""),"")</f>
        <v/>
      </c>
      <c r="T524" s="28">
        <f>IF(S524="",0,IFERROR(VLOOKUP(S524,LISTS!$A$2:$E$10,4,FALSE),0))</f>
        <v>0</v>
      </c>
      <c r="U524" s="46">
        <f t="shared" si="90"/>
        <v>0</v>
      </c>
      <c r="V524" s="46" t="str">
        <f>IF(L524=1,H524+SETTINGS!$B$5/24,"")</f>
        <v/>
      </c>
      <c r="W524" s="28" t="str">
        <f>IF(L524=1,(V524-SETTINGS!$B$4)*24,"")</f>
        <v/>
      </c>
      <c r="X524" s="28">
        <f ca="1">IF(AND(L524=1,K524="OK",M524=0,N524=0,O524=0,P524=0,SETTINGS!$B$4&lt;V524,Q524&lt;SETTINGS!$B$6),1,0)</f>
        <v>0</v>
      </c>
      <c r="Y524" s="28">
        <f ca="1">IF(AND(X524=1,SETTINGS!$B$4&gt;=H524,SETTINGS!$B$4&gt;=U524,ROUND(MOD(SETTINGS!$B$4,1)*1440,0)&gt;=ROUND(SETTINGS!$B$7*1440,0),ROUND(MOD(SETTINGS!$B$4,1)*1440,0)&lt;ROUND(SETTINGS!$B$8*1440,0)),1,0)</f>
        <v>0</v>
      </c>
      <c r="Z524" s="28" t="str">
        <f>IF(B524="","",IF(ROUND(MOD(SETTINGS!$B$4,1)*1440,0)&lt;ROUND(SETTINGS!$B$11*1440,0),"Ram",IF(ROUND(MOD(SETTINGS!$B$4,1)*1440,0)&gt;=ROUND(SETTINGS!$B$10*1440,0),"Shyam",IF(MOD(IFERROR(VALUE(RIGHT(F524,2)),0),2)=0,"Ram","Shyam"))))</f>
        <v/>
      </c>
      <c r="AA524" s="28">
        <f t="shared" ca="1" si="91"/>
        <v>0</v>
      </c>
      <c r="AB524" s="28">
        <f ca="1">IF(X524=1,COUNTIFS($F$2:F524,F524,$X$2:X524,1),0)</f>
        <v>0</v>
      </c>
      <c r="AC524" s="28" t="str">
        <f>IF(L524=1,IF(IFERROR(INDEX(PARTNERS!$C$2:$C$88,MATCH(B524,PARTNERS!$A$2:$A$88,0)),"")="YES","YES","NO"),"")</f>
        <v/>
      </c>
      <c r="AD524" s="28" t="str">
        <f>IF(L524=1,IFERROR(INDEX(PARTNERS!$B$2:$B$88,MATCH(B524,PARTNERS!$A$2:$A$88,0)),""),"")</f>
        <v/>
      </c>
      <c r="AE524" s="28">
        <f ca="1">IF(X524=1,IFERROR(INDEX(SETTINGS!$B$34:$D$36,MATCH(I524,SETTINGS!$A$34:$A$36,0),MIN(Q524,2)+1),SETTINGS!$B$36),0)</f>
        <v>0</v>
      </c>
      <c r="AF524" s="28">
        <f t="shared" si="92"/>
        <v>0</v>
      </c>
      <c r="AG524" s="28">
        <f ca="1">IF(AND(Y524=1,AB524=1),ROUND(AA524*AE524*IF(AF524&gt;1,SETTINGS!$B$16,1)*IF(W524&lt;=SETTINGS!$B$14,SETTINGS!$B$15,1)*IF(AU524=1,SETTINGS!$B$21,1),6),0)</f>
        <v>0</v>
      </c>
      <c r="AH524" s="28" t="str">
        <f ca="1">IF(AG524&gt;0,COUNTIFS($Z$2:$Z$601,Z524,$AG$2:$AG$601,"&gt;"&amp;AG524)+COUNTIFS($Z$2:Z524,Z524,$AG$2:AG524,AG524),"")</f>
        <v/>
      </c>
      <c r="AI524" s="28" t="str">
        <f t="shared" ca="1" si="93"/>
        <v/>
      </c>
      <c r="AJ524" s="28" t="str">
        <f t="shared" ca="1" si="94"/>
        <v/>
      </c>
      <c r="AK524" s="28">
        <f>IF(L524=1,IF(COUNTIFS($F$2:F524,F524,$L$2:L524,1)=1,1,0),0)</f>
        <v>0</v>
      </c>
      <c r="AL524" s="28" t="str">
        <f>IF(B524="","",IF(K524="DUPLICATE","Duplicate (removed)",IF(AO524=1,"Scheduled within 24h",IF(M524=1,"Scheduled late",IF(K524="BAD CONTACT","Bad contact details",IF(O524=1,"Stopped / wrong number",IF(N524=1,"Not interested",IF(P524=1,"Partner has no slots",IF(SETTINGS!$B$4&gt;=V524,IF(Q524=0,"Missed deadline: never tried","Missed deadline: tried, not booked"),IF(Q524&gt;=SETTINGS!$B$6,"No reply after max tries","Open"))))))))))</f>
        <v/>
      </c>
      <c r="AM524" s="46" t="str">
        <f>IF(M524=1,IF(_xlfn.MINIFS(LOG!$G$2:$G$2001,LOG!$C$2:$C$2001,F524,LOG!$E$2:$E$2001,B524,LOG!$D$2:$D$2001,"*BOOKED")=0,_xlfn.MINIFS(LOG!$G$2:$G$2001,LOG!$C$2:$C$2001,F524,LOG!$E$2:$E$2001,"",LOG!$D$2:$D$2001,"*BOOKED"),IF(_xlfn.MINIFS(LOG!$G$2:$G$2001,LOG!$C$2:$C$2001,F524,LOG!$E$2:$E$2001,"",LOG!$D$2:$D$2001,"*BOOKED")=0,_xlfn.MINIFS(LOG!$G$2:$G$2001,LOG!$C$2:$C$2001,F524,LOG!$E$2:$E$2001,B524,LOG!$D$2:$D$2001,"*BOOKED"),MIN(_xlfn.MINIFS(LOG!$G$2:$G$2001,LOG!$C$2:$C$2001,F524,LOG!$E$2:$E$2001,B524,LOG!$D$2:$D$2001,"*BOOKED"),_xlfn.MINIFS(LOG!$G$2:$G$2001,LOG!$C$2:$C$2001,F524,LOG!$E$2:$E$2001,"",LOG!$D$2:$D$2001,"*BOOKED")))),"")</f>
        <v/>
      </c>
      <c r="AN524" s="28" t="str">
        <f t="shared" si="95"/>
        <v/>
      </c>
      <c r="AO524" s="28">
        <f>IF(AND(M524=1,AN524&lt;&gt;""),IF(AN524&lt;=SETTINGS!$B$5,1,0),0)</f>
        <v>0</v>
      </c>
      <c r="AP524" s="28">
        <f>IF(M524=1,IF(COUNTIFS(LOG!$C$2:$C$2001,F524,LOG!$E$2:$E$2001,B524,LOG!$D$2:$D$2001,"BOOKED")+COUNTIFS(LOG!$C$2:$C$2001,F524,LOG!$E$2:$E$2001,"",LOG!$D$2:$D$2001,"BOOKED")&gt;0,1,0),0)</f>
        <v>0</v>
      </c>
      <c r="AQ524" s="28" t="str">
        <f t="shared" si="96"/>
        <v/>
      </c>
      <c r="AR524" s="28" t="str">
        <f>IF(AND(AK524=1,K524="OK"),COUNTIFS($AK$2:AK524,1,$K$2:K524,"OK"),"")</f>
        <v/>
      </c>
      <c r="AS524" s="28" t="str">
        <f>IF(L524=1,IFERROR(INDEX(MESSAGES!$J$9:$J$1008,MATCH(F524,MESSAGES!$M$9:$M$1008,0))&amp;"",""),"")</f>
        <v/>
      </c>
      <c r="AT524" s="28" t="str">
        <f>IF(L524=1,IFERROR(INDEX(MESSAGES!$K$9:$K$1008,MATCH(F524,MESSAGES!$M$9:$M$1008,0))&amp;"",""),"")</f>
        <v/>
      </c>
      <c r="AU524" s="28">
        <f t="shared" ca="1" si="97"/>
        <v>0</v>
      </c>
      <c r="AV524" s="28" t="str">
        <f t="shared" si="98"/>
        <v/>
      </c>
    </row>
    <row r="525" spans="1:48" x14ac:dyDescent="0.35">
      <c r="A525" s="28">
        <v>524</v>
      </c>
      <c r="B525" s="28" t="str">
        <f>IF(INPUT!A525="","",TRIM(INPUT!A525))</f>
        <v/>
      </c>
      <c r="C525" s="28" t="str">
        <f>IF(B525="","",INPUT!C525)</f>
        <v/>
      </c>
      <c r="D525" s="28" t="str">
        <f>IF(B525="","",INPUT!D525)</f>
        <v/>
      </c>
      <c r="E525" s="28" t="str">
        <f>IF(B525="","",INPUT!E525)</f>
        <v/>
      </c>
      <c r="F525" s="43" t="str">
        <f>IF(B525="","",TRIM(INPUT!F525&amp;""))</f>
        <v/>
      </c>
      <c r="G525" s="28" t="str">
        <f>IF(B525="","",INPUT!H525)</f>
        <v/>
      </c>
      <c r="H525" s="46" t="str">
        <f>IF(B525="","",INPUT!I525)</f>
        <v/>
      </c>
      <c r="I525" s="28" t="str">
        <f>IF(B525="","",IF(INPUT!J525="","None",INPUT!J525))</f>
        <v/>
      </c>
      <c r="J525" s="28" t="str">
        <f t="shared" si="88"/>
        <v/>
      </c>
      <c r="K525" s="28" t="str">
        <f>IF(B525="","",IF(SUMPRODUCT(($J$2:$J$601=J525)*($H$2:$H$601&lt;H525))+SUMPRODUCT(($J$2:J525=J525)*($H$2:H525=H525))-1&gt;0,"DUPLICATE",IF(AND(ISNUMBER(SEARCH("@",E525)),ISNUMBER(SEARCH(".",E525)),LEN(F525)=10,ISNUMBER(VALUE(F525))),"OK","BAD CONTACT")))</f>
        <v/>
      </c>
      <c r="L525" s="28">
        <f t="shared" si="89"/>
        <v>0</v>
      </c>
      <c r="M525" s="28">
        <f>IF(L525=1,IF(COUNTIFS(LOG!$C$2:$C$2001,F525,LOG!$E$2:$E$2001,B525,LOG!$D$2:$D$2001,"*BOOKED")+COUNTIFS(LOG!$C$2:$C$2001,F525,LOG!$E$2:$E$2001,"",LOG!$D$2:$D$2001,"*BOOKED")&gt;0,1,0),0)</f>
        <v>0</v>
      </c>
      <c r="N525" s="28">
        <f>IF(L525=1,IF(COUNTIFS(LOG!$C$2:$C$2001,F525,LOG!$E$2:$E$2001,B525,LOG!$D$2:$D$2001,"NOT_INTERESTED")+COUNTIFS(LOG!$C$2:$C$2001,F525,LOG!$E$2:$E$2001,"",LOG!$D$2:$D$2001,"NOT_INTERESTED")&gt;0,1,0),0)</f>
        <v>0</v>
      </c>
      <c r="O525" s="28">
        <f>IF(L525=1,IF(COUNTIFS(LOG!$C$2:$C$2001,F525,LOG!$D$2:$D$2001,"STOP")+COUNTIFS(LOG!$C$2:$C$2001,F525,LOG!$D$2:$D$2001,"WRONG_NUMBER")&gt;0,1,IF(ISNUMBER(SEARCH("STOP",AT525)),1,0)),0)</f>
        <v>0</v>
      </c>
      <c r="P525" s="28">
        <f>IF(L525=1,IF(IFERROR(INDEX(PARTNERS!$D$2:$D$88,MATCH(B525,PARTNERS!$A$2:$A$88,0)),"")="NO SLOTS",1,IF(AND(IFERROR(INDEX(PARTNERS!$D$2:$D$88,MATCH(B525,PARTNERS!$A$2:$A$88,0)),"")&lt;&gt;"REOPENED",COUNTIFS(LOG!$E$2:$E$2001,B525,LOG!$D$2:$D$2001,"NO_SLOTS")&gt;0),1,0)),0)</f>
        <v>0</v>
      </c>
      <c r="Q525" s="28">
        <f>IF(L525=1,COUNTIFS(LOG!$C$2:$C$2001,F525,LOG!$H$2:$H$2001,1),0)</f>
        <v>0</v>
      </c>
      <c r="R525" s="46">
        <f>IF(Q525&gt;0,_xlfn.MAXIFS(LOG!$G$2:$G$2001,LOG!$C$2:$C$2001,F525,LOG!$H$2:$H$2001,1),0)</f>
        <v>0</v>
      </c>
      <c r="S525" s="28" t="str">
        <f>IF(Q525&gt;0,IFERROR(INDEX(LOG!$D$2:$D$2001,MATCH(F525&amp;"|"&amp;Q525,LOG!$I$2:$I$2001,0)),""),"")</f>
        <v/>
      </c>
      <c r="T525" s="28">
        <f>IF(S525="",0,IFERROR(VLOOKUP(S525,LISTS!$A$2:$E$10,4,FALSE),0))</f>
        <v>0</v>
      </c>
      <c r="U525" s="46">
        <f t="shared" si="90"/>
        <v>0</v>
      </c>
      <c r="V525" s="46" t="str">
        <f>IF(L525=1,H525+SETTINGS!$B$5/24,"")</f>
        <v/>
      </c>
      <c r="W525" s="28" t="str">
        <f>IF(L525=1,(V525-SETTINGS!$B$4)*24,"")</f>
        <v/>
      </c>
      <c r="X525" s="28">
        <f ca="1">IF(AND(L525=1,K525="OK",M525=0,N525=0,O525=0,P525=0,SETTINGS!$B$4&lt;V525,Q525&lt;SETTINGS!$B$6),1,0)</f>
        <v>0</v>
      </c>
      <c r="Y525" s="28">
        <f ca="1">IF(AND(X525=1,SETTINGS!$B$4&gt;=H525,SETTINGS!$B$4&gt;=U525,ROUND(MOD(SETTINGS!$B$4,1)*1440,0)&gt;=ROUND(SETTINGS!$B$7*1440,0),ROUND(MOD(SETTINGS!$B$4,1)*1440,0)&lt;ROUND(SETTINGS!$B$8*1440,0)),1,0)</f>
        <v>0</v>
      </c>
      <c r="Z525" s="28" t="str">
        <f>IF(B525="","",IF(ROUND(MOD(SETTINGS!$B$4,1)*1440,0)&lt;ROUND(SETTINGS!$B$11*1440,0),"Ram",IF(ROUND(MOD(SETTINGS!$B$4,1)*1440,0)&gt;=ROUND(SETTINGS!$B$10*1440,0),"Shyam",IF(MOD(IFERROR(VALUE(RIGHT(F525,2)),0),2)=0,"Ram","Shyam"))))</f>
        <v/>
      </c>
      <c r="AA525" s="28">
        <f t="shared" ca="1" si="91"/>
        <v>0</v>
      </c>
      <c r="AB525" s="28">
        <f ca="1">IF(X525=1,COUNTIFS($F$2:F525,F525,$X$2:X525,1),0)</f>
        <v>0</v>
      </c>
      <c r="AC525" s="28" t="str">
        <f>IF(L525=1,IF(IFERROR(INDEX(PARTNERS!$C$2:$C$88,MATCH(B525,PARTNERS!$A$2:$A$88,0)),"")="YES","YES","NO"),"")</f>
        <v/>
      </c>
      <c r="AD525" s="28" t="str">
        <f>IF(L525=1,IFERROR(INDEX(PARTNERS!$B$2:$B$88,MATCH(B525,PARTNERS!$A$2:$A$88,0)),""),"")</f>
        <v/>
      </c>
      <c r="AE525" s="28">
        <f ca="1">IF(X525=1,IFERROR(INDEX(SETTINGS!$B$34:$D$36,MATCH(I525,SETTINGS!$A$34:$A$36,0),MIN(Q525,2)+1),SETTINGS!$B$36),0)</f>
        <v>0</v>
      </c>
      <c r="AF525" s="28">
        <f t="shared" si="92"/>
        <v>0</v>
      </c>
      <c r="AG525" s="28">
        <f ca="1">IF(AND(Y525=1,AB525=1),ROUND(AA525*AE525*IF(AF525&gt;1,SETTINGS!$B$16,1)*IF(W525&lt;=SETTINGS!$B$14,SETTINGS!$B$15,1)*IF(AU525=1,SETTINGS!$B$21,1),6),0)</f>
        <v>0</v>
      </c>
      <c r="AH525" s="28" t="str">
        <f ca="1">IF(AG525&gt;0,COUNTIFS($Z$2:$Z$601,Z525,$AG$2:$AG$601,"&gt;"&amp;AG525)+COUNTIFS($Z$2:Z525,Z525,$AG$2:AG525,AG525),"")</f>
        <v/>
      </c>
      <c r="AI525" s="28" t="str">
        <f t="shared" ca="1" si="93"/>
        <v/>
      </c>
      <c r="AJ525" s="28" t="str">
        <f t="shared" ca="1" si="94"/>
        <v/>
      </c>
      <c r="AK525" s="28">
        <f>IF(L525=1,IF(COUNTIFS($F$2:F525,F525,$L$2:L525,1)=1,1,0),0)</f>
        <v>0</v>
      </c>
      <c r="AL525" s="28" t="str">
        <f>IF(B525="","",IF(K525="DUPLICATE","Duplicate (removed)",IF(AO525=1,"Scheduled within 24h",IF(M525=1,"Scheduled late",IF(K525="BAD CONTACT","Bad contact details",IF(O525=1,"Stopped / wrong number",IF(N525=1,"Not interested",IF(P525=1,"Partner has no slots",IF(SETTINGS!$B$4&gt;=V525,IF(Q525=0,"Missed deadline: never tried","Missed deadline: tried, not booked"),IF(Q525&gt;=SETTINGS!$B$6,"No reply after max tries","Open"))))))))))</f>
        <v/>
      </c>
      <c r="AM525" s="46" t="str">
        <f>IF(M525=1,IF(_xlfn.MINIFS(LOG!$G$2:$G$2001,LOG!$C$2:$C$2001,F525,LOG!$E$2:$E$2001,B525,LOG!$D$2:$D$2001,"*BOOKED")=0,_xlfn.MINIFS(LOG!$G$2:$G$2001,LOG!$C$2:$C$2001,F525,LOG!$E$2:$E$2001,"",LOG!$D$2:$D$2001,"*BOOKED"),IF(_xlfn.MINIFS(LOG!$G$2:$G$2001,LOG!$C$2:$C$2001,F525,LOG!$E$2:$E$2001,"",LOG!$D$2:$D$2001,"*BOOKED")=0,_xlfn.MINIFS(LOG!$G$2:$G$2001,LOG!$C$2:$C$2001,F525,LOG!$E$2:$E$2001,B525,LOG!$D$2:$D$2001,"*BOOKED"),MIN(_xlfn.MINIFS(LOG!$G$2:$G$2001,LOG!$C$2:$C$2001,F525,LOG!$E$2:$E$2001,B525,LOG!$D$2:$D$2001,"*BOOKED"),_xlfn.MINIFS(LOG!$G$2:$G$2001,LOG!$C$2:$C$2001,F525,LOG!$E$2:$E$2001,"",LOG!$D$2:$D$2001,"*BOOKED")))),"")</f>
        <v/>
      </c>
      <c r="AN525" s="28" t="str">
        <f t="shared" si="95"/>
        <v/>
      </c>
      <c r="AO525" s="28">
        <f>IF(AND(M525=1,AN525&lt;&gt;""),IF(AN525&lt;=SETTINGS!$B$5,1,0),0)</f>
        <v>0</v>
      </c>
      <c r="AP525" s="28">
        <f>IF(M525=1,IF(COUNTIFS(LOG!$C$2:$C$2001,F525,LOG!$E$2:$E$2001,B525,LOG!$D$2:$D$2001,"BOOKED")+COUNTIFS(LOG!$C$2:$C$2001,F525,LOG!$E$2:$E$2001,"",LOG!$D$2:$D$2001,"BOOKED")&gt;0,1,0),0)</f>
        <v>0</v>
      </c>
      <c r="AQ525" s="28" t="str">
        <f t="shared" si="96"/>
        <v/>
      </c>
      <c r="AR525" s="28" t="str">
        <f>IF(AND(AK525=1,K525="OK"),COUNTIFS($AK$2:AK525,1,$K$2:K525,"OK"),"")</f>
        <v/>
      </c>
      <c r="AS525" s="28" t="str">
        <f>IF(L525=1,IFERROR(INDEX(MESSAGES!$J$9:$J$1008,MATCH(F525,MESSAGES!$M$9:$M$1008,0))&amp;"",""),"")</f>
        <v/>
      </c>
      <c r="AT525" s="28" t="str">
        <f>IF(L525=1,IFERROR(INDEX(MESSAGES!$K$9:$K$1008,MATCH(F525,MESSAGES!$M$9:$M$1008,0))&amp;"",""),"")</f>
        <v/>
      </c>
      <c r="AU525" s="28">
        <f t="shared" ca="1" si="97"/>
        <v>0</v>
      </c>
      <c r="AV525" s="28" t="str">
        <f t="shared" si="98"/>
        <v/>
      </c>
    </row>
    <row r="526" spans="1:48" x14ac:dyDescent="0.35">
      <c r="A526" s="28">
        <v>525</v>
      </c>
      <c r="B526" s="28" t="str">
        <f>IF(INPUT!A526="","",TRIM(INPUT!A526))</f>
        <v/>
      </c>
      <c r="C526" s="28" t="str">
        <f>IF(B526="","",INPUT!C526)</f>
        <v/>
      </c>
      <c r="D526" s="28" t="str">
        <f>IF(B526="","",INPUT!D526)</f>
        <v/>
      </c>
      <c r="E526" s="28" t="str">
        <f>IF(B526="","",INPUT!E526)</f>
        <v/>
      </c>
      <c r="F526" s="43" t="str">
        <f>IF(B526="","",TRIM(INPUT!F526&amp;""))</f>
        <v/>
      </c>
      <c r="G526" s="28" t="str">
        <f>IF(B526="","",INPUT!H526)</f>
        <v/>
      </c>
      <c r="H526" s="46" t="str">
        <f>IF(B526="","",INPUT!I526)</f>
        <v/>
      </c>
      <c r="I526" s="28" t="str">
        <f>IF(B526="","",IF(INPUT!J526="","None",INPUT!J526))</f>
        <v/>
      </c>
      <c r="J526" s="28" t="str">
        <f t="shared" si="88"/>
        <v/>
      </c>
      <c r="K526" s="28" t="str">
        <f>IF(B526="","",IF(SUMPRODUCT(($J$2:$J$601=J526)*($H$2:$H$601&lt;H526))+SUMPRODUCT(($J$2:J526=J526)*($H$2:H526=H526))-1&gt;0,"DUPLICATE",IF(AND(ISNUMBER(SEARCH("@",E526)),ISNUMBER(SEARCH(".",E526)),LEN(F526)=10,ISNUMBER(VALUE(F526))),"OK","BAD CONTACT")))</f>
        <v/>
      </c>
      <c r="L526" s="28">
        <f t="shared" si="89"/>
        <v>0</v>
      </c>
      <c r="M526" s="28">
        <f>IF(L526=1,IF(COUNTIFS(LOG!$C$2:$C$2001,F526,LOG!$E$2:$E$2001,B526,LOG!$D$2:$D$2001,"*BOOKED")+COUNTIFS(LOG!$C$2:$C$2001,F526,LOG!$E$2:$E$2001,"",LOG!$D$2:$D$2001,"*BOOKED")&gt;0,1,0),0)</f>
        <v>0</v>
      </c>
      <c r="N526" s="28">
        <f>IF(L526=1,IF(COUNTIFS(LOG!$C$2:$C$2001,F526,LOG!$E$2:$E$2001,B526,LOG!$D$2:$D$2001,"NOT_INTERESTED")+COUNTIFS(LOG!$C$2:$C$2001,F526,LOG!$E$2:$E$2001,"",LOG!$D$2:$D$2001,"NOT_INTERESTED")&gt;0,1,0),0)</f>
        <v>0</v>
      </c>
      <c r="O526" s="28">
        <f>IF(L526=1,IF(COUNTIFS(LOG!$C$2:$C$2001,F526,LOG!$D$2:$D$2001,"STOP")+COUNTIFS(LOG!$C$2:$C$2001,F526,LOG!$D$2:$D$2001,"WRONG_NUMBER")&gt;0,1,IF(ISNUMBER(SEARCH("STOP",AT526)),1,0)),0)</f>
        <v>0</v>
      </c>
      <c r="P526" s="28">
        <f>IF(L526=1,IF(IFERROR(INDEX(PARTNERS!$D$2:$D$88,MATCH(B526,PARTNERS!$A$2:$A$88,0)),"")="NO SLOTS",1,IF(AND(IFERROR(INDEX(PARTNERS!$D$2:$D$88,MATCH(B526,PARTNERS!$A$2:$A$88,0)),"")&lt;&gt;"REOPENED",COUNTIFS(LOG!$E$2:$E$2001,B526,LOG!$D$2:$D$2001,"NO_SLOTS")&gt;0),1,0)),0)</f>
        <v>0</v>
      </c>
      <c r="Q526" s="28">
        <f>IF(L526=1,COUNTIFS(LOG!$C$2:$C$2001,F526,LOG!$H$2:$H$2001,1),0)</f>
        <v>0</v>
      </c>
      <c r="R526" s="46">
        <f>IF(Q526&gt;0,_xlfn.MAXIFS(LOG!$G$2:$G$2001,LOG!$C$2:$C$2001,F526,LOG!$H$2:$H$2001,1),0)</f>
        <v>0</v>
      </c>
      <c r="S526" s="28" t="str">
        <f>IF(Q526&gt;0,IFERROR(INDEX(LOG!$D$2:$D$2001,MATCH(F526&amp;"|"&amp;Q526,LOG!$I$2:$I$2001,0)),""),"")</f>
        <v/>
      </c>
      <c r="T526" s="28">
        <f>IF(S526="",0,IFERROR(VLOOKUP(S526,LISTS!$A$2:$E$10,4,FALSE),0))</f>
        <v>0</v>
      </c>
      <c r="U526" s="46">
        <f t="shared" si="90"/>
        <v>0</v>
      </c>
      <c r="V526" s="46" t="str">
        <f>IF(L526=1,H526+SETTINGS!$B$5/24,"")</f>
        <v/>
      </c>
      <c r="W526" s="28" t="str">
        <f>IF(L526=1,(V526-SETTINGS!$B$4)*24,"")</f>
        <v/>
      </c>
      <c r="X526" s="28">
        <f ca="1">IF(AND(L526=1,K526="OK",M526=0,N526=0,O526=0,P526=0,SETTINGS!$B$4&lt;V526,Q526&lt;SETTINGS!$B$6),1,0)</f>
        <v>0</v>
      </c>
      <c r="Y526" s="28">
        <f ca="1">IF(AND(X526=1,SETTINGS!$B$4&gt;=H526,SETTINGS!$B$4&gt;=U526,ROUND(MOD(SETTINGS!$B$4,1)*1440,0)&gt;=ROUND(SETTINGS!$B$7*1440,0),ROUND(MOD(SETTINGS!$B$4,1)*1440,0)&lt;ROUND(SETTINGS!$B$8*1440,0)),1,0)</f>
        <v>0</v>
      </c>
      <c r="Z526" s="28" t="str">
        <f>IF(B526="","",IF(ROUND(MOD(SETTINGS!$B$4,1)*1440,0)&lt;ROUND(SETTINGS!$B$11*1440,0),"Ram",IF(ROUND(MOD(SETTINGS!$B$4,1)*1440,0)&gt;=ROUND(SETTINGS!$B$10*1440,0),"Shyam",IF(MOD(IFERROR(VALUE(RIGHT(F526,2)),0),2)=0,"Ram","Shyam"))))</f>
        <v/>
      </c>
      <c r="AA526" s="28">
        <f t="shared" ca="1" si="91"/>
        <v>0</v>
      </c>
      <c r="AB526" s="28">
        <f ca="1">IF(X526=1,COUNTIFS($F$2:F526,F526,$X$2:X526,1),0)</f>
        <v>0</v>
      </c>
      <c r="AC526" s="28" t="str">
        <f>IF(L526=1,IF(IFERROR(INDEX(PARTNERS!$C$2:$C$88,MATCH(B526,PARTNERS!$A$2:$A$88,0)),"")="YES","YES","NO"),"")</f>
        <v/>
      </c>
      <c r="AD526" s="28" t="str">
        <f>IF(L526=1,IFERROR(INDEX(PARTNERS!$B$2:$B$88,MATCH(B526,PARTNERS!$A$2:$A$88,0)),""),"")</f>
        <v/>
      </c>
      <c r="AE526" s="28">
        <f ca="1">IF(X526=1,IFERROR(INDEX(SETTINGS!$B$34:$D$36,MATCH(I526,SETTINGS!$A$34:$A$36,0),MIN(Q526,2)+1),SETTINGS!$B$36),0)</f>
        <v>0</v>
      </c>
      <c r="AF526" s="28">
        <f t="shared" si="92"/>
        <v>0</v>
      </c>
      <c r="AG526" s="28">
        <f ca="1">IF(AND(Y526=1,AB526=1),ROUND(AA526*AE526*IF(AF526&gt;1,SETTINGS!$B$16,1)*IF(W526&lt;=SETTINGS!$B$14,SETTINGS!$B$15,1)*IF(AU526=1,SETTINGS!$B$21,1),6),0)</f>
        <v>0</v>
      </c>
      <c r="AH526" s="28" t="str">
        <f ca="1">IF(AG526&gt;0,COUNTIFS($Z$2:$Z$601,Z526,$AG$2:$AG$601,"&gt;"&amp;AG526)+COUNTIFS($Z$2:Z526,Z526,$AG$2:AG526,AG526),"")</f>
        <v/>
      </c>
      <c r="AI526" s="28" t="str">
        <f t="shared" ca="1" si="93"/>
        <v/>
      </c>
      <c r="AJ526" s="28" t="str">
        <f t="shared" ca="1" si="94"/>
        <v/>
      </c>
      <c r="AK526" s="28">
        <f>IF(L526=1,IF(COUNTIFS($F$2:F526,F526,$L$2:L526,1)=1,1,0),0)</f>
        <v>0</v>
      </c>
      <c r="AL526" s="28" t="str">
        <f>IF(B526="","",IF(K526="DUPLICATE","Duplicate (removed)",IF(AO526=1,"Scheduled within 24h",IF(M526=1,"Scheduled late",IF(K526="BAD CONTACT","Bad contact details",IF(O526=1,"Stopped / wrong number",IF(N526=1,"Not interested",IF(P526=1,"Partner has no slots",IF(SETTINGS!$B$4&gt;=V526,IF(Q526=0,"Missed deadline: never tried","Missed deadline: tried, not booked"),IF(Q526&gt;=SETTINGS!$B$6,"No reply after max tries","Open"))))))))))</f>
        <v/>
      </c>
      <c r="AM526" s="46" t="str">
        <f>IF(M526=1,IF(_xlfn.MINIFS(LOG!$G$2:$G$2001,LOG!$C$2:$C$2001,F526,LOG!$E$2:$E$2001,B526,LOG!$D$2:$D$2001,"*BOOKED")=0,_xlfn.MINIFS(LOG!$G$2:$G$2001,LOG!$C$2:$C$2001,F526,LOG!$E$2:$E$2001,"",LOG!$D$2:$D$2001,"*BOOKED"),IF(_xlfn.MINIFS(LOG!$G$2:$G$2001,LOG!$C$2:$C$2001,F526,LOG!$E$2:$E$2001,"",LOG!$D$2:$D$2001,"*BOOKED")=0,_xlfn.MINIFS(LOG!$G$2:$G$2001,LOG!$C$2:$C$2001,F526,LOG!$E$2:$E$2001,B526,LOG!$D$2:$D$2001,"*BOOKED"),MIN(_xlfn.MINIFS(LOG!$G$2:$G$2001,LOG!$C$2:$C$2001,F526,LOG!$E$2:$E$2001,B526,LOG!$D$2:$D$2001,"*BOOKED"),_xlfn.MINIFS(LOG!$G$2:$G$2001,LOG!$C$2:$C$2001,F526,LOG!$E$2:$E$2001,"",LOG!$D$2:$D$2001,"*BOOKED")))),"")</f>
        <v/>
      </c>
      <c r="AN526" s="28" t="str">
        <f t="shared" si="95"/>
        <v/>
      </c>
      <c r="AO526" s="28">
        <f>IF(AND(M526=1,AN526&lt;&gt;""),IF(AN526&lt;=SETTINGS!$B$5,1,0),0)</f>
        <v>0</v>
      </c>
      <c r="AP526" s="28">
        <f>IF(M526=1,IF(COUNTIFS(LOG!$C$2:$C$2001,F526,LOG!$E$2:$E$2001,B526,LOG!$D$2:$D$2001,"BOOKED")+COUNTIFS(LOG!$C$2:$C$2001,F526,LOG!$E$2:$E$2001,"",LOG!$D$2:$D$2001,"BOOKED")&gt;0,1,0),0)</f>
        <v>0</v>
      </c>
      <c r="AQ526" s="28" t="str">
        <f t="shared" si="96"/>
        <v/>
      </c>
      <c r="AR526" s="28" t="str">
        <f>IF(AND(AK526=1,K526="OK"),COUNTIFS($AK$2:AK526,1,$K$2:K526,"OK"),"")</f>
        <v/>
      </c>
      <c r="AS526" s="28" t="str">
        <f>IF(L526=1,IFERROR(INDEX(MESSAGES!$J$9:$J$1008,MATCH(F526,MESSAGES!$M$9:$M$1008,0))&amp;"",""),"")</f>
        <v/>
      </c>
      <c r="AT526" s="28" t="str">
        <f>IF(L526=1,IFERROR(INDEX(MESSAGES!$K$9:$K$1008,MATCH(F526,MESSAGES!$M$9:$M$1008,0))&amp;"",""),"")</f>
        <v/>
      </c>
      <c r="AU526" s="28">
        <f t="shared" ca="1" si="97"/>
        <v>0</v>
      </c>
      <c r="AV526" s="28" t="str">
        <f t="shared" si="98"/>
        <v/>
      </c>
    </row>
    <row r="527" spans="1:48" x14ac:dyDescent="0.35">
      <c r="A527" s="28">
        <v>526</v>
      </c>
      <c r="B527" s="28" t="str">
        <f>IF(INPUT!A527="","",TRIM(INPUT!A527))</f>
        <v/>
      </c>
      <c r="C527" s="28" t="str">
        <f>IF(B527="","",INPUT!C527)</f>
        <v/>
      </c>
      <c r="D527" s="28" t="str">
        <f>IF(B527="","",INPUT!D527)</f>
        <v/>
      </c>
      <c r="E527" s="28" t="str">
        <f>IF(B527="","",INPUT!E527)</f>
        <v/>
      </c>
      <c r="F527" s="43" t="str">
        <f>IF(B527="","",TRIM(INPUT!F527&amp;""))</f>
        <v/>
      </c>
      <c r="G527" s="28" t="str">
        <f>IF(B527="","",INPUT!H527)</f>
        <v/>
      </c>
      <c r="H527" s="46" t="str">
        <f>IF(B527="","",INPUT!I527)</f>
        <v/>
      </c>
      <c r="I527" s="28" t="str">
        <f>IF(B527="","",IF(INPUT!J527="","None",INPUT!J527))</f>
        <v/>
      </c>
      <c r="J527" s="28" t="str">
        <f t="shared" si="88"/>
        <v/>
      </c>
      <c r="K527" s="28" t="str">
        <f>IF(B527="","",IF(SUMPRODUCT(($J$2:$J$601=J527)*($H$2:$H$601&lt;H527))+SUMPRODUCT(($J$2:J527=J527)*($H$2:H527=H527))-1&gt;0,"DUPLICATE",IF(AND(ISNUMBER(SEARCH("@",E527)),ISNUMBER(SEARCH(".",E527)),LEN(F527)=10,ISNUMBER(VALUE(F527))),"OK","BAD CONTACT")))</f>
        <v/>
      </c>
      <c r="L527" s="28">
        <f t="shared" si="89"/>
        <v>0</v>
      </c>
      <c r="M527" s="28">
        <f>IF(L527=1,IF(COUNTIFS(LOG!$C$2:$C$2001,F527,LOG!$E$2:$E$2001,B527,LOG!$D$2:$D$2001,"*BOOKED")+COUNTIFS(LOG!$C$2:$C$2001,F527,LOG!$E$2:$E$2001,"",LOG!$D$2:$D$2001,"*BOOKED")&gt;0,1,0),0)</f>
        <v>0</v>
      </c>
      <c r="N527" s="28">
        <f>IF(L527=1,IF(COUNTIFS(LOG!$C$2:$C$2001,F527,LOG!$E$2:$E$2001,B527,LOG!$D$2:$D$2001,"NOT_INTERESTED")+COUNTIFS(LOG!$C$2:$C$2001,F527,LOG!$E$2:$E$2001,"",LOG!$D$2:$D$2001,"NOT_INTERESTED")&gt;0,1,0),0)</f>
        <v>0</v>
      </c>
      <c r="O527" s="28">
        <f>IF(L527=1,IF(COUNTIFS(LOG!$C$2:$C$2001,F527,LOG!$D$2:$D$2001,"STOP")+COUNTIFS(LOG!$C$2:$C$2001,F527,LOG!$D$2:$D$2001,"WRONG_NUMBER")&gt;0,1,IF(ISNUMBER(SEARCH("STOP",AT527)),1,0)),0)</f>
        <v>0</v>
      </c>
      <c r="P527" s="28">
        <f>IF(L527=1,IF(IFERROR(INDEX(PARTNERS!$D$2:$D$88,MATCH(B527,PARTNERS!$A$2:$A$88,0)),"")="NO SLOTS",1,IF(AND(IFERROR(INDEX(PARTNERS!$D$2:$D$88,MATCH(B527,PARTNERS!$A$2:$A$88,0)),"")&lt;&gt;"REOPENED",COUNTIFS(LOG!$E$2:$E$2001,B527,LOG!$D$2:$D$2001,"NO_SLOTS")&gt;0),1,0)),0)</f>
        <v>0</v>
      </c>
      <c r="Q527" s="28">
        <f>IF(L527=1,COUNTIFS(LOG!$C$2:$C$2001,F527,LOG!$H$2:$H$2001,1),0)</f>
        <v>0</v>
      </c>
      <c r="R527" s="46">
        <f>IF(Q527&gt;0,_xlfn.MAXIFS(LOG!$G$2:$G$2001,LOG!$C$2:$C$2001,F527,LOG!$H$2:$H$2001,1),0)</f>
        <v>0</v>
      </c>
      <c r="S527" s="28" t="str">
        <f>IF(Q527&gt;0,IFERROR(INDEX(LOG!$D$2:$D$2001,MATCH(F527&amp;"|"&amp;Q527,LOG!$I$2:$I$2001,0)),""),"")</f>
        <v/>
      </c>
      <c r="T527" s="28">
        <f>IF(S527="",0,IFERROR(VLOOKUP(S527,LISTS!$A$2:$E$10,4,FALSE),0))</f>
        <v>0</v>
      </c>
      <c r="U527" s="46">
        <f t="shared" si="90"/>
        <v>0</v>
      </c>
      <c r="V527" s="46" t="str">
        <f>IF(L527=1,H527+SETTINGS!$B$5/24,"")</f>
        <v/>
      </c>
      <c r="W527" s="28" t="str">
        <f>IF(L527=1,(V527-SETTINGS!$B$4)*24,"")</f>
        <v/>
      </c>
      <c r="X527" s="28">
        <f ca="1">IF(AND(L527=1,K527="OK",M527=0,N527=0,O527=0,P527=0,SETTINGS!$B$4&lt;V527,Q527&lt;SETTINGS!$B$6),1,0)</f>
        <v>0</v>
      </c>
      <c r="Y527" s="28">
        <f ca="1">IF(AND(X527=1,SETTINGS!$B$4&gt;=H527,SETTINGS!$B$4&gt;=U527,ROUND(MOD(SETTINGS!$B$4,1)*1440,0)&gt;=ROUND(SETTINGS!$B$7*1440,0),ROUND(MOD(SETTINGS!$B$4,1)*1440,0)&lt;ROUND(SETTINGS!$B$8*1440,0)),1,0)</f>
        <v>0</v>
      </c>
      <c r="Z527" s="28" t="str">
        <f>IF(B527="","",IF(ROUND(MOD(SETTINGS!$B$4,1)*1440,0)&lt;ROUND(SETTINGS!$B$11*1440,0),"Ram",IF(ROUND(MOD(SETTINGS!$B$4,1)*1440,0)&gt;=ROUND(SETTINGS!$B$10*1440,0),"Shyam",IF(MOD(IFERROR(VALUE(RIGHT(F527,2)),0),2)=0,"Ram","Shyam"))))</f>
        <v/>
      </c>
      <c r="AA527" s="28">
        <f t="shared" ca="1" si="91"/>
        <v>0</v>
      </c>
      <c r="AB527" s="28">
        <f ca="1">IF(X527=1,COUNTIFS($F$2:F527,F527,$X$2:X527,1),0)</f>
        <v>0</v>
      </c>
      <c r="AC527" s="28" t="str">
        <f>IF(L527=1,IF(IFERROR(INDEX(PARTNERS!$C$2:$C$88,MATCH(B527,PARTNERS!$A$2:$A$88,0)),"")="YES","YES","NO"),"")</f>
        <v/>
      </c>
      <c r="AD527" s="28" t="str">
        <f>IF(L527=1,IFERROR(INDEX(PARTNERS!$B$2:$B$88,MATCH(B527,PARTNERS!$A$2:$A$88,0)),""),"")</f>
        <v/>
      </c>
      <c r="AE527" s="28">
        <f ca="1">IF(X527=1,IFERROR(INDEX(SETTINGS!$B$34:$D$36,MATCH(I527,SETTINGS!$A$34:$A$36,0),MIN(Q527,2)+1),SETTINGS!$B$36),0)</f>
        <v>0</v>
      </c>
      <c r="AF527" s="28">
        <f t="shared" si="92"/>
        <v>0</v>
      </c>
      <c r="AG527" s="28">
        <f ca="1">IF(AND(Y527=1,AB527=1),ROUND(AA527*AE527*IF(AF527&gt;1,SETTINGS!$B$16,1)*IF(W527&lt;=SETTINGS!$B$14,SETTINGS!$B$15,1)*IF(AU527=1,SETTINGS!$B$21,1),6),0)</f>
        <v>0</v>
      </c>
      <c r="AH527" s="28" t="str">
        <f ca="1">IF(AG527&gt;0,COUNTIFS($Z$2:$Z$601,Z527,$AG$2:$AG$601,"&gt;"&amp;AG527)+COUNTIFS($Z$2:Z527,Z527,$AG$2:AG527,AG527),"")</f>
        <v/>
      </c>
      <c r="AI527" s="28" t="str">
        <f t="shared" ca="1" si="93"/>
        <v/>
      </c>
      <c r="AJ527" s="28" t="str">
        <f t="shared" ca="1" si="94"/>
        <v/>
      </c>
      <c r="AK527" s="28">
        <f>IF(L527=1,IF(COUNTIFS($F$2:F527,F527,$L$2:L527,1)=1,1,0),0)</f>
        <v>0</v>
      </c>
      <c r="AL527" s="28" t="str">
        <f>IF(B527="","",IF(K527="DUPLICATE","Duplicate (removed)",IF(AO527=1,"Scheduled within 24h",IF(M527=1,"Scheduled late",IF(K527="BAD CONTACT","Bad contact details",IF(O527=1,"Stopped / wrong number",IF(N527=1,"Not interested",IF(P527=1,"Partner has no slots",IF(SETTINGS!$B$4&gt;=V527,IF(Q527=0,"Missed deadline: never tried","Missed deadline: tried, not booked"),IF(Q527&gt;=SETTINGS!$B$6,"No reply after max tries","Open"))))))))))</f>
        <v/>
      </c>
      <c r="AM527" s="46" t="str">
        <f>IF(M527=1,IF(_xlfn.MINIFS(LOG!$G$2:$G$2001,LOG!$C$2:$C$2001,F527,LOG!$E$2:$E$2001,B527,LOG!$D$2:$D$2001,"*BOOKED")=0,_xlfn.MINIFS(LOG!$G$2:$G$2001,LOG!$C$2:$C$2001,F527,LOG!$E$2:$E$2001,"",LOG!$D$2:$D$2001,"*BOOKED"),IF(_xlfn.MINIFS(LOG!$G$2:$G$2001,LOG!$C$2:$C$2001,F527,LOG!$E$2:$E$2001,"",LOG!$D$2:$D$2001,"*BOOKED")=0,_xlfn.MINIFS(LOG!$G$2:$G$2001,LOG!$C$2:$C$2001,F527,LOG!$E$2:$E$2001,B527,LOG!$D$2:$D$2001,"*BOOKED"),MIN(_xlfn.MINIFS(LOG!$G$2:$G$2001,LOG!$C$2:$C$2001,F527,LOG!$E$2:$E$2001,B527,LOG!$D$2:$D$2001,"*BOOKED"),_xlfn.MINIFS(LOG!$G$2:$G$2001,LOG!$C$2:$C$2001,F527,LOG!$E$2:$E$2001,"",LOG!$D$2:$D$2001,"*BOOKED")))),"")</f>
        <v/>
      </c>
      <c r="AN527" s="28" t="str">
        <f t="shared" si="95"/>
        <v/>
      </c>
      <c r="AO527" s="28">
        <f>IF(AND(M527=1,AN527&lt;&gt;""),IF(AN527&lt;=SETTINGS!$B$5,1,0),0)</f>
        <v>0</v>
      </c>
      <c r="AP527" s="28">
        <f>IF(M527=1,IF(COUNTIFS(LOG!$C$2:$C$2001,F527,LOG!$E$2:$E$2001,B527,LOG!$D$2:$D$2001,"BOOKED")+COUNTIFS(LOG!$C$2:$C$2001,F527,LOG!$E$2:$E$2001,"",LOG!$D$2:$D$2001,"BOOKED")&gt;0,1,0),0)</f>
        <v>0</v>
      </c>
      <c r="AQ527" s="28" t="str">
        <f t="shared" si="96"/>
        <v/>
      </c>
      <c r="AR527" s="28" t="str">
        <f>IF(AND(AK527=1,K527="OK"),COUNTIFS($AK$2:AK527,1,$K$2:K527,"OK"),"")</f>
        <v/>
      </c>
      <c r="AS527" s="28" t="str">
        <f>IF(L527=1,IFERROR(INDEX(MESSAGES!$J$9:$J$1008,MATCH(F527,MESSAGES!$M$9:$M$1008,0))&amp;"",""),"")</f>
        <v/>
      </c>
      <c r="AT527" s="28" t="str">
        <f>IF(L527=1,IFERROR(INDEX(MESSAGES!$K$9:$K$1008,MATCH(F527,MESSAGES!$M$9:$M$1008,0))&amp;"",""),"")</f>
        <v/>
      </c>
      <c r="AU527" s="28">
        <f t="shared" ca="1" si="97"/>
        <v>0</v>
      </c>
      <c r="AV527" s="28" t="str">
        <f t="shared" si="98"/>
        <v/>
      </c>
    </row>
    <row r="528" spans="1:48" x14ac:dyDescent="0.35">
      <c r="A528" s="28">
        <v>527</v>
      </c>
      <c r="B528" s="28" t="str">
        <f>IF(INPUT!A528="","",TRIM(INPUT!A528))</f>
        <v/>
      </c>
      <c r="C528" s="28" t="str">
        <f>IF(B528="","",INPUT!C528)</f>
        <v/>
      </c>
      <c r="D528" s="28" t="str">
        <f>IF(B528="","",INPUT!D528)</f>
        <v/>
      </c>
      <c r="E528" s="28" t="str">
        <f>IF(B528="","",INPUT!E528)</f>
        <v/>
      </c>
      <c r="F528" s="43" t="str">
        <f>IF(B528="","",TRIM(INPUT!F528&amp;""))</f>
        <v/>
      </c>
      <c r="G528" s="28" t="str">
        <f>IF(B528="","",INPUT!H528)</f>
        <v/>
      </c>
      <c r="H528" s="46" t="str">
        <f>IF(B528="","",INPUT!I528)</f>
        <v/>
      </c>
      <c r="I528" s="28" t="str">
        <f>IF(B528="","",IF(INPUT!J528="","None",INPUT!J528))</f>
        <v/>
      </c>
      <c r="J528" s="28" t="str">
        <f t="shared" si="88"/>
        <v/>
      </c>
      <c r="K528" s="28" t="str">
        <f>IF(B528="","",IF(SUMPRODUCT(($J$2:$J$601=J528)*($H$2:$H$601&lt;H528))+SUMPRODUCT(($J$2:J528=J528)*($H$2:H528=H528))-1&gt;0,"DUPLICATE",IF(AND(ISNUMBER(SEARCH("@",E528)),ISNUMBER(SEARCH(".",E528)),LEN(F528)=10,ISNUMBER(VALUE(F528))),"OK","BAD CONTACT")))</f>
        <v/>
      </c>
      <c r="L528" s="28">
        <f t="shared" si="89"/>
        <v>0</v>
      </c>
      <c r="M528" s="28">
        <f>IF(L528=1,IF(COUNTIFS(LOG!$C$2:$C$2001,F528,LOG!$E$2:$E$2001,B528,LOG!$D$2:$D$2001,"*BOOKED")+COUNTIFS(LOG!$C$2:$C$2001,F528,LOG!$E$2:$E$2001,"",LOG!$D$2:$D$2001,"*BOOKED")&gt;0,1,0),0)</f>
        <v>0</v>
      </c>
      <c r="N528" s="28">
        <f>IF(L528=1,IF(COUNTIFS(LOG!$C$2:$C$2001,F528,LOG!$E$2:$E$2001,B528,LOG!$D$2:$D$2001,"NOT_INTERESTED")+COUNTIFS(LOG!$C$2:$C$2001,F528,LOG!$E$2:$E$2001,"",LOG!$D$2:$D$2001,"NOT_INTERESTED")&gt;0,1,0),0)</f>
        <v>0</v>
      </c>
      <c r="O528" s="28">
        <f>IF(L528=1,IF(COUNTIFS(LOG!$C$2:$C$2001,F528,LOG!$D$2:$D$2001,"STOP")+COUNTIFS(LOG!$C$2:$C$2001,F528,LOG!$D$2:$D$2001,"WRONG_NUMBER")&gt;0,1,IF(ISNUMBER(SEARCH("STOP",AT528)),1,0)),0)</f>
        <v>0</v>
      </c>
      <c r="P528" s="28">
        <f>IF(L528=1,IF(IFERROR(INDEX(PARTNERS!$D$2:$D$88,MATCH(B528,PARTNERS!$A$2:$A$88,0)),"")="NO SLOTS",1,IF(AND(IFERROR(INDEX(PARTNERS!$D$2:$D$88,MATCH(B528,PARTNERS!$A$2:$A$88,0)),"")&lt;&gt;"REOPENED",COUNTIFS(LOG!$E$2:$E$2001,B528,LOG!$D$2:$D$2001,"NO_SLOTS")&gt;0),1,0)),0)</f>
        <v>0</v>
      </c>
      <c r="Q528" s="28">
        <f>IF(L528=1,COUNTIFS(LOG!$C$2:$C$2001,F528,LOG!$H$2:$H$2001,1),0)</f>
        <v>0</v>
      </c>
      <c r="R528" s="46">
        <f>IF(Q528&gt;0,_xlfn.MAXIFS(LOG!$G$2:$G$2001,LOG!$C$2:$C$2001,F528,LOG!$H$2:$H$2001,1),0)</f>
        <v>0</v>
      </c>
      <c r="S528" s="28" t="str">
        <f>IF(Q528&gt;0,IFERROR(INDEX(LOG!$D$2:$D$2001,MATCH(F528&amp;"|"&amp;Q528,LOG!$I$2:$I$2001,0)),""),"")</f>
        <v/>
      </c>
      <c r="T528" s="28">
        <f>IF(S528="",0,IFERROR(VLOOKUP(S528,LISTS!$A$2:$E$10,4,FALSE),0))</f>
        <v>0</v>
      </c>
      <c r="U528" s="46">
        <f t="shared" si="90"/>
        <v>0</v>
      </c>
      <c r="V528" s="46" t="str">
        <f>IF(L528=1,H528+SETTINGS!$B$5/24,"")</f>
        <v/>
      </c>
      <c r="W528" s="28" t="str">
        <f>IF(L528=1,(V528-SETTINGS!$B$4)*24,"")</f>
        <v/>
      </c>
      <c r="X528" s="28">
        <f ca="1">IF(AND(L528=1,K528="OK",M528=0,N528=0,O528=0,P528=0,SETTINGS!$B$4&lt;V528,Q528&lt;SETTINGS!$B$6),1,0)</f>
        <v>0</v>
      </c>
      <c r="Y528" s="28">
        <f ca="1">IF(AND(X528=1,SETTINGS!$B$4&gt;=H528,SETTINGS!$B$4&gt;=U528,ROUND(MOD(SETTINGS!$B$4,1)*1440,0)&gt;=ROUND(SETTINGS!$B$7*1440,0),ROUND(MOD(SETTINGS!$B$4,1)*1440,0)&lt;ROUND(SETTINGS!$B$8*1440,0)),1,0)</f>
        <v>0</v>
      </c>
      <c r="Z528" s="28" t="str">
        <f>IF(B528="","",IF(ROUND(MOD(SETTINGS!$B$4,1)*1440,0)&lt;ROUND(SETTINGS!$B$11*1440,0),"Ram",IF(ROUND(MOD(SETTINGS!$B$4,1)*1440,0)&gt;=ROUND(SETTINGS!$B$10*1440,0),"Shyam",IF(MOD(IFERROR(VALUE(RIGHT(F528,2)),0),2)=0,"Ram","Shyam"))))</f>
        <v/>
      </c>
      <c r="AA528" s="28">
        <f t="shared" ca="1" si="91"/>
        <v>0</v>
      </c>
      <c r="AB528" s="28">
        <f ca="1">IF(X528=1,COUNTIFS($F$2:F528,F528,$X$2:X528,1),0)</f>
        <v>0</v>
      </c>
      <c r="AC528" s="28" t="str">
        <f>IF(L528=1,IF(IFERROR(INDEX(PARTNERS!$C$2:$C$88,MATCH(B528,PARTNERS!$A$2:$A$88,0)),"")="YES","YES","NO"),"")</f>
        <v/>
      </c>
      <c r="AD528" s="28" t="str">
        <f>IF(L528=1,IFERROR(INDEX(PARTNERS!$B$2:$B$88,MATCH(B528,PARTNERS!$A$2:$A$88,0)),""),"")</f>
        <v/>
      </c>
      <c r="AE528" s="28">
        <f ca="1">IF(X528=1,IFERROR(INDEX(SETTINGS!$B$34:$D$36,MATCH(I528,SETTINGS!$A$34:$A$36,0),MIN(Q528,2)+1),SETTINGS!$B$36),0)</f>
        <v>0</v>
      </c>
      <c r="AF528" s="28">
        <f t="shared" si="92"/>
        <v>0</v>
      </c>
      <c r="AG528" s="28">
        <f ca="1">IF(AND(Y528=1,AB528=1),ROUND(AA528*AE528*IF(AF528&gt;1,SETTINGS!$B$16,1)*IF(W528&lt;=SETTINGS!$B$14,SETTINGS!$B$15,1)*IF(AU528=1,SETTINGS!$B$21,1),6),0)</f>
        <v>0</v>
      </c>
      <c r="AH528" s="28" t="str">
        <f ca="1">IF(AG528&gt;0,COUNTIFS($Z$2:$Z$601,Z528,$AG$2:$AG$601,"&gt;"&amp;AG528)+COUNTIFS($Z$2:Z528,Z528,$AG$2:AG528,AG528),"")</f>
        <v/>
      </c>
      <c r="AI528" s="28" t="str">
        <f t="shared" ca="1" si="93"/>
        <v/>
      </c>
      <c r="AJ528" s="28" t="str">
        <f t="shared" ca="1" si="94"/>
        <v/>
      </c>
      <c r="AK528" s="28">
        <f>IF(L528=1,IF(COUNTIFS($F$2:F528,F528,$L$2:L528,1)=1,1,0),0)</f>
        <v>0</v>
      </c>
      <c r="AL528" s="28" t="str">
        <f>IF(B528="","",IF(K528="DUPLICATE","Duplicate (removed)",IF(AO528=1,"Scheduled within 24h",IF(M528=1,"Scheduled late",IF(K528="BAD CONTACT","Bad contact details",IF(O528=1,"Stopped / wrong number",IF(N528=1,"Not interested",IF(P528=1,"Partner has no slots",IF(SETTINGS!$B$4&gt;=V528,IF(Q528=0,"Missed deadline: never tried","Missed deadline: tried, not booked"),IF(Q528&gt;=SETTINGS!$B$6,"No reply after max tries","Open"))))))))))</f>
        <v/>
      </c>
      <c r="AM528" s="46" t="str">
        <f>IF(M528=1,IF(_xlfn.MINIFS(LOG!$G$2:$G$2001,LOG!$C$2:$C$2001,F528,LOG!$E$2:$E$2001,B528,LOG!$D$2:$D$2001,"*BOOKED")=0,_xlfn.MINIFS(LOG!$G$2:$G$2001,LOG!$C$2:$C$2001,F528,LOG!$E$2:$E$2001,"",LOG!$D$2:$D$2001,"*BOOKED"),IF(_xlfn.MINIFS(LOG!$G$2:$G$2001,LOG!$C$2:$C$2001,F528,LOG!$E$2:$E$2001,"",LOG!$D$2:$D$2001,"*BOOKED")=0,_xlfn.MINIFS(LOG!$G$2:$G$2001,LOG!$C$2:$C$2001,F528,LOG!$E$2:$E$2001,B528,LOG!$D$2:$D$2001,"*BOOKED"),MIN(_xlfn.MINIFS(LOG!$G$2:$G$2001,LOG!$C$2:$C$2001,F528,LOG!$E$2:$E$2001,B528,LOG!$D$2:$D$2001,"*BOOKED"),_xlfn.MINIFS(LOG!$G$2:$G$2001,LOG!$C$2:$C$2001,F528,LOG!$E$2:$E$2001,"",LOG!$D$2:$D$2001,"*BOOKED")))),"")</f>
        <v/>
      </c>
      <c r="AN528" s="28" t="str">
        <f t="shared" si="95"/>
        <v/>
      </c>
      <c r="AO528" s="28">
        <f>IF(AND(M528=1,AN528&lt;&gt;""),IF(AN528&lt;=SETTINGS!$B$5,1,0),0)</f>
        <v>0</v>
      </c>
      <c r="AP528" s="28">
        <f>IF(M528=1,IF(COUNTIFS(LOG!$C$2:$C$2001,F528,LOG!$E$2:$E$2001,B528,LOG!$D$2:$D$2001,"BOOKED")+COUNTIFS(LOG!$C$2:$C$2001,F528,LOG!$E$2:$E$2001,"",LOG!$D$2:$D$2001,"BOOKED")&gt;0,1,0),0)</f>
        <v>0</v>
      </c>
      <c r="AQ528" s="28" t="str">
        <f t="shared" si="96"/>
        <v/>
      </c>
      <c r="AR528" s="28" t="str">
        <f>IF(AND(AK528=1,K528="OK"),COUNTIFS($AK$2:AK528,1,$K$2:K528,"OK"),"")</f>
        <v/>
      </c>
      <c r="AS528" s="28" t="str">
        <f>IF(L528=1,IFERROR(INDEX(MESSAGES!$J$9:$J$1008,MATCH(F528,MESSAGES!$M$9:$M$1008,0))&amp;"",""),"")</f>
        <v/>
      </c>
      <c r="AT528" s="28" t="str">
        <f>IF(L528=1,IFERROR(INDEX(MESSAGES!$K$9:$K$1008,MATCH(F528,MESSAGES!$M$9:$M$1008,0))&amp;"",""),"")</f>
        <v/>
      </c>
      <c r="AU528" s="28">
        <f t="shared" ca="1" si="97"/>
        <v>0</v>
      </c>
      <c r="AV528" s="28" t="str">
        <f t="shared" si="98"/>
        <v/>
      </c>
    </row>
    <row r="529" spans="1:48" x14ac:dyDescent="0.35">
      <c r="A529" s="28">
        <v>528</v>
      </c>
      <c r="B529" s="28" t="str">
        <f>IF(INPUT!A529="","",TRIM(INPUT!A529))</f>
        <v/>
      </c>
      <c r="C529" s="28" t="str">
        <f>IF(B529="","",INPUT!C529)</f>
        <v/>
      </c>
      <c r="D529" s="28" t="str">
        <f>IF(B529="","",INPUT!D529)</f>
        <v/>
      </c>
      <c r="E529" s="28" t="str">
        <f>IF(B529="","",INPUT!E529)</f>
        <v/>
      </c>
      <c r="F529" s="43" t="str">
        <f>IF(B529="","",TRIM(INPUT!F529&amp;""))</f>
        <v/>
      </c>
      <c r="G529" s="28" t="str">
        <f>IF(B529="","",INPUT!H529)</f>
        <v/>
      </c>
      <c r="H529" s="46" t="str">
        <f>IF(B529="","",INPUT!I529)</f>
        <v/>
      </c>
      <c r="I529" s="28" t="str">
        <f>IF(B529="","",IF(INPUT!J529="","None",INPUT!J529))</f>
        <v/>
      </c>
      <c r="J529" s="28" t="str">
        <f t="shared" si="88"/>
        <v/>
      </c>
      <c r="K529" s="28" t="str">
        <f>IF(B529="","",IF(SUMPRODUCT(($J$2:$J$601=J529)*($H$2:$H$601&lt;H529))+SUMPRODUCT(($J$2:J529=J529)*($H$2:H529=H529))-1&gt;0,"DUPLICATE",IF(AND(ISNUMBER(SEARCH("@",E529)),ISNUMBER(SEARCH(".",E529)),LEN(F529)=10,ISNUMBER(VALUE(F529))),"OK","BAD CONTACT")))</f>
        <v/>
      </c>
      <c r="L529" s="28">
        <f t="shared" si="89"/>
        <v>0</v>
      </c>
      <c r="M529" s="28">
        <f>IF(L529=1,IF(COUNTIFS(LOG!$C$2:$C$2001,F529,LOG!$E$2:$E$2001,B529,LOG!$D$2:$D$2001,"*BOOKED")+COUNTIFS(LOG!$C$2:$C$2001,F529,LOG!$E$2:$E$2001,"",LOG!$D$2:$D$2001,"*BOOKED")&gt;0,1,0),0)</f>
        <v>0</v>
      </c>
      <c r="N529" s="28">
        <f>IF(L529=1,IF(COUNTIFS(LOG!$C$2:$C$2001,F529,LOG!$E$2:$E$2001,B529,LOG!$D$2:$D$2001,"NOT_INTERESTED")+COUNTIFS(LOG!$C$2:$C$2001,F529,LOG!$E$2:$E$2001,"",LOG!$D$2:$D$2001,"NOT_INTERESTED")&gt;0,1,0),0)</f>
        <v>0</v>
      </c>
      <c r="O529" s="28">
        <f>IF(L529=1,IF(COUNTIFS(LOG!$C$2:$C$2001,F529,LOG!$D$2:$D$2001,"STOP")+COUNTIFS(LOG!$C$2:$C$2001,F529,LOG!$D$2:$D$2001,"WRONG_NUMBER")&gt;0,1,IF(ISNUMBER(SEARCH("STOP",AT529)),1,0)),0)</f>
        <v>0</v>
      </c>
      <c r="P529" s="28">
        <f>IF(L529=1,IF(IFERROR(INDEX(PARTNERS!$D$2:$D$88,MATCH(B529,PARTNERS!$A$2:$A$88,0)),"")="NO SLOTS",1,IF(AND(IFERROR(INDEX(PARTNERS!$D$2:$D$88,MATCH(B529,PARTNERS!$A$2:$A$88,0)),"")&lt;&gt;"REOPENED",COUNTIFS(LOG!$E$2:$E$2001,B529,LOG!$D$2:$D$2001,"NO_SLOTS")&gt;0),1,0)),0)</f>
        <v>0</v>
      </c>
      <c r="Q529" s="28">
        <f>IF(L529=1,COUNTIFS(LOG!$C$2:$C$2001,F529,LOG!$H$2:$H$2001,1),0)</f>
        <v>0</v>
      </c>
      <c r="R529" s="46">
        <f>IF(Q529&gt;0,_xlfn.MAXIFS(LOG!$G$2:$G$2001,LOG!$C$2:$C$2001,F529,LOG!$H$2:$H$2001,1),0)</f>
        <v>0</v>
      </c>
      <c r="S529" s="28" t="str">
        <f>IF(Q529&gt;0,IFERROR(INDEX(LOG!$D$2:$D$2001,MATCH(F529&amp;"|"&amp;Q529,LOG!$I$2:$I$2001,0)),""),"")</f>
        <v/>
      </c>
      <c r="T529" s="28">
        <f>IF(S529="",0,IFERROR(VLOOKUP(S529,LISTS!$A$2:$E$10,4,FALSE),0))</f>
        <v>0</v>
      </c>
      <c r="U529" s="46">
        <f t="shared" si="90"/>
        <v>0</v>
      </c>
      <c r="V529" s="46" t="str">
        <f>IF(L529=1,H529+SETTINGS!$B$5/24,"")</f>
        <v/>
      </c>
      <c r="W529" s="28" t="str">
        <f>IF(L529=1,(V529-SETTINGS!$B$4)*24,"")</f>
        <v/>
      </c>
      <c r="X529" s="28">
        <f ca="1">IF(AND(L529=1,K529="OK",M529=0,N529=0,O529=0,P529=0,SETTINGS!$B$4&lt;V529,Q529&lt;SETTINGS!$B$6),1,0)</f>
        <v>0</v>
      </c>
      <c r="Y529" s="28">
        <f ca="1">IF(AND(X529=1,SETTINGS!$B$4&gt;=H529,SETTINGS!$B$4&gt;=U529,ROUND(MOD(SETTINGS!$B$4,1)*1440,0)&gt;=ROUND(SETTINGS!$B$7*1440,0),ROUND(MOD(SETTINGS!$B$4,1)*1440,0)&lt;ROUND(SETTINGS!$B$8*1440,0)),1,0)</f>
        <v>0</v>
      </c>
      <c r="Z529" s="28" t="str">
        <f>IF(B529="","",IF(ROUND(MOD(SETTINGS!$B$4,1)*1440,0)&lt;ROUND(SETTINGS!$B$11*1440,0),"Ram",IF(ROUND(MOD(SETTINGS!$B$4,1)*1440,0)&gt;=ROUND(SETTINGS!$B$10*1440,0),"Shyam",IF(MOD(IFERROR(VALUE(RIGHT(F529,2)),0),2)=0,"Ram","Shyam"))))</f>
        <v/>
      </c>
      <c r="AA529" s="28">
        <f t="shared" ca="1" si="91"/>
        <v>0</v>
      </c>
      <c r="AB529" s="28">
        <f ca="1">IF(X529=1,COUNTIFS($F$2:F529,F529,$X$2:X529,1),0)</f>
        <v>0</v>
      </c>
      <c r="AC529" s="28" t="str">
        <f>IF(L529=1,IF(IFERROR(INDEX(PARTNERS!$C$2:$C$88,MATCH(B529,PARTNERS!$A$2:$A$88,0)),"")="YES","YES","NO"),"")</f>
        <v/>
      </c>
      <c r="AD529" s="28" t="str">
        <f>IF(L529=1,IFERROR(INDEX(PARTNERS!$B$2:$B$88,MATCH(B529,PARTNERS!$A$2:$A$88,0)),""),"")</f>
        <v/>
      </c>
      <c r="AE529" s="28">
        <f ca="1">IF(X529=1,IFERROR(INDEX(SETTINGS!$B$34:$D$36,MATCH(I529,SETTINGS!$A$34:$A$36,0),MIN(Q529,2)+1),SETTINGS!$B$36),0)</f>
        <v>0</v>
      </c>
      <c r="AF529" s="28">
        <f t="shared" si="92"/>
        <v>0</v>
      </c>
      <c r="AG529" s="28">
        <f ca="1">IF(AND(Y529=1,AB529=1),ROUND(AA529*AE529*IF(AF529&gt;1,SETTINGS!$B$16,1)*IF(W529&lt;=SETTINGS!$B$14,SETTINGS!$B$15,1)*IF(AU529=1,SETTINGS!$B$21,1),6),0)</f>
        <v>0</v>
      </c>
      <c r="AH529" s="28" t="str">
        <f ca="1">IF(AG529&gt;0,COUNTIFS($Z$2:$Z$601,Z529,$AG$2:$AG$601,"&gt;"&amp;AG529)+COUNTIFS($Z$2:Z529,Z529,$AG$2:AG529,AG529),"")</f>
        <v/>
      </c>
      <c r="AI529" s="28" t="str">
        <f t="shared" ca="1" si="93"/>
        <v/>
      </c>
      <c r="AJ529" s="28" t="str">
        <f t="shared" ca="1" si="94"/>
        <v/>
      </c>
      <c r="AK529" s="28">
        <f>IF(L529=1,IF(COUNTIFS($F$2:F529,F529,$L$2:L529,1)=1,1,0),0)</f>
        <v>0</v>
      </c>
      <c r="AL529" s="28" t="str">
        <f>IF(B529="","",IF(K529="DUPLICATE","Duplicate (removed)",IF(AO529=1,"Scheduled within 24h",IF(M529=1,"Scheduled late",IF(K529="BAD CONTACT","Bad contact details",IF(O529=1,"Stopped / wrong number",IF(N529=1,"Not interested",IF(P529=1,"Partner has no slots",IF(SETTINGS!$B$4&gt;=V529,IF(Q529=0,"Missed deadline: never tried","Missed deadline: tried, not booked"),IF(Q529&gt;=SETTINGS!$B$6,"No reply after max tries","Open"))))))))))</f>
        <v/>
      </c>
      <c r="AM529" s="46" t="str">
        <f>IF(M529=1,IF(_xlfn.MINIFS(LOG!$G$2:$G$2001,LOG!$C$2:$C$2001,F529,LOG!$E$2:$E$2001,B529,LOG!$D$2:$D$2001,"*BOOKED")=0,_xlfn.MINIFS(LOG!$G$2:$G$2001,LOG!$C$2:$C$2001,F529,LOG!$E$2:$E$2001,"",LOG!$D$2:$D$2001,"*BOOKED"),IF(_xlfn.MINIFS(LOG!$G$2:$G$2001,LOG!$C$2:$C$2001,F529,LOG!$E$2:$E$2001,"",LOG!$D$2:$D$2001,"*BOOKED")=0,_xlfn.MINIFS(LOG!$G$2:$G$2001,LOG!$C$2:$C$2001,F529,LOG!$E$2:$E$2001,B529,LOG!$D$2:$D$2001,"*BOOKED"),MIN(_xlfn.MINIFS(LOG!$G$2:$G$2001,LOG!$C$2:$C$2001,F529,LOG!$E$2:$E$2001,B529,LOG!$D$2:$D$2001,"*BOOKED"),_xlfn.MINIFS(LOG!$G$2:$G$2001,LOG!$C$2:$C$2001,F529,LOG!$E$2:$E$2001,"",LOG!$D$2:$D$2001,"*BOOKED")))),"")</f>
        <v/>
      </c>
      <c r="AN529" s="28" t="str">
        <f t="shared" si="95"/>
        <v/>
      </c>
      <c r="AO529" s="28">
        <f>IF(AND(M529=1,AN529&lt;&gt;""),IF(AN529&lt;=SETTINGS!$B$5,1,0),0)</f>
        <v>0</v>
      </c>
      <c r="AP529" s="28">
        <f>IF(M529=1,IF(COUNTIFS(LOG!$C$2:$C$2001,F529,LOG!$E$2:$E$2001,B529,LOG!$D$2:$D$2001,"BOOKED")+COUNTIFS(LOG!$C$2:$C$2001,F529,LOG!$E$2:$E$2001,"",LOG!$D$2:$D$2001,"BOOKED")&gt;0,1,0),0)</f>
        <v>0</v>
      </c>
      <c r="AQ529" s="28" t="str">
        <f t="shared" si="96"/>
        <v/>
      </c>
      <c r="AR529" s="28" t="str">
        <f>IF(AND(AK529=1,K529="OK"),COUNTIFS($AK$2:AK529,1,$K$2:K529,"OK"),"")</f>
        <v/>
      </c>
      <c r="AS529" s="28" t="str">
        <f>IF(L529=1,IFERROR(INDEX(MESSAGES!$J$9:$J$1008,MATCH(F529,MESSAGES!$M$9:$M$1008,0))&amp;"",""),"")</f>
        <v/>
      </c>
      <c r="AT529" s="28" t="str">
        <f>IF(L529=1,IFERROR(INDEX(MESSAGES!$K$9:$K$1008,MATCH(F529,MESSAGES!$M$9:$M$1008,0))&amp;"",""),"")</f>
        <v/>
      </c>
      <c r="AU529" s="28">
        <f t="shared" ca="1" si="97"/>
        <v>0</v>
      </c>
      <c r="AV529" s="28" t="str">
        <f t="shared" si="98"/>
        <v/>
      </c>
    </row>
    <row r="530" spans="1:48" x14ac:dyDescent="0.35">
      <c r="A530" s="28">
        <v>529</v>
      </c>
      <c r="B530" s="28" t="str">
        <f>IF(INPUT!A530="","",TRIM(INPUT!A530))</f>
        <v/>
      </c>
      <c r="C530" s="28" t="str">
        <f>IF(B530="","",INPUT!C530)</f>
        <v/>
      </c>
      <c r="D530" s="28" t="str">
        <f>IF(B530="","",INPUT!D530)</f>
        <v/>
      </c>
      <c r="E530" s="28" t="str">
        <f>IF(B530="","",INPUT!E530)</f>
        <v/>
      </c>
      <c r="F530" s="43" t="str">
        <f>IF(B530="","",TRIM(INPUT!F530&amp;""))</f>
        <v/>
      </c>
      <c r="G530" s="28" t="str">
        <f>IF(B530="","",INPUT!H530)</f>
        <v/>
      </c>
      <c r="H530" s="46" t="str">
        <f>IF(B530="","",INPUT!I530)</f>
        <v/>
      </c>
      <c r="I530" s="28" t="str">
        <f>IF(B530="","",IF(INPUT!J530="","None",INPUT!J530))</f>
        <v/>
      </c>
      <c r="J530" s="28" t="str">
        <f t="shared" si="88"/>
        <v/>
      </c>
      <c r="K530" s="28" t="str">
        <f>IF(B530="","",IF(SUMPRODUCT(($J$2:$J$601=J530)*($H$2:$H$601&lt;H530))+SUMPRODUCT(($J$2:J530=J530)*($H$2:H530=H530))-1&gt;0,"DUPLICATE",IF(AND(ISNUMBER(SEARCH("@",E530)),ISNUMBER(SEARCH(".",E530)),LEN(F530)=10,ISNUMBER(VALUE(F530))),"OK","BAD CONTACT")))</f>
        <v/>
      </c>
      <c r="L530" s="28">
        <f t="shared" si="89"/>
        <v>0</v>
      </c>
      <c r="M530" s="28">
        <f>IF(L530=1,IF(COUNTIFS(LOG!$C$2:$C$2001,F530,LOG!$E$2:$E$2001,B530,LOG!$D$2:$D$2001,"*BOOKED")+COUNTIFS(LOG!$C$2:$C$2001,F530,LOG!$E$2:$E$2001,"",LOG!$D$2:$D$2001,"*BOOKED")&gt;0,1,0),0)</f>
        <v>0</v>
      </c>
      <c r="N530" s="28">
        <f>IF(L530=1,IF(COUNTIFS(LOG!$C$2:$C$2001,F530,LOG!$E$2:$E$2001,B530,LOG!$D$2:$D$2001,"NOT_INTERESTED")+COUNTIFS(LOG!$C$2:$C$2001,F530,LOG!$E$2:$E$2001,"",LOG!$D$2:$D$2001,"NOT_INTERESTED")&gt;0,1,0),0)</f>
        <v>0</v>
      </c>
      <c r="O530" s="28">
        <f>IF(L530=1,IF(COUNTIFS(LOG!$C$2:$C$2001,F530,LOG!$D$2:$D$2001,"STOP")+COUNTIFS(LOG!$C$2:$C$2001,F530,LOG!$D$2:$D$2001,"WRONG_NUMBER")&gt;0,1,IF(ISNUMBER(SEARCH("STOP",AT530)),1,0)),0)</f>
        <v>0</v>
      </c>
      <c r="P530" s="28">
        <f>IF(L530=1,IF(IFERROR(INDEX(PARTNERS!$D$2:$D$88,MATCH(B530,PARTNERS!$A$2:$A$88,0)),"")="NO SLOTS",1,IF(AND(IFERROR(INDEX(PARTNERS!$D$2:$D$88,MATCH(B530,PARTNERS!$A$2:$A$88,0)),"")&lt;&gt;"REOPENED",COUNTIFS(LOG!$E$2:$E$2001,B530,LOG!$D$2:$D$2001,"NO_SLOTS")&gt;0),1,0)),0)</f>
        <v>0</v>
      </c>
      <c r="Q530" s="28">
        <f>IF(L530=1,COUNTIFS(LOG!$C$2:$C$2001,F530,LOG!$H$2:$H$2001,1),0)</f>
        <v>0</v>
      </c>
      <c r="R530" s="46">
        <f>IF(Q530&gt;0,_xlfn.MAXIFS(LOG!$G$2:$G$2001,LOG!$C$2:$C$2001,F530,LOG!$H$2:$H$2001,1),0)</f>
        <v>0</v>
      </c>
      <c r="S530" s="28" t="str">
        <f>IF(Q530&gt;0,IFERROR(INDEX(LOG!$D$2:$D$2001,MATCH(F530&amp;"|"&amp;Q530,LOG!$I$2:$I$2001,0)),""),"")</f>
        <v/>
      </c>
      <c r="T530" s="28">
        <f>IF(S530="",0,IFERROR(VLOOKUP(S530,LISTS!$A$2:$E$10,4,FALSE),0))</f>
        <v>0</v>
      </c>
      <c r="U530" s="46">
        <f t="shared" si="90"/>
        <v>0</v>
      </c>
      <c r="V530" s="46" t="str">
        <f>IF(L530=1,H530+SETTINGS!$B$5/24,"")</f>
        <v/>
      </c>
      <c r="W530" s="28" t="str">
        <f>IF(L530=1,(V530-SETTINGS!$B$4)*24,"")</f>
        <v/>
      </c>
      <c r="X530" s="28">
        <f ca="1">IF(AND(L530=1,K530="OK",M530=0,N530=0,O530=0,P530=0,SETTINGS!$B$4&lt;V530,Q530&lt;SETTINGS!$B$6),1,0)</f>
        <v>0</v>
      </c>
      <c r="Y530" s="28">
        <f ca="1">IF(AND(X530=1,SETTINGS!$B$4&gt;=H530,SETTINGS!$B$4&gt;=U530,ROUND(MOD(SETTINGS!$B$4,1)*1440,0)&gt;=ROUND(SETTINGS!$B$7*1440,0),ROUND(MOD(SETTINGS!$B$4,1)*1440,0)&lt;ROUND(SETTINGS!$B$8*1440,0)),1,0)</f>
        <v>0</v>
      </c>
      <c r="Z530" s="28" t="str">
        <f>IF(B530="","",IF(ROUND(MOD(SETTINGS!$B$4,1)*1440,0)&lt;ROUND(SETTINGS!$B$11*1440,0),"Ram",IF(ROUND(MOD(SETTINGS!$B$4,1)*1440,0)&gt;=ROUND(SETTINGS!$B$10*1440,0),"Shyam",IF(MOD(IFERROR(VALUE(RIGHT(F530,2)),0),2)=0,"Ram","Shyam"))))</f>
        <v/>
      </c>
      <c r="AA530" s="28">
        <f t="shared" ca="1" si="91"/>
        <v>0</v>
      </c>
      <c r="AB530" s="28">
        <f ca="1">IF(X530=1,COUNTIFS($F$2:F530,F530,$X$2:X530,1),0)</f>
        <v>0</v>
      </c>
      <c r="AC530" s="28" t="str">
        <f>IF(L530=1,IF(IFERROR(INDEX(PARTNERS!$C$2:$C$88,MATCH(B530,PARTNERS!$A$2:$A$88,0)),"")="YES","YES","NO"),"")</f>
        <v/>
      </c>
      <c r="AD530" s="28" t="str">
        <f>IF(L530=1,IFERROR(INDEX(PARTNERS!$B$2:$B$88,MATCH(B530,PARTNERS!$A$2:$A$88,0)),""),"")</f>
        <v/>
      </c>
      <c r="AE530" s="28">
        <f ca="1">IF(X530=1,IFERROR(INDEX(SETTINGS!$B$34:$D$36,MATCH(I530,SETTINGS!$A$34:$A$36,0),MIN(Q530,2)+1),SETTINGS!$B$36),0)</f>
        <v>0</v>
      </c>
      <c r="AF530" s="28">
        <f t="shared" si="92"/>
        <v>0</v>
      </c>
      <c r="AG530" s="28">
        <f ca="1">IF(AND(Y530=1,AB530=1),ROUND(AA530*AE530*IF(AF530&gt;1,SETTINGS!$B$16,1)*IF(W530&lt;=SETTINGS!$B$14,SETTINGS!$B$15,1)*IF(AU530=1,SETTINGS!$B$21,1),6),0)</f>
        <v>0</v>
      </c>
      <c r="AH530" s="28" t="str">
        <f ca="1">IF(AG530&gt;0,COUNTIFS($Z$2:$Z$601,Z530,$AG$2:$AG$601,"&gt;"&amp;AG530)+COUNTIFS($Z$2:Z530,Z530,$AG$2:AG530,AG530),"")</f>
        <v/>
      </c>
      <c r="AI530" s="28" t="str">
        <f t="shared" ca="1" si="93"/>
        <v/>
      </c>
      <c r="AJ530" s="28" t="str">
        <f t="shared" ca="1" si="94"/>
        <v/>
      </c>
      <c r="AK530" s="28">
        <f>IF(L530=1,IF(COUNTIFS($F$2:F530,F530,$L$2:L530,1)=1,1,0),0)</f>
        <v>0</v>
      </c>
      <c r="AL530" s="28" t="str">
        <f>IF(B530="","",IF(K530="DUPLICATE","Duplicate (removed)",IF(AO530=1,"Scheduled within 24h",IF(M530=1,"Scheduled late",IF(K530="BAD CONTACT","Bad contact details",IF(O530=1,"Stopped / wrong number",IF(N530=1,"Not interested",IF(P530=1,"Partner has no slots",IF(SETTINGS!$B$4&gt;=V530,IF(Q530=0,"Missed deadline: never tried","Missed deadline: tried, not booked"),IF(Q530&gt;=SETTINGS!$B$6,"No reply after max tries","Open"))))))))))</f>
        <v/>
      </c>
      <c r="AM530" s="46" t="str">
        <f>IF(M530=1,IF(_xlfn.MINIFS(LOG!$G$2:$G$2001,LOG!$C$2:$C$2001,F530,LOG!$E$2:$E$2001,B530,LOG!$D$2:$D$2001,"*BOOKED")=0,_xlfn.MINIFS(LOG!$G$2:$G$2001,LOG!$C$2:$C$2001,F530,LOG!$E$2:$E$2001,"",LOG!$D$2:$D$2001,"*BOOKED"),IF(_xlfn.MINIFS(LOG!$G$2:$G$2001,LOG!$C$2:$C$2001,F530,LOG!$E$2:$E$2001,"",LOG!$D$2:$D$2001,"*BOOKED")=0,_xlfn.MINIFS(LOG!$G$2:$G$2001,LOG!$C$2:$C$2001,F530,LOG!$E$2:$E$2001,B530,LOG!$D$2:$D$2001,"*BOOKED"),MIN(_xlfn.MINIFS(LOG!$G$2:$G$2001,LOG!$C$2:$C$2001,F530,LOG!$E$2:$E$2001,B530,LOG!$D$2:$D$2001,"*BOOKED"),_xlfn.MINIFS(LOG!$G$2:$G$2001,LOG!$C$2:$C$2001,F530,LOG!$E$2:$E$2001,"",LOG!$D$2:$D$2001,"*BOOKED")))),"")</f>
        <v/>
      </c>
      <c r="AN530" s="28" t="str">
        <f t="shared" si="95"/>
        <v/>
      </c>
      <c r="AO530" s="28">
        <f>IF(AND(M530=1,AN530&lt;&gt;""),IF(AN530&lt;=SETTINGS!$B$5,1,0),0)</f>
        <v>0</v>
      </c>
      <c r="AP530" s="28">
        <f>IF(M530=1,IF(COUNTIFS(LOG!$C$2:$C$2001,F530,LOG!$E$2:$E$2001,B530,LOG!$D$2:$D$2001,"BOOKED")+COUNTIFS(LOG!$C$2:$C$2001,F530,LOG!$E$2:$E$2001,"",LOG!$D$2:$D$2001,"BOOKED")&gt;0,1,0),0)</f>
        <v>0</v>
      </c>
      <c r="AQ530" s="28" t="str">
        <f t="shared" si="96"/>
        <v/>
      </c>
      <c r="AR530" s="28" t="str">
        <f>IF(AND(AK530=1,K530="OK"),COUNTIFS($AK$2:AK530,1,$K$2:K530,"OK"),"")</f>
        <v/>
      </c>
      <c r="AS530" s="28" t="str">
        <f>IF(L530=1,IFERROR(INDEX(MESSAGES!$J$9:$J$1008,MATCH(F530,MESSAGES!$M$9:$M$1008,0))&amp;"",""),"")</f>
        <v/>
      </c>
      <c r="AT530" s="28" t="str">
        <f>IF(L530=1,IFERROR(INDEX(MESSAGES!$K$9:$K$1008,MATCH(F530,MESSAGES!$M$9:$M$1008,0))&amp;"",""),"")</f>
        <v/>
      </c>
      <c r="AU530" s="28">
        <f t="shared" ca="1" si="97"/>
        <v>0</v>
      </c>
      <c r="AV530" s="28" t="str">
        <f t="shared" si="98"/>
        <v/>
      </c>
    </row>
    <row r="531" spans="1:48" x14ac:dyDescent="0.35">
      <c r="A531" s="28">
        <v>530</v>
      </c>
      <c r="B531" s="28" t="str">
        <f>IF(INPUT!A531="","",TRIM(INPUT!A531))</f>
        <v/>
      </c>
      <c r="C531" s="28" t="str">
        <f>IF(B531="","",INPUT!C531)</f>
        <v/>
      </c>
      <c r="D531" s="28" t="str">
        <f>IF(B531="","",INPUT!D531)</f>
        <v/>
      </c>
      <c r="E531" s="28" t="str">
        <f>IF(B531="","",INPUT!E531)</f>
        <v/>
      </c>
      <c r="F531" s="43" t="str">
        <f>IF(B531="","",TRIM(INPUT!F531&amp;""))</f>
        <v/>
      </c>
      <c r="G531" s="28" t="str">
        <f>IF(B531="","",INPUT!H531)</f>
        <v/>
      </c>
      <c r="H531" s="46" t="str">
        <f>IF(B531="","",INPUT!I531)</f>
        <v/>
      </c>
      <c r="I531" s="28" t="str">
        <f>IF(B531="","",IF(INPUT!J531="","None",INPUT!J531))</f>
        <v/>
      </c>
      <c r="J531" s="28" t="str">
        <f t="shared" si="88"/>
        <v/>
      </c>
      <c r="K531" s="28" t="str">
        <f>IF(B531="","",IF(SUMPRODUCT(($J$2:$J$601=J531)*($H$2:$H$601&lt;H531))+SUMPRODUCT(($J$2:J531=J531)*($H$2:H531=H531))-1&gt;0,"DUPLICATE",IF(AND(ISNUMBER(SEARCH("@",E531)),ISNUMBER(SEARCH(".",E531)),LEN(F531)=10,ISNUMBER(VALUE(F531))),"OK","BAD CONTACT")))</f>
        <v/>
      </c>
      <c r="L531" s="28">
        <f t="shared" si="89"/>
        <v>0</v>
      </c>
      <c r="M531" s="28">
        <f>IF(L531=1,IF(COUNTIFS(LOG!$C$2:$C$2001,F531,LOG!$E$2:$E$2001,B531,LOG!$D$2:$D$2001,"*BOOKED")+COUNTIFS(LOG!$C$2:$C$2001,F531,LOG!$E$2:$E$2001,"",LOG!$D$2:$D$2001,"*BOOKED")&gt;0,1,0),0)</f>
        <v>0</v>
      </c>
      <c r="N531" s="28">
        <f>IF(L531=1,IF(COUNTIFS(LOG!$C$2:$C$2001,F531,LOG!$E$2:$E$2001,B531,LOG!$D$2:$D$2001,"NOT_INTERESTED")+COUNTIFS(LOG!$C$2:$C$2001,F531,LOG!$E$2:$E$2001,"",LOG!$D$2:$D$2001,"NOT_INTERESTED")&gt;0,1,0),0)</f>
        <v>0</v>
      </c>
      <c r="O531" s="28">
        <f>IF(L531=1,IF(COUNTIFS(LOG!$C$2:$C$2001,F531,LOG!$D$2:$D$2001,"STOP")+COUNTIFS(LOG!$C$2:$C$2001,F531,LOG!$D$2:$D$2001,"WRONG_NUMBER")&gt;0,1,IF(ISNUMBER(SEARCH("STOP",AT531)),1,0)),0)</f>
        <v>0</v>
      </c>
      <c r="P531" s="28">
        <f>IF(L531=1,IF(IFERROR(INDEX(PARTNERS!$D$2:$D$88,MATCH(B531,PARTNERS!$A$2:$A$88,0)),"")="NO SLOTS",1,IF(AND(IFERROR(INDEX(PARTNERS!$D$2:$D$88,MATCH(B531,PARTNERS!$A$2:$A$88,0)),"")&lt;&gt;"REOPENED",COUNTIFS(LOG!$E$2:$E$2001,B531,LOG!$D$2:$D$2001,"NO_SLOTS")&gt;0),1,0)),0)</f>
        <v>0</v>
      </c>
      <c r="Q531" s="28">
        <f>IF(L531=1,COUNTIFS(LOG!$C$2:$C$2001,F531,LOG!$H$2:$H$2001,1),0)</f>
        <v>0</v>
      </c>
      <c r="R531" s="46">
        <f>IF(Q531&gt;0,_xlfn.MAXIFS(LOG!$G$2:$G$2001,LOG!$C$2:$C$2001,F531,LOG!$H$2:$H$2001,1),0)</f>
        <v>0</v>
      </c>
      <c r="S531" s="28" t="str">
        <f>IF(Q531&gt;0,IFERROR(INDEX(LOG!$D$2:$D$2001,MATCH(F531&amp;"|"&amp;Q531,LOG!$I$2:$I$2001,0)),""),"")</f>
        <v/>
      </c>
      <c r="T531" s="28">
        <f>IF(S531="",0,IFERROR(VLOOKUP(S531,LISTS!$A$2:$E$10,4,FALSE),0))</f>
        <v>0</v>
      </c>
      <c r="U531" s="46">
        <f t="shared" si="90"/>
        <v>0</v>
      </c>
      <c r="V531" s="46" t="str">
        <f>IF(L531=1,H531+SETTINGS!$B$5/24,"")</f>
        <v/>
      </c>
      <c r="W531" s="28" t="str">
        <f>IF(L531=1,(V531-SETTINGS!$B$4)*24,"")</f>
        <v/>
      </c>
      <c r="X531" s="28">
        <f ca="1">IF(AND(L531=1,K531="OK",M531=0,N531=0,O531=0,P531=0,SETTINGS!$B$4&lt;V531,Q531&lt;SETTINGS!$B$6),1,0)</f>
        <v>0</v>
      </c>
      <c r="Y531" s="28">
        <f ca="1">IF(AND(X531=1,SETTINGS!$B$4&gt;=H531,SETTINGS!$B$4&gt;=U531,ROUND(MOD(SETTINGS!$B$4,1)*1440,0)&gt;=ROUND(SETTINGS!$B$7*1440,0),ROUND(MOD(SETTINGS!$B$4,1)*1440,0)&lt;ROUND(SETTINGS!$B$8*1440,0)),1,0)</f>
        <v>0</v>
      </c>
      <c r="Z531" s="28" t="str">
        <f>IF(B531="","",IF(ROUND(MOD(SETTINGS!$B$4,1)*1440,0)&lt;ROUND(SETTINGS!$B$11*1440,0),"Ram",IF(ROUND(MOD(SETTINGS!$B$4,1)*1440,0)&gt;=ROUND(SETTINGS!$B$10*1440,0),"Shyam",IF(MOD(IFERROR(VALUE(RIGHT(F531,2)),0),2)=0,"Ram","Shyam"))))</f>
        <v/>
      </c>
      <c r="AA531" s="28">
        <f t="shared" ca="1" si="91"/>
        <v>0</v>
      </c>
      <c r="AB531" s="28">
        <f ca="1">IF(X531=1,COUNTIFS($F$2:F531,F531,$X$2:X531,1),0)</f>
        <v>0</v>
      </c>
      <c r="AC531" s="28" t="str">
        <f>IF(L531=1,IF(IFERROR(INDEX(PARTNERS!$C$2:$C$88,MATCH(B531,PARTNERS!$A$2:$A$88,0)),"")="YES","YES","NO"),"")</f>
        <v/>
      </c>
      <c r="AD531" s="28" t="str">
        <f>IF(L531=1,IFERROR(INDEX(PARTNERS!$B$2:$B$88,MATCH(B531,PARTNERS!$A$2:$A$88,0)),""),"")</f>
        <v/>
      </c>
      <c r="AE531" s="28">
        <f ca="1">IF(X531=1,IFERROR(INDEX(SETTINGS!$B$34:$D$36,MATCH(I531,SETTINGS!$A$34:$A$36,0),MIN(Q531,2)+1),SETTINGS!$B$36),0)</f>
        <v>0</v>
      </c>
      <c r="AF531" s="28">
        <f t="shared" si="92"/>
        <v>0</v>
      </c>
      <c r="AG531" s="28">
        <f ca="1">IF(AND(Y531=1,AB531=1),ROUND(AA531*AE531*IF(AF531&gt;1,SETTINGS!$B$16,1)*IF(W531&lt;=SETTINGS!$B$14,SETTINGS!$B$15,1)*IF(AU531=1,SETTINGS!$B$21,1),6),0)</f>
        <v>0</v>
      </c>
      <c r="AH531" s="28" t="str">
        <f ca="1">IF(AG531&gt;0,COUNTIFS($Z$2:$Z$601,Z531,$AG$2:$AG$601,"&gt;"&amp;AG531)+COUNTIFS($Z$2:Z531,Z531,$AG$2:AG531,AG531),"")</f>
        <v/>
      </c>
      <c r="AI531" s="28" t="str">
        <f t="shared" ca="1" si="93"/>
        <v/>
      </c>
      <c r="AJ531" s="28" t="str">
        <f t="shared" ca="1" si="94"/>
        <v/>
      </c>
      <c r="AK531" s="28">
        <f>IF(L531=1,IF(COUNTIFS($F$2:F531,F531,$L$2:L531,1)=1,1,0),0)</f>
        <v>0</v>
      </c>
      <c r="AL531" s="28" t="str">
        <f>IF(B531="","",IF(K531="DUPLICATE","Duplicate (removed)",IF(AO531=1,"Scheduled within 24h",IF(M531=1,"Scheduled late",IF(K531="BAD CONTACT","Bad contact details",IF(O531=1,"Stopped / wrong number",IF(N531=1,"Not interested",IF(P531=1,"Partner has no slots",IF(SETTINGS!$B$4&gt;=V531,IF(Q531=0,"Missed deadline: never tried","Missed deadline: tried, not booked"),IF(Q531&gt;=SETTINGS!$B$6,"No reply after max tries","Open"))))))))))</f>
        <v/>
      </c>
      <c r="AM531" s="46" t="str">
        <f>IF(M531=1,IF(_xlfn.MINIFS(LOG!$G$2:$G$2001,LOG!$C$2:$C$2001,F531,LOG!$E$2:$E$2001,B531,LOG!$D$2:$D$2001,"*BOOKED")=0,_xlfn.MINIFS(LOG!$G$2:$G$2001,LOG!$C$2:$C$2001,F531,LOG!$E$2:$E$2001,"",LOG!$D$2:$D$2001,"*BOOKED"),IF(_xlfn.MINIFS(LOG!$G$2:$G$2001,LOG!$C$2:$C$2001,F531,LOG!$E$2:$E$2001,"",LOG!$D$2:$D$2001,"*BOOKED")=0,_xlfn.MINIFS(LOG!$G$2:$G$2001,LOG!$C$2:$C$2001,F531,LOG!$E$2:$E$2001,B531,LOG!$D$2:$D$2001,"*BOOKED"),MIN(_xlfn.MINIFS(LOG!$G$2:$G$2001,LOG!$C$2:$C$2001,F531,LOG!$E$2:$E$2001,B531,LOG!$D$2:$D$2001,"*BOOKED"),_xlfn.MINIFS(LOG!$G$2:$G$2001,LOG!$C$2:$C$2001,F531,LOG!$E$2:$E$2001,"",LOG!$D$2:$D$2001,"*BOOKED")))),"")</f>
        <v/>
      </c>
      <c r="AN531" s="28" t="str">
        <f t="shared" si="95"/>
        <v/>
      </c>
      <c r="AO531" s="28">
        <f>IF(AND(M531=1,AN531&lt;&gt;""),IF(AN531&lt;=SETTINGS!$B$5,1,0),0)</f>
        <v>0</v>
      </c>
      <c r="AP531" s="28">
        <f>IF(M531=1,IF(COUNTIFS(LOG!$C$2:$C$2001,F531,LOG!$E$2:$E$2001,B531,LOG!$D$2:$D$2001,"BOOKED")+COUNTIFS(LOG!$C$2:$C$2001,F531,LOG!$E$2:$E$2001,"",LOG!$D$2:$D$2001,"BOOKED")&gt;0,1,0),0)</f>
        <v>0</v>
      </c>
      <c r="AQ531" s="28" t="str">
        <f t="shared" si="96"/>
        <v/>
      </c>
      <c r="AR531" s="28" t="str">
        <f>IF(AND(AK531=1,K531="OK"),COUNTIFS($AK$2:AK531,1,$K$2:K531,"OK"),"")</f>
        <v/>
      </c>
      <c r="AS531" s="28" t="str">
        <f>IF(L531=1,IFERROR(INDEX(MESSAGES!$J$9:$J$1008,MATCH(F531,MESSAGES!$M$9:$M$1008,0))&amp;"",""),"")</f>
        <v/>
      </c>
      <c r="AT531" s="28" t="str">
        <f>IF(L531=1,IFERROR(INDEX(MESSAGES!$K$9:$K$1008,MATCH(F531,MESSAGES!$M$9:$M$1008,0))&amp;"",""),"")</f>
        <v/>
      </c>
      <c r="AU531" s="28">
        <f t="shared" ca="1" si="97"/>
        <v>0</v>
      </c>
      <c r="AV531" s="28" t="str">
        <f t="shared" si="98"/>
        <v/>
      </c>
    </row>
    <row r="532" spans="1:48" x14ac:dyDescent="0.35">
      <c r="A532" s="28">
        <v>531</v>
      </c>
      <c r="B532" s="28" t="str">
        <f>IF(INPUT!A532="","",TRIM(INPUT!A532))</f>
        <v/>
      </c>
      <c r="C532" s="28" t="str">
        <f>IF(B532="","",INPUT!C532)</f>
        <v/>
      </c>
      <c r="D532" s="28" t="str">
        <f>IF(B532="","",INPUT!D532)</f>
        <v/>
      </c>
      <c r="E532" s="28" t="str">
        <f>IF(B532="","",INPUT!E532)</f>
        <v/>
      </c>
      <c r="F532" s="43" t="str">
        <f>IF(B532="","",TRIM(INPUT!F532&amp;""))</f>
        <v/>
      </c>
      <c r="G532" s="28" t="str">
        <f>IF(B532="","",INPUT!H532)</f>
        <v/>
      </c>
      <c r="H532" s="46" t="str">
        <f>IF(B532="","",INPUT!I532)</f>
        <v/>
      </c>
      <c r="I532" s="28" t="str">
        <f>IF(B532="","",IF(INPUT!J532="","None",INPUT!J532))</f>
        <v/>
      </c>
      <c r="J532" s="28" t="str">
        <f t="shared" si="88"/>
        <v/>
      </c>
      <c r="K532" s="28" t="str">
        <f>IF(B532="","",IF(SUMPRODUCT(($J$2:$J$601=J532)*($H$2:$H$601&lt;H532))+SUMPRODUCT(($J$2:J532=J532)*($H$2:H532=H532))-1&gt;0,"DUPLICATE",IF(AND(ISNUMBER(SEARCH("@",E532)),ISNUMBER(SEARCH(".",E532)),LEN(F532)=10,ISNUMBER(VALUE(F532))),"OK","BAD CONTACT")))</f>
        <v/>
      </c>
      <c r="L532" s="28">
        <f t="shared" si="89"/>
        <v>0</v>
      </c>
      <c r="M532" s="28">
        <f>IF(L532=1,IF(COUNTIFS(LOG!$C$2:$C$2001,F532,LOG!$E$2:$E$2001,B532,LOG!$D$2:$D$2001,"*BOOKED")+COUNTIFS(LOG!$C$2:$C$2001,F532,LOG!$E$2:$E$2001,"",LOG!$D$2:$D$2001,"*BOOKED")&gt;0,1,0),0)</f>
        <v>0</v>
      </c>
      <c r="N532" s="28">
        <f>IF(L532=1,IF(COUNTIFS(LOG!$C$2:$C$2001,F532,LOG!$E$2:$E$2001,B532,LOG!$D$2:$D$2001,"NOT_INTERESTED")+COUNTIFS(LOG!$C$2:$C$2001,F532,LOG!$E$2:$E$2001,"",LOG!$D$2:$D$2001,"NOT_INTERESTED")&gt;0,1,0),0)</f>
        <v>0</v>
      </c>
      <c r="O532" s="28">
        <f>IF(L532=1,IF(COUNTIFS(LOG!$C$2:$C$2001,F532,LOG!$D$2:$D$2001,"STOP")+COUNTIFS(LOG!$C$2:$C$2001,F532,LOG!$D$2:$D$2001,"WRONG_NUMBER")&gt;0,1,IF(ISNUMBER(SEARCH("STOP",AT532)),1,0)),0)</f>
        <v>0</v>
      </c>
      <c r="P532" s="28">
        <f>IF(L532=1,IF(IFERROR(INDEX(PARTNERS!$D$2:$D$88,MATCH(B532,PARTNERS!$A$2:$A$88,0)),"")="NO SLOTS",1,IF(AND(IFERROR(INDEX(PARTNERS!$D$2:$D$88,MATCH(B532,PARTNERS!$A$2:$A$88,0)),"")&lt;&gt;"REOPENED",COUNTIFS(LOG!$E$2:$E$2001,B532,LOG!$D$2:$D$2001,"NO_SLOTS")&gt;0),1,0)),0)</f>
        <v>0</v>
      </c>
      <c r="Q532" s="28">
        <f>IF(L532=1,COUNTIFS(LOG!$C$2:$C$2001,F532,LOG!$H$2:$H$2001,1),0)</f>
        <v>0</v>
      </c>
      <c r="R532" s="46">
        <f>IF(Q532&gt;0,_xlfn.MAXIFS(LOG!$G$2:$G$2001,LOG!$C$2:$C$2001,F532,LOG!$H$2:$H$2001,1),0)</f>
        <v>0</v>
      </c>
      <c r="S532" s="28" t="str">
        <f>IF(Q532&gt;0,IFERROR(INDEX(LOG!$D$2:$D$2001,MATCH(F532&amp;"|"&amp;Q532,LOG!$I$2:$I$2001,0)),""),"")</f>
        <v/>
      </c>
      <c r="T532" s="28">
        <f>IF(S532="",0,IFERROR(VLOOKUP(S532,LISTS!$A$2:$E$10,4,FALSE),0))</f>
        <v>0</v>
      </c>
      <c r="U532" s="46">
        <f t="shared" si="90"/>
        <v>0</v>
      </c>
      <c r="V532" s="46" t="str">
        <f>IF(L532=1,H532+SETTINGS!$B$5/24,"")</f>
        <v/>
      </c>
      <c r="W532" s="28" t="str">
        <f>IF(L532=1,(V532-SETTINGS!$B$4)*24,"")</f>
        <v/>
      </c>
      <c r="X532" s="28">
        <f ca="1">IF(AND(L532=1,K532="OK",M532=0,N532=0,O532=0,P532=0,SETTINGS!$B$4&lt;V532,Q532&lt;SETTINGS!$B$6),1,0)</f>
        <v>0</v>
      </c>
      <c r="Y532" s="28">
        <f ca="1">IF(AND(X532=1,SETTINGS!$B$4&gt;=H532,SETTINGS!$B$4&gt;=U532,ROUND(MOD(SETTINGS!$B$4,1)*1440,0)&gt;=ROUND(SETTINGS!$B$7*1440,0),ROUND(MOD(SETTINGS!$B$4,1)*1440,0)&lt;ROUND(SETTINGS!$B$8*1440,0)),1,0)</f>
        <v>0</v>
      </c>
      <c r="Z532" s="28" t="str">
        <f>IF(B532="","",IF(ROUND(MOD(SETTINGS!$B$4,1)*1440,0)&lt;ROUND(SETTINGS!$B$11*1440,0),"Ram",IF(ROUND(MOD(SETTINGS!$B$4,1)*1440,0)&gt;=ROUND(SETTINGS!$B$10*1440,0),"Shyam",IF(MOD(IFERROR(VALUE(RIGHT(F532,2)),0),2)=0,"Ram","Shyam"))))</f>
        <v/>
      </c>
      <c r="AA532" s="28">
        <f t="shared" ca="1" si="91"/>
        <v>0</v>
      </c>
      <c r="AB532" s="28">
        <f ca="1">IF(X532=1,COUNTIFS($F$2:F532,F532,$X$2:X532,1),0)</f>
        <v>0</v>
      </c>
      <c r="AC532" s="28" t="str">
        <f>IF(L532=1,IF(IFERROR(INDEX(PARTNERS!$C$2:$C$88,MATCH(B532,PARTNERS!$A$2:$A$88,0)),"")="YES","YES","NO"),"")</f>
        <v/>
      </c>
      <c r="AD532" s="28" t="str">
        <f>IF(L532=1,IFERROR(INDEX(PARTNERS!$B$2:$B$88,MATCH(B532,PARTNERS!$A$2:$A$88,0)),""),"")</f>
        <v/>
      </c>
      <c r="AE532" s="28">
        <f ca="1">IF(X532=1,IFERROR(INDEX(SETTINGS!$B$34:$D$36,MATCH(I532,SETTINGS!$A$34:$A$36,0),MIN(Q532,2)+1),SETTINGS!$B$36),0)</f>
        <v>0</v>
      </c>
      <c r="AF532" s="28">
        <f t="shared" si="92"/>
        <v>0</v>
      </c>
      <c r="AG532" s="28">
        <f ca="1">IF(AND(Y532=1,AB532=1),ROUND(AA532*AE532*IF(AF532&gt;1,SETTINGS!$B$16,1)*IF(W532&lt;=SETTINGS!$B$14,SETTINGS!$B$15,1)*IF(AU532=1,SETTINGS!$B$21,1),6),0)</f>
        <v>0</v>
      </c>
      <c r="AH532" s="28" t="str">
        <f ca="1">IF(AG532&gt;0,COUNTIFS($Z$2:$Z$601,Z532,$AG$2:$AG$601,"&gt;"&amp;AG532)+COUNTIFS($Z$2:Z532,Z532,$AG$2:AG532,AG532),"")</f>
        <v/>
      </c>
      <c r="AI532" s="28" t="str">
        <f t="shared" ca="1" si="93"/>
        <v/>
      </c>
      <c r="AJ532" s="28" t="str">
        <f t="shared" ca="1" si="94"/>
        <v/>
      </c>
      <c r="AK532" s="28">
        <f>IF(L532=1,IF(COUNTIFS($F$2:F532,F532,$L$2:L532,1)=1,1,0),0)</f>
        <v>0</v>
      </c>
      <c r="AL532" s="28" t="str">
        <f>IF(B532="","",IF(K532="DUPLICATE","Duplicate (removed)",IF(AO532=1,"Scheduled within 24h",IF(M532=1,"Scheduled late",IF(K532="BAD CONTACT","Bad contact details",IF(O532=1,"Stopped / wrong number",IF(N532=1,"Not interested",IF(P532=1,"Partner has no slots",IF(SETTINGS!$B$4&gt;=V532,IF(Q532=0,"Missed deadline: never tried","Missed deadline: tried, not booked"),IF(Q532&gt;=SETTINGS!$B$6,"No reply after max tries","Open"))))))))))</f>
        <v/>
      </c>
      <c r="AM532" s="46" t="str">
        <f>IF(M532=1,IF(_xlfn.MINIFS(LOG!$G$2:$G$2001,LOG!$C$2:$C$2001,F532,LOG!$E$2:$E$2001,B532,LOG!$D$2:$D$2001,"*BOOKED")=0,_xlfn.MINIFS(LOG!$G$2:$G$2001,LOG!$C$2:$C$2001,F532,LOG!$E$2:$E$2001,"",LOG!$D$2:$D$2001,"*BOOKED"),IF(_xlfn.MINIFS(LOG!$G$2:$G$2001,LOG!$C$2:$C$2001,F532,LOG!$E$2:$E$2001,"",LOG!$D$2:$D$2001,"*BOOKED")=0,_xlfn.MINIFS(LOG!$G$2:$G$2001,LOG!$C$2:$C$2001,F532,LOG!$E$2:$E$2001,B532,LOG!$D$2:$D$2001,"*BOOKED"),MIN(_xlfn.MINIFS(LOG!$G$2:$G$2001,LOG!$C$2:$C$2001,F532,LOG!$E$2:$E$2001,B532,LOG!$D$2:$D$2001,"*BOOKED"),_xlfn.MINIFS(LOG!$G$2:$G$2001,LOG!$C$2:$C$2001,F532,LOG!$E$2:$E$2001,"",LOG!$D$2:$D$2001,"*BOOKED")))),"")</f>
        <v/>
      </c>
      <c r="AN532" s="28" t="str">
        <f t="shared" si="95"/>
        <v/>
      </c>
      <c r="AO532" s="28">
        <f>IF(AND(M532=1,AN532&lt;&gt;""),IF(AN532&lt;=SETTINGS!$B$5,1,0),0)</f>
        <v>0</v>
      </c>
      <c r="AP532" s="28">
        <f>IF(M532=1,IF(COUNTIFS(LOG!$C$2:$C$2001,F532,LOG!$E$2:$E$2001,B532,LOG!$D$2:$D$2001,"BOOKED")+COUNTIFS(LOG!$C$2:$C$2001,F532,LOG!$E$2:$E$2001,"",LOG!$D$2:$D$2001,"BOOKED")&gt;0,1,0),0)</f>
        <v>0</v>
      </c>
      <c r="AQ532" s="28" t="str">
        <f t="shared" si="96"/>
        <v/>
      </c>
      <c r="AR532" s="28" t="str">
        <f>IF(AND(AK532=1,K532="OK"),COUNTIFS($AK$2:AK532,1,$K$2:K532,"OK"),"")</f>
        <v/>
      </c>
      <c r="AS532" s="28" t="str">
        <f>IF(L532=1,IFERROR(INDEX(MESSAGES!$J$9:$J$1008,MATCH(F532,MESSAGES!$M$9:$M$1008,0))&amp;"",""),"")</f>
        <v/>
      </c>
      <c r="AT532" s="28" t="str">
        <f>IF(L532=1,IFERROR(INDEX(MESSAGES!$K$9:$K$1008,MATCH(F532,MESSAGES!$M$9:$M$1008,0))&amp;"",""),"")</f>
        <v/>
      </c>
      <c r="AU532" s="28">
        <f t="shared" ca="1" si="97"/>
        <v>0</v>
      </c>
      <c r="AV532" s="28" t="str">
        <f t="shared" si="98"/>
        <v/>
      </c>
    </row>
    <row r="533" spans="1:48" x14ac:dyDescent="0.35">
      <c r="A533" s="28">
        <v>532</v>
      </c>
      <c r="B533" s="28" t="str">
        <f>IF(INPUT!A533="","",TRIM(INPUT!A533))</f>
        <v/>
      </c>
      <c r="C533" s="28" t="str">
        <f>IF(B533="","",INPUT!C533)</f>
        <v/>
      </c>
      <c r="D533" s="28" t="str">
        <f>IF(B533="","",INPUT!D533)</f>
        <v/>
      </c>
      <c r="E533" s="28" t="str">
        <f>IF(B533="","",INPUT!E533)</f>
        <v/>
      </c>
      <c r="F533" s="43" t="str">
        <f>IF(B533="","",TRIM(INPUT!F533&amp;""))</f>
        <v/>
      </c>
      <c r="G533" s="28" t="str">
        <f>IF(B533="","",INPUT!H533)</f>
        <v/>
      </c>
      <c r="H533" s="46" t="str">
        <f>IF(B533="","",INPUT!I533)</f>
        <v/>
      </c>
      <c r="I533" s="28" t="str">
        <f>IF(B533="","",IF(INPUT!J533="","None",INPUT!J533))</f>
        <v/>
      </c>
      <c r="J533" s="28" t="str">
        <f t="shared" si="88"/>
        <v/>
      </c>
      <c r="K533" s="28" t="str">
        <f>IF(B533="","",IF(SUMPRODUCT(($J$2:$J$601=J533)*($H$2:$H$601&lt;H533))+SUMPRODUCT(($J$2:J533=J533)*($H$2:H533=H533))-1&gt;0,"DUPLICATE",IF(AND(ISNUMBER(SEARCH("@",E533)),ISNUMBER(SEARCH(".",E533)),LEN(F533)=10,ISNUMBER(VALUE(F533))),"OK","BAD CONTACT")))</f>
        <v/>
      </c>
      <c r="L533" s="28">
        <f t="shared" si="89"/>
        <v>0</v>
      </c>
      <c r="M533" s="28">
        <f>IF(L533=1,IF(COUNTIFS(LOG!$C$2:$C$2001,F533,LOG!$E$2:$E$2001,B533,LOG!$D$2:$D$2001,"*BOOKED")+COUNTIFS(LOG!$C$2:$C$2001,F533,LOG!$E$2:$E$2001,"",LOG!$D$2:$D$2001,"*BOOKED")&gt;0,1,0),0)</f>
        <v>0</v>
      </c>
      <c r="N533" s="28">
        <f>IF(L533=1,IF(COUNTIFS(LOG!$C$2:$C$2001,F533,LOG!$E$2:$E$2001,B533,LOG!$D$2:$D$2001,"NOT_INTERESTED")+COUNTIFS(LOG!$C$2:$C$2001,F533,LOG!$E$2:$E$2001,"",LOG!$D$2:$D$2001,"NOT_INTERESTED")&gt;0,1,0),0)</f>
        <v>0</v>
      </c>
      <c r="O533" s="28">
        <f>IF(L533=1,IF(COUNTIFS(LOG!$C$2:$C$2001,F533,LOG!$D$2:$D$2001,"STOP")+COUNTIFS(LOG!$C$2:$C$2001,F533,LOG!$D$2:$D$2001,"WRONG_NUMBER")&gt;0,1,IF(ISNUMBER(SEARCH("STOP",AT533)),1,0)),0)</f>
        <v>0</v>
      </c>
      <c r="P533" s="28">
        <f>IF(L533=1,IF(IFERROR(INDEX(PARTNERS!$D$2:$D$88,MATCH(B533,PARTNERS!$A$2:$A$88,0)),"")="NO SLOTS",1,IF(AND(IFERROR(INDEX(PARTNERS!$D$2:$D$88,MATCH(B533,PARTNERS!$A$2:$A$88,0)),"")&lt;&gt;"REOPENED",COUNTIFS(LOG!$E$2:$E$2001,B533,LOG!$D$2:$D$2001,"NO_SLOTS")&gt;0),1,0)),0)</f>
        <v>0</v>
      </c>
      <c r="Q533" s="28">
        <f>IF(L533=1,COUNTIFS(LOG!$C$2:$C$2001,F533,LOG!$H$2:$H$2001,1),0)</f>
        <v>0</v>
      </c>
      <c r="R533" s="46">
        <f>IF(Q533&gt;0,_xlfn.MAXIFS(LOG!$G$2:$G$2001,LOG!$C$2:$C$2001,F533,LOG!$H$2:$H$2001,1),0)</f>
        <v>0</v>
      </c>
      <c r="S533" s="28" t="str">
        <f>IF(Q533&gt;0,IFERROR(INDEX(LOG!$D$2:$D$2001,MATCH(F533&amp;"|"&amp;Q533,LOG!$I$2:$I$2001,0)),""),"")</f>
        <v/>
      </c>
      <c r="T533" s="28">
        <f>IF(S533="",0,IFERROR(VLOOKUP(S533,LISTS!$A$2:$E$10,4,FALSE),0))</f>
        <v>0</v>
      </c>
      <c r="U533" s="46">
        <f t="shared" si="90"/>
        <v>0</v>
      </c>
      <c r="V533" s="46" t="str">
        <f>IF(L533=1,H533+SETTINGS!$B$5/24,"")</f>
        <v/>
      </c>
      <c r="W533" s="28" t="str">
        <f>IF(L533=1,(V533-SETTINGS!$B$4)*24,"")</f>
        <v/>
      </c>
      <c r="X533" s="28">
        <f ca="1">IF(AND(L533=1,K533="OK",M533=0,N533=0,O533=0,P533=0,SETTINGS!$B$4&lt;V533,Q533&lt;SETTINGS!$B$6),1,0)</f>
        <v>0</v>
      </c>
      <c r="Y533" s="28">
        <f ca="1">IF(AND(X533=1,SETTINGS!$B$4&gt;=H533,SETTINGS!$B$4&gt;=U533,ROUND(MOD(SETTINGS!$B$4,1)*1440,0)&gt;=ROUND(SETTINGS!$B$7*1440,0),ROUND(MOD(SETTINGS!$B$4,1)*1440,0)&lt;ROUND(SETTINGS!$B$8*1440,0)),1,0)</f>
        <v>0</v>
      </c>
      <c r="Z533" s="28" t="str">
        <f>IF(B533="","",IF(ROUND(MOD(SETTINGS!$B$4,1)*1440,0)&lt;ROUND(SETTINGS!$B$11*1440,0),"Ram",IF(ROUND(MOD(SETTINGS!$B$4,1)*1440,0)&gt;=ROUND(SETTINGS!$B$10*1440,0),"Shyam",IF(MOD(IFERROR(VALUE(RIGHT(F533,2)),0),2)=0,"Ram","Shyam"))))</f>
        <v/>
      </c>
      <c r="AA533" s="28">
        <f t="shared" ca="1" si="91"/>
        <v>0</v>
      </c>
      <c r="AB533" s="28">
        <f ca="1">IF(X533=1,COUNTIFS($F$2:F533,F533,$X$2:X533,1),0)</f>
        <v>0</v>
      </c>
      <c r="AC533" s="28" t="str">
        <f>IF(L533=1,IF(IFERROR(INDEX(PARTNERS!$C$2:$C$88,MATCH(B533,PARTNERS!$A$2:$A$88,0)),"")="YES","YES","NO"),"")</f>
        <v/>
      </c>
      <c r="AD533" s="28" t="str">
        <f>IF(L533=1,IFERROR(INDEX(PARTNERS!$B$2:$B$88,MATCH(B533,PARTNERS!$A$2:$A$88,0)),""),"")</f>
        <v/>
      </c>
      <c r="AE533" s="28">
        <f ca="1">IF(X533=1,IFERROR(INDEX(SETTINGS!$B$34:$D$36,MATCH(I533,SETTINGS!$A$34:$A$36,0),MIN(Q533,2)+1),SETTINGS!$B$36),0)</f>
        <v>0</v>
      </c>
      <c r="AF533" s="28">
        <f t="shared" si="92"/>
        <v>0</v>
      </c>
      <c r="AG533" s="28">
        <f ca="1">IF(AND(Y533=1,AB533=1),ROUND(AA533*AE533*IF(AF533&gt;1,SETTINGS!$B$16,1)*IF(W533&lt;=SETTINGS!$B$14,SETTINGS!$B$15,1)*IF(AU533=1,SETTINGS!$B$21,1),6),0)</f>
        <v>0</v>
      </c>
      <c r="AH533" s="28" t="str">
        <f ca="1">IF(AG533&gt;0,COUNTIFS($Z$2:$Z$601,Z533,$AG$2:$AG$601,"&gt;"&amp;AG533)+COUNTIFS($Z$2:Z533,Z533,$AG$2:AG533,AG533),"")</f>
        <v/>
      </c>
      <c r="AI533" s="28" t="str">
        <f t="shared" ca="1" si="93"/>
        <v/>
      </c>
      <c r="AJ533" s="28" t="str">
        <f t="shared" ca="1" si="94"/>
        <v/>
      </c>
      <c r="AK533" s="28">
        <f>IF(L533=1,IF(COUNTIFS($F$2:F533,F533,$L$2:L533,1)=1,1,0),0)</f>
        <v>0</v>
      </c>
      <c r="AL533" s="28" t="str">
        <f>IF(B533="","",IF(K533="DUPLICATE","Duplicate (removed)",IF(AO533=1,"Scheduled within 24h",IF(M533=1,"Scheduled late",IF(K533="BAD CONTACT","Bad contact details",IF(O533=1,"Stopped / wrong number",IF(N533=1,"Not interested",IF(P533=1,"Partner has no slots",IF(SETTINGS!$B$4&gt;=V533,IF(Q533=0,"Missed deadline: never tried","Missed deadline: tried, not booked"),IF(Q533&gt;=SETTINGS!$B$6,"No reply after max tries","Open"))))))))))</f>
        <v/>
      </c>
      <c r="AM533" s="46" t="str">
        <f>IF(M533=1,IF(_xlfn.MINIFS(LOG!$G$2:$G$2001,LOG!$C$2:$C$2001,F533,LOG!$E$2:$E$2001,B533,LOG!$D$2:$D$2001,"*BOOKED")=0,_xlfn.MINIFS(LOG!$G$2:$G$2001,LOG!$C$2:$C$2001,F533,LOG!$E$2:$E$2001,"",LOG!$D$2:$D$2001,"*BOOKED"),IF(_xlfn.MINIFS(LOG!$G$2:$G$2001,LOG!$C$2:$C$2001,F533,LOG!$E$2:$E$2001,"",LOG!$D$2:$D$2001,"*BOOKED")=0,_xlfn.MINIFS(LOG!$G$2:$G$2001,LOG!$C$2:$C$2001,F533,LOG!$E$2:$E$2001,B533,LOG!$D$2:$D$2001,"*BOOKED"),MIN(_xlfn.MINIFS(LOG!$G$2:$G$2001,LOG!$C$2:$C$2001,F533,LOG!$E$2:$E$2001,B533,LOG!$D$2:$D$2001,"*BOOKED"),_xlfn.MINIFS(LOG!$G$2:$G$2001,LOG!$C$2:$C$2001,F533,LOG!$E$2:$E$2001,"",LOG!$D$2:$D$2001,"*BOOKED")))),"")</f>
        <v/>
      </c>
      <c r="AN533" s="28" t="str">
        <f t="shared" si="95"/>
        <v/>
      </c>
      <c r="AO533" s="28">
        <f>IF(AND(M533=1,AN533&lt;&gt;""),IF(AN533&lt;=SETTINGS!$B$5,1,0),0)</f>
        <v>0</v>
      </c>
      <c r="AP533" s="28">
        <f>IF(M533=1,IF(COUNTIFS(LOG!$C$2:$C$2001,F533,LOG!$E$2:$E$2001,B533,LOG!$D$2:$D$2001,"BOOKED")+COUNTIFS(LOG!$C$2:$C$2001,F533,LOG!$E$2:$E$2001,"",LOG!$D$2:$D$2001,"BOOKED")&gt;0,1,0),0)</f>
        <v>0</v>
      </c>
      <c r="AQ533" s="28" t="str">
        <f t="shared" si="96"/>
        <v/>
      </c>
      <c r="AR533" s="28" t="str">
        <f>IF(AND(AK533=1,K533="OK"),COUNTIFS($AK$2:AK533,1,$K$2:K533,"OK"),"")</f>
        <v/>
      </c>
      <c r="AS533" s="28" t="str">
        <f>IF(L533=1,IFERROR(INDEX(MESSAGES!$J$9:$J$1008,MATCH(F533,MESSAGES!$M$9:$M$1008,0))&amp;"",""),"")</f>
        <v/>
      </c>
      <c r="AT533" s="28" t="str">
        <f>IF(L533=1,IFERROR(INDEX(MESSAGES!$K$9:$K$1008,MATCH(F533,MESSAGES!$M$9:$M$1008,0))&amp;"",""),"")</f>
        <v/>
      </c>
      <c r="AU533" s="28">
        <f t="shared" ca="1" si="97"/>
        <v>0</v>
      </c>
      <c r="AV533" s="28" t="str">
        <f t="shared" si="98"/>
        <v/>
      </c>
    </row>
    <row r="534" spans="1:48" x14ac:dyDescent="0.35">
      <c r="A534" s="28">
        <v>533</v>
      </c>
      <c r="B534" s="28" t="str">
        <f>IF(INPUT!A534="","",TRIM(INPUT!A534))</f>
        <v/>
      </c>
      <c r="C534" s="28" t="str">
        <f>IF(B534="","",INPUT!C534)</f>
        <v/>
      </c>
      <c r="D534" s="28" t="str">
        <f>IF(B534="","",INPUT!D534)</f>
        <v/>
      </c>
      <c r="E534" s="28" t="str">
        <f>IF(B534="","",INPUT!E534)</f>
        <v/>
      </c>
      <c r="F534" s="43" t="str">
        <f>IF(B534="","",TRIM(INPUT!F534&amp;""))</f>
        <v/>
      </c>
      <c r="G534" s="28" t="str">
        <f>IF(B534="","",INPUT!H534)</f>
        <v/>
      </c>
      <c r="H534" s="46" t="str">
        <f>IF(B534="","",INPUT!I534)</f>
        <v/>
      </c>
      <c r="I534" s="28" t="str">
        <f>IF(B534="","",IF(INPUT!J534="","None",INPUT!J534))</f>
        <v/>
      </c>
      <c r="J534" s="28" t="str">
        <f t="shared" si="88"/>
        <v/>
      </c>
      <c r="K534" s="28" t="str">
        <f>IF(B534="","",IF(SUMPRODUCT(($J$2:$J$601=J534)*($H$2:$H$601&lt;H534))+SUMPRODUCT(($J$2:J534=J534)*($H$2:H534=H534))-1&gt;0,"DUPLICATE",IF(AND(ISNUMBER(SEARCH("@",E534)),ISNUMBER(SEARCH(".",E534)),LEN(F534)=10,ISNUMBER(VALUE(F534))),"OK","BAD CONTACT")))</f>
        <v/>
      </c>
      <c r="L534" s="28">
        <f t="shared" si="89"/>
        <v>0</v>
      </c>
      <c r="M534" s="28">
        <f>IF(L534=1,IF(COUNTIFS(LOG!$C$2:$C$2001,F534,LOG!$E$2:$E$2001,B534,LOG!$D$2:$D$2001,"*BOOKED")+COUNTIFS(LOG!$C$2:$C$2001,F534,LOG!$E$2:$E$2001,"",LOG!$D$2:$D$2001,"*BOOKED")&gt;0,1,0),0)</f>
        <v>0</v>
      </c>
      <c r="N534" s="28">
        <f>IF(L534=1,IF(COUNTIFS(LOG!$C$2:$C$2001,F534,LOG!$E$2:$E$2001,B534,LOG!$D$2:$D$2001,"NOT_INTERESTED")+COUNTIFS(LOG!$C$2:$C$2001,F534,LOG!$E$2:$E$2001,"",LOG!$D$2:$D$2001,"NOT_INTERESTED")&gt;0,1,0),0)</f>
        <v>0</v>
      </c>
      <c r="O534" s="28">
        <f>IF(L534=1,IF(COUNTIFS(LOG!$C$2:$C$2001,F534,LOG!$D$2:$D$2001,"STOP")+COUNTIFS(LOG!$C$2:$C$2001,F534,LOG!$D$2:$D$2001,"WRONG_NUMBER")&gt;0,1,IF(ISNUMBER(SEARCH("STOP",AT534)),1,0)),0)</f>
        <v>0</v>
      </c>
      <c r="P534" s="28">
        <f>IF(L534=1,IF(IFERROR(INDEX(PARTNERS!$D$2:$D$88,MATCH(B534,PARTNERS!$A$2:$A$88,0)),"")="NO SLOTS",1,IF(AND(IFERROR(INDEX(PARTNERS!$D$2:$D$88,MATCH(B534,PARTNERS!$A$2:$A$88,0)),"")&lt;&gt;"REOPENED",COUNTIFS(LOG!$E$2:$E$2001,B534,LOG!$D$2:$D$2001,"NO_SLOTS")&gt;0),1,0)),0)</f>
        <v>0</v>
      </c>
      <c r="Q534" s="28">
        <f>IF(L534=1,COUNTIFS(LOG!$C$2:$C$2001,F534,LOG!$H$2:$H$2001,1),0)</f>
        <v>0</v>
      </c>
      <c r="R534" s="46">
        <f>IF(Q534&gt;0,_xlfn.MAXIFS(LOG!$G$2:$G$2001,LOG!$C$2:$C$2001,F534,LOG!$H$2:$H$2001,1),0)</f>
        <v>0</v>
      </c>
      <c r="S534" s="28" t="str">
        <f>IF(Q534&gt;0,IFERROR(INDEX(LOG!$D$2:$D$2001,MATCH(F534&amp;"|"&amp;Q534,LOG!$I$2:$I$2001,0)),""),"")</f>
        <v/>
      </c>
      <c r="T534" s="28">
        <f>IF(S534="",0,IFERROR(VLOOKUP(S534,LISTS!$A$2:$E$10,4,FALSE),0))</f>
        <v>0</v>
      </c>
      <c r="U534" s="46">
        <f t="shared" si="90"/>
        <v>0</v>
      </c>
      <c r="V534" s="46" t="str">
        <f>IF(L534=1,H534+SETTINGS!$B$5/24,"")</f>
        <v/>
      </c>
      <c r="W534" s="28" t="str">
        <f>IF(L534=1,(V534-SETTINGS!$B$4)*24,"")</f>
        <v/>
      </c>
      <c r="X534" s="28">
        <f ca="1">IF(AND(L534=1,K534="OK",M534=0,N534=0,O534=0,P534=0,SETTINGS!$B$4&lt;V534,Q534&lt;SETTINGS!$B$6),1,0)</f>
        <v>0</v>
      </c>
      <c r="Y534" s="28">
        <f ca="1">IF(AND(X534=1,SETTINGS!$B$4&gt;=H534,SETTINGS!$B$4&gt;=U534,ROUND(MOD(SETTINGS!$B$4,1)*1440,0)&gt;=ROUND(SETTINGS!$B$7*1440,0),ROUND(MOD(SETTINGS!$B$4,1)*1440,0)&lt;ROUND(SETTINGS!$B$8*1440,0)),1,0)</f>
        <v>0</v>
      </c>
      <c r="Z534" s="28" t="str">
        <f>IF(B534="","",IF(ROUND(MOD(SETTINGS!$B$4,1)*1440,0)&lt;ROUND(SETTINGS!$B$11*1440,0),"Ram",IF(ROUND(MOD(SETTINGS!$B$4,1)*1440,0)&gt;=ROUND(SETTINGS!$B$10*1440,0),"Shyam",IF(MOD(IFERROR(VALUE(RIGHT(F534,2)),0),2)=0,"Ram","Shyam"))))</f>
        <v/>
      </c>
      <c r="AA534" s="28">
        <f t="shared" ca="1" si="91"/>
        <v>0</v>
      </c>
      <c r="AB534" s="28">
        <f ca="1">IF(X534=1,COUNTIFS($F$2:F534,F534,$X$2:X534,1),0)</f>
        <v>0</v>
      </c>
      <c r="AC534" s="28" t="str">
        <f>IF(L534=1,IF(IFERROR(INDEX(PARTNERS!$C$2:$C$88,MATCH(B534,PARTNERS!$A$2:$A$88,0)),"")="YES","YES","NO"),"")</f>
        <v/>
      </c>
      <c r="AD534" s="28" t="str">
        <f>IF(L534=1,IFERROR(INDEX(PARTNERS!$B$2:$B$88,MATCH(B534,PARTNERS!$A$2:$A$88,0)),""),"")</f>
        <v/>
      </c>
      <c r="AE534" s="28">
        <f ca="1">IF(X534=1,IFERROR(INDEX(SETTINGS!$B$34:$D$36,MATCH(I534,SETTINGS!$A$34:$A$36,0),MIN(Q534,2)+1),SETTINGS!$B$36),0)</f>
        <v>0</v>
      </c>
      <c r="AF534" s="28">
        <f t="shared" si="92"/>
        <v>0</v>
      </c>
      <c r="AG534" s="28">
        <f ca="1">IF(AND(Y534=1,AB534=1),ROUND(AA534*AE534*IF(AF534&gt;1,SETTINGS!$B$16,1)*IF(W534&lt;=SETTINGS!$B$14,SETTINGS!$B$15,1)*IF(AU534=1,SETTINGS!$B$21,1),6),0)</f>
        <v>0</v>
      </c>
      <c r="AH534" s="28" t="str">
        <f ca="1">IF(AG534&gt;0,COUNTIFS($Z$2:$Z$601,Z534,$AG$2:$AG$601,"&gt;"&amp;AG534)+COUNTIFS($Z$2:Z534,Z534,$AG$2:AG534,AG534),"")</f>
        <v/>
      </c>
      <c r="AI534" s="28" t="str">
        <f t="shared" ca="1" si="93"/>
        <v/>
      </c>
      <c r="AJ534" s="28" t="str">
        <f t="shared" ca="1" si="94"/>
        <v/>
      </c>
      <c r="AK534" s="28">
        <f>IF(L534=1,IF(COUNTIFS($F$2:F534,F534,$L$2:L534,1)=1,1,0),0)</f>
        <v>0</v>
      </c>
      <c r="AL534" s="28" t="str">
        <f>IF(B534="","",IF(K534="DUPLICATE","Duplicate (removed)",IF(AO534=1,"Scheduled within 24h",IF(M534=1,"Scheduled late",IF(K534="BAD CONTACT","Bad contact details",IF(O534=1,"Stopped / wrong number",IF(N534=1,"Not interested",IF(P534=1,"Partner has no slots",IF(SETTINGS!$B$4&gt;=V534,IF(Q534=0,"Missed deadline: never tried","Missed deadline: tried, not booked"),IF(Q534&gt;=SETTINGS!$B$6,"No reply after max tries","Open"))))))))))</f>
        <v/>
      </c>
      <c r="AM534" s="46" t="str">
        <f>IF(M534=1,IF(_xlfn.MINIFS(LOG!$G$2:$G$2001,LOG!$C$2:$C$2001,F534,LOG!$E$2:$E$2001,B534,LOG!$D$2:$D$2001,"*BOOKED")=0,_xlfn.MINIFS(LOG!$G$2:$G$2001,LOG!$C$2:$C$2001,F534,LOG!$E$2:$E$2001,"",LOG!$D$2:$D$2001,"*BOOKED"),IF(_xlfn.MINIFS(LOG!$G$2:$G$2001,LOG!$C$2:$C$2001,F534,LOG!$E$2:$E$2001,"",LOG!$D$2:$D$2001,"*BOOKED")=0,_xlfn.MINIFS(LOG!$G$2:$G$2001,LOG!$C$2:$C$2001,F534,LOG!$E$2:$E$2001,B534,LOG!$D$2:$D$2001,"*BOOKED"),MIN(_xlfn.MINIFS(LOG!$G$2:$G$2001,LOG!$C$2:$C$2001,F534,LOG!$E$2:$E$2001,B534,LOG!$D$2:$D$2001,"*BOOKED"),_xlfn.MINIFS(LOG!$G$2:$G$2001,LOG!$C$2:$C$2001,F534,LOG!$E$2:$E$2001,"",LOG!$D$2:$D$2001,"*BOOKED")))),"")</f>
        <v/>
      </c>
      <c r="AN534" s="28" t="str">
        <f t="shared" si="95"/>
        <v/>
      </c>
      <c r="AO534" s="28">
        <f>IF(AND(M534=1,AN534&lt;&gt;""),IF(AN534&lt;=SETTINGS!$B$5,1,0),0)</f>
        <v>0</v>
      </c>
      <c r="AP534" s="28">
        <f>IF(M534=1,IF(COUNTIFS(LOG!$C$2:$C$2001,F534,LOG!$E$2:$E$2001,B534,LOG!$D$2:$D$2001,"BOOKED")+COUNTIFS(LOG!$C$2:$C$2001,F534,LOG!$E$2:$E$2001,"",LOG!$D$2:$D$2001,"BOOKED")&gt;0,1,0),0)</f>
        <v>0</v>
      </c>
      <c r="AQ534" s="28" t="str">
        <f t="shared" si="96"/>
        <v/>
      </c>
      <c r="AR534" s="28" t="str">
        <f>IF(AND(AK534=1,K534="OK"),COUNTIFS($AK$2:AK534,1,$K$2:K534,"OK"),"")</f>
        <v/>
      </c>
      <c r="AS534" s="28" t="str">
        <f>IF(L534=1,IFERROR(INDEX(MESSAGES!$J$9:$J$1008,MATCH(F534,MESSAGES!$M$9:$M$1008,0))&amp;"",""),"")</f>
        <v/>
      </c>
      <c r="AT534" s="28" t="str">
        <f>IF(L534=1,IFERROR(INDEX(MESSAGES!$K$9:$K$1008,MATCH(F534,MESSAGES!$M$9:$M$1008,0))&amp;"",""),"")</f>
        <v/>
      </c>
      <c r="AU534" s="28">
        <f t="shared" ca="1" si="97"/>
        <v>0</v>
      </c>
      <c r="AV534" s="28" t="str">
        <f t="shared" si="98"/>
        <v/>
      </c>
    </row>
    <row r="535" spans="1:48" x14ac:dyDescent="0.35">
      <c r="A535" s="28">
        <v>534</v>
      </c>
      <c r="B535" s="28" t="str">
        <f>IF(INPUT!A535="","",TRIM(INPUT!A535))</f>
        <v/>
      </c>
      <c r="C535" s="28" t="str">
        <f>IF(B535="","",INPUT!C535)</f>
        <v/>
      </c>
      <c r="D535" s="28" t="str">
        <f>IF(B535="","",INPUT!D535)</f>
        <v/>
      </c>
      <c r="E535" s="28" t="str">
        <f>IF(B535="","",INPUT!E535)</f>
        <v/>
      </c>
      <c r="F535" s="43" t="str">
        <f>IF(B535="","",TRIM(INPUT!F535&amp;""))</f>
        <v/>
      </c>
      <c r="G535" s="28" t="str">
        <f>IF(B535="","",INPUT!H535)</f>
        <v/>
      </c>
      <c r="H535" s="46" t="str">
        <f>IF(B535="","",INPUT!I535)</f>
        <v/>
      </c>
      <c r="I535" s="28" t="str">
        <f>IF(B535="","",IF(INPUT!J535="","None",INPUT!J535))</f>
        <v/>
      </c>
      <c r="J535" s="28" t="str">
        <f t="shared" si="88"/>
        <v/>
      </c>
      <c r="K535" s="28" t="str">
        <f>IF(B535="","",IF(SUMPRODUCT(($J$2:$J$601=J535)*($H$2:$H$601&lt;H535))+SUMPRODUCT(($J$2:J535=J535)*($H$2:H535=H535))-1&gt;0,"DUPLICATE",IF(AND(ISNUMBER(SEARCH("@",E535)),ISNUMBER(SEARCH(".",E535)),LEN(F535)=10,ISNUMBER(VALUE(F535))),"OK","BAD CONTACT")))</f>
        <v/>
      </c>
      <c r="L535" s="28">
        <f t="shared" si="89"/>
        <v>0</v>
      </c>
      <c r="M535" s="28">
        <f>IF(L535=1,IF(COUNTIFS(LOG!$C$2:$C$2001,F535,LOG!$E$2:$E$2001,B535,LOG!$D$2:$D$2001,"*BOOKED")+COUNTIFS(LOG!$C$2:$C$2001,F535,LOG!$E$2:$E$2001,"",LOG!$D$2:$D$2001,"*BOOKED")&gt;0,1,0),0)</f>
        <v>0</v>
      </c>
      <c r="N535" s="28">
        <f>IF(L535=1,IF(COUNTIFS(LOG!$C$2:$C$2001,F535,LOG!$E$2:$E$2001,B535,LOG!$D$2:$D$2001,"NOT_INTERESTED")+COUNTIFS(LOG!$C$2:$C$2001,F535,LOG!$E$2:$E$2001,"",LOG!$D$2:$D$2001,"NOT_INTERESTED")&gt;0,1,0),0)</f>
        <v>0</v>
      </c>
      <c r="O535" s="28">
        <f>IF(L535=1,IF(COUNTIFS(LOG!$C$2:$C$2001,F535,LOG!$D$2:$D$2001,"STOP")+COUNTIFS(LOG!$C$2:$C$2001,F535,LOG!$D$2:$D$2001,"WRONG_NUMBER")&gt;0,1,IF(ISNUMBER(SEARCH("STOP",AT535)),1,0)),0)</f>
        <v>0</v>
      </c>
      <c r="P535" s="28">
        <f>IF(L535=1,IF(IFERROR(INDEX(PARTNERS!$D$2:$D$88,MATCH(B535,PARTNERS!$A$2:$A$88,0)),"")="NO SLOTS",1,IF(AND(IFERROR(INDEX(PARTNERS!$D$2:$D$88,MATCH(B535,PARTNERS!$A$2:$A$88,0)),"")&lt;&gt;"REOPENED",COUNTIFS(LOG!$E$2:$E$2001,B535,LOG!$D$2:$D$2001,"NO_SLOTS")&gt;0),1,0)),0)</f>
        <v>0</v>
      </c>
      <c r="Q535" s="28">
        <f>IF(L535=1,COUNTIFS(LOG!$C$2:$C$2001,F535,LOG!$H$2:$H$2001,1),0)</f>
        <v>0</v>
      </c>
      <c r="R535" s="46">
        <f>IF(Q535&gt;0,_xlfn.MAXIFS(LOG!$G$2:$G$2001,LOG!$C$2:$C$2001,F535,LOG!$H$2:$H$2001,1),0)</f>
        <v>0</v>
      </c>
      <c r="S535" s="28" t="str">
        <f>IF(Q535&gt;0,IFERROR(INDEX(LOG!$D$2:$D$2001,MATCH(F535&amp;"|"&amp;Q535,LOG!$I$2:$I$2001,0)),""),"")</f>
        <v/>
      </c>
      <c r="T535" s="28">
        <f>IF(S535="",0,IFERROR(VLOOKUP(S535,LISTS!$A$2:$E$10,4,FALSE),0))</f>
        <v>0</v>
      </c>
      <c r="U535" s="46">
        <f t="shared" si="90"/>
        <v>0</v>
      </c>
      <c r="V535" s="46" t="str">
        <f>IF(L535=1,H535+SETTINGS!$B$5/24,"")</f>
        <v/>
      </c>
      <c r="W535" s="28" t="str">
        <f>IF(L535=1,(V535-SETTINGS!$B$4)*24,"")</f>
        <v/>
      </c>
      <c r="X535" s="28">
        <f ca="1">IF(AND(L535=1,K535="OK",M535=0,N535=0,O535=0,P535=0,SETTINGS!$B$4&lt;V535,Q535&lt;SETTINGS!$B$6),1,0)</f>
        <v>0</v>
      </c>
      <c r="Y535" s="28">
        <f ca="1">IF(AND(X535=1,SETTINGS!$B$4&gt;=H535,SETTINGS!$B$4&gt;=U535,ROUND(MOD(SETTINGS!$B$4,1)*1440,0)&gt;=ROUND(SETTINGS!$B$7*1440,0),ROUND(MOD(SETTINGS!$B$4,1)*1440,0)&lt;ROUND(SETTINGS!$B$8*1440,0)),1,0)</f>
        <v>0</v>
      </c>
      <c r="Z535" s="28" t="str">
        <f>IF(B535="","",IF(ROUND(MOD(SETTINGS!$B$4,1)*1440,0)&lt;ROUND(SETTINGS!$B$11*1440,0),"Ram",IF(ROUND(MOD(SETTINGS!$B$4,1)*1440,0)&gt;=ROUND(SETTINGS!$B$10*1440,0),"Shyam",IF(MOD(IFERROR(VALUE(RIGHT(F535,2)),0),2)=0,"Ram","Shyam"))))</f>
        <v/>
      </c>
      <c r="AA535" s="28">
        <f t="shared" ca="1" si="91"/>
        <v>0</v>
      </c>
      <c r="AB535" s="28">
        <f ca="1">IF(X535=1,COUNTIFS($F$2:F535,F535,$X$2:X535,1),0)</f>
        <v>0</v>
      </c>
      <c r="AC535" s="28" t="str">
        <f>IF(L535=1,IF(IFERROR(INDEX(PARTNERS!$C$2:$C$88,MATCH(B535,PARTNERS!$A$2:$A$88,0)),"")="YES","YES","NO"),"")</f>
        <v/>
      </c>
      <c r="AD535" s="28" t="str">
        <f>IF(L535=1,IFERROR(INDEX(PARTNERS!$B$2:$B$88,MATCH(B535,PARTNERS!$A$2:$A$88,0)),""),"")</f>
        <v/>
      </c>
      <c r="AE535" s="28">
        <f ca="1">IF(X535=1,IFERROR(INDEX(SETTINGS!$B$34:$D$36,MATCH(I535,SETTINGS!$A$34:$A$36,0),MIN(Q535,2)+1),SETTINGS!$B$36),0)</f>
        <v>0</v>
      </c>
      <c r="AF535" s="28">
        <f t="shared" si="92"/>
        <v>0</v>
      </c>
      <c r="AG535" s="28">
        <f ca="1">IF(AND(Y535=1,AB535=1),ROUND(AA535*AE535*IF(AF535&gt;1,SETTINGS!$B$16,1)*IF(W535&lt;=SETTINGS!$B$14,SETTINGS!$B$15,1)*IF(AU535=1,SETTINGS!$B$21,1),6),0)</f>
        <v>0</v>
      </c>
      <c r="AH535" s="28" t="str">
        <f ca="1">IF(AG535&gt;0,COUNTIFS($Z$2:$Z$601,Z535,$AG$2:$AG$601,"&gt;"&amp;AG535)+COUNTIFS($Z$2:Z535,Z535,$AG$2:AG535,AG535),"")</f>
        <v/>
      </c>
      <c r="AI535" s="28" t="str">
        <f t="shared" ca="1" si="93"/>
        <v/>
      </c>
      <c r="AJ535" s="28" t="str">
        <f t="shared" ca="1" si="94"/>
        <v/>
      </c>
      <c r="AK535" s="28">
        <f>IF(L535=1,IF(COUNTIFS($F$2:F535,F535,$L$2:L535,1)=1,1,0),0)</f>
        <v>0</v>
      </c>
      <c r="AL535" s="28" t="str">
        <f>IF(B535="","",IF(K535="DUPLICATE","Duplicate (removed)",IF(AO535=1,"Scheduled within 24h",IF(M535=1,"Scheduled late",IF(K535="BAD CONTACT","Bad contact details",IF(O535=1,"Stopped / wrong number",IF(N535=1,"Not interested",IF(P535=1,"Partner has no slots",IF(SETTINGS!$B$4&gt;=V535,IF(Q535=0,"Missed deadline: never tried","Missed deadline: tried, not booked"),IF(Q535&gt;=SETTINGS!$B$6,"No reply after max tries","Open"))))))))))</f>
        <v/>
      </c>
      <c r="AM535" s="46" t="str">
        <f>IF(M535=1,IF(_xlfn.MINIFS(LOG!$G$2:$G$2001,LOG!$C$2:$C$2001,F535,LOG!$E$2:$E$2001,B535,LOG!$D$2:$D$2001,"*BOOKED")=0,_xlfn.MINIFS(LOG!$G$2:$G$2001,LOG!$C$2:$C$2001,F535,LOG!$E$2:$E$2001,"",LOG!$D$2:$D$2001,"*BOOKED"),IF(_xlfn.MINIFS(LOG!$G$2:$G$2001,LOG!$C$2:$C$2001,F535,LOG!$E$2:$E$2001,"",LOG!$D$2:$D$2001,"*BOOKED")=0,_xlfn.MINIFS(LOG!$G$2:$G$2001,LOG!$C$2:$C$2001,F535,LOG!$E$2:$E$2001,B535,LOG!$D$2:$D$2001,"*BOOKED"),MIN(_xlfn.MINIFS(LOG!$G$2:$G$2001,LOG!$C$2:$C$2001,F535,LOG!$E$2:$E$2001,B535,LOG!$D$2:$D$2001,"*BOOKED"),_xlfn.MINIFS(LOG!$G$2:$G$2001,LOG!$C$2:$C$2001,F535,LOG!$E$2:$E$2001,"",LOG!$D$2:$D$2001,"*BOOKED")))),"")</f>
        <v/>
      </c>
      <c r="AN535" s="28" t="str">
        <f t="shared" si="95"/>
        <v/>
      </c>
      <c r="AO535" s="28">
        <f>IF(AND(M535=1,AN535&lt;&gt;""),IF(AN535&lt;=SETTINGS!$B$5,1,0),0)</f>
        <v>0</v>
      </c>
      <c r="AP535" s="28">
        <f>IF(M535=1,IF(COUNTIFS(LOG!$C$2:$C$2001,F535,LOG!$E$2:$E$2001,B535,LOG!$D$2:$D$2001,"BOOKED")+COUNTIFS(LOG!$C$2:$C$2001,F535,LOG!$E$2:$E$2001,"",LOG!$D$2:$D$2001,"BOOKED")&gt;0,1,0),0)</f>
        <v>0</v>
      </c>
      <c r="AQ535" s="28" t="str">
        <f t="shared" si="96"/>
        <v/>
      </c>
      <c r="AR535" s="28" t="str">
        <f>IF(AND(AK535=1,K535="OK"),COUNTIFS($AK$2:AK535,1,$K$2:K535,"OK"),"")</f>
        <v/>
      </c>
      <c r="AS535" s="28" t="str">
        <f>IF(L535=1,IFERROR(INDEX(MESSAGES!$J$9:$J$1008,MATCH(F535,MESSAGES!$M$9:$M$1008,0))&amp;"",""),"")</f>
        <v/>
      </c>
      <c r="AT535" s="28" t="str">
        <f>IF(L535=1,IFERROR(INDEX(MESSAGES!$K$9:$K$1008,MATCH(F535,MESSAGES!$M$9:$M$1008,0))&amp;"",""),"")</f>
        <v/>
      </c>
      <c r="AU535" s="28">
        <f t="shared" ca="1" si="97"/>
        <v>0</v>
      </c>
      <c r="AV535" s="28" t="str">
        <f t="shared" si="98"/>
        <v/>
      </c>
    </row>
    <row r="536" spans="1:48" x14ac:dyDescent="0.35">
      <c r="A536" s="28">
        <v>535</v>
      </c>
      <c r="B536" s="28" t="str">
        <f>IF(INPUT!A536="","",TRIM(INPUT!A536))</f>
        <v/>
      </c>
      <c r="C536" s="28" t="str">
        <f>IF(B536="","",INPUT!C536)</f>
        <v/>
      </c>
      <c r="D536" s="28" t="str">
        <f>IF(B536="","",INPUT!D536)</f>
        <v/>
      </c>
      <c r="E536" s="28" t="str">
        <f>IF(B536="","",INPUT!E536)</f>
        <v/>
      </c>
      <c r="F536" s="43" t="str">
        <f>IF(B536="","",TRIM(INPUT!F536&amp;""))</f>
        <v/>
      </c>
      <c r="G536" s="28" t="str">
        <f>IF(B536="","",INPUT!H536)</f>
        <v/>
      </c>
      <c r="H536" s="46" t="str">
        <f>IF(B536="","",INPUT!I536)</f>
        <v/>
      </c>
      <c r="I536" s="28" t="str">
        <f>IF(B536="","",IF(INPUT!J536="","None",INPUT!J536))</f>
        <v/>
      </c>
      <c r="J536" s="28" t="str">
        <f t="shared" si="88"/>
        <v/>
      </c>
      <c r="K536" s="28" t="str">
        <f>IF(B536="","",IF(SUMPRODUCT(($J$2:$J$601=J536)*($H$2:$H$601&lt;H536))+SUMPRODUCT(($J$2:J536=J536)*($H$2:H536=H536))-1&gt;0,"DUPLICATE",IF(AND(ISNUMBER(SEARCH("@",E536)),ISNUMBER(SEARCH(".",E536)),LEN(F536)=10,ISNUMBER(VALUE(F536))),"OK","BAD CONTACT")))</f>
        <v/>
      </c>
      <c r="L536" s="28">
        <f t="shared" si="89"/>
        <v>0</v>
      </c>
      <c r="M536" s="28">
        <f>IF(L536=1,IF(COUNTIFS(LOG!$C$2:$C$2001,F536,LOG!$E$2:$E$2001,B536,LOG!$D$2:$D$2001,"*BOOKED")+COUNTIFS(LOG!$C$2:$C$2001,F536,LOG!$E$2:$E$2001,"",LOG!$D$2:$D$2001,"*BOOKED")&gt;0,1,0),0)</f>
        <v>0</v>
      </c>
      <c r="N536" s="28">
        <f>IF(L536=1,IF(COUNTIFS(LOG!$C$2:$C$2001,F536,LOG!$E$2:$E$2001,B536,LOG!$D$2:$D$2001,"NOT_INTERESTED")+COUNTIFS(LOG!$C$2:$C$2001,F536,LOG!$E$2:$E$2001,"",LOG!$D$2:$D$2001,"NOT_INTERESTED")&gt;0,1,0),0)</f>
        <v>0</v>
      </c>
      <c r="O536" s="28">
        <f>IF(L536=1,IF(COUNTIFS(LOG!$C$2:$C$2001,F536,LOG!$D$2:$D$2001,"STOP")+COUNTIFS(LOG!$C$2:$C$2001,F536,LOG!$D$2:$D$2001,"WRONG_NUMBER")&gt;0,1,IF(ISNUMBER(SEARCH("STOP",AT536)),1,0)),0)</f>
        <v>0</v>
      </c>
      <c r="P536" s="28">
        <f>IF(L536=1,IF(IFERROR(INDEX(PARTNERS!$D$2:$D$88,MATCH(B536,PARTNERS!$A$2:$A$88,0)),"")="NO SLOTS",1,IF(AND(IFERROR(INDEX(PARTNERS!$D$2:$D$88,MATCH(B536,PARTNERS!$A$2:$A$88,0)),"")&lt;&gt;"REOPENED",COUNTIFS(LOG!$E$2:$E$2001,B536,LOG!$D$2:$D$2001,"NO_SLOTS")&gt;0),1,0)),0)</f>
        <v>0</v>
      </c>
      <c r="Q536" s="28">
        <f>IF(L536=1,COUNTIFS(LOG!$C$2:$C$2001,F536,LOG!$H$2:$H$2001,1),0)</f>
        <v>0</v>
      </c>
      <c r="R536" s="46">
        <f>IF(Q536&gt;0,_xlfn.MAXIFS(LOG!$G$2:$G$2001,LOG!$C$2:$C$2001,F536,LOG!$H$2:$H$2001,1),0)</f>
        <v>0</v>
      </c>
      <c r="S536" s="28" t="str">
        <f>IF(Q536&gt;0,IFERROR(INDEX(LOG!$D$2:$D$2001,MATCH(F536&amp;"|"&amp;Q536,LOG!$I$2:$I$2001,0)),""),"")</f>
        <v/>
      </c>
      <c r="T536" s="28">
        <f>IF(S536="",0,IFERROR(VLOOKUP(S536,LISTS!$A$2:$E$10,4,FALSE),0))</f>
        <v>0</v>
      </c>
      <c r="U536" s="46">
        <f t="shared" si="90"/>
        <v>0</v>
      </c>
      <c r="V536" s="46" t="str">
        <f>IF(L536=1,H536+SETTINGS!$B$5/24,"")</f>
        <v/>
      </c>
      <c r="W536" s="28" t="str">
        <f>IF(L536=1,(V536-SETTINGS!$B$4)*24,"")</f>
        <v/>
      </c>
      <c r="X536" s="28">
        <f ca="1">IF(AND(L536=1,K536="OK",M536=0,N536=0,O536=0,P536=0,SETTINGS!$B$4&lt;V536,Q536&lt;SETTINGS!$B$6),1,0)</f>
        <v>0</v>
      </c>
      <c r="Y536" s="28">
        <f ca="1">IF(AND(X536=1,SETTINGS!$B$4&gt;=H536,SETTINGS!$B$4&gt;=U536,ROUND(MOD(SETTINGS!$B$4,1)*1440,0)&gt;=ROUND(SETTINGS!$B$7*1440,0),ROUND(MOD(SETTINGS!$B$4,1)*1440,0)&lt;ROUND(SETTINGS!$B$8*1440,0)),1,0)</f>
        <v>0</v>
      </c>
      <c r="Z536" s="28" t="str">
        <f>IF(B536="","",IF(ROUND(MOD(SETTINGS!$B$4,1)*1440,0)&lt;ROUND(SETTINGS!$B$11*1440,0),"Ram",IF(ROUND(MOD(SETTINGS!$B$4,1)*1440,0)&gt;=ROUND(SETTINGS!$B$10*1440,0),"Shyam",IF(MOD(IFERROR(VALUE(RIGHT(F536,2)),0),2)=0,"Ram","Shyam"))))</f>
        <v/>
      </c>
      <c r="AA536" s="28">
        <f t="shared" ca="1" si="91"/>
        <v>0</v>
      </c>
      <c r="AB536" s="28">
        <f ca="1">IF(X536=1,COUNTIFS($F$2:F536,F536,$X$2:X536,1),0)</f>
        <v>0</v>
      </c>
      <c r="AC536" s="28" t="str">
        <f>IF(L536=1,IF(IFERROR(INDEX(PARTNERS!$C$2:$C$88,MATCH(B536,PARTNERS!$A$2:$A$88,0)),"")="YES","YES","NO"),"")</f>
        <v/>
      </c>
      <c r="AD536" s="28" t="str">
        <f>IF(L536=1,IFERROR(INDEX(PARTNERS!$B$2:$B$88,MATCH(B536,PARTNERS!$A$2:$A$88,0)),""),"")</f>
        <v/>
      </c>
      <c r="AE536" s="28">
        <f ca="1">IF(X536=1,IFERROR(INDEX(SETTINGS!$B$34:$D$36,MATCH(I536,SETTINGS!$A$34:$A$36,0),MIN(Q536,2)+1),SETTINGS!$B$36),0)</f>
        <v>0</v>
      </c>
      <c r="AF536" s="28">
        <f t="shared" si="92"/>
        <v>0</v>
      </c>
      <c r="AG536" s="28">
        <f ca="1">IF(AND(Y536=1,AB536=1),ROUND(AA536*AE536*IF(AF536&gt;1,SETTINGS!$B$16,1)*IF(W536&lt;=SETTINGS!$B$14,SETTINGS!$B$15,1)*IF(AU536=1,SETTINGS!$B$21,1),6),0)</f>
        <v>0</v>
      </c>
      <c r="AH536" s="28" t="str">
        <f ca="1">IF(AG536&gt;0,COUNTIFS($Z$2:$Z$601,Z536,$AG$2:$AG$601,"&gt;"&amp;AG536)+COUNTIFS($Z$2:Z536,Z536,$AG$2:AG536,AG536),"")</f>
        <v/>
      </c>
      <c r="AI536" s="28" t="str">
        <f t="shared" ca="1" si="93"/>
        <v/>
      </c>
      <c r="AJ536" s="28" t="str">
        <f t="shared" ca="1" si="94"/>
        <v/>
      </c>
      <c r="AK536" s="28">
        <f>IF(L536=1,IF(COUNTIFS($F$2:F536,F536,$L$2:L536,1)=1,1,0),0)</f>
        <v>0</v>
      </c>
      <c r="AL536" s="28" t="str">
        <f>IF(B536="","",IF(K536="DUPLICATE","Duplicate (removed)",IF(AO536=1,"Scheduled within 24h",IF(M536=1,"Scheduled late",IF(K536="BAD CONTACT","Bad contact details",IF(O536=1,"Stopped / wrong number",IF(N536=1,"Not interested",IF(P536=1,"Partner has no slots",IF(SETTINGS!$B$4&gt;=V536,IF(Q536=0,"Missed deadline: never tried","Missed deadline: tried, not booked"),IF(Q536&gt;=SETTINGS!$B$6,"No reply after max tries","Open"))))))))))</f>
        <v/>
      </c>
      <c r="AM536" s="46" t="str">
        <f>IF(M536=1,IF(_xlfn.MINIFS(LOG!$G$2:$G$2001,LOG!$C$2:$C$2001,F536,LOG!$E$2:$E$2001,B536,LOG!$D$2:$D$2001,"*BOOKED")=0,_xlfn.MINIFS(LOG!$G$2:$G$2001,LOG!$C$2:$C$2001,F536,LOG!$E$2:$E$2001,"",LOG!$D$2:$D$2001,"*BOOKED"),IF(_xlfn.MINIFS(LOG!$G$2:$G$2001,LOG!$C$2:$C$2001,F536,LOG!$E$2:$E$2001,"",LOG!$D$2:$D$2001,"*BOOKED")=0,_xlfn.MINIFS(LOG!$G$2:$G$2001,LOG!$C$2:$C$2001,F536,LOG!$E$2:$E$2001,B536,LOG!$D$2:$D$2001,"*BOOKED"),MIN(_xlfn.MINIFS(LOG!$G$2:$G$2001,LOG!$C$2:$C$2001,F536,LOG!$E$2:$E$2001,B536,LOG!$D$2:$D$2001,"*BOOKED"),_xlfn.MINIFS(LOG!$G$2:$G$2001,LOG!$C$2:$C$2001,F536,LOG!$E$2:$E$2001,"",LOG!$D$2:$D$2001,"*BOOKED")))),"")</f>
        <v/>
      </c>
      <c r="AN536" s="28" t="str">
        <f t="shared" si="95"/>
        <v/>
      </c>
      <c r="AO536" s="28">
        <f>IF(AND(M536=1,AN536&lt;&gt;""),IF(AN536&lt;=SETTINGS!$B$5,1,0),0)</f>
        <v>0</v>
      </c>
      <c r="AP536" s="28">
        <f>IF(M536=1,IF(COUNTIFS(LOG!$C$2:$C$2001,F536,LOG!$E$2:$E$2001,B536,LOG!$D$2:$D$2001,"BOOKED")+COUNTIFS(LOG!$C$2:$C$2001,F536,LOG!$E$2:$E$2001,"",LOG!$D$2:$D$2001,"BOOKED")&gt;0,1,0),0)</f>
        <v>0</v>
      </c>
      <c r="AQ536" s="28" t="str">
        <f t="shared" si="96"/>
        <v/>
      </c>
      <c r="AR536" s="28" t="str">
        <f>IF(AND(AK536=1,K536="OK"),COUNTIFS($AK$2:AK536,1,$K$2:K536,"OK"),"")</f>
        <v/>
      </c>
      <c r="AS536" s="28" t="str">
        <f>IF(L536=1,IFERROR(INDEX(MESSAGES!$J$9:$J$1008,MATCH(F536,MESSAGES!$M$9:$M$1008,0))&amp;"",""),"")</f>
        <v/>
      </c>
      <c r="AT536" s="28" t="str">
        <f>IF(L536=1,IFERROR(INDEX(MESSAGES!$K$9:$K$1008,MATCH(F536,MESSAGES!$M$9:$M$1008,0))&amp;"",""),"")</f>
        <v/>
      </c>
      <c r="AU536" s="28">
        <f t="shared" ca="1" si="97"/>
        <v>0</v>
      </c>
      <c r="AV536" s="28" t="str">
        <f t="shared" si="98"/>
        <v/>
      </c>
    </row>
    <row r="537" spans="1:48" x14ac:dyDescent="0.35">
      <c r="A537" s="28">
        <v>536</v>
      </c>
      <c r="B537" s="28" t="str">
        <f>IF(INPUT!A537="","",TRIM(INPUT!A537))</f>
        <v/>
      </c>
      <c r="C537" s="28" t="str">
        <f>IF(B537="","",INPUT!C537)</f>
        <v/>
      </c>
      <c r="D537" s="28" t="str">
        <f>IF(B537="","",INPUT!D537)</f>
        <v/>
      </c>
      <c r="E537" s="28" t="str">
        <f>IF(B537="","",INPUT!E537)</f>
        <v/>
      </c>
      <c r="F537" s="43" t="str">
        <f>IF(B537="","",TRIM(INPUT!F537&amp;""))</f>
        <v/>
      </c>
      <c r="G537" s="28" t="str">
        <f>IF(B537="","",INPUT!H537)</f>
        <v/>
      </c>
      <c r="H537" s="46" t="str">
        <f>IF(B537="","",INPUT!I537)</f>
        <v/>
      </c>
      <c r="I537" s="28" t="str">
        <f>IF(B537="","",IF(INPUT!J537="","None",INPUT!J537))</f>
        <v/>
      </c>
      <c r="J537" s="28" t="str">
        <f t="shared" si="88"/>
        <v/>
      </c>
      <c r="K537" s="28" t="str">
        <f>IF(B537="","",IF(SUMPRODUCT(($J$2:$J$601=J537)*($H$2:$H$601&lt;H537))+SUMPRODUCT(($J$2:J537=J537)*($H$2:H537=H537))-1&gt;0,"DUPLICATE",IF(AND(ISNUMBER(SEARCH("@",E537)),ISNUMBER(SEARCH(".",E537)),LEN(F537)=10,ISNUMBER(VALUE(F537))),"OK","BAD CONTACT")))</f>
        <v/>
      </c>
      <c r="L537" s="28">
        <f t="shared" si="89"/>
        <v>0</v>
      </c>
      <c r="M537" s="28">
        <f>IF(L537=1,IF(COUNTIFS(LOG!$C$2:$C$2001,F537,LOG!$E$2:$E$2001,B537,LOG!$D$2:$D$2001,"*BOOKED")+COUNTIFS(LOG!$C$2:$C$2001,F537,LOG!$E$2:$E$2001,"",LOG!$D$2:$D$2001,"*BOOKED")&gt;0,1,0),0)</f>
        <v>0</v>
      </c>
      <c r="N537" s="28">
        <f>IF(L537=1,IF(COUNTIFS(LOG!$C$2:$C$2001,F537,LOG!$E$2:$E$2001,B537,LOG!$D$2:$D$2001,"NOT_INTERESTED")+COUNTIFS(LOG!$C$2:$C$2001,F537,LOG!$E$2:$E$2001,"",LOG!$D$2:$D$2001,"NOT_INTERESTED")&gt;0,1,0),0)</f>
        <v>0</v>
      </c>
      <c r="O537" s="28">
        <f>IF(L537=1,IF(COUNTIFS(LOG!$C$2:$C$2001,F537,LOG!$D$2:$D$2001,"STOP")+COUNTIFS(LOG!$C$2:$C$2001,F537,LOG!$D$2:$D$2001,"WRONG_NUMBER")&gt;0,1,IF(ISNUMBER(SEARCH("STOP",AT537)),1,0)),0)</f>
        <v>0</v>
      </c>
      <c r="P537" s="28">
        <f>IF(L537=1,IF(IFERROR(INDEX(PARTNERS!$D$2:$D$88,MATCH(B537,PARTNERS!$A$2:$A$88,0)),"")="NO SLOTS",1,IF(AND(IFERROR(INDEX(PARTNERS!$D$2:$D$88,MATCH(B537,PARTNERS!$A$2:$A$88,0)),"")&lt;&gt;"REOPENED",COUNTIFS(LOG!$E$2:$E$2001,B537,LOG!$D$2:$D$2001,"NO_SLOTS")&gt;0),1,0)),0)</f>
        <v>0</v>
      </c>
      <c r="Q537" s="28">
        <f>IF(L537=1,COUNTIFS(LOG!$C$2:$C$2001,F537,LOG!$H$2:$H$2001,1),0)</f>
        <v>0</v>
      </c>
      <c r="R537" s="46">
        <f>IF(Q537&gt;0,_xlfn.MAXIFS(LOG!$G$2:$G$2001,LOG!$C$2:$C$2001,F537,LOG!$H$2:$H$2001,1),0)</f>
        <v>0</v>
      </c>
      <c r="S537" s="28" t="str">
        <f>IF(Q537&gt;0,IFERROR(INDEX(LOG!$D$2:$D$2001,MATCH(F537&amp;"|"&amp;Q537,LOG!$I$2:$I$2001,0)),""),"")</f>
        <v/>
      </c>
      <c r="T537" s="28">
        <f>IF(S537="",0,IFERROR(VLOOKUP(S537,LISTS!$A$2:$E$10,4,FALSE),0))</f>
        <v>0</v>
      </c>
      <c r="U537" s="46">
        <f t="shared" si="90"/>
        <v>0</v>
      </c>
      <c r="V537" s="46" t="str">
        <f>IF(L537=1,H537+SETTINGS!$B$5/24,"")</f>
        <v/>
      </c>
      <c r="W537" s="28" t="str">
        <f>IF(L537=1,(V537-SETTINGS!$B$4)*24,"")</f>
        <v/>
      </c>
      <c r="X537" s="28">
        <f ca="1">IF(AND(L537=1,K537="OK",M537=0,N537=0,O537=0,P537=0,SETTINGS!$B$4&lt;V537,Q537&lt;SETTINGS!$B$6),1,0)</f>
        <v>0</v>
      </c>
      <c r="Y537" s="28">
        <f ca="1">IF(AND(X537=1,SETTINGS!$B$4&gt;=H537,SETTINGS!$B$4&gt;=U537,ROUND(MOD(SETTINGS!$B$4,1)*1440,0)&gt;=ROUND(SETTINGS!$B$7*1440,0),ROUND(MOD(SETTINGS!$B$4,1)*1440,0)&lt;ROUND(SETTINGS!$B$8*1440,0)),1,0)</f>
        <v>0</v>
      </c>
      <c r="Z537" s="28" t="str">
        <f>IF(B537="","",IF(ROUND(MOD(SETTINGS!$B$4,1)*1440,0)&lt;ROUND(SETTINGS!$B$11*1440,0),"Ram",IF(ROUND(MOD(SETTINGS!$B$4,1)*1440,0)&gt;=ROUND(SETTINGS!$B$10*1440,0),"Shyam",IF(MOD(IFERROR(VALUE(RIGHT(F537,2)),0),2)=0,"Ram","Shyam"))))</f>
        <v/>
      </c>
      <c r="AA537" s="28">
        <f t="shared" ca="1" si="91"/>
        <v>0</v>
      </c>
      <c r="AB537" s="28">
        <f ca="1">IF(X537=1,COUNTIFS($F$2:F537,F537,$X$2:X537,1),0)</f>
        <v>0</v>
      </c>
      <c r="AC537" s="28" t="str">
        <f>IF(L537=1,IF(IFERROR(INDEX(PARTNERS!$C$2:$C$88,MATCH(B537,PARTNERS!$A$2:$A$88,0)),"")="YES","YES","NO"),"")</f>
        <v/>
      </c>
      <c r="AD537" s="28" t="str">
        <f>IF(L537=1,IFERROR(INDEX(PARTNERS!$B$2:$B$88,MATCH(B537,PARTNERS!$A$2:$A$88,0)),""),"")</f>
        <v/>
      </c>
      <c r="AE537" s="28">
        <f ca="1">IF(X537=1,IFERROR(INDEX(SETTINGS!$B$34:$D$36,MATCH(I537,SETTINGS!$A$34:$A$36,0),MIN(Q537,2)+1),SETTINGS!$B$36),0)</f>
        <v>0</v>
      </c>
      <c r="AF537" s="28">
        <f t="shared" si="92"/>
        <v>0</v>
      </c>
      <c r="AG537" s="28">
        <f ca="1">IF(AND(Y537=1,AB537=1),ROUND(AA537*AE537*IF(AF537&gt;1,SETTINGS!$B$16,1)*IF(W537&lt;=SETTINGS!$B$14,SETTINGS!$B$15,1)*IF(AU537=1,SETTINGS!$B$21,1),6),0)</f>
        <v>0</v>
      </c>
      <c r="AH537" s="28" t="str">
        <f ca="1">IF(AG537&gt;0,COUNTIFS($Z$2:$Z$601,Z537,$AG$2:$AG$601,"&gt;"&amp;AG537)+COUNTIFS($Z$2:Z537,Z537,$AG$2:AG537,AG537),"")</f>
        <v/>
      </c>
      <c r="AI537" s="28" t="str">
        <f t="shared" ca="1" si="93"/>
        <v/>
      </c>
      <c r="AJ537" s="28" t="str">
        <f t="shared" ca="1" si="94"/>
        <v/>
      </c>
      <c r="AK537" s="28">
        <f>IF(L537=1,IF(COUNTIFS($F$2:F537,F537,$L$2:L537,1)=1,1,0),0)</f>
        <v>0</v>
      </c>
      <c r="AL537" s="28" t="str">
        <f>IF(B537="","",IF(K537="DUPLICATE","Duplicate (removed)",IF(AO537=1,"Scheduled within 24h",IF(M537=1,"Scheduled late",IF(K537="BAD CONTACT","Bad contact details",IF(O537=1,"Stopped / wrong number",IF(N537=1,"Not interested",IF(P537=1,"Partner has no slots",IF(SETTINGS!$B$4&gt;=V537,IF(Q537=0,"Missed deadline: never tried","Missed deadline: tried, not booked"),IF(Q537&gt;=SETTINGS!$B$6,"No reply after max tries","Open"))))))))))</f>
        <v/>
      </c>
      <c r="AM537" s="46" t="str">
        <f>IF(M537=1,IF(_xlfn.MINIFS(LOG!$G$2:$G$2001,LOG!$C$2:$C$2001,F537,LOG!$E$2:$E$2001,B537,LOG!$D$2:$D$2001,"*BOOKED")=0,_xlfn.MINIFS(LOG!$G$2:$G$2001,LOG!$C$2:$C$2001,F537,LOG!$E$2:$E$2001,"",LOG!$D$2:$D$2001,"*BOOKED"),IF(_xlfn.MINIFS(LOG!$G$2:$G$2001,LOG!$C$2:$C$2001,F537,LOG!$E$2:$E$2001,"",LOG!$D$2:$D$2001,"*BOOKED")=0,_xlfn.MINIFS(LOG!$G$2:$G$2001,LOG!$C$2:$C$2001,F537,LOG!$E$2:$E$2001,B537,LOG!$D$2:$D$2001,"*BOOKED"),MIN(_xlfn.MINIFS(LOG!$G$2:$G$2001,LOG!$C$2:$C$2001,F537,LOG!$E$2:$E$2001,B537,LOG!$D$2:$D$2001,"*BOOKED"),_xlfn.MINIFS(LOG!$G$2:$G$2001,LOG!$C$2:$C$2001,F537,LOG!$E$2:$E$2001,"",LOG!$D$2:$D$2001,"*BOOKED")))),"")</f>
        <v/>
      </c>
      <c r="AN537" s="28" t="str">
        <f t="shared" si="95"/>
        <v/>
      </c>
      <c r="AO537" s="28">
        <f>IF(AND(M537=1,AN537&lt;&gt;""),IF(AN537&lt;=SETTINGS!$B$5,1,0),0)</f>
        <v>0</v>
      </c>
      <c r="AP537" s="28">
        <f>IF(M537=1,IF(COUNTIFS(LOG!$C$2:$C$2001,F537,LOG!$E$2:$E$2001,B537,LOG!$D$2:$D$2001,"BOOKED")+COUNTIFS(LOG!$C$2:$C$2001,F537,LOG!$E$2:$E$2001,"",LOG!$D$2:$D$2001,"BOOKED")&gt;0,1,0),0)</f>
        <v>0</v>
      </c>
      <c r="AQ537" s="28" t="str">
        <f t="shared" si="96"/>
        <v/>
      </c>
      <c r="AR537" s="28" t="str">
        <f>IF(AND(AK537=1,K537="OK"),COUNTIFS($AK$2:AK537,1,$K$2:K537,"OK"),"")</f>
        <v/>
      </c>
      <c r="AS537" s="28" t="str">
        <f>IF(L537=1,IFERROR(INDEX(MESSAGES!$J$9:$J$1008,MATCH(F537,MESSAGES!$M$9:$M$1008,0))&amp;"",""),"")</f>
        <v/>
      </c>
      <c r="AT537" s="28" t="str">
        <f>IF(L537=1,IFERROR(INDEX(MESSAGES!$K$9:$K$1008,MATCH(F537,MESSAGES!$M$9:$M$1008,0))&amp;"",""),"")</f>
        <v/>
      </c>
      <c r="AU537" s="28">
        <f t="shared" ca="1" si="97"/>
        <v>0</v>
      </c>
      <c r="AV537" s="28" t="str">
        <f t="shared" si="98"/>
        <v/>
      </c>
    </row>
    <row r="538" spans="1:48" x14ac:dyDescent="0.35">
      <c r="A538" s="28">
        <v>537</v>
      </c>
      <c r="B538" s="28" t="str">
        <f>IF(INPUT!A538="","",TRIM(INPUT!A538))</f>
        <v/>
      </c>
      <c r="C538" s="28" t="str">
        <f>IF(B538="","",INPUT!C538)</f>
        <v/>
      </c>
      <c r="D538" s="28" t="str">
        <f>IF(B538="","",INPUT!D538)</f>
        <v/>
      </c>
      <c r="E538" s="28" t="str">
        <f>IF(B538="","",INPUT!E538)</f>
        <v/>
      </c>
      <c r="F538" s="43" t="str">
        <f>IF(B538="","",TRIM(INPUT!F538&amp;""))</f>
        <v/>
      </c>
      <c r="G538" s="28" t="str">
        <f>IF(B538="","",INPUT!H538)</f>
        <v/>
      </c>
      <c r="H538" s="46" t="str">
        <f>IF(B538="","",INPUT!I538)</f>
        <v/>
      </c>
      <c r="I538" s="28" t="str">
        <f>IF(B538="","",IF(INPUT!J538="","None",INPUT!J538))</f>
        <v/>
      </c>
      <c r="J538" s="28" t="str">
        <f t="shared" si="88"/>
        <v/>
      </c>
      <c r="K538" s="28" t="str">
        <f>IF(B538="","",IF(SUMPRODUCT(($J$2:$J$601=J538)*($H$2:$H$601&lt;H538))+SUMPRODUCT(($J$2:J538=J538)*($H$2:H538=H538))-1&gt;0,"DUPLICATE",IF(AND(ISNUMBER(SEARCH("@",E538)),ISNUMBER(SEARCH(".",E538)),LEN(F538)=10,ISNUMBER(VALUE(F538))),"OK","BAD CONTACT")))</f>
        <v/>
      </c>
      <c r="L538" s="28">
        <f t="shared" si="89"/>
        <v>0</v>
      </c>
      <c r="M538" s="28">
        <f>IF(L538=1,IF(COUNTIFS(LOG!$C$2:$C$2001,F538,LOG!$E$2:$E$2001,B538,LOG!$D$2:$D$2001,"*BOOKED")+COUNTIFS(LOG!$C$2:$C$2001,F538,LOG!$E$2:$E$2001,"",LOG!$D$2:$D$2001,"*BOOKED")&gt;0,1,0),0)</f>
        <v>0</v>
      </c>
      <c r="N538" s="28">
        <f>IF(L538=1,IF(COUNTIFS(LOG!$C$2:$C$2001,F538,LOG!$E$2:$E$2001,B538,LOG!$D$2:$D$2001,"NOT_INTERESTED")+COUNTIFS(LOG!$C$2:$C$2001,F538,LOG!$E$2:$E$2001,"",LOG!$D$2:$D$2001,"NOT_INTERESTED")&gt;0,1,0),0)</f>
        <v>0</v>
      </c>
      <c r="O538" s="28">
        <f>IF(L538=1,IF(COUNTIFS(LOG!$C$2:$C$2001,F538,LOG!$D$2:$D$2001,"STOP")+COUNTIFS(LOG!$C$2:$C$2001,F538,LOG!$D$2:$D$2001,"WRONG_NUMBER")&gt;0,1,IF(ISNUMBER(SEARCH("STOP",AT538)),1,0)),0)</f>
        <v>0</v>
      </c>
      <c r="P538" s="28">
        <f>IF(L538=1,IF(IFERROR(INDEX(PARTNERS!$D$2:$D$88,MATCH(B538,PARTNERS!$A$2:$A$88,0)),"")="NO SLOTS",1,IF(AND(IFERROR(INDEX(PARTNERS!$D$2:$D$88,MATCH(B538,PARTNERS!$A$2:$A$88,0)),"")&lt;&gt;"REOPENED",COUNTIFS(LOG!$E$2:$E$2001,B538,LOG!$D$2:$D$2001,"NO_SLOTS")&gt;0),1,0)),0)</f>
        <v>0</v>
      </c>
      <c r="Q538" s="28">
        <f>IF(L538=1,COUNTIFS(LOG!$C$2:$C$2001,F538,LOG!$H$2:$H$2001,1),0)</f>
        <v>0</v>
      </c>
      <c r="R538" s="46">
        <f>IF(Q538&gt;0,_xlfn.MAXIFS(LOG!$G$2:$G$2001,LOG!$C$2:$C$2001,F538,LOG!$H$2:$H$2001,1),0)</f>
        <v>0</v>
      </c>
      <c r="S538" s="28" t="str">
        <f>IF(Q538&gt;0,IFERROR(INDEX(LOG!$D$2:$D$2001,MATCH(F538&amp;"|"&amp;Q538,LOG!$I$2:$I$2001,0)),""),"")</f>
        <v/>
      </c>
      <c r="T538" s="28">
        <f>IF(S538="",0,IFERROR(VLOOKUP(S538,LISTS!$A$2:$E$10,4,FALSE),0))</f>
        <v>0</v>
      </c>
      <c r="U538" s="46">
        <f t="shared" si="90"/>
        <v>0</v>
      </c>
      <c r="V538" s="46" t="str">
        <f>IF(L538=1,H538+SETTINGS!$B$5/24,"")</f>
        <v/>
      </c>
      <c r="W538" s="28" t="str">
        <f>IF(L538=1,(V538-SETTINGS!$B$4)*24,"")</f>
        <v/>
      </c>
      <c r="X538" s="28">
        <f ca="1">IF(AND(L538=1,K538="OK",M538=0,N538=0,O538=0,P538=0,SETTINGS!$B$4&lt;V538,Q538&lt;SETTINGS!$B$6),1,0)</f>
        <v>0</v>
      </c>
      <c r="Y538" s="28">
        <f ca="1">IF(AND(X538=1,SETTINGS!$B$4&gt;=H538,SETTINGS!$B$4&gt;=U538,ROUND(MOD(SETTINGS!$B$4,1)*1440,0)&gt;=ROUND(SETTINGS!$B$7*1440,0),ROUND(MOD(SETTINGS!$B$4,1)*1440,0)&lt;ROUND(SETTINGS!$B$8*1440,0)),1,0)</f>
        <v>0</v>
      </c>
      <c r="Z538" s="28" t="str">
        <f>IF(B538="","",IF(ROUND(MOD(SETTINGS!$B$4,1)*1440,0)&lt;ROUND(SETTINGS!$B$11*1440,0),"Ram",IF(ROUND(MOD(SETTINGS!$B$4,1)*1440,0)&gt;=ROUND(SETTINGS!$B$10*1440,0),"Shyam",IF(MOD(IFERROR(VALUE(RIGHT(F538,2)),0),2)=0,"Ram","Shyam"))))</f>
        <v/>
      </c>
      <c r="AA538" s="28">
        <f t="shared" ca="1" si="91"/>
        <v>0</v>
      </c>
      <c r="AB538" s="28">
        <f ca="1">IF(X538=1,COUNTIFS($F$2:F538,F538,$X$2:X538,1),0)</f>
        <v>0</v>
      </c>
      <c r="AC538" s="28" t="str">
        <f>IF(L538=1,IF(IFERROR(INDEX(PARTNERS!$C$2:$C$88,MATCH(B538,PARTNERS!$A$2:$A$88,0)),"")="YES","YES","NO"),"")</f>
        <v/>
      </c>
      <c r="AD538" s="28" t="str">
        <f>IF(L538=1,IFERROR(INDEX(PARTNERS!$B$2:$B$88,MATCH(B538,PARTNERS!$A$2:$A$88,0)),""),"")</f>
        <v/>
      </c>
      <c r="AE538" s="28">
        <f ca="1">IF(X538=1,IFERROR(INDEX(SETTINGS!$B$34:$D$36,MATCH(I538,SETTINGS!$A$34:$A$36,0),MIN(Q538,2)+1),SETTINGS!$B$36),0)</f>
        <v>0</v>
      </c>
      <c r="AF538" s="28">
        <f t="shared" si="92"/>
        <v>0</v>
      </c>
      <c r="AG538" s="28">
        <f ca="1">IF(AND(Y538=1,AB538=1),ROUND(AA538*AE538*IF(AF538&gt;1,SETTINGS!$B$16,1)*IF(W538&lt;=SETTINGS!$B$14,SETTINGS!$B$15,1)*IF(AU538=1,SETTINGS!$B$21,1),6),0)</f>
        <v>0</v>
      </c>
      <c r="AH538" s="28" t="str">
        <f ca="1">IF(AG538&gt;0,COUNTIFS($Z$2:$Z$601,Z538,$AG$2:$AG$601,"&gt;"&amp;AG538)+COUNTIFS($Z$2:Z538,Z538,$AG$2:AG538,AG538),"")</f>
        <v/>
      </c>
      <c r="AI538" s="28" t="str">
        <f t="shared" ca="1" si="93"/>
        <v/>
      </c>
      <c r="AJ538" s="28" t="str">
        <f t="shared" ca="1" si="94"/>
        <v/>
      </c>
      <c r="AK538" s="28">
        <f>IF(L538=1,IF(COUNTIFS($F$2:F538,F538,$L$2:L538,1)=1,1,0),0)</f>
        <v>0</v>
      </c>
      <c r="AL538" s="28" t="str">
        <f>IF(B538="","",IF(K538="DUPLICATE","Duplicate (removed)",IF(AO538=1,"Scheduled within 24h",IF(M538=1,"Scheduled late",IF(K538="BAD CONTACT","Bad contact details",IF(O538=1,"Stopped / wrong number",IF(N538=1,"Not interested",IF(P538=1,"Partner has no slots",IF(SETTINGS!$B$4&gt;=V538,IF(Q538=0,"Missed deadline: never tried","Missed deadline: tried, not booked"),IF(Q538&gt;=SETTINGS!$B$6,"No reply after max tries","Open"))))))))))</f>
        <v/>
      </c>
      <c r="AM538" s="46" t="str">
        <f>IF(M538=1,IF(_xlfn.MINIFS(LOG!$G$2:$G$2001,LOG!$C$2:$C$2001,F538,LOG!$E$2:$E$2001,B538,LOG!$D$2:$D$2001,"*BOOKED")=0,_xlfn.MINIFS(LOG!$G$2:$G$2001,LOG!$C$2:$C$2001,F538,LOG!$E$2:$E$2001,"",LOG!$D$2:$D$2001,"*BOOKED"),IF(_xlfn.MINIFS(LOG!$G$2:$G$2001,LOG!$C$2:$C$2001,F538,LOG!$E$2:$E$2001,"",LOG!$D$2:$D$2001,"*BOOKED")=0,_xlfn.MINIFS(LOG!$G$2:$G$2001,LOG!$C$2:$C$2001,F538,LOG!$E$2:$E$2001,B538,LOG!$D$2:$D$2001,"*BOOKED"),MIN(_xlfn.MINIFS(LOG!$G$2:$G$2001,LOG!$C$2:$C$2001,F538,LOG!$E$2:$E$2001,B538,LOG!$D$2:$D$2001,"*BOOKED"),_xlfn.MINIFS(LOG!$G$2:$G$2001,LOG!$C$2:$C$2001,F538,LOG!$E$2:$E$2001,"",LOG!$D$2:$D$2001,"*BOOKED")))),"")</f>
        <v/>
      </c>
      <c r="AN538" s="28" t="str">
        <f t="shared" si="95"/>
        <v/>
      </c>
      <c r="AO538" s="28">
        <f>IF(AND(M538=1,AN538&lt;&gt;""),IF(AN538&lt;=SETTINGS!$B$5,1,0),0)</f>
        <v>0</v>
      </c>
      <c r="AP538" s="28">
        <f>IF(M538=1,IF(COUNTIFS(LOG!$C$2:$C$2001,F538,LOG!$E$2:$E$2001,B538,LOG!$D$2:$D$2001,"BOOKED")+COUNTIFS(LOG!$C$2:$C$2001,F538,LOG!$E$2:$E$2001,"",LOG!$D$2:$D$2001,"BOOKED")&gt;0,1,0),0)</f>
        <v>0</v>
      </c>
      <c r="AQ538" s="28" t="str">
        <f t="shared" si="96"/>
        <v/>
      </c>
      <c r="AR538" s="28" t="str">
        <f>IF(AND(AK538=1,K538="OK"),COUNTIFS($AK$2:AK538,1,$K$2:K538,"OK"),"")</f>
        <v/>
      </c>
      <c r="AS538" s="28" t="str">
        <f>IF(L538=1,IFERROR(INDEX(MESSAGES!$J$9:$J$1008,MATCH(F538,MESSAGES!$M$9:$M$1008,0))&amp;"",""),"")</f>
        <v/>
      </c>
      <c r="AT538" s="28" t="str">
        <f>IF(L538=1,IFERROR(INDEX(MESSAGES!$K$9:$K$1008,MATCH(F538,MESSAGES!$M$9:$M$1008,0))&amp;"",""),"")</f>
        <v/>
      </c>
      <c r="AU538" s="28">
        <f t="shared" ca="1" si="97"/>
        <v>0</v>
      </c>
      <c r="AV538" s="28" t="str">
        <f t="shared" si="98"/>
        <v/>
      </c>
    </row>
    <row r="539" spans="1:48" x14ac:dyDescent="0.35">
      <c r="A539" s="28">
        <v>538</v>
      </c>
      <c r="B539" s="28" t="str">
        <f>IF(INPUT!A539="","",TRIM(INPUT!A539))</f>
        <v/>
      </c>
      <c r="C539" s="28" t="str">
        <f>IF(B539="","",INPUT!C539)</f>
        <v/>
      </c>
      <c r="D539" s="28" t="str">
        <f>IF(B539="","",INPUT!D539)</f>
        <v/>
      </c>
      <c r="E539" s="28" t="str">
        <f>IF(B539="","",INPUT!E539)</f>
        <v/>
      </c>
      <c r="F539" s="43" t="str">
        <f>IF(B539="","",TRIM(INPUT!F539&amp;""))</f>
        <v/>
      </c>
      <c r="G539" s="28" t="str">
        <f>IF(B539="","",INPUT!H539)</f>
        <v/>
      </c>
      <c r="H539" s="46" t="str">
        <f>IF(B539="","",INPUT!I539)</f>
        <v/>
      </c>
      <c r="I539" s="28" t="str">
        <f>IF(B539="","",IF(INPUT!J539="","None",INPUT!J539))</f>
        <v/>
      </c>
      <c r="J539" s="28" t="str">
        <f t="shared" si="88"/>
        <v/>
      </c>
      <c r="K539" s="28" t="str">
        <f>IF(B539="","",IF(SUMPRODUCT(($J$2:$J$601=J539)*($H$2:$H$601&lt;H539))+SUMPRODUCT(($J$2:J539=J539)*($H$2:H539=H539))-1&gt;0,"DUPLICATE",IF(AND(ISNUMBER(SEARCH("@",E539)),ISNUMBER(SEARCH(".",E539)),LEN(F539)=10,ISNUMBER(VALUE(F539))),"OK","BAD CONTACT")))</f>
        <v/>
      </c>
      <c r="L539" s="28">
        <f t="shared" si="89"/>
        <v>0</v>
      </c>
      <c r="M539" s="28">
        <f>IF(L539=1,IF(COUNTIFS(LOG!$C$2:$C$2001,F539,LOG!$E$2:$E$2001,B539,LOG!$D$2:$D$2001,"*BOOKED")+COUNTIFS(LOG!$C$2:$C$2001,F539,LOG!$E$2:$E$2001,"",LOG!$D$2:$D$2001,"*BOOKED")&gt;0,1,0),0)</f>
        <v>0</v>
      </c>
      <c r="N539" s="28">
        <f>IF(L539=1,IF(COUNTIFS(LOG!$C$2:$C$2001,F539,LOG!$E$2:$E$2001,B539,LOG!$D$2:$D$2001,"NOT_INTERESTED")+COUNTIFS(LOG!$C$2:$C$2001,F539,LOG!$E$2:$E$2001,"",LOG!$D$2:$D$2001,"NOT_INTERESTED")&gt;0,1,0),0)</f>
        <v>0</v>
      </c>
      <c r="O539" s="28">
        <f>IF(L539=1,IF(COUNTIFS(LOG!$C$2:$C$2001,F539,LOG!$D$2:$D$2001,"STOP")+COUNTIFS(LOG!$C$2:$C$2001,F539,LOG!$D$2:$D$2001,"WRONG_NUMBER")&gt;0,1,IF(ISNUMBER(SEARCH("STOP",AT539)),1,0)),0)</f>
        <v>0</v>
      </c>
      <c r="P539" s="28">
        <f>IF(L539=1,IF(IFERROR(INDEX(PARTNERS!$D$2:$D$88,MATCH(B539,PARTNERS!$A$2:$A$88,0)),"")="NO SLOTS",1,IF(AND(IFERROR(INDEX(PARTNERS!$D$2:$D$88,MATCH(B539,PARTNERS!$A$2:$A$88,0)),"")&lt;&gt;"REOPENED",COUNTIFS(LOG!$E$2:$E$2001,B539,LOG!$D$2:$D$2001,"NO_SLOTS")&gt;0),1,0)),0)</f>
        <v>0</v>
      </c>
      <c r="Q539" s="28">
        <f>IF(L539=1,COUNTIFS(LOG!$C$2:$C$2001,F539,LOG!$H$2:$H$2001,1),0)</f>
        <v>0</v>
      </c>
      <c r="R539" s="46">
        <f>IF(Q539&gt;0,_xlfn.MAXIFS(LOG!$G$2:$G$2001,LOG!$C$2:$C$2001,F539,LOG!$H$2:$H$2001,1),0)</f>
        <v>0</v>
      </c>
      <c r="S539" s="28" t="str">
        <f>IF(Q539&gt;0,IFERROR(INDEX(LOG!$D$2:$D$2001,MATCH(F539&amp;"|"&amp;Q539,LOG!$I$2:$I$2001,0)),""),"")</f>
        <v/>
      </c>
      <c r="T539" s="28">
        <f>IF(S539="",0,IFERROR(VLOOKUP(S539,LISTS!$A$2:$E$10,4,FALSE),0))</f>
        <v>0</v>
      </c>
      <c r="U539" s="46">
        <f t="shared" si="90"/>
        <v>0</v>
      </c>
      <c r="V539" s="46" t="str">
        <f>IF(L539=1,H539+SETTINGS!$B$5/24,"")</f>
        <v/>
      </c>
      <c r="W539" s="28" t="str">
        <f>IF(L539=1,(V539-SETTINGS!$B$4)*24,"")</f>
        <v/>
      </c>
      <c r="X539" s="28">
        <f ca="1">IF(AND(L539=1,K539="OK",M539=0,N539=0,O539=0,P539=0,SETTINGS!$B$4&lt;V539,Q539&lt;SETTINGS!$B$6),1,0)</f>
        <v>0</v>
      </c>
      <c r="Y539" s="28">
        <f ca="1">IF(AND(X539=1,SETTINGS!$B$4&gt;=H539,SETTINGS!$B$4&gt;=U539,ROUND(MOD(SETTINGS!$B$4,1)*1440,0)&gt;=ROUND(SETTINGS!$B$7*1440,0),ROUND(MOD(SETTINGS!$B$4,1)*1440,0)&lt;ROUND(SETTINGS!$B$8*1440,0)),1,0)</f>
        <v>0</v>
      </c>
      <c r="Z539" s="28" t="str">
        <f>IF(B539="","",IF(ROUND(MOD(SETTINGS!$B$4,1)*1440,0)&lt;ROUND(SETTINGS!$B$11*1440,0),"Ram",IF(ROUND(MOD(SETTINGS!$B$4,1)*1440,0)&gt;=ROUND(SETTINGS!$B$10*1440,0),"Shyam",IF(MOD(IFERROR(VALUE(RIGHT(F539,2)),0),2)=0,"Ram","Shyam"))))</f>
        <v/>
      </c>
      <c r="AA539" s="28">
        <f t="shared" ca="1" si="91"/>
        <v>0</v>
      </c>
      <c r="AB539" s="28">
        <f ca="1">IF(X539=1,COUNTIFS($F$2:F539,F539,$X$2:X539,1),0)</f>
        <v>0</v>
      </c>
      <c r="AC539" s="28" t="str">
        <f>IF(L539=1,IF(IFERROR(INDEX(PARTNERS!$C$2:$C$88,MATCH(B539,PARTNERS!$A$2:$A$88,0)),"")="YES","YES","NO"),"")</f>
        <v/>
      </c>
      <c r="AD539" s="28" t="str">
        <f>IF(L539=1,IFERROR(INDEX(PARTNERS!$B$2:$B$88,MATCH(B539,PARTNERS!$A$2:$A$88,0)),""),"")</f>
        <v/>
      </c>
      <c r="AE539" s="28">
        <f ca="1">IF(X539=1,IFERROR(INDEX(SETTINGS!$B$34:$D$36,MATCH(I539,SETTINGS!$A$34:$A$36,0),MIN(Q539,2)+1),SETTINGS!$B$36),0)</f>
        <v>0</v>
      </c>
      <c r="AF539" s="28">
        <f t="shared" si="92"/>
        <v>0</v>
      </c>
      <c r="AG539" s="28">
        <f ca="1">IF(AND(Y539=1,AB539=1),ROUND(AA539*AE539*IF(AF539&gt;1,SETTINGS!$B$16,1)*IF(W539&lt;=SETTINGS!$B$14,SETTINGS!$B$15,1)*IF(AU539=1,SETTINGS!$B$21,1),6),0)</f>
        <v>0</v>
      </c>
      <c r="AH539" s="28" t="str">
        <f ca="1">IF(AG539&gt;0,COUNTIFS($Z$2:$Z$601,Z539,$AG$2:$AG$601,"&gt;"&amp;AG539)+COUNTIFS($Z$2:Z539,Z539,$AG$2:AG539,AG539),"")</f>
        <v/>
      </c>
      <c r="AI539" s="28" t="str">
        <f t="shared" ca="1" si="93"/>
        <v/>
      </c>
      <c r="AJ539" s="28" t="str">
        <f t="shared" ca="1" si="94"/>
        <v/>
      </c>
      <c r="AK539" s="28">
        <f>IF(L539=1,IF(COUNTIFS($F$2:F539,F539,$L$2:L539,1)=1,1,0),0)</f>
        <v>0</v>
      </c>
      <c r="AL539" s="28" t="str">
        <f>IF(B539="","",IF(K539="DUPLICATE","Duplicate (removed)",IF(AO539=1,"Scheduled within 24h",IF(M539=1,"Scheduled late",IF(K539="BAD CONTACT","Bad contact details",IF(O539=1,"Stopped / wrong number",IF(N539=1,"Not interested",IF(P539=1,"Partner has no slots",IF(SETTINGS!$B$4&gt;=V539,IF(Q539=0,"Missed deadline: never tried","Missed deadline: tried, not booked"),IF(Q539&gt;=SETTINGS!$B$6,"No reply after max tries","Open"))))))))))</f>
        <v/>
      </c>
      <c r="AM539" s="46" t="str">
        <f>IF(M539=1,IF(_xlfn.MINIFS(LOG!$G$2:$G$2001,LOG!$C$2:$C$2001,F539,LOG!$E$2:$E$2001,B539,LOG!$D$2:$D$2001,"*BOOKED")=0,_xlfn.MINIFS(LOG!$G$2:$G$2001,LOG!$C$2:$C$2001,F539,LOG!$E$2:$E$2001,"",LOG!$D$2:$D$2001,"*BOOKED"),IF(_xlfn.MINIFS(LOG!$G$2:$G$2001,LOG!$C$2:$C$2001,F539,LOG!$E$2:$E$2001,"",LOG!$D$2:$D$2001,"*BOOKED")=0,_xlfn.MINIFS(LOG!$G$2:$G$2001,LOG!$C$2:$C$2001,F539,LOG!$E$2:$E$2001,B539,LOG!$D$2:$D$2001,"*BOOKED"),MIN(_xlfn.MINIFS(LOG!$G$2:$G$2001,LOG!$C$2:$C$2001,F539,LOG!$E$2:$E$2001,B539,LOG!$D$2:$D$2001,"*BOOKED"),_xlfn.MINIFS(LOG!$G$2:$G$2001,LOG!$C$2:$C$2001,F539,LOG!$E$2:$E$2001,"",LOG!$D$2:$D$2001,"*BOOKED")))),"")</f>
        <v/>
      </c>
      <c r="AN539" s="28" t="str">
        <f t="shared" si="95"/>
        <v/>
      </c>
      <c r="AO539" s="28">
        <f>IF(AND(M539=1,AN539&lt;&gt;""),IF(AN539&lt;=SETTINGS!$B$5,1,0),0)</f>
        <v>0</v>
      </c>
      <c r="AP539" s="28">
        <f>IF(M539=1,IF(COUNTIFS(LOG!$C$2:$C$2001,F539,LOG!$E$2:$E$2001,B539,LOG!$D$2:$D$2001,"BOOKED")+COUNTIFS(LOG!$C$2:$C$2001,F539,LOG!$E$2:$E$2001,"",LOG!$D$2:$D$2001,"BOOKED")&gt;0,1,0),0)</f>
        <v>0</v>
      </c>
      <c r="AQ539" s="28" t="str">
        <f t="shared" si="96"/>
        <v/>
      </c>
      <c r="AR539" s="28" t="str">
        <f>IF(AND(AK539=1,K539="OK"),COUNTIFS($AK$2:AK539,1,$K$2:K539,"OK"),"")</f>
        <v/>
      </c>
      <c r="AS539" s="28" t="str">
        <f>IF(L539=1,IFERROR(INDEX(MESSAGES!$J$9:$J$1008,MATCH(F539,MESSAGES!$M$9:$M$1008,0))&amp;"",""),"")</f>
        <v/>
      </c>
      <c r="AT539" s="28" t="str">
        <f>IF(L539=1,IFERROR(INDEX(MESSAGES!$K$9:$K$1008,MATCH(F539,MESSAGES!$M$9:$M$1008,0))&amp;"",""),"")</f>
        <v/>
      </c>
      <c r="AU539" s="28">
        <f t="shared" ca="1" si="97"/>
        <v>0</v>
      </c>
      <c r="AV539" s="28" t="str">
        <f t="shared" si="98"/>
        <v/>
      </c>
    </row>
    <row r="540" spans="1:48" x14ac:dyDescent="0.35">
      <c r="A540" s="28">
        <v>539</v>
      </c>
      <c r="B540" s="28" t="str">
        <f>IF(INPUT!A540="","",TRIM(INPUT!A540))</f>
        <v/>
      </c>
      <c r="C540" s="28" t="str">
        <f>IF(B540="","",INPUT!C540)</f>
        <v/>
      </c>
      <c r="D540" s="28" t="str">
        <f>IF(B540="","",INPUT!D540)</f>
        <v/>
      </c>
      <c r="E540" s="28" t="str">
        <f>IF(B540="","",INPUT!E540)</f>
        <v/>
      </c>
      <c r="F540" s="43" t="str">
        <f>IF(B540="","",TRIM(INPUT!F540&amp;""))</f>
        <v/>
      </c>
      <c r="G540" s="28" t="str">
        <f>IF(B540="","",INPUT!H540)</f>
        <v/>
      </c>
      <c r="H540" s="46" t="str">
        <f>IF(B540="","",INPUT!I540)</f>
        <v/>
      </c>
      <c r="I540" s="28" t="str">
        <f>IF(B540="","",IF(INPUT!J540="","None",INPUT!J540))</f>
        <v/>
      </c>
      <c r="J540" s="28" t="str">
        <f t="shared" si="88"/>
        <v/>
      </c>
      <c r="K540" s="28" t="str">
        <f>IF(B540="","",IF(SUMPRODUCT(($J$2:$J$601=J540)*($H$2:$H$601&lt;H540))+SUMPRODUCT(($J$2:J540=J540)*($H$2:H540=H540))-1&gt;0,"DUPLICATE",IF(AND(ISNUMBER(SEARCH("@",E540)),ISNUMBER(SEARCH(".",E540)),LEN(F540)=10,ISNUMBER(VALUE(F540))),"OK","BAD CONTACT")))</f>
        <v/>
      </c>
      <c r="L540" s="28">
        <f t="shared" si="89"/>
        <v>0</v>
      </c>
      <c r="M540" s="28">
        <f>IF(L540=1,IF(COUNTIFS(LOG!$C$2:$C$2001,F540,LOG!$E$2:$E$2001,B540,LOG!$D$2:$D$2001,"*BOOKED")+COUNTIFS(LOG!$C$2:$C$2001,F540,LOG!$E$2:$E$2001,"",LOG!$D$2:$D$2001,"*BOOKED")&gt;0,1,0),0)</f>
        <v>0</v>
      </c>
      <c r="N540" s="28">
        <f>IF(L540=1,IF(COUNTIFS(LOG!$C$2:$C$2001,F540,LOG!$E$2:$E$2001,B540,LOG!$D$2:$D$2001,"NOT_INTERESTED")+COUNTIFS(LOG!$C$2:$C$2001,F540,LOG!$E$2:$E$2001,"",LOG!$D$2:$D$2001,"NOT_INTERESTED")&gt;0,1,0),0)</f>
        <v>0</v>
      </c>
      <c r="O540" s="28">
        <f>IF(L540=1,IF(COUNTIFS(LOG!$C$2:$C$2001,F540,LOG!$D$2:$D$2001,"STOP")+COUNTIFS(LOG!$C$2:$C$2001,F540,LOG!$D$2:$D$2001,"WRONG_NUMBER")&gt;0,1,IF(ISNUMBER(SEARCH("STOP",AT540)),1,0)),0)</f>
        <v>0</v>
      </c>
      <c r="P540" s="28">
        <f>IF(L540=1,IF(IFERROR(INDEX(PARTNERS!$D$2:$D$88,MATCH(B540,PARTNERS!$A$2:$A$88,0)),"")="NO SLOTS",1,IF(AND(IFERROR(INDEX(PARTNERS!$D$2:$D$88,MATCH(B540,PARTNERS!$A$2:$A$88,0)),"")&lt;&gt;"REOPENED",COUNTIFS(LOG!$E$2:$E$2001,B540,LOG!$D$2:$D$2001,"NO_SLOTS")&gt;0),1,0)),0)</f>
        <v>0</v>
      </c>
      <c r="Q540" s="28">
        <f>IF(L540=1,COUNTIFS(LOG!$C$2:$C$2001,F540,LOG!$H$2:$H$2001,1),0)</f>
        <v>0</v>
      </c>
      <c r="R540" s="46">
        <f>IF(Q540&gt;0,_xlfn.MAXIFS(LOG!$G$2:$G$2001,LOG!$C$2:$C$2001,F540,LOG!$H$2:$H$2001,1),0)</f>
        <v>0</v>
      </c>
      <c r="S540" s="28" t="str">
        <f>IF(Q540&gt;0,IFERROR(INDEX(LOG!$D$2:$D$2001,MATCH(F540&amp;"|"&amp;Q540,LOG!$I$2:$I$2001,0)),""),"")</f>
        <v/>
      </c>
      <c r="T540" s="28">
        <f>IF(S540="",0,IFERROR(VLOOKUP(S540,LISTS!$A$2:$E$10,4,FALSE),0))</f>
        <v>0</v>
      </c>
      <c r="U540" s="46">
        <f t="shared" si="90"/>
        <v>0</v>
      </c>
      <c r="V540" s="46" t="str">
        <f>IF(L540=1,H540+SETTINGS!$B$5/24,"")</f>
        <v/>
      </c>
      <c r="W540" s="28" t="str">
        <f>IF(L540=1,(V540-SETTINGS!$B$4)*24,"")</f>
        <v/>
      </c>
      <c r="X540" s="28">
        <f ca="1">IF(AND(L540=1,K540="OK",M540=0,N540=0,O540=0,P540=0,SETTINGS!$B$4&lt;V540,Q540&lt;SETTINGS!$B$6),1,0)</f>
        <v>0</v>
      </c>
      <c r="Y540" s="28">
        <f ca="1">IF(AND(X540=1,SETTINGS!$B$4&gt;=H540,SETTINGS!$B$4&gt;=U540,ROUND(MOD(SETTINGS!$B$4,1)*1440,0)&gt;=ROUND(SETTINGS!$B$7*1440,0),ROUND(MOD(SETTINGS!$B$4,1)*1440,0)&lt;ROUND(SETTINGS!$B$8*1440,0)),1,0)</f>
        <v>0</v>
      </c>
      <c r="Z540" s="28" t="str">
        <f>IF(B540="","",IF(ROUND(MOD(SETTINGS!$B$4,1)*1440,0)&lt;ROUND(SETTINGS!$B$11*1440,0),"Ram",IF(ROUND(MOD(SETTINGS!$B$4,1)*1440,0)&gt;=ROUND(SETTINGS!$B$10*1440,0),"Shyam",IF(MOD(IFERROR(VALUE(RIGHT(F540,2)),0),2)=0,"Ram","Shyam"))))</f>
        <v/>
      </c>
      <c r="AA540" s="28">
        <f t="shared" ca="1" si="91"/>
        <v>0</v>
      </c>
      <c r="AB540" s="28">
        <f ca="1">IF(X540=1,COUNTIFS($F$2:F540,F540,$X$2:X540,1),0)</f>
        <v>0</v>
      </c>
      <c r="AC540" s="28" t="str">
        <f>IF(L540=1,IF(IFERROR(INDEX(PARTNERS!$C$2:$C$88,MATCH(B540,PARTNERS!$A$2:$A$88,0)),"")="YES","YES","NO"),"")</f>
        <v/>
      </c>
      <c r="AD540" s="28" t="str">
        <f>IF(L540=1,IFERROR(INDEX(PARTNERS!$B$2:$B$88,MATCH(B540,PARTNERS!$A$2:$A$88,0)),""),"")</f>
        <v/>
      </c>
      <c r="AE540" s="28">
        <f ca="1">IF(X540=1,IFERROR(INDEX(SETTINGS!$B$34:$D$36,MATCH(I540,SETTINGS!$A$34:$A$36,0),MIN(Q540,2)+1),SETTINGS!$B$36),0)</f>
        <v>0</v>
      </c>
      <c r="AF540" s="28">
        <f t="shared" si="92"/>
        <v>0</v>
      </c>
      <c r="AG540" s="28">
        <f ca="1">IF(AND(Y540=1,AB540=1),ROUND(AA540*AE540*IF(AF540&gt;1,SETTINGS!$B$16,1)*IF(W540&lt;=SETTINGS!$B$14,SETTINGS!$B$15,1)*IF(AU540=1,SETTINGS!$B$21,1),6),0)</f>
        <v>0</v>
      </c>
      <c r="AH540" s="28" t="str">
        <f ca="1">IF(AG540&gt;0,COUNTIFS($Z$2:$Z$601,Z540,$AG$2:$AG$601,"&gt;"&amp;AG540)+COUNTIFS($Z$2:Z540,Z540,$AG$2:AG540,AG540),"")</f>
        <v/>
      </c>
      <c r="AI540" s="28" t="str">
        <f t="shared" ca="1" si="93"/>
        <v/>
      </c>
      <c r="AJ540" s="28" t="str">
        <f t="shared" ca="1" si="94"/>
        <v/>
      </c>
      <c r="AK540" s="28">
        <f>IF(L540=1,IF(COUNTIFS($F$2:F540,F540,$L$2:L540,1)=1,1,0),0)</f>
        <v>0</v>
      </c>
      <c r="AL540" s="28" t="str">
        <f>IF(B540="","",IF(K540="DUPLICATE","Duplicate (removed)",IF(AO540=1,"Scheduled within 24h",IF(M540=1,"Scheduled late",IF(K540="BAD CONTACT","Bad contact details",IF(O540=1,"Stopped / wrong number",IF(N540=1,"Not interested",IF(P540=1,"Partner has no slots",IF(SETTINGS!$B$4&gt;=V540,IF(Q540=0,"Missed deadline: never tried","Missed deadline: tried, not booked"),IF(Q540&gt;=SETTINGS!$B$6,"No reply after max tries","Open"))))))))))</f>
        <v/>
      </c>
      <c r="AM540" s="46" t="str">
        <f>IF(M540=1,IF(_xlfn.MINIFS(LOG!$G$2:$G$2001,LOG!$C$2:$C$2001,F540,LOG!$E$2:$E$2001,B540,LOG!$D$2:$D$2001,"*BOOKED")=0,_xlfn.MINIFS(LOG!$G$2:$G$2001,LOG!$C$2:$C$2001,F540,LOG!$E$2:$E$2001,"",LOG!$D$2:$D$2001,"*BOOKED"),IF(_xlfn.MINIFS(LOG!$G$2:$G$2001,LOG!$C$2:$C$2001,F540,LOG!$E$2:$E$2001,"",LOG!$D$2:$D$2001,"*BOOKED")=0,_xlfn.MINIFS(LOG!$G$2:$G$2001,LOG!$C$2:$C$2001,F540,LOG!$E$2:$E$2001,B540,LOG!$D$2:$D$2001,"*BOOKED"),MIN(_xlfn.MINIFS(LOG!$G$2:$G$2001,LOG!$C$2:$C$2001,F540,LOG!$E$2:$E$2001,B540,LOG!$D$2:$D$2001,"*BOOKED"),_xlfn.MINIFS(LOG!$G$2:$G$2001,LOG!$C$2:$C$2001,F540,LOG!$E$2:$E$2001,"",LOG!$D$2:$D$2001,"*BOOKED")))),"")</f>
        <v/>
      </c>
      <c r="AN540" s="28" t="str">
        <f t="shared" si="95"/>
        <v/>
      </c>
      <c r="AO540" s="28">
        <f>IF(AND(M540=1,AN540&lt;&gt;""),IF(AN540&lt;=SETTINGS!$B$5,1,0),0)</f>
        <v>0</v>
      </c>
      <c r="AP540" s="28">
        <f>IF(M540=1,IF(COUNTIFS(LOG!$C$2:$C$2001,F540,LOG!$E$2:$E$2001,B540,LOG!$D$2:$D$2001,"BOOKED")+COUNTIFS(LOG!$C$2:$C$2001,F540,LOG!$E$2:$E$2001,"",LOG!$D$2:$D$2001,"BOOKED")&gt;0,1,0),0)</f>
        <v>0</v>
      </c>
      <c r="AQ540" s="28" t="str">
        <f t="shared" si="96"/>
        <v/>
      </c>
      <c r="AR540" s="28" t="str">
        <f>IF(AND(AK540=1,K540="OK"),COUNTIFS($AK$2:AK540,1,$K$2:K540,"OK"),"")</f>
        <v/>
      </c>
      <c r="AS540" s="28" t="str">
        <f>IF(L540=1,IFERROR(INDEX(MESSAGES!$J$9:$J$1008,MATCH(F540,MESSAGES!$M$9:$M$1008,0))&amp;"",""),"")</f>
        <v/>
      </c>
      <c r="AT540" s="28" t="str">
        <f>IF(L540=1,IFERROR(INDEX(MESSAGES!$K$9:$K$1008,MATCH(F540,MESSAGES!$M$9:$M$1008,0))&amp;"",""),"")</f>
        <v/>
      </c>
      <c r="AU540" s="28">
        <f t="shared" ca="1" si="97"/>
        <v>0</v>
      </c>
      <c r="AV540" s="28" t="str">
        <f t="shared" si="98"/>
        <v/>
      </c>
    </row>
    <row r="541" spans="1:48" x14ac:dyDescent="0.35">
      <c r="A541" s="28">
        <v>540</v>
      </c>
      <c r="B541" s="28" t="str">
        <f>IF(INPUT!A541="","",TRIM(INPUT!A541))</f>
        <v/>
      </c>
      <c r="C541" s="28" t="str">
        <f>IF(B541="","",INPUT!C541)</f>
        <v/>
      </c>
      <c r="D541" s="28" t="str">
        <f>IF(B541="","",INPUT!D541)</f>
        <v/>
      </c>
      <c r="E541" s="28" t="str">
        <f>IF(B541="","",INPUT!E541)</f>
        <v/>
      </c>
      <c r="F541" s="43" t="str">
        <f>IF(B541="","",TRIM(INPUT!F541&amp;""))</f>
        <v/>
      </c>
      <c r="G541" s="28" t="str">
        <f>IF(B541="","",INPUT!H541)</f>
        <v/>
      </c>
      <c r="H541" s="46" t="str">
        <f>IF(B541="","",INPUT!I541)</f>
        <v/>
      </c>
      <c r="I541" s="28" t="str">
        <f>IF(B541="","",IF(INPUT!J541="","None",INPUT!J541))</f>
        <v/>
      </c>
      <c r="J541" s="28" t="str">
        <f t="shared" si="88"/>
        <v/>
      </c>
      <c r="K541" s="28" t="str">
        <f>IF(B541="","",IF(SUMPRODUCT(($J$2:$J$601=J541)*($H$2:$H$601&lt;H541))+SUMPRODUCT(($J$2:J541=J541)*($H$2:H541=H541))-1&gt;0,"DUPLICATE",IF(AND(ISNUMBER(SEARCH("@",E541)),ISNUMBER(SEARCH(".",E541)),LEN(F541)=10,ISNUMBER(VALUE(F541))),"OK","BAD CONTACT")))</f>
        <v/>
      </c>
      <c r="L541" s="28">
        <f t="shared" si="89"/>
        <v>0</v>
      </c>
      <c r="M541" s="28">
        <f>IF(L541=1,IF(COUNTIFS(LOG!$C$2:$C$2001,F541,LOG!$E$2:$E$2001,B541,LOG!$D$2:$D$2001,"*BOOKED")+COUNTIFS(LOG!$C$2:$C$2001,F541,LOG!$E$2:$E$2001,"",LOG!$D$2:$D$2001,"*BOOKED")&gt;0,1,0),0)</f>
        <v>0</v>
      </c>
      <c r="N541" s="28">
        <f>IF(L541=1,IF(COUNTIFS(LOG!$C$2:$C$2001,F541,LOG!$E$2:$E$2001,B541,LOG!$D$2:$D$2001,"NOT_INTERESTED")+COUNTIFS(LOG!$C$2:$C$2001,F541,LOG!$E$2:$E$2001,"",LOG!$D$2:$D$2001,"NOT_INTERESTED")&gt;0,1,0),0)</f>
        <v>0</v>
      </c>
      <c r="O541" s="28">
        <f>IF(L541=1,IF(COUNTIFS(LOG!$C$2:$C$2001,F541,LOG!$D$2:$D$2001,"STOP")+COUNTIFS(LOG!$C$2:$C$2001,F541,LOG!$D$2:$D$2001,"WRONG_NUMBER")&gt;0,1,IF(ISNUMBER(SEARCH("STOP",AT541)),1,0)),0)</f>
        <v>0</v>
      </c>
      <c r="P541" s="28">
        <f>IF(L541=1,IF(IFERROR(INDEX(PARTNERS!$D$2:$D$88,MATCH(B541,PARTNERS!$A$2:$A$88,0)),"")="NO SLOTS",1,IF(AND(IFERROR(INDEX(PARTNERS!$D$2:$D$88,MATCH(B541,PARTNERS!$A$2:$A$88,0)),"")&lt;&gt;"REOPENED",COUNTIFS(LOG!$E$2:$E$2001,B541,LOG!$D$2:$D$2001,"NO_SLOTS")&gt;0),1,0)),0)</f>
        <v>0</v>
      </c>
      <c r="Q541" s="28">
        <f>IF(L541=1,COUNTIFS(LOG!$C$2:$C$2001,F541,LOG!$H$2:$H$2001,1),0)</f>
        <v>0</v>
      </c>
      <c r="R541" s="46">
        <f>IF(Q541&gt;0,_xlfn.MAXIFS(LOG!$G$2:$G$2001,LOG!$C$2:$C$2001,F541,LOG!$H$2:$H$2001,1),0)</f>
        <v>0</v>
      </c>
      <c r="S541" s="28" t="str">
        <f>IF(Q541&gt;0,IFERROR(INDEX(LOG!$D$2:$D$2001,MATCH(F541&amp;"|"&amp;Q541,LOG!$I$2:$I$2001,0)),""),"")</f>
        <v/>
      </c>
      <c r="T541" s="28">
        <f>IF(S541="",0,IFERROR(VLOOKUP(S541,LISTS!$A$2:$E$10,4,FALSE),0))</f>
        <v>0</v>
      </c>
      <c r="U541" s="46">
        <f t="shared" si="90"/>
        <v>0</v>
      </c>
      <c r="V541" s="46" t="str">
        <f>IF(L541=1,H541+SETTINGS!$B$5/24,"")</f>
        <v/>
      </c>
      <c r="W541" s="28" t="str">
        <f>IF(L541=1,(V541-SETTINGS!$B$4)*24,"")</f>
        <v/>
      </c>
      <c r="X541" s="28">
        <f ca="1">IF(AND(L541=1,K541="OK",M541=0,N541=0,O541=0,P541=0,SETTINGS!$B$4&lt;V541,Q541&lt;SETTINGS!$B$6),1,0)</f>
        <v>0</v>
      </c>
      <c r="Y541" s="28">
        <f ca="1">IF(AND(X541=1,SETTINGS!$B$4&gt;=H541,SETTINGS!$B$4&gt;=U541,ROUND(MOD(SETTINGS!$B$4,1)*1440,0)&gt;=ROUND(SETTINGS!$B$7*1440,0),ROUND(MOD(SETTINGS!$B$4,1)*1440,0)&lt;ROUND(SETTINGS!$B$8*1440,0)),1,0)</f>
        <v>0</v>
      </c>
      <c r="Z541" s="28" t="str">
        <f>IF(B541="","",IF(ROUND(MOD(SETTINGS!$B$4,1)*1440,0)&lt;ROUND(SETTINGS!$B$11*1440,0),"Ram",IF(ROUND(MOD(SETTINGS!$B$4,1)*1440,0)&gt;=ROUND(SETTINGS!$B$10*1440,0),"Shyam",IF(MOD(IFERROR(VALUE(RIGHT(F541,2)),0),2)=0,"Ram","Shyam"))))</f>
        <v/>
      </c>
      <c r="AA541" s="28">
        <f t="shared" ca="1" si="91"/>
        <v>0</v>
      </c>
      <c r="AB541" s="28">
        <f ca="1">IF(X541=1,COUNTIFS($F$2:F541,F541,$X$2:X541,1),0)</f>
        <v>0</v>
      </c>
      <c r="AC541" s="28" t="str">
        <f>IF(L541=1,IF(IFERROR(INDEX(PARTNERS!$C$2:$C$88,MATCH(B541,PARTNERS!$A$2:$A$88,0)),"")="YES","YES","NO"),"")</f>
        <v/>
      </c>
      <c r="AD541" s="28" t="str">
        <f>IF(L541=1,IFERROR(INDEX(PARTNERS!$B$2:$B$88,MATCH(B541,PARTNERS!$A$2:$A$88,0)),""),"")</f>
        <v/>
      </c>
      <c r="AE541" s="28">
        <f ca="1">IF(X541=1,IFERROR(INDEX(SETTINGS!$B$34:$D$36,MATCH(I541,SETTINGS!$A$34:$A$36,0),MIN(Q541,2)+1),SETTINGS!$B$36),0)</f>
        <v>0</v>
      </c>
      <c r="AF541" s="28">
        <f t="shared" si="92"/>
        <v>0</v>
      </c>
      <c r="AG541" s="28">
        <f ca="1">IF(AND(Y541=1,AB541=1),ROUND(AA541*AE541*IF(AF541&gt;1,SETTINGS!$B$16,1)*IF(W541&lt;=SETTINGS!$B$14,SETTINGS!$B$15,1)*IF(AU541=1,SETTINGS!$B$21,1),6),0)</f>
        <v>0</v>
      </c>
      <c r="AH541" s="28" t="str">
        <f ca="1">IF(AG541&gt;0,COUNTIFS($Z$2:$Z$601,Z541,$AG$2:$AG$601,"&gt;"&amp;AG541)+COUNTIFS($Z$2:Z541,Z541,$AG$2:AG541,AG541),"")</f>
        <v/>
      </c>
      <c r="AI541" s="28" t="str">
        <f t="shared" ca="1" si="93"/>
        <v/>
      </c>
      <c r="AJ541" s="28" t="str">
        <f t="shared" ca="1" si="94"/>
        <v/>
      </c>
      <c r="AK541" s="28">
        <f>IF(L541=1,IF(COUNTIFS($F$2:F541,F541,$L$2:L541,1)=1,1,0),0)</f>
        <v>0</v>
      </c>
      <c r="AL541" s="28" t="str">
        <f>IF(B541="","",IF(K541="DUPLICATE","Duplicate (removed)",IF(AO541=1,"Scheduled within 24h",IF(M541=1,"Scheduled late",IF(K541="BAD CONTACT","Bad contact details",IF(O541=1,"Stopped / wrong number",IF(N541=1,"Not interested",IF(P541=1,"Partner has no slots",IF(SETTINGS!$B$4&gt;=V541,IF(Q541=0,"Missed deadline: never tried","Missed deadline: tried, not booked"),IF(Q541&gt;=SETTINGS!$B$6,"No reply after max tries","Open"))))))))))</f>
        <v/>
      </c>
      <c r="AM541" s="46" t="str">
        <f>IF(M541=1,IF(_xlfn.MINIFS(LOG!$G$2:$G$2001,LOG!$C$2:$C$2001,F541,LOG!$E$2:$E$2001,B541,LOG!$D$2:$D$2001,"*BOOKED")=0,_xlfn.MINIFS(LOG!$G$2:$G$2001,LOG!$C$2:$C$2001,F541,LOG!$E$2:$E$2001,"",LOG!$D$2:$D$2001,"*BOOKED"),IF(_xlfn.MINIFS(LOG!$G$2:$G$2001,LOG!$C$2:$C$2001,F541,LOG!$E$2:$E$2001,"",LOG!$D$2:$D$2001,"*BOOKED")=0,_xlfn.MINIFS(LOG!$G$2:$G$2001,LOG!$C$2:$C$2001,F541,LOG!$E$2:$E$2001,B541,LOG!$D$2:$D$2001,"*BOOKED"),MIN(_xlfn.MINIFS(LOG!$G$2:$G$2001,LOG!$C$2:$C$2001,F541,LOG!$E$2:$E$2001,B541,LOG!$D$2:$D$2001,"*BOOKED"),_xlfn.MINIFS(LOG!$G$2:$G$2001,LOG!$C$2:$C$2001,F541,LOG!$E$2:$E$2001,"",LOG!$D$2:$D$2001,"*BOOKED")))),"")</f>
        <v/>
      </c>
      <c r="AN541" s="28" t="str">
        <f t="shared" si="95"/>
        <v/>
      </c>
      <c r="AO541" s="28">
        <f>IF(AND(M541=1,AN541&lt;&gt;""),IF(AN541&lt;=SETTINGS!$B$5,1,0),0)</f>
        <v>0</v>
      </c>
      <c r="AP541" s="28">
        <f>IF(M541=1,IF(COUNTIFS(LOG!$C$2:$C$2001,F541,LOG!$E$2:$E$2001,B541,LOG!$D$2:$D$2001,"BOOKED")+COUNTIFS(LOG!$C$2:$C$2001,F541,LOG!$E$2:$E$2001,"",LOG!$D$2:$D$2001,"BOOKED")&gt;0,1,0),0)</f>
        <v>0</v>
      </c>
      <c r="AQ541" s="28" t="str">
        <f t="shared" si="96"/>
        <v/>
      </c>
      <c r="AR541" s="28" t="str">
        <f>IF(AND(AK541=1,K541="OK"),COUNTIFS($AK$2:AK541,1,$K$2:K541,"OK"),"")</f>
        <v/>
      </c>
      <c r="AS541" s="28" t="str">
        <f>IF(L541=1,IFERROR(INDEX(MESSAGES!$J$9:$J$1008,MATCH(F541,MESSAGES!$M$9:$M$1008,0))&amp;"",""),"")</f>
        <v/>
      </c>
      <c r="AT541" s="28" t="str">
        <f>IF(L541=1,IFERROR(INDEX(MESSAGES!$K$9:$K$1008,MATCH(F541,MESSAGES!$M$9:$M$1008,0))&amp;"",""),"")</f>
        <v/>
      </c>
      <c r="AU541" s="28">
        <f t="shared" ca="1" si="97"/>
        <v>0</v>
      </c>
      <c r="AV541" s="28" t="str">
        <f t="shared" si="98"/>
        <v/>
      </c>
    </row>
    <row r="542" spans="1:48" x14ac:dyDescent="0.35">
      <c r="A542" s="28">
        <v>541</v>
      </c>
      <c r="B542" s="28" t="str">
        <f>IF(INPUT!A542="","",TRIM(INPUT!A542))</f>
        <v/>
      </c>
      <c r="C542" s="28" t="str">
        <f>IF(B542="","",INPUT!C542)</f>
        <v/>
      </c>
      <c r="D542" s="28" t="str">
        <f>IF(B542="","",INPUT!D542)</f>
        <v/>
      </c>
      <c r="E542" s="28" t="str">
        <f>IF(B542="","",INPUT!E542)</f>
        <v/>
      </c>
      <c r="F542" s="43" t="str">
        <f>IF(B542="","",TRIM(INPUT!F542&amp;""))</f>
        <v/>
      </c>
      <c r="G542" s="28" t="str">
        <f>IF(B542="","",INPUT!H542)</f>
        <v/>
      </c>
      <c r="H542" s="46" t="str">
        <f>IF(B542="","",INPUT!I542)</f>
        <v/>
      </c>
      <c r="I542" s="28" t="str">
        <f>IF(B542="","",IF(INPUT!J542="","None",INPUT!J542))</f>
        <v/>
      </c>
      <c r="J542" s="28" t="str">
        <f t="shared" si="88"/>
        <v/>
      </c>
      <c r="K542" s="28" t="str">
        <f>IF(B542="","",IF(SUMPRODUCT(($J$2:$J$601=J542)*($H$2:$H$601&lt;H542))+SUMPRODUCT(($J$2:J542=J542)*($H$2:H542=H542))-1&gt;0,"DUPLICATE",IF(AND(ISNUMBER(SEARCH("@",E542)),ISNUMBER(SEARCH(".",E542)),LEN(F542)=10,ISNUMBER(VALUE(F542))),"OK","BAD CONTACT")))</f>
        <v/>
      </c>
      <c r="L542" s="28">
        <f t="shared" si="89"/>
        <v>0</v>
      </c>
      <c r="M542" s="28">
        <f>IF(L542=1,IF(COUNTIFS(LOG!$C$2:$C$2001,F542,LOG!$E$2:$E$2001,B542,LOG!$D$2:$D$2001,"*BOOKED")+COUNTIFS(LOG!$C$2:$C$2001,F542,LOG!$E$2:$E$2001,"",LOG!$D$2:$D$2001,"*BOOKED")&gt;0,1,0),0)</f>
        <v>0</v>
      </c>
      <c r="N542" s="28">
        <f>IF(L542=1,IF(COUNTIFS(LOG!$C$2:$C$2001,F542,LOG!$E$2:$E$2001,B542,LOG!$D$2:$D$2001,"NOT_INTERESTED")+COUNTIFS(LOG!$C$2:$C$2001,F542,LOG!$E$2:$E$2001,"",LOG!$D$2:$D$2001,"NOT_INTERESTED")&gt;0,1,0),0)</f>
        <v>0</v>
      </c>
      <c r="O542" s="28">
        <f>IF(L542=1,IF(COUNTIFS(LOG!$C$2:$C$2001,F542,LOG!$D$2:$D$2001,"STOP")+COUNTIFS(LOG!$C$2:$C$2001,F542,LOG!$D$2:$D$2001,"WRONG_NUMBER")&gt;0,1,IF(ISNUMBER(SEARCH("STOP",AT542)),1,0)),0)</f>
        <v>0</v>
      </c>
      <c r="P542" s="28">
        <f>IF(L542=1,IF(IFERROR(INDEX(PARTNERS!$D$2:$D$88,MATCH(B542,PARTNERS!$A$2:$A$88,0)),"")="NO SLOTS",1,IF(AND(IFERROR(INDEX(PARTNERS!$D$2:$D$88,MATCH(B542,PARTNERS!$A$2:$A$88,0)),"")&lt;&gt;"REOPENED",COUNTIFS(LOG!$E$2:$E$2001,B542,LOG!$D$2:$D$2001,"NO_SLOTS")&gt;0),1,0)),0)</f>
        <v>0</v>
      </c>
      <c r="Q542" s="28">
        <f>IF(L542=1,COUNTIFS(LOG!$C$2:$C$2001,F542,LOG!$H$2:$H$2001,1),0)</f>
        <v>0</v>
      </c>
      <c r="R542" s="46">
        <f>IF(Q542&gt;0,_xlfn.MAXIFS(LOG!$G$2:$G$2001,LOG!$C$2:$C$2001,F542,LOG!$H$2:$H$2001,1),0)</f>
        <v>0</v>
      </c>
      <c r="S542" s="28" t="str">
        <f>IF(Q542&gt;0,IFERROR(INDEX(LOG!$D$2:$D$2001,MATCH(F542&amp;"|"&amp;Q542,LOG!$I$2:$I$2001,0)),""),"")</f>
        <v/>
      </c>
      <c r="T542" s="28">
        <f>IF(S542="",0,IFERROR(VLOOKUP(S542,LISTS!$A$2:$E$10,4,FALSE),0))</f>
        <v>0</v>
      </c>
      <c r="U542" s="46">
        <f t="shared" si="90"/>
        <v>0</v>
      </c>
      <c r="V542" s="46" t="str">
        <f>IF(L542=1,H542+SETTINGS!$B$5/24,"")</f>
        <v/>
      </c>
      <c r="W542" s="28" t="str">
        <f>IF(L542=1,(V542-SETTINGS!$B$4)*24,"")</f>
        <v/>
      </c>
      <c r="X542" s="28">
        <f ca="1">IF(AND(L542=1,K542="OK",M542=0,N542=0,O542=0,P542=0,SETTINGS!$B$4&lt;V542,Q542&lt;SETTINGS!$B$6),1,0)</f>
        <v>0</v>
      </c>
      <c r="Y542" s="28">
        <f ca="1">IF(AND(X542=1,SETTINGS!$B$4&gt;=H542,SETTINGS!$B$4&gt;=U542,ROUND(MOD(SETTINGS!$B$4,1)*1440,0)&gt;=ROUND(SETTINGS!$B$7*1440,0),ROUND(MOD(SETTINGS!$B$4,1)*1440,0)&lt;ROUND(SETTINGS!$B$8*1440,0)),1,0)</f>
        <v>0</v>
      </c>
      <c r="Z542" s="28" t="str">
        <f>IF(B542="","",IF(ROUND(MOD(SETTINGS!$B$4,1)*1440,0)&lt;ROUND(SETTINGS!$B$11*1440,0),"Ram",IF(ROUND(MOD(SETTINGS!$B$4,1)*1440,0)&gt;=ROUND(SETTINGS!$B$10*1440,0),"Shyam",IF(MOD(IFERROR(VALUE(RIGHT(F542,2)),0),2)=0,"Ram","Shyam"))))</f>
        <v/>
      </c>
      <c r="AA542" s="28">
        <f t="shared" ca="1" si="91"/>
        <v>0</v>
      </c>
      <c r="AB542" s="28">
        <f ca="1">IF(X542=1,COUNTIFS($F$2:F542,F542,$X$2:X542,1),0)</f>
        <v>0</v>
      </c>
      <c r="AC542" s="28" t="str">
        <f>IF(L542=1,IF(IFERROR(INDEX(PARTNERS!$C$2:$C$88,MATCH(B542,PARTNERS!$A$2:$A$88,0)),"")="YES","YES","NO"),"")</f>
        <v/>
      </c>
      <c r="AD542" s="28" t="str">
        <f>IF(L542=1,IFERROR(INDEX(PARTNERS!$B$2:$B$88,MATCH(B542,PARTNERS!$A$2:$A$88,0)),""),"")</f>
        <v/>
      </c>
      <c r="AE542" s="28">
        <f ca="1">IF(X542=1,IFERROR(INDEX(SETTINGS!$B$34:$D$36,MATCH(I542,SETTINGS!$A$34:$A$36,0),MIN(Q542,2)+1),SETTINGS!$B$36),0)</f>
        <v>0</v>
      </c>
      <c r="AF542" s="28">
        <f t="shared" si="92"/>
        <v>0</v>
      </c>
      <c r="AG542" s="28">
        <f ca="1">IF(AND(Y542=1,AB542=1),ROUND(AA542*AE542*IF(AF542&gt;1,SETTINGS!$B$16,1)*IF(W542&lt;=SETTINGS!$B$14,SETTINGS!$B$15,1)*IF(AU542=1,SETTINGS!$B$21,1),6),0)</f>
        <v>0</v>
      </c>
      <c r="AH542" s="28" t="str">
        <f ca="1">IF(AG542&gt;0,COUNTIFS($Z$2:$Z$601,Z542,$AG$2:$AG$601,"&gt;"&amp;AG542)+COUNTIFS($Z$2:Z542,Z542,$AG$2:AG542,AG542),"")</f>
        <v/>
      </c>
      <c r="AI542" s="28" t="str">
        <f t="shared" ca="1" si="93"/>
        <v/>
      </c>
      <c r="AJ542" s="28" t="str">
        <f t="shared" ca="1" si="94"/>
        <v/>
      </c>
      <c r="AK542" s="28">
        <f>IF(L542=1,IF(COUNTIFS($F$2:F542,F542,$L$2:L542,1)=1,1,0),0)</f>
        <v>0</v>
      </c>
      <c r="AL542" s="28" t="str">
        <f>IF(B542="","",IF(K542="DUPLICATE","Duplicate (removed)",IF(AO542=1,"Scheduled within 24h",IF(M542=1,"Scheduled late",IF(K542="BAD CONTACT","Bad contact details",IF(O542=1,"Stopped / wrong number",IF(N542=1,"Not interested",IF(P542=1,"Partner has no slots",IF(SETTINGS!$B$4&gt;=V542,IF(Q542=0,"Missed deadline: never tried","Missed deadline: tried, not booked"),IF(Q542&gt;=SETTINGS!$B$6,"No reply after max tries","Open"))))))))))</f>
        <v/>
      </c>
      <c r="AM542" s="46" t="str">
        <f>IF(M542=1,IF(_xlfn.MINIFS(LOG!$G$2:$G$2001,LOG!$C$2:$C$2001,F542,LOG!$E$2:$E$2001,B542,LOG!$D$2:$D$2001,"*BOOKED")=0,_xlfn.MINIFS(LOG!$G$2:$G$2001,LOG!$C$2:$C$2001,F542,LOG!$E$2:$E$2001,"",LOG!$D$2:$D$2001,"*BOOKED"),IF(_xlfn.MINIFS(LOG!$G$2:$G$2001,LOG!$C$2:$C$2001,F542,LOG!$E$2:$E$2001,"",LOG!$D$2:$D$2001,"*BOOKED")=0,_xlfn.MINIFS(LOG!$G$2:$G$2001,LOG!$C$2:$C$2001,F542,LOG!$E$2:$E$2001,B542,LOG!$D$2:$D$2001,"*BOOKED"),MIN(_xlfn.MINIFS(LOG!$G$2:$G$2001,LOG!$C$2:$C$2001,F542,LOG!$E$2:$E$2001,B542,LOG!$D$2:$D$2001,"*BOOKED"),_xlfn.MINIFS(LOG!$G$2:$G$2001,LOG!$C$2:$C$2001,F542,LOG!$E$2:$E$2001,"",LOG!$D$2:$D$2001,"*BOOKED")))),"")</f>
        <v/>
      </c>
      <c r="AN542" s="28" t="str">
        <f t="shared" si="95"/>
        <v/>
      </c>
      <c r="AO542" s="28">
        <f>IF(AND(M542=1,AN542&lt;&gt;""),IF(AN542&lt;=SETTINGS!$B$5,1,0),0)</f>
        <v>0</v>
      </c>
      <c r="AP542" s="28">
        <f>IF(M542=1,IF(COUNTIFS(LOG!$C$2:$C$2001,F542,LOG!$E$2:$E$2001,B542,LOG!$D$2:$D$2001,"BOOKED")+COUNTIFS(LOG!$C$2:$C$2001,F542,LOG!$E$2:$E$2001,"",LOG!$D$2:$D$2001,"BOOKED")&gt;0,1,0),0)</f>
        <v>0</v>
      </c>
      <c r="AQ542" s="28" t="str">
        <f t="shared" si="96"/>
        <v/>
      </c>
      <c r="AR542" s="28" t="str">
        <f>IF(AND(AK542=1,K542="OK"),COUNTIFS($AK$2:AK542,1,$K$2:K542,"OK"),"")</f>
        <v/>
      </c>
      <c r="AS542" s="28" t="str">
        <f>IF(L542=1,IFERROR(INDEX(MESSAGES!$J$9:$J$1008,MATCH(F542,MESSAGES!$M$9:$M$1008,0))&amp;"",""),"")</f>
        <v/>
      </c>
      <c r="AT542" s="28" t="str">
        <f>IF(L542=1,IFERROR(INDEX(MESSAGES!$K$9:$K$1008,MATCH(F542,MESSAGES!$M$9:$M$1008,0))&amp;"",""),"")</f>
        <v/>
      </c>
      <c r="AU542" s="28">
        <f t="shared" ca="1" si="97"/>
        <v>0</v>
      </c>
      <c r="AV542" s="28" t="str">
        <f t="shared" si="98"/>
        <v/>
      </c>
    </row>
    <row r="543" spans="1:48" x14ac:dyDescent="0.35">
      <c r="A543" s="28">
        <v>542</v>
      </c>
      <c r="B543" s="28" t="str">
        <f>IF(INPUT!A543="","",TRIM(INPUT!A543))</f>
        <v/>
      </c>
      <c r="C543" s="28" t="str">
        <f>IF(B543="","",INPUT!C543)</f>
        <v/>
      </c>
      <c r="D543" s="28" t="str">
        <f>IF(B543="","",INPUT!D543)</f>
        <v/>
      </c>
      <c r="E543" s="28" t="str">
        <f>IF(B543="","",INPUT!E543)</f>
        <v/>
      </c>
      <c r="F543" s="43" t="str">
        <f>IF(B543="","",TRIM(INPUT!F543&amp;""))</f>
        <v/>
      </c>
      <c r="G543" s="28" t="str">
        <f>IF(B543="","",INPUT!H543)</f>
        <v/>
      </c>
      <c r="H543" s="46" t="str">
        <f>IF(B543="","",INPUT!I543)</f>
        <v/>
      </c>
      <c r="I543" s="28" t="str">
        <f>IF(B543="","",IF(INPUT!J543="","None",INPUT!J543))</f>
        <v/>
      </c>
      <c r="J543" s="28" t="str">
        <f t="shared" si="88"/>
        <v/>
      </c>
      <c r="K543" s="28" t="str">
        <f>IF(B543="","",IF(SUMPRODUCT(($J$2:$J$601=J543)*($H$2:$H$601&lt;H543))+SUMPRODUCT(($J$2:J543=J543)*($H$2:H543=H543))-1&gt;0,"DUPLICATE",IF(AND(ISNUMBER(SEARCH("@",E543)),ISNUMBER(SEARCH(".",E543)),LEN(F543)=10,ISNUMBER(VALUE(F543))),"OK","BAD CONTACT")))</f>
        <v/>
      </c>
      <c r="L543" s="28">
        <f t="shared" si="89"/>
        <v>0</v>
      </c>
      <c r="M543" s="28">
        <f>IF(L543=1,IF(COUNTIFS(LOG!$C$2:$C$2001,F543,LOG!$E$2:$E$2001,B543,LOG!$D$2:$D$2001,"*BOOKED")+COUNTIFS(LOG!$C$2:$C$2001,F543,LOG!$E$2:$E$2001,"",LOG!$D$2:$D$2001,"*BOOKED")&gt;0,1,0),0)</f>
        <v>0</v>
      </c>
      <c r="N543" s="28">
        <f>IF(L543=1,IF(COUNTIFS(LOG!$C$2:$C$2001,F543,LOG!$E$2:$E$2001,B543,LOG!$D$2:$D$2001,"NOT_INTERESTED")+COUNTIFS(LOG!$C$2:$C$2001,F543,LOG!$E$2:$E$2001,"",LOG!$D$2:$D$2001,"NOT_INTERESTED")&gt;0,1,0),0)</f>
        <v>0</v>
      </c>
      <c r="O543" s="28">
        <f>IF(L543=1,IF(COUNTIFS(LOG!$C$2:$C$2001,F543,LOG!$D$2:$D$2001,"STOP")+COUNTIFS(LOG!$C$2:$C$2001,F543,LOG!$D$2:$D$2001,"WRONG_NUMBER")&gt;0,1,IF(ISNUMBER(SEARCH("STOP",AT543)),1,0)),0)</f>
        <v>0</v>
      </c>
      <c r="P543" s="28">
        <f>IF(L543=1,IF(IFERROR(INDEX(PARTNERS!$D$2:$D$88,MATCH(B543,PARTNERS!$A$2:$A$88,0)),"")="NO SLOTS",1,IF(AND(IFERROR(INDEX(PARTNERS!$D$2:$D$88,MATCH(B543,PARTNERS!$A$2:$A$88,0)),"")&lt;&gt;"REOPENED",COUNTIFS(LOG!$E$2:$E$2001,B543,LOG!$D$2:$D$2001,"NO_SLOTS")&gt;0),1,0)),0)</f>
        <v>0</v>
      </c>
      <c r="Q543" s="28">
        <f>IF(L543=1,COUNTIFS(LOG!$C$2:$C$2001,F543,LOG!$H$2:$H$2001,1),0)</f>
        <v>0</v>
      </c>
      <c r="R543" s="46">
        <f>IF(Q543&gt;0,_xlfn.MAXIFS(LOG!$G$2:$G$2001,LOG!$C$2:$C$2001,F543,LOG!$H$2:$H$2001,1),0)</f>
        <v>0</v>
      </c>
      <c r="S543" s="28" t="str">
        <f>IF(Q543&gt;0,IFERROR(INDEX(LOG!$D$2:$D$2001,MATCH(F543&amp;"|"&amp;Q543,LOG!$I$2:$I$2001,0)),""),"")</f>
        <v/>
      </c>
      <c r="T543" s="28">
        <f>IF(S543="",0,IFERROR(VLOOKUP(S543,LISTS!$A$2:$E$10,4,FALSE),0))</f>
        <v>0</v>
      </c>
      <c r="U543" s="46">
        <f t="shared" si="90"/>
        <v>0</v>
      </c>
      <c r="V543" s="46" t="str">
        <f>IF(L543=1,H543+SETTINGS!$B$5/24,"")</f>
        <v/>
      </c>
      <c r="W543" s="28" t="str">
        <f>IF(L543=1,(V543-SETTINGS!$B$4)*24,"")</f>
        <v/>
      </c>
      <c r="X543" s="28">
        <f ca="1">IF(AND(L543=1,K543="OK",M543=0,N543=0,O543=0,P543=0,SETTINGS!$B$4&lt;V543,Q543&lt;SETTINGS!$B$6),1,0)</f>
        <v>0</v>
      </c>
      <c r="Y543" s="28">
        <f ca="1">IF(AND(X543=1,SETTINGS!$B$4&gt;=H543,SETTINGS!$B$4&gt;=U543,ROUND(MOD(SETTINGS!$B$4,1)*1440,0)&gt;=ROUND(SETTINGS!$B$7*1440,0),ROUND(MOD(SETTINGS!$B$4,1)*1440,0)&lt;ROUND(SETTINGS!$B$8*1440,0)),1,0)</f>
        <v>0</v>
      </c>
      <c r="Z543" s="28" t="str">
        <f>IF(B543="","",IF(ROUND(MOD(SETTINGS!$B$4,1)*1440,0)&lt;ROUND(SETTINGS!$B$11*1440,0),"Ram",IF(ROUND(MOD(SETTINGS!$B$4,1)*1440,0)&gt;=ROUND(SETTINGS!$B$10*1440,0),"Shyam",IF(MOD(IFERROR(VALUE(RIGHT(F543,2)),0),2)=0,"Ram","Shyam"))))</f>
        <v/>
      </c>
      <c r="AA543" s="28">
        <f t="shared" ca="1" si="91"/>
        <v>0</v>
      </c>
      <c r="AB543" s="28">
        <f ca="1">IF(X543=1,COUNTIFS($F$2:F543,F543,$X$2:X543,1),0)</f>
        <v>0</v>
      </c>
      <c r="AC543" s="28" t="str">
        <f>IF(L543=1,IF(IFERROR(INDEX(PARTNERS!$C$2:$C$88,MATCH(B543,PARTNERS!$A$2:$A$88,0)),"")="YES","YES","NO"),"")</f>
        <v/>
      </c>
      <c r="AD543" s="28" t="str">
        <f>IF(L543=1,IFERROR(INDEX(PARTNERS!$B$2:$B$88,MATCH(B543,PARTNERS!$A$2:$A$88,0)),""),"")</f>
        <v/>
      </c>
      <c r="AE543" s="28">
        <f ca="1">IF(X543=1,IFERROR(INDEX(SETTINGS!$B$34:$D$36,MATCH(I543,SETTINGS!$A$34:$A$36,0),MIN(Q543,2)+1),SETTINGS!$B$36),0)</f>
        <v>0</v>
      </c>
      <c r="AF543" s="28">
        <f t="shared" si="92"/>
        <v>0</v>
      </c>
      <c r="AG543" s="28">
        <f ca="1">IF(AND(Y543=1,AB543=1),ROUND(AA543*AE543*IF(AF543&gt;1,SETTINGS!$B$16,1)*IF(W543&lt;=SETTINGS!$B$14,SETTINGS!$B$15,1)*IF(AU543=1,SETTINGS!$B$21,1),6),0)</f>
        <v>0</v>
      </c>
      <c r="AH543" s="28" t="str">
        <f ca="1">IF(AG543&gt;0,COUNTIFS($Z$2:$Z$601,Z543,$AG$2:$AG$601,"&gt;"&amp;AG543)+COUNTIFS($Z$2:Z543,Z543,$AG$2:AG543,AG543),"")</f>
        <v/>
      </c>
      <c r="AI543" s="28" t="str">
        <f t="shared" ca="1" si="93"/>
        <v/>
      </c>
      <c r="AJ543" s="28" t="str">
        <f t="shared" ca="1" si="94"/>
        <v/>
      </c>
      <c r="AK543" s="28">
        <f>IF(L543=1,IF(COUNTIFS($F$2:F543,F543,$L$2:L543,1)=1,1,0),0)</f>
        <v>0</v>
      </c>
      <c r="AL543" s="28" t="str">
        <f>IF(B543="","",IF(K543="DUPLICATE","Duplicate (removed)",IF(AO543=1,"Scheduled within 24h",IF(M543=1,"Scheduled late",IF(K543="BAD CONTACT","Bad contact details",IF(O543=1,"Stopped / wrong number",IF(N543=1,"Not interested",IF(P543=1,"Partner has no slots",IF(SETTINGS!$B$4&gt;=V543,IF(Q543=0,"Missed deadline: never tried","Missed deadline: tried, not booked"),IF(Q543&gt;=SETTINGS!$B$6,"No reply after max tries","Open"))))))))))</f>
        <v/>
      </c>
      <c r="AM543" s="46" t="str">
        <f>IF(M543=1,IF(_xlfn.MINIFS(LOG!$G$2:$G$2001,LOG!$C$2:$C$2001,F543,LOG!$E$2:$E$2001,B543,LOG!$D$2:$D$2001,"*BOOKED")=0,_xlfn.MINIFS(LOG!$G$2:$G$2001,LOG!$C$2:$C$2001,F543,LOG!$E$2:$E$2001,"",LOG!$D$2:$D$2001,"*BOOKED"),IF(_xlfn.MINIFS(LOG!$G$2:$G$2001,LOG!$C$2:$C$2001,F543,LOG!$E$2:$E$2001,"",LOG!$D$2:$D$2001,"*BOOKED")=0,_xlfn.MINIFS(LOG!$G$2:$G$2001,LOG!$C$2:$C$2001,F543,LOG!$E$2:$E$2001,B543,LOG!$D$2:$D$2001,"*BOOKED"),MIN(_xlfn.MINIFS(LOG!$G$2:$G$2001,LOG!$C$2:$C$2001,F543,LOG!$E$2:$E$2001,B543,LOG!$D$2:$D$2001,"*BOOKED"),_xlfn.MINIFS(LOG!$G$2:$G$2001,LOG!$C$2:$C$2001,F543,LOG!$E$2:$E$2001,"",LOG!$D$2:$D$2001,"*BOOKED")))),"")</f>
        <v/>
      </c>
      <c r="AN543" s="28" t="str">
        <f t="shared" si="95"/>
        <v/>
      </c>
      <c r="AO543" s="28">
        <f>IF(AND(M543=1,AN543&lt;&gt;""),IF(AN543&lt;=SETTINGS!$B$5,1,0),0)</f>
        <v>0</v>
      </c>
      <c r="AP543" s="28">
        <f>IF(M543=1,IF(COUNTIFS(LOG!$C$2:$C$2001,F543,LOG!$E$2:$E$2001,B543,LOG!$D$2:$D$2001,"BOOKED")+COUNTIFS(LOG!$C$2:$C$2001,F543,LOG!$E$2:$E$2001,"",LOG!$D$2:$D$2001,"BOOKED")&gt;0,1,0),0)</f>
        <v>0</v>
      </c>
      <c r="AQ543" s="28" t="str">
        <f t="shared" si="96"/>
        <v/>
      </c>
      <c r="AR543" s="28" t="str">
        <f>IF(AND(AK543=1,K543="OK"),COUNTIFS($AK$2:AK543,1,$K$2:K543,"OK"),"")</f>
        <v/>
      </c>
      <c r="AS543" s="28" t="str">
        <f>IF(L543=1,IFERROR(INDEX(MESSAGES!$J$9:$J$1008,MATCH(F543,MESSAGES!$M$9:$M$1008,0))&amp;"",""),"")</f>
        <v/>
      </c>
      <c r="AT543" s="28" t="str">
        <f>IF(L543=1,IFERROR(INDEX(MESSAGES!$K$9:$K$1008,MATCH(F543,MESSAGES!$M$9:$M$1008,0))&amp;"",""),"")</f>
        <v/>
      </c>
      <c r="AU543" s="28">
        <f t="shared" ca="1" si="97"/>
        <v>0</v>
      </c>
      <c r="AV543" s="28" t="str">
        <f t="shared" si="98"/>
        <v/>
      </c>
    </row>
    <row r="544" spans="1:48" x14ac:dyDescent="0.35">
      <c r="A544" s="28">
        <v>543</v>
      </c>
      <c r="B544" s="28" t="str">
        <f>IF(INPUT!A544="","",TRIM(INPUT!A544))</f>
        <v/>
      </c>
      <c r="C544" s="28" t="str">
        <f>IF(B544="","",INPUT!C544)</f>
        <v/>
      </c>
      <c r="D544" s="28" t="str">
        <f>IF(B544="","",INPUT!D544)</f>
        <v/>
      </c>
      <c r="E544" s="28" t="str">
        <f>IF(B544="","",INPUT!E544)</f>
        <v/>
      </c>
      <c r="F544" s="43" t="str">
        <f>IF(B544="","",TRIM(INPUT!F544&amp;""))</f>
        <v/>
      </c>
      <c r="G544" s="28" t="str">
        <f>IF(B544="","",INPUT!H544)</f>
        <v/>
      </c>
      <c r="H544" s="46" t="str">
        <f>IF(B544="","",INPUT!I544)</f>
        <v/>
      </c>
      <c r="I544" s="28" t="str">
        <f>IF(B544="","",IF(INPUT!J544="","None",INPUT!J544))</f>
        <v/>
      </c>
      <c r="J544" s="28" t="str">
        <f t="shared" si="88"/>
        <v/>
      </c>
      <c r="K544" s="28" t="str">
        <f>IF(B544="","",IF(SUMPRODUCT(($J$2:$J$601=J544)*($H$2:$H$601&lt;H544))+SUMPRODUCT(($J$2:J544=J544)*($H$2:H544=H544))-1&gt;0,"DUPLICATE",IF(AND(ISNUMBER(SEARCH("@",E544)),ISNUMBER(SEARCH(".",E544)),LEN(F544)=10,ISNUMBER(VALUE(F544))),"OK","BAD CONTACT")))</f>
        <v/>
      </c>
      <c r="L544" s="28">
        <f t="shared" si="89"/>
        <v>0</v>
      </c>
      <c r="M544" s="28">
        <f>IF(L544=1,IF(COUNTIFS(LOG!$C$2:$C$2001,F544,LOG!$E$2:$E$2001,B544,LOG!$D$2:$D$2001,"*BOOKED")+COUNTIFS(LOG!$C$2:$C$2001,F544,LOG!$E$2:$E$2001,"",LOG!$D$2:$D$2001,"*BOOKED")&gt;0,1,0),0)</f>
        <v>0</v>
      </c>
      <c r="N544" s="28">
        <f>IF(L544=1,IF(COUNTIFS(LOG!$C$2:$C$2001,F544,LOG!$E$2:$E$2001,B544,LOG!$D$2:$D$2001,"NOT_INTERESTED")+COUNTIFS(LOG!$C$2:$C$2001,F544,LOG!$E$2:$E$2001,"",LOG!$D$2:$D$2001,"NOT_INTERESTED")&gt;0,1,0),0)</f>
        <v>0</v>
      </c>
      <c r="O544" s="28">
        <f>IF(L544=1,IF(COUNTIFS(LOG!$C$2:$C$2001,F544,LOG!$D$2:$D$2001,"STOP")+COUNTIFS(LOG!$C$2:$C$2001,F544,LOG!$D$2:$D$2001,"WRONG_NUMBER")&gt;0,1,IF(ISNUMBER(SEARCH("STOP",AT544)),1,0)),0)</f>
        <v>0</v>
      </c>
      <c r="P544" s="28">
        <f>IF(L544=1,IF(IFERROR(INDEX(PARTNERS!$D$2:$D$88,MATCH(B544,PARTNERS!$A$2:$A$88,0)),"")="NO SLOTS",1,IF(AND(IFERROR(INDEX(PARTNERS!$D$2:$D$88,MATCH(B544,PARTNERS!$A$2:$A$88,0)),"")&lt;&gt;"REOPENED",COUNTIFS(LOG!$E$2:$E$2001,B544,LOG!$D$2:$D$2001,"NO_SLOTS")&gt;0),1,0)),0)</f>
        <v>0</v>
      </c>
      <c r="Q544" s="28">
        <f>IF(L544=1,COUNTIFS(LOG!$C$2:$C$2001,F544,LOG!$H$2:$H$2001,1),0)</f>
        <v>0</v>
      </c>
      <c r="R544" s="46">
        <f>IF(Q544&gt;0,_xlfn.MAXIFS(LOG!$G$2:$G$2001,LOG!$C$2:$C$2001,F544,LOG!$H$2:$H$2001,1),0)</f>
        <v>0</v>
      </c>
      <c r="S544" s="28" t="str">
        <f>IF(Q544&gt;0,IFERROR(INDEX(LOG!$D$2:$D$2001,MATCH(F544&amp;"|"&amp;Q544,LOG!$I$2:$I$2001,0)),""),"")</f>
        <v/>
      </c>
      <c r="T544" s="28">
        <f>IF(S544="",0,IFERROR(VLOOKUP(S544,LISTS!$A$2:$E$10,4,FALSE),0))</f>
        <v>0</v>
      </c>
      <c r="U544" s="46">
        <f t="shared" si="90"/>
        <v>0</v>
      </c>
      <c r="V544" s="46" t="str">
        <f>IF(L544=1,H544+SETTINGS!$B$5/24,"")</f>
        <v/>
      </c>
      <c r="W544" s="28" t="str">
        <f>IF(L544=1,(V544-SETTINGS!$B$4)*24,"")</f>
        <v/>
      </c>
      <c r="X544" s="28">
        <f ca="1">IF(AND(L544=1,K544="OK",M544=0,N544=0,O544=0,P544=0,SETTINGS!$B$4&lt;V544,Q544&lt;SETTINGS!$B$6),1,0)</f>
        <v>0</v>
      </c>
      <c r="Y544" s="28">
        <f ca="1">IF(AND(X544=1,SETTINGS!$B$4&gt;=H544,SETTINGS!$B$4&gt;=U544,ROUND(MOD(SETTINGS!$B$4,1)*1440,0)&gt;=ROUND(SETTINGS!$B$7*1440,0),ROUND(MOD(SETTINGS!$B$4,1)*1440,0)&lt;ROUND(SETTINGS!$B$8*1440,0)),1,0)</f>
        <v>0</v>
      </c>
      <c r="Z544" s="28" t="str">
        <f>IF(B544="","",IF(ROUND(MOD(SETTINGS!$B$4,1)*1440,0)&lt;ROUND(SETTINGS!$B$11*1440,0),"Ram",IF(ROUND(MOD(SETTINGS!$B$4,1)*1440,0)&gt;=ROUND(SETTINGS!$B$10*1440,0),"Shyam",IF(MOD(IFERROR(VALUE(RIGHT(F544,2)),0),2)=0,"Ram","Shyam"))))</f>
        <v/>
      </c>
      <c r="AA544" s="28">
        <f t="shared" ca="1" si="91"/>
        <v>0</v>
      </c>
      <c r="AB544" s="28">
        <f ca="1">IF(X544=1,COUNTIFS($F$2:F544,F544,$X$2:X544,1),0)</f>
        <v>0</v>
      </c>
      <c r="AC544" s="28" t="str">
        <f>IF(L544=1,IF(IFERROR(INDEX(PARTNERS!$C$2:$C$88,MATCH(B544,PARTNERS!$A$2:$A$88,0)),"")="YES","YES","NO"),"")</f>
        <v/>
      </c>
      <c r="AD544" s="28" t="str">
        <f>IF(L544=1,IFERROR(INDEX(PARTNERS!$B$2:$B$88,MATCH(B544,PARTNERS!$A$2:$A$88,0)),""),"")</f>
        <v/>
      </c>
      <c r="AE544" s="28">
        <f ca="1">IF(X544=1,IFERROR(INDEX(SETTINGS!$B$34:$D$36,MATCH(I544,SETTINGS!$A$34:$A$36,0),MIN(Q544,2)+1),SETTINGS!$B$36),0)</f>
        <v>0</v>
      </c>
      <c r="AF544" s="28">
        <f t="shared" si="92"/>
        <v>0</v>
      </c>
      <c r="AG544" s="28">
        <f ca="1">IF(AND(Y544=1,AB544=1),ROUND(AA544*AE544*IF(AF544&gt;1,SETTINGS!$B$16,1)*IF(W544&lt;=SETTINGS!$B$14,SETTINGS!$B$15,1)*IF(AU544=1,SETTINGS!$B$21,1),6),0)</f>
        <v>0</v>
      </c>
      <c r="AH544" s="28" t="str">
        <f ca="1">IF(AG544&gt;0,COUNTIFS($Z$2:$Z$601,Z544,$AG$2:$AG$601,"&gt;"&amp;AG544)+COUNTIFS($Z$2:Z544,Z544,$AG$2:AG544,AG544),"")</f>
        <v/>
      </c>
      <c r="AI544" s="28" t="str">
        <f t="shared" ca="1" si="93"/>
        <v/>
      </c>
      <c r="AJ544" s="28" t="str">
        <f t="shared" ca="1" si="94"/>
        <v/>
      </c>
      <c r="AK544" s="28">
        <f>IF(L544=1,IF(COUNTIFS($F$2:F544,F544,$L$2:L544,1)=1,1,0),0)</f>
        <v>0</v>
      </c>
      <c r="AL544" s="28" t="str">
        <f>IF(B544="","",IF(K544="DUPLICATE","Duplicate (removed)",IF(AO544=1,"Scheduled within 24h",IF(M544=1,"Scheduled late",IF(K544="BAD CONTACT","Bad contact details",IF(O544=1,"Stopped / wrong number",IF(N544=1,"Not interested",IF(P544=1,"Partner has no slots",IF(SETTINGS!$B$4&gt;=V544,IF(Q544=0,"Missed deadline: never tried","Missed deadline: tried, not booked"),IF(Q544&gt;=SETTINGS!$B$6,"No reply after max tries","Open"))))))))))</f>
        <v/>
      </c>
      <c r="AM544" s="46" t="str">
        <f>IF(M544=1,IF(_xlfn.MINIFS(LOG!$G$2:$G$2001,LOG!$C$2:$C$2001,F544,LOG!$E$2:$E$2001,B544,LOG!$D$2:$D$2001,"*BOOKED")=0,_xlfn.MINIFS(LOG!$G$2:$G$2001,LOG!$C$2:$C$2001,F544,LOG!$E$2:$E$2001,"",LOG!$D$2:$D$2001,"*BOOKED"),IF(_xlfn.MINIFS(LOG!$G$2:$G$2001,LOG!$C$2:$C$2001,F544,LOG!$E$2:$E$2001,"",LOG!$D$2:$D$2001,"*BOOKED")=0,_xlfn.MINIFS(LOG!$G$2:$G$2001,LOG!$C$2:$C$2001,F544,LOG!$E$2:$E$2001,B544,LOG!$D$2:$D$2001,"*BOOKED"),MIN(_xlfn.MINIFS(LOG!$G$2:$G$2001,LOG!$C$2:$C$2001,F544,LOG!$E$2:$E$2001,B544,LOG!$D$2:$D$2001,"*BOOKED"),_xlfn.MINIFS(LOG!$G$2:$G$2001,LOG!$C$2:$C$2001,F544,LOG!$E$2:$E$2001,"",LOG!$D$2:$D$2001,"*BOOKED")))),"")</f>
        <v/>
      </c>
      <c r="AN544" s="28" t="str">
        <f t="shared" si="95"/>
        <v/>
      </c>
      <c r="AO544" s="28">
        <f>IF(AND(M544=1,AN544&lt;&gt;""),IF(AN544&lt;=SETTINGS!$B$5,1,0),0)</f>
        <v>0</v>
      </c>
      <c r="AP544" s="28">
        <f>IF(M544=1,IF(COUNTIFS(LOG!$C$2:$C$2001,F544,LOG!$E$2:$E$2001,B544,LOG!$D$2:$D$2001,"BOOKED")+COUNTIFS(LOG!$C$2:$C$2001,F544,LOG!$E$2:$E$2001,"",LOG!$D$2:$D$2001,"BOOKED")&gt;0,1,0),0)</f>
        <v>0</v>
      </c>
      <c r="AQ544" s="28" t="str">
        <f t="shared" si="96"/>
        <v/>
      </c>
      <c r="AR544" s="28" t="str">
        <f>IF(AND(AK544=1,K544="OK"),COUNTIFS($AK$2:AK544,1,$K$2:K544,"OK"),"")</f>
        <v/>
      </c>
      <c r="AS544" s="28" t="str">
        <f>IF(L544=1,IFERROR(INDEX(MESSAGES!$J$9:$J$1008,MATCH(F544,MESSAGES!$M$9:$M$1008,0))&amp;"",""),"")</f>
        <v/>
      </c>
      <c r="AT544" s="28" t="str">
        <f>IF(L544=1,IFERROR(INDEX(MESSAGES!$K$9:$K$1008,MATCH(F544,MESSAGES!$M$9:$M$1008,0))&amp;"",""),"")</f>
        <v/>
      </c>
      <c r="AU544" s="28">
        <f t="shared" ca="1" si="97"/>
        <v>0</v>
      </c>
      <c r="AV544" s="28" t="str">
        <f t="shared" si="98"/>
        <v/>
      </c>
    </row>
    <row r="545" spans="1:48" x14ac:dyDescent="0.35">
      <c r="A545" s="28">
        <v>544</v>
      </c>
      <c r="B545" s="28" t="str">
        <f>IF(INPUT!A545="","",TRIM(INPUT!A545))</f>
        <v/>
      </c>
      <c r="C545" s="28" t="str">
        <f>IF(B545="","",INPUT!C545)</f>
        <v/>
      </c>
      <c r="D545" s="28" t="str">
        <f>IF(B545="","",INPUT!D545)</f>
        <v/>
      </c>
      <c r="E545" s="28" t="str">
        <f>IF(B545="","",INPUT!E545)</f>
        <v/>
      </c>
      <c r="F545" s="43" t="str">
        <f>IF(B545="","",TRIM(INPUT!F545&amp;""))</f>
        <v/>
      </c>
      <c r="G545" s="28" t="str">
        <f>IF(B545="","",INPUT!H545)</f>
        <v/>
      </c>
      <c r="H545" s="46" t="str">
        <f>IF(B545="","",INPUT!I545)</f>
        <v/>
      </c>
      <c r="I545" s="28" t="str">
        <f>IF(B545="","",IF(INPUT!J545="","None",INPUT!J545))</f>
        <v/>
      </c>
      <c r="J545" s="28" t="str">
        <f t="shared" si="88"/>
        <v/>
      </c>
      <c r="K545" s="28" t="str">
        <f>IF(B545="","",IF(SUMPRODUCT(($J$2:$J$601=J545)*($H$2:$H$601&lt;H545))+SUMPRODUCT(($J$2:J545=J545)*($H$2:H545=H545))-1&gt;0,"DUPLICATE",IF(AND(ISNUMBER(SEARCH("@",E545)),ISNUMBER(SEARCH(".",E545)),LEN(F545)=10,ISNUMBER(VALUE(F545))),"OK","BAD CONTACT")))</f>
        <v/>
      </c>
      <c r="L545" s="28">
        <f t="shared" si="89"/>
        <v>0</v>
      </c>
      <c r="M545" s="28">
        <f>IF(L545=1,IF(COUNTIFS(LOG!$C$2:$C$2001,F545,LOG!$E$2:$E$2001,B545,LOG!$D$2:$D$2001,"*BOOKED")+COUNTIFS(LOG!$C$2:$C$2001,F545,LOG!$E$2:$E$2001,"",LOG!$D$2:$D$2001,"*BOOKED")&gt;0,1,0),0)</f>
        <v>0</v>
      </c>
      <c r="N545" s="28">
        <f>IF(L545=1,IF(COUNTIFS(LOG!$C$2:$C$2001,F545,LOG!$E$2:$E$2001,B545,LOG!$D$2:$D$2001,"NOT_INTERESTED")+COUNTIFS(LOG!$C$2:$C$2001,F545,LOG!$E$2:$E$2001,"",LOG!$D$2:$D$2001,"NOT_INTERESTED")&gt;0,1,0),0)</f>
        <v>0</v>
      </c>
      <c r="O545" s="28">
        <f>IF(L545=1,IF(COUNTIFS(LOG!$C$2:$C$2001,F545,LOG!$D$2:$D$2001,"STOP")+COUNTIFS(LOG!$C$2:$C$2001,F545,LOG!$D$2:$D$2001,"WRONG_NUMBER")&gt;0,1,IF(ISNUMBER(SEARCH("STOP",AT545)),1,0)),0)</f>
        <v>0</v>
      </c>
      <c r="P545" s="28">
        <f>IF(L545=1,IF(IFERROR(INDEX(PARTNERS!$D$2:$D$88,MATCH(B545,PARTNERS!$A$2:$A$88,0)),"")="NO SLOTS",1,IF(AND(IFERROR(INDEX(PARTNERS!$D$2:$D$88,MATCH(B545,PARTNERS!$A$2:$A$88,0)),"")&lt;&gt;"REOPENED",COUNTIFS(LOG!$E$2:$E$2001,B545,LOG!$D$2:$D$2001,"NO_SLOTS")&gt;0),1,0)),0)</f>
        <v>0</v>
      </c>
      <c r="Q545" s="28">
        <f>IF(L545=1,COUNTIFS(LOG!$C$2:$C$2001,F545,LOG!$H$2:$H$2001,1),0)</f>
        <v>0</v>
      </c>
      <c r="R545" s="46">
        <f>IF(Q545&gt;0,_xlfn.MAXIFS(LOG!$G$2:$G$2001,LOG!$C$2:$C$2001,F545,LOG!$H$2:$H$2001,1),0)</f>
        <v>0</v>
      </c>
      <c r="S545" s="28" t="str">
        <f>IF(Q545&gt;0,IFERROR(INDEX(LOG!$D$2:$D$2001,MATCH(F545&amp;"|"&amp;Q545,LOG!$I$2:$I$2001,0)),""),"")</f>
        <v/>
      </c>
      <c r="T545" s="28">
        <f>IF(S545="",0,IFERROR(VLOOKUP(S545,LISTS!$A$2:$E$10,4,FALSE),0))</f>
        <v>0</v>
      </c>
      <c r="U545" s="46">
        <f t="shared" si="90"/>
        <v>0</v>
      </c>
      <c r="V545" s="46" t="str">
        <f>IF(L545=1,H545+SETTINGS!$B$5/24,"")</f>
        <v/>
      </c>
      <c r="W545" s="28" t="str">
        <f>IF(L545=1,(V545-SETTINGS!$B$4)*24,"")</f>
        <v/>
      </c>
      <c r="X545" s="28">
        <f ca="1">IF(AND(L545=1,K545="OK",M545=0,N545=0,O545=0,P545=0,SETTINGS!$B$4&lt;V545,Q545&lt;SETTINGS!$B$6),1,0)</f>
        <v>0</v>
      </c>
      <c r="Y545" s="28">
        <f ca="1">IF(AND(X545=1,SETTINGS!$B$4&gt;=H545,SETTINGS!$B$4&gt;=U545,ROUND(MOD(SETTINGS!$B$4,1)*1440,0)&gt;=ROUND(SETTINGS!$B$7*1440,0),ROUND(MOD(SETTINGS!$B$4,1)*1440,0)&lt;ROUND(SETTINGS!$B$8*1440,0)),1,0)</f>
        <v>0</v>
      </c>
      <c r="Z545" s="28" t="str">
        <f>IF(B545="","",IF(ROUND(MOD(SETTINGS!$B$4,1)*1440,0)&lt;ROUND(SETTINGS!$B$11*1440,0),"Ram",IF(ROUND(MOD(SETTINGS!$B$4,1)*1440,0)&gt;=ROUND(SETTINGS!$B$10*1440,0),"Shyam",IF(MOD(IFERROR(VALUE(RIGHT(F545,2)),0),2)=0,"Ram","Shyam"))))</f>
        <v/>
      </c>
      <c r="AA545" s="28">
        <f t="shared" ca="1" si="91"/>
        <v>0</v>
      </c>
      <c r="AB545" s="28">
        <f ca="1">IF(X545=1,COUNTIFS($F$2:F545,F545,$X$2:X545,1),0)</f>
        <v>0</v>
      </c>
      <c r="AC545" s="28" t="str">
        <f>IF(L545=1,IF(IFERROR(INDEX(PARTNERS!$C$2:$C$88,MATCH(B545,PARTNERS!$A$2:$A$88,0)),"")="YES","YES","NO"),"")</f>
        <v/>
      </c>
      <c r="AD545" s="28" t="str">
        <f>IF(L545=1,IFERROR(INDEX(PARTNERS!$B$2:$B$88,MATCH(B545,PARTNERS!$A$2:$A$88,0)),""),"")</f>
        <v/>
      </c>
      <c r="AE545" s="28">
        <f ca="1">IF(X545=1,IFERROR(INDEX(SETTINGS!$B$34:$D$36,MATCH(I545,SETTINGS!$A$34:$A$36,0),MIN(Q545,2)+1),SETTINGS!$B$36),0)</f>
        <v>0</v>
      </c>
      <c r="AF545" s="28">
        <f t="shared" si="92"/>
        <v>0</v>
      </c>
      <c r="AG545" s="28">
        <f ca="1">IF(AND(Y545=1,AB545=1),ROUND(AA545*AE545*IF(AF545&gt;1,SETTINGS!$B$16,1)*IF(W545&lt;=SETTINGS!$B$14,SETTINGS!$B$15,1)*IF(AU545=1,SETTINGS!$B$21,1),6),0)</f>
        <v>0</v>
      </c>
      <c r="AH545" s="28" t="str">
        <f ca="1">IF(AG545&gt;0,COUNTIFS($Z$2:$Z$601,Z545,$AG$2:$AG$601,"&gt;"&amp;AG545)+COUNTIFS($Z$2:Z545,Z545,$AG$2:AG545,AG545),"")</f>
        <v/>
      </c>
      <c r="AI545" s="28" t="str">
        <f t="shared" ca="1" si="93"/>
        <v/>
      </c>
      <c r="AJ545" s="28" t="str">
        <f t="shared" ca="1" si="94"/>
        <v/>
      </c>
      <c r="AK545" s="28">
        <f>IF(L545=1,IF(COUNTIFS($F$2:F545,F545,$L$2:L545,1)=1,1,0),0)</f>
        <v>0</v>
      </c>
      <c r="AL545" s="28" t="str">
        <f>IF(B545="","",IF(K545="DUPLICATE","Duplicate (removed)",IF(AO545=1,"Scheduled within 24h",IF(M545=1,"Scheduled late",IF(K545="BAD CONTACT","Bad contact details",IF(O545=1,"Stopped / wrong number",IF(N545=1,"Not interested",IF(P545=1,"Partner has no slots",IF(SETTINGS!$B$4&gt;=V545,IF(Q545=0,"Missed deadline: never tried","Missed deadline: tried, not booked"),IF(Q545&gt;=SETTINGS!$B$6,"No reply after max tries","Open"))))))))))</f>
        <v/>
      </c>
      <c r="AM545" s="46" t="str">
        <f>IF(M545=1,IF(_xlfn.MINIFS(LOG!$G$2:$G$2001,LOG!$C$2:$C$2001,F545,LOG!$E$2:$E$2001,B545,LOG!$D$2:$D$2001,"*BOOKED")=0,_xlfn.MINIFS(LOG!$G$2:$G$2001,LOG!$C$2:$C$2001,F545,LOG!$E$2:$E$2001,"",LOG!$D$2:$D$2001,"*BOOKED"),IF(_xlfn.MINIFS(LOG!$G$2:$G$2001,LOG!$C$2:$C$2001,F545,LOG!$E$2:$E$2001,"",LOG!$D$2:$D$2001,"*BOOKED")=0,_xlfn.MINIFS(LOG!$G$2:$G$2001,LOG!$C$2:$C$2001,F545,LOG!$E$2:$E$2001,B545,LOG!$D$2:$D$2001,"*BOOKED"),MIN(_xlfn.MINIFS(LOG!$G$2:$G$2001,LOG!$C$2:$C$2001,F545,LOG!$E$2:$E$2001,B545,LOG!$D$2:$D$2001,"*BOOKED"),_xlfn.MINIFS(LOG!$G$2:$G$2001,LOG!$C$2:$C$2001,F545,LOG!$E$2:$E$2001,"",LOG!$D$2:$D$2001,"*BOOKED")))),"")</f>
        <v/>
      </c>
      <c r="AN545" s="28" t="str">
        <f t="shared" si="95"/>
        <v/>
      </c>
      <c r="AO545" s="28">
        <f>IF(AND(M545=1,AN545&lt;&gt;""),IF(AN545&lt;=SETTINGS!$B$5,1,0),0)</f>
        <v>0</v>
      </c>
      <c r="AP545" s="28">
        <f>IF(M545=1,IF(COUNTIFS(LOG!$C$2:$C$2001,F545,LOG!$E$2:$E$2001,B545,LOG!$D$2:$D$2001,"BOOKED")+COUNTIFS(LOG!$C$2:$C$2001,F545,LOG!$E$2:$E$2001,"",LOG!$D$2:$D$2001,"BOOKED")&gt;0,1,0),0)</f>
        <v>0</v>
      </c>
      <c r="AQ545" s="28" t="str">
        <f t="shared" si="96"/>
        <v/>
      </c>
      <c r="AR545" s="28" t="str">
        <f>IF(AND(AK545=1,K545="OK"),COUNTIFS($AK$2:AK545,1,$K$2:K545,"OK"),"")</f>
        <v/>
      </c>
      <c r="AS545" s="28" t="str">
        <f>IF(L545=1,IFERROR(INDEX(MESSAGES!$J$9:$J$1008,MATCH(F545,MESSAGES!$M$9:$M$1008,0))&amp;"",""),"")</f>
        <v/>
      </c>
      <c r="AT545" s="28" t="str">
        <f>IF(L545=1,IFERROR(INDEX(MESSAGES!$K$9:$K$1008,MATCH(F545,MESSAGES!$M$9:$M$1008,0))&amp;"",""),"")</f>
        <v/>
      </c>
      <c r="AU545" s="28">
        <f t="shared" ca="1" si="97"/>
        <v>0</v>
      </c>
      <c r="AV545" s="28" t="str">
        <f t="shared" si="98"/>
        <v/>
      </c>
    </row>
    <row r="546" spans="1:48" x14ac:dyDescent="0.35">
      <c r="A546" s="28">
        <v>545</v>
      </c>
      <c r="B546" s="28" t="str">
        <f>IF(INPUT!A546="","",TRIM(INPUT!A546))</f>
        <v/>
      </c>
      <c r="C546" s="28" t="str">
        <f>IF(B546="","",INPUT!C546)</f>
        <v/>
      </c>
      <c r="D546" s="28" t="str">
        <f>IF(B546="","",INPUT!D546)</f>
        <v/>
      </c>
      <c r="E546" s="28" t="str">
        <f>IF(B546="","",INPUT!E546)</f>
        <v/>
      </c>
      <c r="F546" s="43" t="str">
        <f>IF(B546="","",TRIM(INPUT!F546&amp;""))</f>
        <v/>
      </c>
      <c r="G546" s="28" t="str">
        <f>IF(B546="","",INPUT!H546)</f>
        <v/>
      </c>
      <c r="H546" s="46" t="str">
        <f>IF(B546="","",INPUT!I546)</f>
        <v/>
      </c>
      <c r="I546" s="28" t="str">
        <f>IF(B546="","",IF(INPUT!J546="","None",INPUT!J546))</f>
        <v/>
      </c>
      <c r="J546" s="28" t="str">
        <f t="shared" si="88"/>
        <v/>
      </c>
      <c r="K546" s="28" t="str">
        <f>IF(B546="","",IF(SUMPRODUCT(($J$2:$J$601=J546)*($H$2:$H$601&lt;H546))+SUMPRODUCT(($J$2:J546=J546)*($H$2:H546=H546))-1&gt;0,"DUPLICATE",IF(AND(ISNUMBER(SEARCH("@",E546)),ISNUMBER(SEARCH(".",E546)),LEN(F546)=10,ISNUMBER(VALUE(F546))),"OK","BAD CONTACT")))</f>
        <v/>
      </c>
      <c r="L546" s="28">
        <f t="shared" si="89"/>
        <v>0</v>
      </c>
      <c r="M546" s="28">
        <f>IF(L546=1,IF(COUNTIFS(LOG!$C$2:$C$2001,F546,LOG!$E$2:$E$2001,B546,LOG!$D$2:$D$2001,"*BOOKED")+COUNTIFS(LOG!$C$2:$C$2001,F546,LOG!$E$2:$E$2001,"",LOG!$D$2:$D$2001,"*BOOKED")&gt;0,1,0),0)</f>
        <v>0</v>
      </c>
      <c r="N546" s="28">
        <f>IF(L546=1,IF(COUNTIFS(LOG!$C$2:$C$2001,F546,LOG!$E$2:$E$2001,B546,LOG!$D$2:$D$2001,"NOT_INTERESTED")+COUNTIFS(LOG!$C$2:$C$2001,F546,LOG!$E$2:$E$2001,"",LOG!$D$2:$D$2001,"NOT_INTERESTED")&gt;0,1,0),0)</f>
        <v>0</v>
      </c>
      <c r="O546" s="28">
        <f>IF(L546=1,IF(COUNTIFS(LOG!$C$2:$C$2001,F546,LOG!$D$2:$D$2001,"STOP")+COUNTIFS(LOG!$C$2:$C$2001,F546,LOG!$D$2:$D$2001,"WRONG_NUMBER")&gt;0,1,IF(ISNUMBER(SEARCH("STOP",AT546)),1,0)),0)</f>
        <v>0</v>
      </c>
      <c r="P546" s="28">
        <f>IF(L546=1,IF(IFERROR(INDEX(PARTNERS!$D$2:$D$88,MATCH(B546,PARTNERS!$A$2:$A$88,0)),"")="NO SLOTS",1,IF(AND(IFERROR(INDEX(PARTNERS!$D$2:$D$88,MATCH(B546,PARTNERS!$A$2:$A$88,0)),"")&lt;&gt;"REOPENED",COUNTIFS(LOG!$E$2:$E$2001,B546,LOG!$D$2:$D$2001,"NO_SLOTS")&gt;0),1,0)),0)</f>
        <v>0</v>
      </c>
      <c r="Q546" s="28">
        <f>IF(L546=1,COUNTIFS(LOG!$C$2:$C$2001,F546,LOG!$H$2:$H$2001,1),0)</f>
        <v>0</v>
      </c>
      <c r="R546" s="46">
        <f>IF(Q546&gt;0,_xlfn.MAXIFS(LOG!$G$2:$G$2001,LOG!$C$2:$C$2001,F546,LOG!$H$2:$H$2001,1),0)</f>
        <v>0</v>
      </c>
      <c r="S546" s="28" t="str">
        <f>IF(Q546&gt;0,IFERROR(INDEX(LOG!$D$2:$D$2001,MATCH(F546&amp;"|"&amp;Q546,LOG!$I$2:$I$2001,0)),""),"")</f>
        <v/>
      </c>
      <c r="T546" s="28">
        <f>IF(S546="",0,IFERROR(VLOOKUP(S546,LISTS!$A$2:$E$10,4,FALSE),0))</f>
        <v>0</v>
      </c>
      <c r="U546" s="46">
        <f t="shared" si="90"/>
        <v>0</v>
      </c>
      <c r="V546" s="46" t="str">
        <f>IF(L546=1,H546+SETTINGS!$B$5/24,"")</f>
        <v/>
      </c>
      <c r="W546" s="28" t="str">
        <f>IF(L546=1,(V546-SETTINGS!$B$4)*24,"")</f>
        <v/>
      </c>
      <c r="X546" s="28">
        <f ca="1">IF(AND(L546=1,K546="OK",M546=0,N546=0,O546=0,P546=0,SETTINGS!$B$4&lt;V546,Q546&lt;SETTINGS!$B$6),1,0)</f>
        <v>0</v>
      </c>
      <c r="Y546" s="28">
        <f ca="1">IF(AND(X546=1,SETTINGS!$B$4&gt;=H546,SETTINGS!$B$4&gt;=U546,ROUND(MOD(SETTINGS!$B$4,1)*1440,0)&gt;=ROUND(SETTINGS!$B$7*1440,0),ROUND(MOD(SETTINGS!$B$4,1)*1440,0)&lt;ROUND(SETTINGS!$B$8*1440,0)),1,0)</f>
        <v>0</v>
      </c>
      <c r="Z546" s="28" t="str">
        <f>IF(B546="","",IF(ROUND(MOD(SETTINGS!$B$4,1)*1440,0)&lt;ROUND(SETTINGS!$B$11*1440,0),"Ram",IF(ROUND(MOD(SETTINGS!$B$4,1)*1440,0)&gt;=ROUND(SETTINGS!$B$10*1440,0),"Shyam",IF(MOD(IFERROR(VALUE(RIGHT(F546,2)),0),2)=0,"Ram","Shyam"))))</f>
        <v/>
      </c>
      <c r="AA546" s="28">
        <f t="shared" ca="1" si="91"/>
        <v>0</v>
      </c>
      <c r="AB546" s="28">
        <f ca="1">IF(X546=1,COUNTIFS($F$2:F546,F546,$X$2:X546,1),0)</f>
        <v>0</v>
      </c>
      <c r="AC546" s="28" t="str">
        <f>IF(L546=1,IF(IFERROR(INDEX(PARTNERS!$C$2:$C$88,MATCH(B546,PARTNERS!$A$2:$A$88,0)),"")="YES","YES","NO"),"")</f>
        <v/>
      </c>
      <c r="AD546" s="28" t="str">
        <f>IF(L546=1,IFERROR(INDEX(PARTNERS!$B$2:$B$88,MATCH(B546,PARTNERS!$A$2:$A$88,0)),""),"")</f>
        <v/>
      </c>
      <c r="AE546" s="28">
        <f ca="1">IF(X546=1,IFERROR(INDEX(SETTINGS!$B$34:$D$36,MATCH(I546,SETTINGS!$A$34:$A$36,0),MIN(Q546,2)+1),SETTINGS!$B$36),0)</f>
        <v>0</v>
      </c>
      <c r="AF546" s="28">
        <f t="shared" si="92"/>
        <v>0</v>
      </c>
      <c r="AG546" s="28">
        <f ca="1">IF(AND(Y546=1,AB546=1),ROUND(AA546*AE546*IF(AF546&gt;1,SETTINGS!$B$16,1)*IF(W546&lt;=SETTINGS!$B$14,SETTINGS!$B$15,1)*IF(AU546=1,SETTINGS!$B$21,1),6),0)</f>
        <v>0</v>
      </c>
      <c r="AH546" s="28" t="str">
        <f ca="1">IF(AG546&gt;0,COUNTIFS($Z$2:$Z$601,Z546,$AG$2:$AG$601,"&gt;"&amp;AG546)+COUNTIFS($Z$2:Z546,Z546,$AG$2:AG546,AG546),"")</f>
        <v/>
      </c>
      <c r="AI546" s="28" t="str">
        <f t="shared" ca="1" si="93"/>
        <v/>
      </c>
      <c r="AJ546" s="28" t="str">
        <f t="shared" ca="1" si="94"/>
        <v/>
      </c>
      <c r="AK546" s="28">
        <f>IF(L546=1,IF(COUNTIFS($F$2:F546,F546,$L$2:L546,1)=1,1,0),0)</f>
        <v>0</v>
      </c>
      <c r="AL546" s="28" t="str">
        <f>IF(B546="","",IF(K546="DUPLICATE","Duplicate (removed)",IF(AO546=1,"Scheduled within 24h",IF(M546=1,"Scheduled late",IF(K546="BAD CONTACT","Bad contact details",IF(O546=1,"Stopped / wrong number",IF(N546=1,"Not interested",IF(P546=1,"Partner has no slots",IF(SETTINGS!$B$4&gt;=V546,IF(Q546=0,"Missed deadline: never tried","Missed deadline: tried, not booked"),IF(Q546&gt;=SETTINGS!$B$6,"No reply after max tries","Open"))))))))))</f>
        <v/>
      </c>
      <c r="AM546" s="46" t="str">
        <f>IF(M546=1,IF(_xlfn.MINIFS(LOG!$G$2:$G$2001,LOG!$C$2:$C$2001,F546,LOG!$E$2:$E$2001,B546,LOG!$D$2:$D$2001,"*BOOKED")=0,_xlfn.MINIFS(LOG!$G$2:$G$2001,LOG!$C$2:$C$2001,F546,LOG!$E$2:$E$2001,"",LOG!$D$2:$D$2001,"*BOOKED"),IF(_xlfn.MINIFS(LOG!$G$2:$G$2001,LOG!$C$2:$C$2001,F546,LOG!$E$2:$E$2001,"",LOG!$D$2:$D$2001,"*BOOKED")=0,_xlfn.MINIFS(LOG!$G$2:$G$2001,LOG!$C$2:$C$2001,F546,LOG!$E$2:$E$2001,B546,LOG!$D$2:$D$2001,"*BOOKED"),MIN(_xlfn.MINIFS(LOG!$G$2:$G$2001,LOG!$C$2:$C$2001,F546,LOG!$E$2:$E$2001,B546,LOG!$D$2:$D$2001,"*BOOKED"),_xlfn.MINIFS(LOG!$G$2:$G$2001,LOG!$C$2:$C$2001,F546,LOG!$E$2:$E$2001,"",LOG!$D$2:$D$2001,"*BOOKED")))),"")</f>
        <v/>
      </c>
      <c r="AN546" s="28" t="str">
        <f t="shared" si="95"/>
        <v/>
      </c>
      <c r="AO546" s="28">
        <f>IF(AND(M546=1,AN546&lt;&gt;""),IF(AN546&lt;=SETTINGS!$B$5,1,0),0)</f>
        <v>0</v>
      </c>
      <c r="AP546" s="28">
        <f>IF(M546=1,IF(COUNTIFS(LOG!$C$2:$C$2001,F546,LOG!$E$2:$E$2001,B546,LOG!$D$2:$D$2001,"BOOKED")+COUNTIFS(LOG!$C$2:$C$2001,F546,LOG!$E$2:$E$2001,"",LOG!$D$2:$D$2001,"BOOKED")&gt;0,1,0),0)</f>
        <v>0</v>
      </c>
      <c r="AQ546" s="28" t="str">
        <f t="shared" si="96"/>
        <v/>
      </c>
      <c r="AR546" s="28" t="str">
        <f>IF(AND(AK546=1,K546="OK"),COUNTIFS($AK$2:AK546,1,$K$2:K546,"OK"),"")</f>
        <v/>
      </c>
      <c r="AS546" s="28" t="str">
        <f>IF(L546=1,IFERROR(INDEX(MESSAGES!$J$9:$J$1008,MATCH(F546,MESSAGES!$M$9:$M$1008,0))&amp;"",""),"")</f>
        <v/>
      </c>
      <c r="AT546" s="28" t="str">
        <f>IF(L546=1,IFERROR(INDEX(MESSAGES!$K$9:$K$1008,MATCH(F546,MESSAGES!$M$9:$M$1008,0))&amp;"",""),"")</f>
        <v/>
      </c>
      <c r="AU546" s="28">
        <f t="shared" ca="1" si="97"/>
        <v>0</v>
      </c>
      <c r="AV546" s="28" t="str">
        <f t="shared" si="98"/>
        <v/>
      </c>
    </row>
    <row r="547" spans="1:48" x14ac:dyDescent="0.35">
      <c r="A547" s="28">
        <v>546</v>
      </c>
      <c r="B547" s="28" t="str">
        <f>IF(INPUT!A547="","",TRIM(INPUT!A547))</f>
        <v/>
      </c>
      <c r="C547" s="28" t="str">
        <f>IF(B547="","",INPUT!C547)</f>
        <v/>
      </c>
      <c r="D547" s="28" t="str">
        <f>IF(B547="","",INPUT!D547)</f>
        <v/>
      </c>
      <c r="E547" s="28" t="str">
        <f>IF(B547="","",INPUT!E547)</f>
        <v/>
      </c>
      <c r="F547" s="43" t="str">
        <f>IF(B547="","",TRIM(INPUT!F547&amp;""))</f>
        <v/>
      </c>
      <c r="G547" s="28" t="str">
        <f>IF(B547="","",INPUT!H547)</f>
        <v/>
      </c>
      <c r="H547" s="46" t="str">
        <f>IF(B547="","",INPUT!I547)</f>
        <v/>
      </c>
      <c r="I547" s="28" t="str">
        <f>IF(B547="","",IF(INPUT!J547="","None",INPUT!J547))</f>
        <v/>
      </c>
      <c r="J547" s="28" t="str">
        <f t="shared" si="88"/>
        <v/>
      </c>
      <c r="K547" s="28" t="str">
        <f>IF(B547="","",IF(SUMPRODUCT(($J$2:$J$601=J547)*($H$2:$H$601&lt;H547))+SUMPRODUCT(($J$2:J547=J547)*($H$2:H547=H547))-1&gt;0,"DUPLICATE",IF(AND(ISNUMBER(SEARCH("@",E547)),ISNUMBER(SEARCH(".",E547)),LEN(F547)=10,ISNUMBER(VALUE(F547))),"OK","BAD CONTACT")))</f>
        <v/>
      </c>
      <c r="L547" s="28">
        <f t="shared" si="89"/>
        <v>0</v>
      </c>
      <c r="M547" s="28">
        <f>IF(L547=1,IF(COUNTIFS(LOG!$C$2:$C$2001,F547,LOG!$E$2:$E$2001,B547,LOG!$D$2:$D$2001,"*BOOKED")+COUNTIFS(LOG!$C$2:$C$2001,F547,LOG!$E$2:$E$2001,"",LOG!$D$2:$D$2001,"*BOOKED")&gt;0,1,0),0)</f>
        <v>0</v>
      </c>
      <c r="N547" s="28">
        <f>IF(L547=1,IF(COUNTIFS(LOG!$C$2:$C$2001,F547,LOG!$E$2:$E$2001,B547,LOG!$D$2:$D$2001,"NOT_INTERESTED")+COUNTIFS(LOG!$C$2:$C$2001,F547,LOG!$E$2:$E$2001,"",LOG!$D$2:$D$2001,"NOT_INTERESTED")&gt;0,1,0),0)</f>
        <v>0</v>
      </c>
      <c r="O547" s="28">
        <f>IF(L547=1,IF(COUNTIFS(LOG!$C$2:$C$2001,F547,LOG!$D$2:$D$2001,"STOP")+COUNTIFS(LOG!$C$2:$C$2001,F547,LOG!$D$2:$D$2001,"WRONG_NUMBER")&gt;0,1,IF(ISNUMBER(SEARCH("STOP",AT547)),1,0)),0)</f>
        <v>0</v>
      </c>
      <c r="P547" s="28">
        <f>IF(L547=1,IF(IFERROR(INDEX(PARTNERS!$D$2:$D$88,MATCH(B547,PARTNERS!$A$2:$A$88,0)),"")="NO SLOTS",1,IF(AND(IFERROR(INDEX(PARTNERS!$D$2:$D$88,MATCH(B547,PARTNERS!$A$2:$A$88,0)),"")&lt;&gt;"REOPENED",COUNTIFS(LOG!$E$2:$E$2001,B547,LOG!$D$2:$D$2001,"NO_SLOTS")&gt;0),1,0)),0)</f>
        <v>0</v>
      </c>
      <c r="Q547" s="28">
        <f>IF(L547=1,COUNTIFS(LOG!$C$2:$C$2001,F547,LOG!$H$2:$H$2001,1),0)</f>
        <v>0</v>
      </c>
      <c r="R547" s="46">
        <f>IF(Q547&gt;0,_xlfn.MAXIFS(LOG!$G$2:$G$2001,LOG!$C$2:$C$2001,F547,LOG!$H$2:$H$2001,1),0)</f>
        <v>0</v>
      </c>
      <c r="S547" s="28" t="str">
        <f>IF(Q547&gt;0,IFERROR(INDEX(LOG!$D$2:$D$2001,MATCH(F547&amp;"|"&amp;Q547,LOG!$I$2:$I$2001,0)),""),"")</f>
        <v/>
      </c>
      <c r="T547" s="28">
        <f>IF(S547="",0,IFERROR(VLOOKUP(S547,LISTS!$A$2:$E$10,4,FALSE),0))</f>
        <v>0</v>
      </c>
      <c r="U547" s="46">
        <f t="shared" si="90"/>
        <v>0</v>
      </c>
      <c r="V547" s="46" t="str">
        <f>IF(L547=1,H547+SETTINGS!$B$5/24,"")</f>
        <v/>
      </c>
      <c r="W547" s="28" t="str">
        <f>IF(L547=1,(V547-SETTINGS!$B$4)*24,"")</f>
        <v/>
      </c>
      <c r="X547" s="28">
        <f ca="1">IF(AND(L547=1,K547="OK",M547=0,N547=0,O547=0,P547=0,SETTINGS!$B$4&lt;V547,Q547&lt;SETTINGS!$B$6),1,0)</f>
        <v>0</v>
      </c>
      <c r="Y547" s="28">
        <f ca="1">IF(AND(X547=1,SETTINGS!$B$4&gt;=H547,SETTINGS!$B$4&gt;=U547,ROUND(MOD(SETTINGS!$B$4,1)*1440,0)&gt;=ROUND(SETTINGS!$B$7*1440,0),ROUND(MOD(SETTINGS!$B$4,1)*1440,0)&lt;ROUND(SETTINGS!$B$8*1440,0)),1,0)</f>
        <v>0</v>
      </c>
      <c r="Z547" s="28" t="str">
        <f>IF(B547="","",IF(ROUND(MOD(SETTINGS!$B$4,1)*1440,0)&lt;ROUND(SETTINGS!$B$11*1440,0),"Ram",IF(ROUND(MOD(SETTINGS!$B$4,1)*1440,0)&gt;=ROUND(SETTINGS!$B$10*1440,0),"Shyam",IF(MOD(IFERROR(VALUE(RIGHT(F547,2)),0),2)=0,"Ram","Shyam"))))</f>
        <v/>
      </c>
      <c r="AA547" s="28">
        <f t="shared" ca="1" si="91"/>
        <v>0</v>
      </c>
      <c r="AB547" s="28">
        <f ca="1">IF(X547=1,COUNTIFS($F$2:F547,F547,$X$2:X547,1),0)</f>
        <v>0</v>
      </c>
      <c r="AC547" s="28" t="str">
        <f>IF(L547=1,IF(IFERROR(INDEX(PARTNERS!$C$2:$C$88,MATCH(B547,PARTNERS!$A$2:$A$88,0)),"")="YES","YES","NO"),"")</f>
        <v/>
      </c>
      <c r="AD547" s="28" t="str">
        <f>IF(L547=1,IFERROR(INDEX(PARTNERS!$B$2:$B$88,MATCH(B547,PARTNERS!$A$2:$A$88,0)),""),"")</f>
        <v/>
      </c>
      <c r="AE547" s="28">
        <f ca="1">IF(X547=1,IFERROR(INDEX(SETTINGS!$B$34:$D$36,MATCH(I547,SETTINGS!$A$34:$A$36,0),MIN(Q547,2)+1),SETTINGS!$B$36),0)</f>
        <v>0</v>
      </c>
      <c r="AF547" s="28">
        <f t="shared" si="92"/>
        <v>0</v>
      </c>
      <c r="AG547" s="28">
        <f ca="1">IF(AND(Y547=1,AB547=1),ROUND(AA547*AE547*IF(AF547&gt;1,SETTINGS!$B$16,1)*IF(W547&lt;=SETTINGS!$B$14,SETTINGS!$B$15,1)*IF(AU547=1,SETTINGS!$B$21,1),6),0)</f>
        <v>0</v>
      </c>
      <c r="AH547" s="28" t="str">
        <f ca="1">IF(AG547&gt;0,COUNTIFS($Z$2:$Z$601,Z547,$AG$2:$AG$601,"&gt;"&amp;AG547)+COUNTIFS($Z$2:Z547,Z547,$AG$2:AG547,AG547),"")</f>
        <v/>
      </c>
      <c r="AI547" s="28" t="str">
        <f t="shared" ca="1" si="93"/>
        <v/>
      </c>
      <c r="AJ547" s="28" t="str">
        <f t="shared" ca="1" si="94"/>
        <v/>
      </c>
      <c r="AK547" s="28">
        <f>IF(L547=1,IF(COUNTIFS($F$2:F547,F547,$L$2:L547,1)=1,1,0),0)</f>
        <v>0</v>
      </c>
      <c r="AL547" s="28" t="str">
        <f>IF(B547="","",IF(K547="DUPLICATE","Duplicate (removed)",IF(AO547=1,"Scheduled within 24h",IF(M547=1,"Scheduled late",IF(K547="BAD CONTACT","Bad contact details",IF(O547=1,"Stopped / wrong number",IF(N547=1,"Not interested",IF(P547=1,"Partner has no slots",IF(SETTINGS!$B$4&gt;=V547,IF(Q547=0,"Missed deadline: never tried","Missed deadline: tried, not booked"),IF(Q547&gt;=SETTINGS!$B$6,"No reply after max tries","Open"))))))))))</f>
        <v/>
      </c>
      <c r="AM547" s="46" t="str">
        <f>IF(M547=1,IF(_xlfn.MINIFS(LOG!$G$2:$G$2001,LOG!$C$2:$C$2001,F547,LOG!$E$2:$E$2001,B547,LOG!$D$2:$D$2001,"*BOOKED")=0,_xlfn.MINIFS(LOG!$G$2:$G$2001,LOG!$C$2:$C$2001,F547,LOG!$E$2:$E$2001,"",LOG!$D$2:$D$2001,"*BOOKED"),IF(_xlfn.MINIFS(LOG!$G$2:$G$2001,LOG!$C$2:$C$2001,F547,LOG!$E$2:$E$2001,"",LOG!$D$2:$D$2001,"*BOOKED")=0,_xlfn.MINIFS(LOG!$G$2:$G$2001,LOG!$C$2:$C$2001,F547,LOG!$E$2:$E$2001,B547,LOG!$D$2:$D$2001,"*BOOKED"),MIN(_xlfn.MINIFS(LOG!$G$2:$G$2001,LOG!$C$2:$C$2001,F547,LOG!$E$2:$E$2001,B547,LOG!$D$2:$D$2001,"*BOOKED"),_xlfn.MINIFS(LOG!$G$2:$G$2001,LOG!$C$2:$C$2001,F547,LOG!$E$2:$E$2001,"",LOG!$D$2:$D$2001,"*BOOKED")))),"")</f>
        <v/>
      </c>
      <c r="AN547" s="28" t="str">
        <f t="shared" si="95"/>
        <v/>
      </c>
      <c r="AO547" s="28">
        <f>IF(AND(M547=1,AN547&lt;&gt;""),IF(AN547&lt;=SETTINGS!$B$5,1,0),0)</f>
        <v>0</v>
      </c>
      <c r="AP547" s="28">
        <f>IF(M547=1,IF(COUNTIFS(LOG!$C$2:$C$2001,F547,LOG!$E$2:$E$2001,B547,LOG!$D$2:$D$2001,"BOOKED")+COUNTIFS(LOG!$C$2:$C$2001,F547,LOG!$E$2:$E$2001,"",LOG!$D$2:$D$2001,"BOOKED")&gt;0,1,0),0)</f>
        <v>0</v>
      </c>
      <c r="AQ547" s="28" t="str">
        <f t="shared" si="96"/>
        <v/>
      </c>
      <c r="AR547" s="28" t="str">
        <f>IF(AND(AK547=1,K547="OK"),COUNTIFS($AK$2:AK547,1,$K$2:K547,"OK"),"")</f>
        <v/>
      </c>
      <c r="AS547" s="28" t="str">
        <f>IF(L547=1,IFERROR(INDEX(MESSAGES!$J$9:$J$1008,MATCH(F547,MESSAGES!$M$9:$M$1008,0))&amp;"",""),"")</f>
        <v/>
      </c>
      <c r="AT547" s="28" t="str">
        <f>IF(L547=1,IFERROR(INDEX(MESSAGES!$K$9:$K$1008,MATCH(F547,MESSAGES!$M$9:$M$1008,0))&amp;"",""),"")</f>
        <v/>
      </c>
      <c r="AU547" s="28">
        <f t="shared" ca="1" si="97"/>
        <v>0</v>
      </c>
      <c r="AV547" s="28" t="str">
        <f t="shared" si="98"/>
        <v/>
      </c>
    </row>
    <row r="548" spans="1:48" x14ac:dyDescent="0.35">
      <c r="A548" s="28">
        <v>547</v>
      </c>
      <c r="B548" s="28" t="str">
        <f>IF(INPUT!A548="","",TRIM(INPUT!A548))</f>
        <v/>
      </c>
      <c r="C548" s="28" t="str">
        <f>IF(B548="","",INPUT!C548)</f>
        <v/>
      </c>
      <c r="D548" s="28" t="str">
        <f>IF(B548="","",INPUT!D548)</f>
        <v/>
      </c>
      <c r="E548" s="28" t="str">
        <f>IF(B548="","",INPUT!E548)</f>
        <v/>
      </c>
      <c r="F548" s="43" t="str">
        <f>IF(B548="","",TRIM(INPUT!F548&amp;""))</f>
        <v/>
      </c>
      <c r="G548" s="28" t="str">
        <f>IF(B548="","",INPUT!H548)</f>
        <v/>
      </c>
      <c r="H548" s="46" t="str">
        <f>IF(B548="","",INPUT!I548)</f>
        <v/>
      </c>
      <c r="I548" s="28" t="str">
        <f>IF(B548="","",IF(INPUT!J548="","None",INPUT!J548))</f>
        <v/>
      </c>
      <c r="J548" s="28" t="str">
        <f t="shared" si="88"/>
        <v/>
      </c>
      <c r="K548" s="28" t="str">
        <f>IF(B548="","",IF(SUMPRODUCT(($J$2:$J$601=J548)*($H$2:$H$601&lt;H548))+SUMPRODUCT(($J$2:J548=J548)*($H$2:H548=H548))-1&gt;0,"DUPLICATE",IF(AND(ISNUMBER(SEARCH("@",E548)),ISNUMBER(SEARCH(".",E548)),LEN(F548)=10,ISNUMBER(VALUE(F548))),"OK","BAD CONTACT")))</f>
        <v/>
      </c>
      <c r="L548" s="28">
        <f t="shared" si="89"/>
        <v>0</v>
      </c>
      <c r="M548" s="28">
        <f>IF(L548=1,IF(COUNTIFS(LOG!$C$2:$C$2001,F548,LOG!$E$2:$E$2001,B548,LOG!$D$2:$D$2001,"*BOOKED")+COUNTIFS(LOG!$C$2:$C$2001,F548,LOG!$E$2:$E$2001,"",LOG!$D$2:$D$2001,"*BOOKED")&gt;0,1,0),0)</f>
        <v>0</v>
      </c>
      <c r="N548" s="28">
        <f>IF(L548=1,IF(COUNTIFS(LOG!$C$2:$C$2001,F548,LOG!$E$2:$E$2001,B548,LOG!$D$2:$D$2001,"NOT_INTERESTED")+COUNTIFS(LOG!$C$2:$C$2001,F548,LOG!$E$2:$E$2001,"",LOG!$D$2:$D$2001,"NOT_INTERESTED")&gt;0,1,0),0)</f>
        <v>0</v>
      </c>
      <c r="O548" s="28">
        <f>IF(L548=1,IF(COUNTIFS(LOG!$C$2:$C$2001,F548,LOG!$D$2:$D$2001,"STOP")+COUNTIFS(LOG!$C$2:$C$2001,F548,LOG!$D$2:$D$2001,"WRONG_NUMBER")&gt;0,1,IF(ISNUMBER(SEARCH("STOP",AT548)),1,0)),0)</f>
        <v>0</v>
      </c>
      <c r="P548" s="28">
        <f>IF(L548=1,IF(IFERROR(INDEX(PARTNERS!$D$2:$D$88,MATCH(B548,PARTNERS!$A$2:$A$88,0)),"")="NO SLOTS",1,IF(AND(IFERROR(INDEX(PARTNERS!$D$2:$D$88,MATCH(B548,PARTNERS!$A$2:$A$88,0)),"")&lt;&gt;"REOPENED",COUNTIFS(LOG!$E$2:$E$2001,B548,LOG!$D$2:$D$2001,"NO_SLOTS")&gt;0),1,0)),0)</f>
        <v>0</v>
      </c>
      <c r="Q548" s="28">
        <f>IF(L548=1,COUNTIFS(LOG!$C$2:$C$2001,F548,LOG!$H$2:$H$2001,1),0)</f>
        <v>0</v>
      </c>
      <c r="R548" s="46">
        <f>IF(Q548&gt;0,_xlfn.MAXIFS(LOG!$G$2:$G$2001,LOG!$C$2:$C$2001,F548,LOG!$H$2:$H$2001,1),0)</f>
        <v>0</v>
      </c>
      <c r="S548" s="28" t="str">
        <f>IF(Q548&gt;0,IFERROR(INDEX(LOG!$D$2:$D$2001,MATCH(F548&amp;"|"&amp;Q548,LOG!$I$2:$I$2001,0)),""),"")</f>
        <v/>
      </c>
      <c r="T548" s="28">
        <f>IF(S548="",0,IFERROR(VLOOKUP(S548,LISTS!$A$2:$E$10,4,FALSE),0))</f>
        <v>0</v>
      </c>
      <c r="U548" s="46">
        <f t="shared" si="90"/>
        <v>0</v>
      </c>
      <c r="V548" s="46" t="str">
        <f>IF(L548=1,H548+SETTINGS!$B$5/24,"")</f>
        <v/>
      </c>
      <c r="W548" s="28" t="str">
        <f>IF(L548=1,(V548-SETTINGS!$B$4)*24,"")</f>
        <v/>
      </c>
      <c r="X548" s="28">
        <f ca="1">IF(AND(L548=1,K548="OK",M548=0,N548=0,O548=0,P548=0,SETTINGS!$B$4&lt;V548,Q548&lt;SETTINGS!$B$6),1,0)</f>
        <v>0</v>
      </c>
      <c r="Y548" s="28">
        <f ca="1">IF(AND(X548=1,SETTINGS!$B$4&gt;=H548,SETTINGS!$B$4&gt;=U548,ROUND(MOD(SETTINGS!$B$4,1)*1440,0)&gt;=ROUND(SETTINGS!$B$7*1440,0),ROUND(MOD(SETTINGS!$B$4,1)*1440,0)&lt;ROUND(SETTINGS!$B$8*1440,0)),1,0)</f>
        <v>0</v>
      </c>
      <c r="Z548" s="28" t="str">
        <f>IF(B548="","",IF(ROUND(MOD(SETTINGS!$B$4,1)*1440,0)&lt;ROUND(SETTINGS!$B$11*1440,0),"Ram",IF(ROUND(MOD(SETTINGS!$B$4,1)*1440,0)&gt;=ROUND(SETTINGS!$B$10*1440,0),"Shyam",IF(MOD(IFERROR(VALUE(RIGHT(F548,2)),0),2)=0,"Ram","Shyam"))))</f>
        <v/>
      </c>
      <c r="AA548" s="28">
        <f t="shared" ca="1" si="91"/>
        <v>0</v>
      </c>
      <c r="AB548" s="28">
        <f ca="1">IF(X548=1,COUNTIFS($F$2:F548,F548,$X$2:X548,1),0)</f>
        <v>0</v>
      </c>
      <c r="AC548" s="28" t="str">
        <f>IF(L548=1,IF(IFERROR(INDEX(PARTNERS!$C$2:$C$88,MATCH(B548,PARTNERS!$A$2:$A$88,0)),"")="YES","YES","NO"),"")</f>
        <v/>
      </c>
      <c r="AD548" s="28" t="str">
        <f>IF(L548=1,IFERROR(INDEX(PARTNERS!$B$2:$B$88,MATCH(B548,PARTNERS!$A$2:$A$88,0)),""),"")</f>
        <v/>
      </c>
      <c r="AE548" s="28">
        <f ca="1">IF(X548=1,IFERROR(INDEX(SETTINGS!$B$34:$D$36,MATCH(I548,SETTINGS!$A$34:$A$36,0),MIN(Q548,2)+1),SETTINGS!$B$36),0)</f>
        <v>0</v>
      </c>
      <c r="AF548" s="28">
        <f t="shared" si="92"/>
        <v>0</v>
      </c>
      <c r="AG548" s="28">
        <f ca="1">IF(AND(Y548=1,AB548=1),ROUND(AA548*AE548*IF(AF548&gt;1,SETTINGS!$B$16,1)*IF(W548&lt;=SETTINGS!$B$14,SETTINGS!$B$15,1)*IF(AU548=1,SETTINGS!$B$21,1),6),0)</f>
        <v>0</v>
      </c>
      <c r="AH548" s="28" t="str">
        <f ca="1">IF(AG548&gt;0,COUNTIFS($Z$2:$Z$601,Z548,$AG$2:$AG$601,"&gt;"&amp;AG548)+COUNTIFS($Z$2:Z548,Z548,$AG$2:AG548,AG548),"")</f>
        <v/>
      </c>
      <c r="AI548" s="28" t="str">
        <f t="shared" ca="1" si="93"/>
        <v/>
      </c>
      <c r="AJ548" s="28" t="str">
        <f t="shared" ca="1" si="94"/>
        <v/>
      </c>
      <c r="AK548" s="28">
        <f>IF(L548=1,IF(COUNTIFS($F$2:F548,F548,$L$2:L548,1)=1,1,0),0)</f>
        <v>0</v>
      </c>
      <c r="AL548" s="28" t="str">
        <f>IF(B548="","",IF(K548="DUPLICATE","Duplicate (removed)",IF(AO548=1,"Scheduled within 24h",IF(M548=1,"Scheduled late",IF(K548="BAD CONTACT","Bad contact details",IF(O548=1,"Stopped / wrong number",IF(N548=1,"Not interested",IF(P548=1,"Partner has no slots",IF(SETTINGS!$B$4&gt;=V548,IF(Q548=0,"Missed deadline: never tried","Missed deadline: tried, not booked"),IF(Q548&gt;=SETTINGS!$B$6,"No reply after max tries","Open"))))))))))</f>
        <v/>
      </c>
      <c r="AM548" s="46" t="str">
        <f>IF(M548=1,IF(_xlfn.MINIFS(LOG!$G$2:$G$2001,LOG!$C$2:$C$2001,F548,LOG!$E$2:$E$2001,B548,LOG!$D$2:$D$2001,"*BOOKED")=0,_xlfn.MINIFS(LOG!$G$2:$G$2001,LOG!$C$2:$C$2001,F548,LOG!$E$2:$E$2001,"",LOG!$D$2:$D$2001,"*BOOKED"),IF(_xlfn.MINIFS(LOG!$G$2:$G$2001,LOG!$C$2:$C$2001,F548,LOG!$E$2:$E$2001,"",LOG!$D$2:$D$2001,"*BOOKED")=0,_xlfn.MINIFS(LOG!$G$2:$G$2001,LOG!$C$2:$C$2001,F548,LOG!$E$2:$E$2001,B548,LOG!$D$2:$D$2001,"*BOOKED"),MIN(_xlfn.MINIFS(LOG!$G$2:$G$2001,LOG!$C$2:$C$2001,F548,LOG!$E$2:$E$2001,B548,LOG!$D$2:$D$2001,"*BOOKED"),_xlfn.MINIFS(LOG!$G$2:$G$2001,LOG!$C$2:$C$2001,F548,LOG!$E$2:$E$2001,"",LOG!$D$2:$D$2001,"*BOOKED")))),"")</f>
        <v/>
      </c>
      <c r="AN548" s="28" t="str">
        <f t="shared" si="95"/>
        <v/>
      </c>
      <c r="AO548" s="28">
        <f>IF(AND(M548=1,AN548&lt;&gt;""),IF(AN548&lt;=SETTINGS!$B$5,1,0),0)</f>
        <v>0</v>
      </c>
      <c r="AP548" s="28">
        <f>IF(M548=1,IF(COUNTIFS(LOG!$C$2:$C$2001,F548,LOG!$E$2:$E$2001,B548,LOG!$D$2:$D$2001,"BOOKED")+COUNTIFS(LOG!$C$2:$C$2001,F548,LOG!$E$2:$E$2001,"",LOG!$D$2:$D$2001,"BOOKED")&gt;0,1,0),0)</f>
        <v>0</v>
      </c>
      <c r="AQ548" s="28" t="str">
        <f t="shared" si="96"/>
        <v/>
      </c>
      <c r="AR548" s="28" t="str">
        <f>IF(AND(AK548=1,K548="OK"),COUNTIFS($AK$2:AK548,1,$K$2:K548,"OK"),"")</f>
        <v/>
      </c>
      <c r="AS548" s="28" t="str">
        <f>IF(L548=1,IFERROR(INDEX(MESSAGES!$J$9:$J$1008,MATCH(F548,MESSAGES!$M$9:$M$1008,0))&amp;"",""),"")</f>
        <v/>
      </c>
      <c r="AT548" s="28" t="str">
        <f>IF(L548=1,IFERROR(INDEX(MESSAGES!$K$9:$K$1008,MATCH(F548,MESSAGES!$M$9:$M$1008,0))&amp;"",""),"")</f>
        <v/>
      </c>
      <c r="AU548" s="28">
        <f t="shared" ca="1" si="97"/>
        <v>0</v>
      </c>
      <c r="AV548" s="28" t="str">
        <f t="shared" si="98"/>
        <v/>
      </c>
    </row>
    <row r="549" spans="1:48" x14ac:dyDescent="0.35">
      <c r="A549" s="28">
        <v>548</v>
      </c>
      <c r="B549" s="28" t="str">
        <f>IF(INPUT!A549="","",TRIM(INPUT!A549))</f>
        <v/>
      </c>
      <c r="C549" s="28" t="str">
        <f>IF(B549="","",INPUT!C549)</f>
        <v/>
      </c>
      <c r="D549" s="28" t="str">
        <f>IF(B549="","",INPUT!D549)</f>
        <v/>
      </c>
      <c r="E549" s="28" t="str">
        <f>IF(B549="","",INPUT!E549)</f>
        <v/>
      </c>
      <c r="F549" s="43" t="str">
        <f>IF(B549="","",TRIM(INPUT!F549&amp;""))</f>
        <v/>
      </c>
      <c r="G549" s="28" t="str">
        <f>IF(B549="","",INPUT!H549)</f>
        <v/>
      </c>
      <c r="H549" s="46" t="str">
        <f>IF(B549="","",INPUT!I549)</f>
        <v/>
      </c>
      <c r="I549" s="28" t="str">
        <f>IF(B549="","",IF(INPUT!J549="","None",INPUT!J549))</f>
        <v/>
      </c>
      <c r="J549" s="28" t="str">
        <f t="shared" si="88"/>
        <v/>
      </c>
      <c r="K549" s="28" t="str">
        <f>IF(B549="","",IF(SUMPRODUCT(($J$2:$J$601=J549)*($H$2:$H$601&lt;H549))+SUMPRODUCT(($J$2:J549=J549)*($H$2:H549=H549))-1&gt;0,"DUPLICATE",IF(AND(ISNUMBER(SEARCH("@",E549)),ISNUMBER(SEARCH(".",E549)),LEN(F549)=10,ISNUMBER(VALUE(F549))),"OK","BAD CONTACT")))</f>
        <v/>
      </c>
      <c r="L549" s="28">
        <f t="shared" si="89"/>
        <v>0</v>
      </c>
      <c r="M549" s="28">
        <f>IF(L549=1,IF(COUNTIFS(LOG!$C$2:$C$2001,F549,LOG!$E$2:$E$2001,B549,LOG!$D$2:$D$2001,"*BOOKED")+COUNTIFS(LOG!$C$2:$C$2001,F549,LOG!$E$2:$E$2001,"",LOG!$D$2:$D$2001,"*BOOKED")&gt;0,1,0),0)</f>
        <v>0</v>
      </c>
      <c r="N549" s="28">
        <f>IF(L549=1,IF(COUNTIFS(LOG!$C$2:$C$2001,F549,LOG!$E$2:$E$2001,B549,LOG!$D$2:$D$2001,"NOT_INTERESTED")+COUNTIFS(LOG!$C$2:$C$2001,F549,LOG!$E$2:$E$2001,"",LOG!$D$2:$D$2001,"NOT_INTERESTED")&gt;0,1,0),0)</f>
        <v>0</v>
      </c>
      <c r="O549" s="28">
        <f>IF(L549=1,IF(COUNTIFS(LOG!$C$2:$C$2001,F549,LOG!$D$2:$D$2001,"STOP")+COUNTIFS(LOG!$C$2:$C$2001,F549,LOG!$D$2:$D$2001,"WRONG_NUMBER")&gt;0,1,IF(ISNUMBER(SEARCH("STOP",AT549)),1,0)),0)</f>
        <v>0</v>
      </c>
      <c r="P549" s="28">
        <f>IF(L549=1,IF(IFERROR(INDEX(PARTNERS!$D$2:$D$88,MATCH(B549,PARTNERS!$A$2:$A$88,0)),"")="NO SLOTS",1,IF(AND(IFERROR(INDEX(PARTNERS!$D$2:$D$88,MATCH(B549,PARTNERS!$A$2:$A$88,0)),"")&lt;&gt;"REOPENED",COUNTIFS(LOG!$E$2:$E$2001,B549,LOG!$D$2:$D$2001,"NO_SLOTS")&gt;0),1,0)),0)</f>
        <v>0</v>
      </c>
      <c r="Q549" s="28">
        <f>IF(L549=1,COUNTIFS(LOG!$C$2:$C$2001,F549,LOG!$H$2:$H$2001,1),0)</f>
        <v>0</v>
      </c>
      <c r="R549" s="46">
        <f>IF(Q549&gt;0,_xlfn.MAXIFS(LOG!$G$2:$G$2001,LOG!$C$2:$C$2001,F549,LOG!$H$2:$H$2001,1),0)</f>
        <v>0</v>
      </c>
      <c r="S549" s="28" t="str">
        <f>IF(Q549&gt;0,IFERROR(INDEX(LOG!$D$2:$D$2001,MATCH(F549&amp;"|"&amp;Q549,LOG!$I$2:$I$2001,0)),""),"")</f>
        <v/>
      </c>
      <c r="T549" s="28">
        <f>IF(S549="",0,IFERROR(VLOOKUP(S549,LISTS!$A$2:$E$10,4,FALSE),0))</f>
        <v>0</v>
      </c>
      <c r="U549" s="46">
        <f t="shared" si="90"/>
        <v>0</v>
      </c>
      <c r="V549" s="46" t="str">
        <f>IF(L549=1,H549+SETTINGS!$B$5/24,"")</f>
        <v/>
      </c>
      <c r="W549" s="28" t="str">
        <f>IF(L549=1,(V549-SETTINGS!$B$4)*24,"")</f>
        <v/>
      </c>
      <c r="X549" s="28">
        <f ca="1">IF(AND(L549=1,K549="OK",M549=0,N549=0,O549=0,P549=0,SETTINGS!$B$4&lt;V549,Q549&lt;SETTINGS!$B$6),1,0)</f>
        <v>0</v>
      </c>
      <c r="Y549" s="28">
        <f ca="1">IF(AND(X549=1,SETTINGS!$B$4&gt;=H549,SETTINGS!$B$4&gt;=U549,ROUND(MOD(SETTINGS!$B$4,1)*1440,0)&gt;=ROUND(SETTINGS!$B$7*1440,0),ROUND(MOD(SETTINGS!$B$4,1)*1440,0)&lt;ROUND(SETTINGS!$B$8*1440,0)),1,0)</f>
        <v>0</v>
      </c>
      <c r="Z549" s="28" t="str">
        <f>IF(B549="","",IF(ROUND(MOD(SETTINGS!$B$4,1)*1440,0)&lt;ROUND(SETTINGS!$B$11*1440,0),"Ram",IF(ROUND(MOD(SETTINGS!$B$4,1)*1440,0)&gt;=ROUND(SETTINGS!$B$10*1440,0),"Shyam",IF(MOD(IFERROR(VALUE(RIGHT(F549,2)),0),2)=0,"Ram","Shyam"))))</f>
        <v/>
      </c>
      <c r="AA549" s="28">
        <f t="shared" ca="1" si="91"/>
        <v>0</v>
      </c>
      <c r="AB549" s="28">
        <f ca="1">IF(X549=1,COUNTIFS($F$2:F549,F549,$X$2:X549,1),0)</f>
        <v>0</v>
      </c>
      <c r="AC549" s="28" t="str">
        <f>IF(L549=1,IF(IFERROR(INDEX(PARTNERS!$C$2:$C$88,MATCH(B549,PARTNERS!$A$2:$A$88,0)),"")="YES","YES","NO"),"")</f>
        <v/>
      </c>
      <c r="AD549" s="28" t="str">
        <f>IF(L549=1,IFERROR(INDEX(PARTNERS!$B$2:$B$88,MATCH(B549,PARTNERS!$A$2:$A$88,0)),""),"")</f>
        <v/>
      </c>
      <c r="AE549" s="28">
        <f ca="1">IF(X549=1,IFERROR(INDEX(SETTINGS!$B$34:$D$36,MATCH(I549,SETTINGS!$A$34:$A$36,0),MIN(Q549,2)+1),SETTINGS!$B$36),0)</f>
        <v>0</v>
      </c>
      <c r="AF549" s="28">
        <f t="shared" si="92"/>
        <v>0</v>
      </c>
      <c r="AG549" s="28">
        <f ca="1">IF(AND(Y549=1,AB549=1),ROUND(AA549*AE549*IF(AF549&gt;1,SETTINGS!$B$16,1)*IF(W549&lt;=SETTINGS!$B$14,SETTINGS!$B$15,1)*IF(AU549=1,SETTINGS!$B$21,1),6),0)</f>
        <v>0</v>
      </c>
      <c r="AH549" s="28" t="str">
        <f ca="1">IF(AG549&gt;0,COUNTIFS($Z$2:$Z$601,Z549,$AG$2:$AG$601,"&gt;"&amp;AG549)+COUNTIFS($Z$2:Z549,Z549,$AG$2:AG549,AG549),"")</f>
        <v/>
      </c>
      <c r="AI549" s="28" t="str">
        <f t="shared" ca="1" si="93"/>
        <v/>
      </c>
      <c r="AJ549" s="28" t="str">
        <f t="shared" ca="1" si="94"/>
        <v/>
      </c>
      <c r="AK549" s="28">
        <f>IF(L549=1,IF(COUNTIFS($F$2:F549,F549,$L$2:L549,1)=1,1,0),0)</f>
        <v>0</v>
      </c>
      <c r="AL549" s="28" t="str">
        <f>IF(B549="","",IF(K549="DUPLICATE","Duplicate (removed)",IF(AO549=1,"Scheduled within 24h",IF(M549=1,"Scheduled late",IF(K549="BAD CONTACT","Bad contact details",IF(O549=1,"Stopped / wrong number",IF(N549=1,"Not interested",IF(P549=1,"Partner has no slots",IF(SETTINGS!$B$4&gt;=V549,IF(Q549=0,"Missed deadline: never tried","Missed deadline: tried, not booked"),IF(Q549&gt;=SETTINGS!$B$6,"No reply after max tries","Open"))))))))))</f>
        <v/>
      </c>
      <c r="AM549" s="46" t="str">
        <f>IF(M549=1,IF(_xlfn.MINIFS(LOG!$G$2:$G$2001,LOG!$C$2:$C$2001,F549,LOG!$E$2:$E$2001,B549,LOG!$D$2:$D$2001,"*BOOKED")=0,_xlfn.MINIFS(LOG!$G$2:$G$2001,LOG!$C$2:$C$2001,F549,LOG!$E$2:$E$2001,"",LOG!$D$2:$D$2001,"*BOOKED"),IF(_xlfn.MINIFS(LOG!$G$2:$G$2001,LOG!$C$2:$C$2001,F549,LOG!$E$2:$E$2001,"",LOG!$D$2:$D$2001,"*BOOKED")=0,_xlfn.MINIFS(LOG!$G$2:$G$2001,LOG!$C$2:$C$2001,F549,LOG!$E$2:$E$2001,B549,LOG!$D$2:$D$2001,"*BOOKED"),MIN(_xlfn.MINIFS(LOG!$G$2:$G$2001,LOG!$C$2:$C$2001,F549,LOG!$E$2:$E$2001,B549,LOG!$D$2:$D$2001,"*BOOKED"),_xlfn.MINIFS(LOG!$G$2:$G$2001,LOG!$C$2:$C$2001,F549,LOG!$E$2:$E$2001,"",LOG!$D$2:$D$2001,"*BOOKED")))),"")</f>
        <v/>
      </c>
      <c r="AN549" s="28" t="str">
        <f t="shared" si="95"/>
        <v/>
      </c>
      <c r="AO549" s="28">
        <f>IF(AND(M549=1,AN549&lt;&gt;""),IF(AN549&lt;=SETTINGS!$B$5,1,0),0)</f>
        <v>0</v>
      </c>
      <c r="AP549" s="28">
        <f>IF(M549=1,IF(COUNTIFS(LOG!$C$2:$C$2001,F549,LOG!$E$2:$E$2001,B549,LOG!$D$2:$D$2001,"BOOKED")+COUNTIFS(LOG!$C$2:$C$2001,F549,LOG!$E$2:$E$2001,"",LOG!$D$2:$D$2001,"BOOKED")&gt;0,1,0),0)</f>
        <v>0</v>
      </c>
      <c r="AQ549" s="28" t="str">
        <f t="shared" si="96"/>
        <v/>
      </c>
      <c r="AR549" s="28" t="str">
        <f>IF(AND(AK549=1,K549="OK"),COUNTIFS($AK$2:AK549,1,$K$2:K549,"OK"),"")</f>
        <v/>
      </c>
      <c r="AS549" s="28" t="str">
        <f>IF(L549=1,IFERROR(INDEX(MESSAGES!$J$9:$J$1008,MATCH(F549,MESSAGES!$M$9:$M$1008,0))&amp;"",""),"")</f>
        <v/>
      </c>
      <c r="AT549" s="28" t="str">
        <f>IF(L549=1,IFERROR(INDEX(MESSAGES!$K$9:$K$1008,MATCH(F549,MESSAGES!$M$9:$M$1008,0))&amp;"",""),"")</f>
        <v/>
      </c>
      <c r="AU549" s="28">
        <f t="shared" ca="1" si="97"/>
        <v>0</v>
      </c>
      <c r="AV549" s="28" t="str">
        <f t="shared" si="98"/>
        <v/>
      </c>
    </row>
    <row r="550" spans="1:48" x14ac:dyDescent="0.35">
      <c r="A550" s="28">
        <v>549</v>
      </c>
      <c r="B550" s="28" t="str">
        <f>IF(INPUT!A550="","",TRIM(INPUT!A550))</f>
        <v/>
      </c>
      <c r="C550" s="28" t="str">
        <f>IF(B550="","",INPUT!C550)</f>
        <v/>
      </c>
      <c r="D550" s="28" t="str">
        <f>IF(B550="","",INPUT!D550)</f>
        <v/>
      </c>
      <c r="E550" s="28" t="str">
        <f>IF(B550="","",INPUT!E550)</f>
        <v/>
      </c>
      <c r="F550" s="43" t="str">
        <f>IF(B550="","",TRIM(INPUT!F550&amp;""))</f>
        <v/>
      </c>
      <c r="G550" s="28" t="str">
        <f>IF(B550="","",INPUT!H550)</f>
        <v/>
      </c>
      <c r="H550" s="46" t="str">
        <f>IF(B550="","",INPUT!I550)</f>
        <v/>
      </c>
      <c r="I550" s="28" t="str">
        <f>IF(B550="","",IF(INPUT!J550="","None",INPUT!J550))</f>
        <v/>
      </c>
      <c r="J550" s="28" t="str">
        <f t="shared" si="88"/>
        <v/>
      </c>
      <c r="K550" s="28" t="str">
        <f>IF(B550="","",IF(SUMPRODUCT(($J$2:$J$601=J550)*($H$2:$H$601&lt;H550))+SUMPRODUCT(($J$2:J550=J550)*($H$2:H550=H550))-1&gt;0,"DUPLICATE",IF(AND(ISNUMBER(SEARCH("@",E550)),ISNUMBER(SEARCH(".",E550)),LEN(F550)=10,ISNUMBER(VALUE(F550))),"OK","BAD CONTACT")))</f>
        <v/>
      </c>
      <c r="L550" s="28">
        <f t="shared" si="89"/>
        <v>0</v>
      </c>
      <c r="M550" s="28">
        <f>IF(L550=1,IF(COUNTIFS(LOG!$C$2:$C$2001,F550,LOG!$E$2:$E$2001,B550,LOG!$D$2:$D$2001,"*BOOKED")+COUNTIFS(LOG!$C$2:$C$2001,F550,LOG!$E$2:$E$2001,"",LOG!$D$2:$D$2001,"*BOOKED")&gt;0,1,0),0)</f>
        <v>0</v>
      </c>
      <c r="N550" s="28">
        <f>IF(L550=1,IF(COUNTIFS(LOG!$C$2:$C$2001,F550,LOG!$E$2:$E$2001,B550,LOG!$D$2:$D$2001,"NOT_INTERESTED")+COUNTIFS(LOG!$C$2:$C$2001,F550,LOG!$E$2:$E$2001,"",LOG!$D$2:$D$2001,"NOT_INTERESTED")&gt;0,1,0),0)</f>
        <v>0</v>
      </c>
      <c r="O550" s="28">
        <f>IF(L550=1,IF(COUNTIFS(LOG!$C$2:$C$2001,F550,LOG!$D$2:$D$2001,"STOP")+COUNTIFS(LOG!$C$2:$C$2001,F550,LOG!$D$2:$D$2001,"WRONG_NUMBER")&gt;0,1,IF(ISNUMBER(SEARCH("STOP",AT550)),1,0)),0)</f>
        <v>0</v>
      </c>
      <c r="P550" s="28">
        <f>IF(L550=1,IF(IFERROR(INDEX(PARTNERS!$D$2:$D$88,MATCH(B550,PARTNERS!$A$2:$A$88,0)),"")="NO SLOTS",1,IF(AND(IFERROR(INDEX(PARTNERS!$D$2:$D$88,MATCH(B550,PARTNERS!$A$2:$A$88,0)),"")&lt;&gt;"REOPENED",COUNTIFS(LOG!$E$2:$E$2001,B550,LOG!$D$2:$D$2001,"NO_SLOTS")&gt;0),1,0)),0)</f>
        <v>0</v>
      </c>
      <c r="Q550" s="28">
        <f>IF(L550=1,COUNTIFS(LOG!$C$2:$C$2001,F550,LOG!$H$2:$H$2001,1),0)</f>
        <v>0</v>
      </c>
      <c r="R550" s="46">
        <f>IF(Q550&gt;0,_xlfn.MAXIFS(LOG!$G$2:$G$2001,LOG!$C$2:$C$2001,F550,LOG!$H$2:$H$2001,1),0)</f>
        <v>0</v>
      </c>
      <c r="S550" s="28" t="str">
        <f>IF(Q550&gt;0,IFERROR(INDEX(LOG!$D$2:$D$2001,MATCH(F550&amp;"|"&amp;Q550,LOG!$I$2:$I$2001,0)),""),"")</f>
        <v/>
      </c>
      <c r="T550" s="28">
        <f>IF(S550="",0,IFERROR(VLOOKUP(S550,LISTS!$A$2:$E$10,4,FALSE),0))</f>
        <v>0</v>
      </c>
      <c r="U550" s="46">
        <f t="shared" si="90"/>
        <v>0</v>
      </c>
      <c r="V550" s="46" t="str">
        <f>IF(L550=1,H550+SETTINGS!$B$5/24,"")</f>
        <v/>
      </c>
      <c r="W550" s="28" t="str">
        <f>IF(L550=1,(V550-SETTINGS!$B$4)*24,"")</f>
        <v/>
      </c>
      <c r="X550" s="28">
        <f ca="1">IF(AND(L550=1,K550="OK",M550=0,N550=0,O550=0,P550=0,SETTINGS!$B$4&lt;V550,Q550&lt;SETTINGS!$B$6),1,0)</f>
        <v>0</v>
      </c>
      <c r="Y550" s="28">
        <f ca="1">IF(AND(X550=1,SETTINGS!$B$4&gt;=H550,SETTINGS!$B$4&gt;=U550,ROUND(MOD(SETTINGS!$B$4,1)*1440,0)&gt;=ROUND(SETTINGS!$B$7*1440,0),ROUND(MOD(SETTINGS!$B$4,1)*1440,0)&lt;ROUND(SETTINGS!$B$8*1440,0)),1,0)</f>
        <v>0</v>
      </c>
      <c r="Z550" s="28" t="str">
        <f>IF(B550="","",IF(ROUND(MOD(SETTINGS!$B$4,1)*1440,0)&lt;ROUND(SETTINGS!$B$11*1440,0),"Ram",IF(ROUND(MOD(SETTINGS!$B$4,1)*1440,0)&gt;=ROUND(SETTINGS!$B$10*1440,0),"Shyam",IF(MOD(IFERROR(VALUE(RIGHT(F550,2)),0),2)=0,"Ram","Shyam"))))</f>
        <v/>
      </c>
      <c r="AA550" s="28">
        <f t="shared" ca="1" si="91"/>
        <v>0</v>
      </c>
      <c r="AB550" s="28">
        <f ca="1">IF(X550=1,COUNTIFS($F$2:F550,F550,$X$2:X550,1),0)</f>
        <v>0</v>
      </c>
      <c r="AC550" s="28" t="str">
        <f>IF(L550=1,IF(IFERROR(INDEX(PARTNERS!$C$2:$C$88,MATCH(B550,PARTNERS!$A$2:$A$88,0)),"")="YES","YES","NO"),"")</f>
        <v/>
      </c>
      <c r="AD550" s="28" t="str">
        <f>IF(L550=1,IFERROR(INDEX(PARTNERS!$B$2:$B$88,MATCH(B550,PARTNERS!$A$2:$A$88,0)),""),"")</f>
        <v/>
      </c>
      <c r="AE550" s="28">
        <f ca="1">IF(X550=1,IFERROR(INDEX(SETTINGS!$B$34:$D$36,MATCH(I550,SETTINGS!$A$34:$A$36,0),MIN(Q550,2)+1),SETTINGS!$B$36),0)</f>
        <v>0</v>
      </c>
      <c r="AF550" s="28">
        <f t="shared" si="92"/>
        <v>0</v>
      </c>
      <c r="AG550" s="28">
        <f ca="1">IF(AND(Y550=1,AB550=1),ROUND(AA550*AE550*IF(AF550&gt;1,SETTINGS!$B$16,1)*IF(W550&lt;=SETTINGS!$B$14,SETTINGS!$B$15,1)*IF(AU550=1,SETTINGS!$B$21,1),6),0)</f>
        <v>0</v>
      </c>
      <c r="AH550" s="28" t="str">
        <f ca="1">IF(AG550&gt;0,COUNTIFS($Z$2:$Z$601,Z550,$AG$2:$AG$601,"&gt;"&amp;AG550)+COUNTIFS($Z$2:Z550,Z550,$AG$2:AG550,AG550),"")</f>
        <v/>
      </c>
      <c r="AI550" s="28" t="str">
        <f t="shared" ca="1" si="93"/>
        <v/>
      </c>
      <c r="AJ550" s="28" t="str">
        <f t="shared" ca="1" si="94"/>
        <v/>
      </c>
      <c r="AK550" s="28">
        <f>IF(L550=1,IF(COUNTIFS($F$2:F550,F550,$L$2:L550,1)=1,1,0),0)</f>
        <v>0</v>
      </c>
      <c r="AL550" s="28" t="str">
        <f>IF(B550="","",IF(K550="DUPLICATE","Duplicate (removed)",IF(AO550=1,"Scheduled within 24h",IF(M550=1,"Scheduled late",IF(K550="BAD CONTACT","Bad contact details",IF(O550=1,"Stopped / wrong number",IF(N550=1,"Not interested",IF(P550=1,"Partner has no slots",IF(SETTINGS!$B$4&gt;=V550,IF(Q550=0,"Missed deadline: never tried","Missed deadline: tried, not booked"),IF(Q550&gt;=SETTINGS!$B$6,"No reply after max tries","Open"))))))))))</f>
        <v/>
      </c>
      <c r="AM550" s="46" t="str">
        <f>IF(M550=1,IF(_xlfn.MINIFS(LOG!$G$2:$G$2001,LOG!$C$2:$C$2001,F550,LOG!$E$2:$E$2001,B550,LOG!$D$2:$D$2001,"*BOOKED")=0,_xlfn.MINIFS(LOG!$G$2:$G$2001,LOG!$C$2:$C$2001,F550,LOG!$E$2:$E$2001,"",LOG!$D$2:$D$2001,"*BOOKED"),IF(_xlfn.MINIFS(LOG!$G$2:$G$2001,LOG!$C$2:$C$2001,F550,LOG!$E$2:$E$2001,"",LOG!$D$2:$D$2001,"*BOOKED")=0,_xlfn.MINIFS(LOG!$G$2:$G$2001,LOG!$C$2:$C$2001,F550,LOG!$E$2:$E$2001,B550,LOG!$D$2:$D$2001,"*BOOKED"),MIN(_xlfn.MINIFS(LOG!$G$2:$G$2001,LOG!$C$2:$C$2001,F550,LOG!$E$2:$E$2001,B550,LOG!$D$2:$D$2001,"*BOOKED"),_xlfn.MINIFS(LOG!$G$2:$G$2001,LOG!$C$2:$C$2001,F550,LOG!$E$2:$E$2001,"",LOG!$D$2:$D$2001,"*BOOKED")))),"")</f>
        <v/>
      </c>
      <c r="AN550" s="28" t="str">
        <f t="shared" si="95"/>
        <v/>
      </c>
      <c r="AO550" s="28">
        <f>IF(AND(M550=1,AN550&lt;&gt;""),IF(AN550&lt;=SETTINGS!$B$5,1,0),0)</f>
        <v>0</v>
      </c>
      <c r="AP550" s="28">
        <f>IF(M550=1,IF(COUNTIFS(LOG!$C$2:$C$2001,F550,LOG!$E$2:$E$2001,B550,LOG!$D$2:$D$2001,"BOOKED")+COUNTIFS(LOG!$C$2:$C$2001,F550,LOG!$E$2:$E$2001,"",LOG!$D$2:$D$2001,"BOOKED")&gt;0,1,0),0)</f>
        <v>0</v>
      </c>
      <c r="AQ550" s="28" t="str">
        <f t="shared" si="96"/>
        <v/>
      </c>
      <c r="AR550" s="28" t="str">
        <f>IF(AND(AK550=1,K550="OK"),COUNTIFS($AK$2:AK550,1,$K$2:K550,"OK"),"")</f>
        <v/>
      </c>
      <c r="AS550" s="28" t="str">
        <f>IF(L550=1,IFERROR(INDEX(MESSAGES!$J$9:$J$1008,MATCH(F550,MESSAGES!$M$9:$M$1008,0))&amp;"",""),"")</f>
        <v/>
      </c>
      <c r="AT550" s="28" t="str">
        <f>IF(L550=1,IFERROR(INDEX(MESSAGES!$K$9:$K$1008,MATCH(F550,MESSAGES!$M$9:$M$1008,0))&amp;"",""),"")</f>
        <v/>
      </c>
      <c r="AU550" s="28">
        <f t="shared" ca="1" si="97"/>
        <v>0</v>
      </c>
      <c r="AV550" s="28" t="str">
        <f t="shared" si="98"/>
        <v/>
      </c>
    </row>
    <row r="551" spans="1:48" x14ac:dyDescent="0.35">
      <c r="A551" s="28">
        <v>550</v>
      </c>
      <c r="B551" s="28" t="str">
        <f>IF(INPUT!A551="","",TRIM(INPUT!A551))</f>
        <v/>
      </c>
      <c r="C551" s="28" t="str">
        <f>IF(B551="","",INPUT!C551)</f>
        <v/>
      </c>
      <c r="D551" s="28" t="str">
        <f>IF(B551="","",INPUT!D551)</f>
        <v/>
      </c>
      <c r="E551" s="28" t="str">
        <f>IF(B551="","",INPUT!E551)</f>
        <v/>
      </c>
      <c r="F551" s="43" t="str">
        <f>IF(B551="","",TRIM(INPUT!F551&amp;""))</f>
        <v/>
      </c>
      <c r="G551" s="28" t="str">
        <f>IF(B551="","",INPUT!H551)</f>
        <v/>
      </c>
      <c r="H551" s="46" t="str">
        <f>IF(B551="","",INPUT!I551)</f>
        <v/>
      </c>
      <c r="I551" s="28" t="str">
        <f>IF(B551="","",IF(INPUT!J551="","None",INPUT!J551))</f>
        <v/>
      </c>
      <c r="J551" s="28" t="str">
        <f t="shared" si="88"/>
        <v/>
      </c>
      <c r="K551" s="28" t="str">
        <f>IF(B551="","",IF(SUMPRODUCT(($J$2:$J$601=J551)*($H$2:$H$601&lt;H551))+SUMPRODUCT(($J$2:J551=J551)*($H$2:H551=H551))-1&gt;0,"DUPLICATE",IF(AND(ISNUMBER(SEARCH("@",E551)),ISNUMBER(SEARCH(".",E551)),LEN(F551)=10,ISNUMBER(VALUE(F551))),"OK","BAD CONTACT")))</f>
        <v/>
      </c>
      <c r="L551" s="28">
        <f t="shared" si="89"/>
        <v>0</v>
      </c>
      <c r="M551" s="28">
        <f>IF(L551=1,IF(COUNTIFS(LOG!$C$2:$C$2001,F551,LOG!$E$2:$E$2001,B551,LOG!$D$2:$D$2001,"*BOOKED")+COUNTIFS(LOG!$C$2:$C$2001,F551,LOG!$E$2:$E$2001,"",LOG!$D$2:$D$2001,"*BOOKED")&gt;0,1,0),0)</f>
        <v>0</v>
      </c>
      <c r="N551" s="28">
        <f>IF(L551=1,IF(COUNTIFS(LOG!$C$2:$C$2001,F551,LOG!$E$2:$E$2001,B551,LOG!$D$2:$D$2001,"NOT_INTERESTED")+COUNTIFS(LOG!$C$2:$C$2001,F551,LOG!$E$2:$E$2001,"",LOG!$D$2:$D$2001,"NOT_INTERESTED")&gt;0,1,0),0)</f>
        <v>0</v>
      </c>
      <c r="O551" s="28">
        <f>IF(L551=1,IF(COUNTIFS(LOG!$C$2:$C$2001,F551,LOG!$D$2:$D$2001,"STOP")+COUNTIFS(LOG!$C$2:$C$2001,F551,LOG!$D$2:$D$2001,"WRONG_NUMBER")&gt;0,1,IF(ISNUMBER(SEARCH("STOP",AT551)),1,0)),0)</f>
        <v>0</v>
      </c>
      <c r="P551" s="28">
        <f>IF(L551=1,IF(IFERROR(INDEX(PARTNERS!$D$2:$D$88,MATCH(B551,PARTNERS!$A$2:$A$88,0)),"")="NO SLOTS",1,IF(AND(IFERROR(INDEX(PARTNERS!$D$2:$D$88,MATCH(B551,PARTNERS!$A$2:$A$88,0)),"")&lt;&gt;"REOPENED",COUNTIFS(LOG!$E$2:$E$2001,B551,LOG!$D$2:$D$2001,"NO_SLOTS")&gt;0),1,0)),0)</f>
        <v>0</v>
      </c>
      <c r="Q551" s="28">
        <f>IF(L551=1,COUNTIFS(LOG!$C$2:$C$2001,F551,LOG!$H$2:$H$2001,1),0)</f>
        <v>0</v>
      </c>
      <c r="R551" s="46">
        <f>IF(Q551&gt;0,_xlfn.MAXIFS(LOG!$G$2:$G$2001,LOG!$C$2:$C$2001,F551,LOG!$H$2:$H$2001,1),0)</f>
        <v>0</v>
      </c>
      <c r="S551" s="28" t="str">
        <f>IF(Q551&gt;0,IFERROR(INDEX(LOG!$D$2:$D$2001,MATCH(F551&amp;"|"&amp;Q551,LOG!$I$2:$I$2001,0)),""),"")</f>
        <v/>
      </c>
      <c r="T551" s="28">
        <f>IF(S551="",0,IFERROR(VLOOKUP(S551,LISTS!$A$2:$E$10,4,FALSE),0))</f>
        <v>0</v>
      </c>
      <c r="U551" s="46">
        <f t="shared" si="90"/>
        <v>0</v>
      </c>
      <c r="V551" s="46" t="str">
        <f>IF(L551=1,H551+SETTINGS!$B$5/24,"")</f>
        <v/>
      </c>
      <c r="W551" s="28" t="str">
        <f>IF(L551=1,(V551-SETTINGS!$B$4)*24,"")</f>
        <v/>
      </c>
      <c r="X551" s="28">
        <f ca="1">IF(AND(L551=1,K551="OK",M551=0,N551=0,O551=0,P551=0,SETTINGS!$B$4&lt;V551,Q551&lt;SETTINGS!$B$6),1,0)</f>
        <v>0</v>
      </c>
      <c r="Y551" s="28">
        <f ca="1">IF(AND(X551=1,SETTINGS!$B$4&gt;=H551,SETTINGS!$B$4&gt;=U551,ROUND(MOD(SETTINGS!$B$4,1)*1440,0)&gt;=ROUND(SETTINGS!$B$7*1440,0),ROUND(MOD(SETTINGS!$B$4,1)*1440,0)&lt;ROUND(SETTINGS!$B$8*1440,0)),1,0)</f>
        <v>0</v>
      </c>
      <c r="Z551" s="28" t="str">
        <f>IF(B551="","",IF(ROUND(MOD(SETTINGS!$B$4,1)*1440,0)&lt;ROUND(SETTINGS!$B$11*1440,0),"Ram",IF(ROUND(MOD(SETTINGS!$B$4,1)*1440,0)&gt;=ROUND(SETTINGS!$B$10*1440,0),"Shyam",IF(MOD(IFERROR(VALUE(RIGHT(F551,2)),0),2)=0,"Ram","Shyam"))))</f>
        <v/>
      </c>
      <c r="AA551" s="28">
        <f t="shared" ca="1" si="91"/>
        <v>0</v>
      </c>
      <c r="AB551" s="28">
        <f ca="1">IF(X551=1,COUNTIFS($F$2:F551,F551,$X$2:X551,1),0)</f>
        <v>0</v>
      </c>
      <c r="AC551" s="28" t="str">
        <f>IF(L551=1,IF(IFERROR(INDEX(PARTNERS!$C$2:$C$88,MATCH(B551,PARTNERS!$A$2:$A$88,0)),"")="YES","YES","NO"),"")</f>
        <v/>
      </c>
      <c r="AD551" s="28" t="str">
        <f>IF(L551=1,IFERROR(INDEX(PARTNERS!$B$2:$B$88,MATCH(B551,PARTNERS!$A$2:$A$88,0)),""),"")</f>
        <v/>
      </c>
      <c r="AE551" s="28">
        <f ca="1">IF(X551=1,IFERROR(INDEX(SETTINGS!$B$34:$D$36,MATCH(I551,SETTINGS!$A$34:$A$36,0),MIN(Q551,2)+1),SETTINGS!$B$36),0)</f>
        <v>0</v>
      </c>
      <c r="AF551" s="28">
        <f t="shared" si="92"/>
        <v>0</v>
      </c>
      <c r="AG551" s="28">
        <f ca="1">IF(AND(Y551=1,AB551=1),ROUND(AA551*AE551*IF(AF551&gt;1,SETTINGS!$B$16,1)*IF(W551&lt;=SETTINGS!$B$14,SETTINGS!$B$15,1)*IF(AU551=1,SETTINGS!$B$21,1),6),0)</f>
        <v>0</v>
      </c>
      <c r="AH551" s="28" t="str">
        <f ca="1">IF(AG551&gt;0,COUNTIFS($Z$2:$Z$601,Z551,$AG$2:$AG$601,"&gt;"&amp;AG551)+COUNTIFS($Z$2:Z551,Z551,$AG$2:AG551,AG551),"")</f>
        <v/>
      </c>
      <c r="AI551" s="28" t="str">
        <f t="shared" ca="1" si="93"/>
        <v/>
      </c>
      <c r="AJ551" s="28" t="str">
        <f t="shared" ca="1" si="94"/>
        <v/>
      </c>
      <c r="AK551" s="28">
        <f>IF(L551=1,IF(COUNTIFS($F$2:F551,F551,$L$2:L551,1)=1,1,0),0)</f>
        <v>0</v>
      </c>
      <c r="AL551" s="28" t="str">
        <f>IF(B551="","",IF(K551="DUPLICATE","Duplicate (removed)",IF(AO551=1,"Scheduled within 24h",IF(M551=1,"Scheduled late",IF(K551="BAD CONTACT","Bad contact details",IF(O551=1,"Stopped / wrong number",IF(N551=1,"Not interested",IF(P551=1,"Partner has no slots",IF(SETTINGS!$B$4&gt;=V551,IF(Q551=0,"Missed deadline: never tried","Missed deadline: tried, not booked"),IF(Q551&gt;=SETTINGS!$B$6,"No reply after max tries","Open"))))))))))</f>
        <v/>
      </c>
      <c r="AM551" s="46" t="str">
        <f>IF(M551=1,IF(_xlfn.MINIFS(LOG!$G$2:$G$2001,LOG!$C$2:$C$2001,F551,LOG!$E$2:$E$2001,B551,LOG!$D$2:$D$2001,"*BOOKED")=0,_xlfn.MINIFS(LOG!$G$2:$G$2001,LOG!$C$2:$C$2001,F551,LOG!$E$2:$E$2001,"",LOG!$D$2:$D$2001,"*BOOKED"),IF(_xlfn.MINIFS(LOG!$G$2:$G$2001,LOG!$C$2:$C$2001,F551,LOG!$E$2:$E$2001,"",LOG!$D$2:$D$2001,"*BOOKED")=0,_xlfn.MINIFS(LOG!$G$2:$G$2001,LOG!$C$2:$C$2001,F551,LOG!$E$2:$E$2001,B551,LOG!$D$2:$D$2001,"*BOOKED"),MIN(_xlfn.MINIFS(LOG!$G$2:$G$2001,LOG!$C$2:$C$2001,F551,LOG!$E$2:$E$2001,B551,LOG!$D$2:$D$2001,"*BOOKED"),_xlfn.MINIFS(LOG!$G$2:$G$2001,LOG!$C$2:$C$2001,F551,LOG!$E$2:$E$2001,"",LOG!$D$2:$D$2001,"*BOOKED")))),"")</f>
        <v/>
      </c>
      <c r="AN551" s="28" t="str">
        <f t="shared" si="95"/>
        <v/>
      </c>
      <c r="AO551" s="28">
        <f>IF(AND(M551=1,AN551&lt;&gt;""),IF(AN551&lt;=SETTINGS!$B$5,1,0),0)</f>
        <v>0</v>
      </c>
      <c r="AP551" s="28">
        <f>IF(M551=1,IF(COUNTIFS(LOG!$C$2:$C$2001,F551,LOG!$E$2:$E$2001,B551,LOG!$D$2:$D$2001,"BOOKED")+COUNTIFS(LOG!$C$2:$C$2001,F551,LOG!$E$2:$E$2001,"",LOG!$D$2:$D$2001,"BOOKED")&gt;0,1,0),0)</f>
        <v>0</v>
      </c>
      <c r="AQ551" s="28" t="str">
        <f t="shared" si="96"/>
        <v/>
      </c>
      <c r="AR551" s="28" t="str">
        <f>IF(AND(AK551=1,K551="OK"),COUNTIFS($AK$2:AK551,1,$K$2:K551,"OK"),"")</f>
        <v/>
      </c>
      <c r="AS551" s="28" t="str">
        <f>IF(L551=1,IFERROR(INDEX(MESSAGES!$J$9:$J$1008,MATCH(F551,MESSAGES!$M$9:$M$1008,0))&amp;"",""),"")</f>
        <v/>
      </c>
      <c r="AT551" s="28" t="str">
        <f>IF(L551=1,IFERROR(INDEX(MESSAGES!$K$9:$K$1008,MATCH(F551,MESSAGES!$M$9:$M$1008,0))&amp;"",""),"")</f>
        <v/>
      </c>
      <c r="AU551" s="28">
        <f t="shared" ca="1" si="97"/>
        <v>0</v>
      </c>
      <c r="AV551" s="28" t="str">
        <f t="shared" si="98"/>
        <v/>
      </c>
    </row>
    <row r="552" spans="1:48" x14ac:dyDescent="0.35">
      <c r="A552" s="28">
        <v>551</v>
      </c>
      <c r="B552" s="28" t="str">
        <f>IF(INPUT!A552="","",TRIM(INPUT!A552))</f>
        <v/>
      </c>
      <c r="C552" s="28" t="str">
        <f>IF(B552="","",INPUT!C552)</f>
        <v/>
      </c>
      <c r="D552" s="28" t="str">
        <f>IF(B552="","",INPUT!D552)</f>
        <v/>
      </c>
      <c r="E552" s="28" t="str">
        <f>IF(B552="","",INPUT!E552)</f>
        <v/>
      </c>
      <c r="F552" s="43" t="str">
        <f>IF(B552="","",TRIM(INPUT!F552&amp;""))</f>
        <v/>
      </c>
      <c r="G552" s="28" t="str">
        <f>IF(B552="","",INPUT!H552)</f>
        <v/>
      </c>
      <c r="H552" s="46" t="str">
        <f>IF(B552="","",INPUT!I552)</f>
        <v/>
      </c>
      <c r="I552" s="28" t="str">
        <f>IF(B552="","",IF(INPUT!J552="","None",INPUT!J552))</f>
        <v/>
      </c>
      <c r="J552" s="28" t="str">
        <f t="shared" si="88"/>
        <v/>
      </c>
      <c r="K552" s="28" t="str">
        <f>IF(B552="","",IF(SUMPRODUCT(($J$2:$J$601=J552)*($H$2:$H$601&lt;H552))+SUMPRODUCT(($J$2:J552=J552)*($H$2:H552=H552))-1&gt;0,"DUPLICATE",IF(AND(ISNUMBER(SEARCH("@",E552)),ISNUMBER(SEARCH(".",E552)),LEN(F552)=10,ISNUMBER(VALUE(F552))),"OK","BAD CONTACT")))</f>
        <v/>
      </c>
      <c r="L552" s="28">
        <f t="shared" si="89"/>
        <v>0</v>
      </c>
      <c r="M552" s="28">
        <f>IF(L552=1,IF(COUNTIFS(LOG!$C$2:$C$2001,F552,LOG!$E$2:$E$2001,B552,LOG!$D$2:$D$2001,"*BOOKED")+COUNTIFS(LOG!$C$2:$C$2001,F552,LOG!$E$2:$E$2001,"",LOG!$D$2:$D$2001,"*BOOKED")&gt;0,1,0),0)</f>
        <v>0</v>
      </c>
      <c r="N552" s="28">
        <f>IF(L552=1,IF(COUNTIFS(LOG!$C$2:$C$2001,F552,LOG!$E$2:$E$2001,B552,LOG!$D$2:$D$2001,"NOT_INTERESTED")+COUNTIFS(LOG!$C$2:$C$2001,F552,LOG!$E$2:$E$2001,"",LOG!$D$2:$D$2001,"NOT_INTERESTED")&gt;0,1,0),0)</f>
        <v>0</v>
      </c>
      <c r="O552" s="28">
        <f>IF(L552=1,IF(COUNTIFS(LOG!$C$2:$C$2001,F552,LOG!$D$2:$D$2001,"STOP")+COUNTIFS(LOG!$C$2:$C$2001,F552,LOG!$D$2:$D$2001,"WRONG_NUMBER")&gt;0,1,IF(ISNUMBER(SEARCH("STOP",AT552)),1,0)),0)</f>
        <v>0</v>
      </c>
      <c r="P552" s="28">
        <f>IF(L552=1,IF(IFERROR(INDEX(PARTNERS!$D$2:$D$88,MATCH(B552,PARTNERS!$A$2:$A$88,0)),"")="NO SLOTS",1,IF(AND(IFERROR(INDEX(PARTNERS!$D$2:$D$88,MATCH(B552,PARTNERS!$A$2:$A$88,0)),"")&lt;&gt;"REOPENED",COUNTIFS(LOG!$E$2:$E$2001,B552,LOG!$D$2:$D$2001,"NO_SLOTS")&gt;0),1,0)),0)</f>
        <v>0</v>
      </c>
      <c r="Q552" s="28">
        <f>IF(L552=1,COUNTIFS(LOG!$C$2:$C$2001,F552,LOG!$H$2:$H$2001,1),0)</f>
        <v>0</v>
      </c>
      <c r="R552" s="46">
        <f>IF(Q552&gt;0,_xlfn.MAXIFS(LOG!$G$2:$G$2001,LOG!$C$2:$C$2001,F552,LOG!$H$2:$H$2001,1),0)</f>
        <v>0</v>
      </c>
      <c r="S552" s="28" t="str">
        <f>IF(Q552&gt;0,IFERROR(INDEX(LOG!$D$2:$D$2001,MATCH(F552&amp;"|"&amp;Q552,LOG!$I$2:$I$2001,0)),""),"")</f>
        <v/>
      </c>
      <c r="T552" s="28">
        <f>IF(S552="",0,IFERROR(VLOOKUP(S552,LISTS!$A$2:$E$10,4,FALSE),0))</f>
        <v>0</v>
      </c>
      <c r="U552" s="46">
        <f t="shared" si="90"/>
        <v>0</v>
      </c>
      <c r="V552" s="46" t="str">
        <f>IF(L552=1,H552+SETTINGS!$B$5/24,"")</f>
        <v/>
      </c>
      <c r="W552" s="28" t="str">
        <f>IF(L552=1,(V552-SETTINGS!$B$4)*24,"")</f>
        <v/>
      </c>
      <c r="X552" s="28">
        <f ca="1">IF(AND(L552=1,K552="OK",M552=0,N552=0,O552=0,P552=0,SETTINGS!$B$4&lt;V552,Q552&lt;SETTINGS!$B$6),1,0)</f>
        <v>0</v>
      </c>
      <c r="Y552" s="28">
        <f ca="1">IF(AND(X552=1,SETTINGS!$B$4&gt;=H552,SETTINGS!$B$4&gt;=U552,ROUND(MOD(SETTINGS!$B$4,1)*1440,0)&gt;=ROUND(SETTINGS!$B$7*1440,0),ROUND(MOD(SETTINGS!$B$4,1)*1440,0)&lt;ROUND(SETTINGS!$B$8*1440,0)),1,0)</f>
        <v>0</v>
      </c>
      <c r="Z552" s="28" t="str">
        <f>IF(B552="","",IF(ROUND(MOD(SETTINGS!$B$4,1)*1440,0)&lt;ROUND(SETTINGS!$B$11*1440,0),"Ram",IF(ROUND(MOD(SETTINGS!$B$4,1)*1440,0)&gt;=ROUND(SETTINGS!$B$10*1440,0),"Shyam",IF(MOD(IFERROR(VALUE(RIGHT(F552,2)),0),2)=0,"Ram","Shyam"))))</f>
        <v/>
      </c>
      <c r="AA552" s="28">
        <f t="shared" ca="1" si="91"/>
        <v>0</v>
      </c>
      <c r="AB552" s="28">
        <f ca="1">IF(X552=1,COUNTIFS($F$2:F552,F552,$X$2:X552,1),0)</f>
        <v>0</v>
      </c>
      <c r="AC552" s="28" t="str">
        <f>IF(L552=1,IF(IFERROR(INDEX(PARTNERS!$C$2:$C$88,MATCH(B552,PARTNERS!$A$2:$A$88,0)),"")="YES","YES","NO"),"")</f>
        <v/>
      </c>
      <c r="AD552" s="28" t="str">
        <f>IF(L552=1,IFERROR(INDEX(PARTNERS!$B$2:$B$88,MATCH(B552,PARTNERS!$A$2:$A$88,0)),""),"")</f>
        <v/>
      </c>
      <c r="AE552" s="28">
        <f ca="1">IF(X552=1,IFERROR(INDEX(SETTINGS!$B$34:$D$36,MATCH(I552,SETTINGS!$A$34:$A$36,0),MIN(Q552,2)+1),SETTINGS!$B$36),0)</f>
        <v>0</v>
      </c>
      <c r="AF552" s="28">
        <f t="shared" si="92"/>
        <v>0</v>
      </c>
      <c r="AG552" s="28">
        <f ca="1">IF(AND(Y552=1,AB552=1),ROUND(AA552*AE552*IF(AF552&gt;1,SETTINGS!$B$16,1)*IF(W552&lt;=SETTINGS!$B$14,SETTINGS!$B$15,1)*IF(AU552=1,SETTINGS!$B$21,1),6),0)</f>
        <v>0</v>
      </c>
      <c r="AH552" s="28" t="str">
        <f ca="1">IF(AG552&gt;0,COUNTIFS($Z$2:$Z$601,Z552,$AG$2:$AG$601,"&gt;"&amp;AG552)+COUNTIFS($Z$2:Z552,Z552,$AG$2:AG552,AG552),"")</f>
        <v/>
      </c>
      <c r="AI552" s="28" t="str">
        <f t="shared" ca="1" si="93"/>
        <v/>
      </c>
      <c r="AJ552" s="28" t="str">
        <f t="shared" ca="1" si="94"/>
        <v/>
      </c>
      <c r="AK552" s="28">
        <f>IF(L552=1,IF(COUNTIFS($F$2:F552,F552,$L$2:L552,1)=1,1,0),0)</f>
        <v>0</v>
      </c>
      <c r="AL552" s="28" t="str">
        <f>IF(B552="","",IF(K552="DUPLICATE","Duplicate (removed)",IF(AO552=1,"Scheduled within 24h",IF(M552=1,"Scheduled late",IF(K552="BAD CONTACT","Bad contact details",IF(O552=1,"Stopped / wrong number",IF(N552=1,"Not interested",IF(P552=1,"Partner has no slots",IF(SETTINGS!$B$4&gt;=V552,IF(Q552=0,"Missed deadline: never tried","Missed deadline: tried, not booked"),IF(Q552&gt;=SETTINGS!$B$6,"No reply after max tries","Open"))))))))))</f>
        <v/>
      </c>
      <c r="AM552" s="46" t="str">
        <f>IF(M552=1,IF(_xlfn.MINIFS(LOG!$G$2:$G$2001,LOG!$C$2:$C$2001,F552,LOG!$E$2:$E$2001,B552,LOG!$D$2:$D$2001,"*BOOKED")=0,_xlfn.MINIFS(LOG!$G$2:$G$2001,LOG!$C$2:$C$2001,F552,LOG!$E$2:$E$2001,"",LOG!$D$2:$D$2001,"*BOOKED"),IF(_xlfn.MINIFS(LOG!$G$2:$G$2001,LOG!$C$2:$C$2001,F552,LOG!$E$2:$E$2001,"",LOG!$D$2:$D$2001,"*BOOKED")=0,_xlfn.MINIFS(LOG!$G$2:$G$2001,LOG!$C$2:$C$2001,F552,LOG!$E$2:$E$2001,B552,LOG!$D$2:$D$2001,"*BOOKED"),MIN(_xlfn.MINIFS(LOG!$G$2:$G$2001,LOG!$C$2:$C$2001,F552,LOG!$E$2:$E$2001,B552,LOG!$D$2:$D$2001,"*BOOKED"),_xlfn.MINIFS(LOG!$G$2:$G$2001,LOG!$C$2:$C$2001,F552,LOG!$E$2:$E$2001,"",LOG!$D$2:$D$2001,"*BOOKED")))),"")</f>
        <v/>
      </c>
      <c r="AN552" s="28" t="str">
        <f t="shared" si="95"/>
        <v/>
      </c>
      <c r="AO552" s="28">
        <f>IF(AND(M552=1,AN552&lt;&gt;""),IF(AN552&lt;=SETTINGS!$B$5,1,0),0)</f>
        <v>0</v>
      </c>
      <c r="AP552" s="28">
        <f>IF(M552=1,IF(COUNTIFS(LOG!$C$2:$C$2001,F552,LOG!$E$2:$E$2001,B552,LOG!$D$2:$D$2001,"BOOKED")+COUNTIFS(LOG!$C$2:$C$2001,F552,LOG!$E$2:$E$2001,"",LOG!$D$2:$D$2001,"BOOKED")&gt;0,1,0),0)</f>
        <v>0</v>
      </c>
      <c r="AQ552" s="28" t="str">
        <f t="shared" si="96"/>
        <v/>
      </c>
      <c r="AR552" s="28" t="str">
        <f>IF(AND(AK552=1,K552="OK"),COUNTIFS($AK$2:AK552,1,$K$2:K552,"OK"),"")</f>
        <v/>
      </c>
      <c r="AS552" s="28" t="str">
        <f>IF(L552=1,IFERROR(INDEX(MESSAGES!$J$9:$J$1008,MATCH(F552,MESSAGES!$M$9:$M$1008,0))&amp;"",""),"")</f>
        <v/>
      </c>
      <c r="AT552" s="28" t="str">
        <f>IF(L552=1,IFERROR(INDEX(MESSAGES!$K$9:$K$1008,MATCH(F552,MESSAGES!$M$9:$M$1008,0))&amp;"",""),"")</f>
        <v/>
      </c>
      <c r="AU552" s="28">
        <f t="shared" ca="1" si="97"/>
        <v>0</v>
      </c>
      <c r="AV552" s="28" t="str">
        <f t="shared" si="98"/>
        <v/>
      </c>
    </row>
    <row r="553" spans="1:48" x14ac:dyDescent="0.35">
      <c r="A553" s="28">
        <v>552</v>
      </c>
      <c r="B553" s="28" t="str">
        <f>IF(INPUT!A553="","",TRIM(INPUT!A553))</f>
        <v/>
      </c>
      <c r="C553" s="28" t="str">
        <f>IF(B553="","",INPUT!C553)</f>
        <v/>
      </c>
      <c r="D553" s="28" t="str">
        <f>IF(B553="","",INPUT!D553)</f>
        <v/>
      </c>
      <c r="E553" s="28" t="str">
        <f>IF(B553="","",INPUT!E553)</f>
        <v/>
      </c>
      <c r="F553" s="43" t="str">
        <f>IF(B553="","",TRIM(INPUT!F553&amp;""))</f>
        <v/>
      </c>
      <c r="G553" s="28" t="str">
        <f>IF(B553="","",INPUT!H553)</f>
        <v/>
      </c>
      <c r="H553" s="46" t="str">
        <f>IF(B553="","",INPUT!I553)</f>
        <v/>
      </c>
      <c r="I553" s="28" t="str">
        <f>IF(B553="","",IF(INPUT!J553="","None",INPUT!J553))</f>
        <v/>
      </c>
      <c r="J553" s="28" t="str">
        <f t="shared" si="88"/>
        <v/>
      </c>
      <c r="K553" s="28" t="str">
        <f>IF(B553="","",IF(SUMPRODUCT(($J$2:$J$601=J553)*($H$2:$H$601&lt;H553))+SUMPRODUCT(($J$2:J553=J553)*($H$2:H553=H553))-1&gt;0,"DUPLICATE",IF(AND(ISNUMBER(SEARCH("@",E553)),ISNUMBER(SEARCH(".",E553)),LEN(F553)=10,ISNUMBER(VALUE(F553))),"OK","BAD CONTACT")))</f>
        <v/>
      </c>
      <c r="L553" s="28">
        <f t="shared" si="89"/>
        <v>0</v>
      </c>
      <c r="M553" s="28">
        <f>IF(L553=1,IF(COUNTIFS(LOG!$C$2:$C$2001,F553,LOG!$E$2:$E$2001,B553,LOG!$D$2:$D$2001,"*BOOKED")+COUNTIFS(LOG!$C$2:$C$2001,F553,LOG!$E$2:$E$2001,"",LOG!$D$2:$D$2001,"*BOOKED")&gt;0,1,0),0)</f>
        <v>0</v>
      </c>
      <c r="N553" s="28">
        <f>IF(L553=1,IF(COUNTIFS(LOG!$C$2:$C$2001,F553,LOG!$E$2:$E$2001,B553,LOG!$D$2:$D$2001,"NOT_INTERESTED")+COUNTIFS(LOG!$C$2:$C$2001,F553,LOG!$E$2:$E$2001,"",LOG!$D$2:$D$2001,"NOT_INTERESTED")&gt;0,1,0),0)</f>
        <v>0</v>
      </c>
      <c r="O553" s="28">
        <f>IF(L553=1,IF(COUNTIFS(LOG!$C$2:$C$2001,F553,LOG!$D$2:$D$2001,"STOP")+COUNTIFS(LOG!$C$2:$C$2001,F553,LOG!$D$2:$D$2001,"WRONG_NUMBER")&gt;0,1,IF(ISNUMBER(SEARCH("STOP",AT553)),1,0)),0)</f>
        <v>0</v>
      </c>
      <c r="P553" s="28">
        <f>IF(L553=1,IF(IFERROR(INDEX(PARTNERS!$D$2:$D$88,MATCH(B553,PARTNERS!$A$2:$A$88,0)),"")="NO SLOTS",1,IF(AND(IFERROR(INDEX(PARTNERS!$D$2:$D$88,MATCH(B553,PARTNERS!$A$2:$A$88,0)),"")&lt;&gt;"REOPENED",COUNTIFS(LOG!$E$2:$E$2001,B553,LOG!$D$2:$D$2001,"NO_SLOTS")&gt;0),1,0)),0)</f>
        <v>0</v>
      </c>
      <c r="Q553" s="28">
        <f>IF(L553=1,COUNTIFS(LOG!$C$2:$C$2001,F553,LOG!$H$2:$H$2001,1),0)</f>
        <v>0</v>
      </c>
      <c r="R553" s="46">
        <f>IF(Q553&gt;0,_xlfn.MAXIFS(LOG!$G$2:$G$2001,LOG!$C$2:$C$2001,F553,LOG!$H$2:$H$2001,1),0)</f>
        <v>0</v>
      </c>
      <c r="S553" s="28" t="str">
        <f>IF(Q553&gt;0,IFERROR(INDEX(LOG!$D$2:$D$2001,MATCH(F553&amp;"|"&amp;Q553,LOG!$I$2:$I$2001,0)),""),"")</f>
        <v/>
      </c>
      <c r="T553" s="28">
        <f>IF(S553="",0,IFERROR(VLOOKUP(S553,LISTS!$A$2:$E$10,4,FALSE),0))</f>
        <v>0</v>
      </c>
      <c r="U553" s="46">
        <f t="shared" si="90"/>
        <v>0</v>
      </c>
      <c r="V553" s="46" t="str">
        <f>IF(L553=1,H553+SETTINGS!$B$5/24,"")</f>
        <v/>
      </c>
      <c r="W553" s="28" t="str">
        <f>IF(L553=1,(V553-SETTINGS!$B$4)*24,"")</f>
        <v/>
      </c>
      <c r="X553" s="28">
        <f ca="1">IF(AND(L553=1,K553="OK",M553=0,N553=0,O553=0,P553=0,SETTINGS!$B$4&lt;V553,Q553&lt;SETTINGS!$B$6),1,0)</f>
        <v>0</v>
      </c>
      <c r="Y553" s="28">
        <f ca="1">IF(AND(X553=1,SETTINGS!$B$4&gt;=H553,SETTINGS!$B$4&gt;=U553,ROUND(MOD(SETTINGS!$B$4,1)*1440,0)&gt;=ROUND(SETTINGS!$B$7*1440,0),ROUND(MOD(SETTINGS!$B$4,1)*1440,0)&lt;ROUND(SETTINGS!$B$8*1440,0)),1,0)</f>
        <v>0</v>
      </c>
      <c r="Z553" s="28" t="str">
        <f>IF(B553="","",IF(ROUND(MOD(SETTINGS!$B$4,1)*1440,0)&lt;ROUND(SETTINGS!$B$11*1440,0),"Ram",IF(ROUND(MOD(SETTINGS!$B$4,1)*1440,0)&gt;=ROUND(SETTINGS!$B$10*1440,0),"Shyam",IF(MOD(IFERROR(VALUE(RIGHT(F553,2)),0),2)=0,"Ram","Shyam"))))</f>
        <v/>
      </c>
      <c r="AA553" s="28">
        <f t="shared" ca="1" si="91"/>
        <v>0</v>
      </c>
      <c r="AB553" s="28">
        <f ca="1">IF(X553=1,COUNTIFS($F$2:F553,F553,$X$2:X553,1),0)</f>
        <v>0</v>
      </c>
      <c r="AC553" s="28" t="str">
        <f>IF(L553=1,IF(IFERROR(INDEX(PARTNERS!$C$2:$C$88,MATCH(B553,PARTNERS!$A$2:$A$88,0)),"")="YES","YES","NO"),"")</f>
        <v/>
      </c>
      <c r="AD553" s="28" t="str">
        <f>IF(L553=1,IFERROR(INDEX(PARTNERS!$B$2:$B$88,MATCH(B553,PARTNERS!$A$2:$A$88,0)),""),"")</f>
        <v/>
      </c>
      <c r="AE553" s="28">
        <f ca="1">IF(X553=1,IFERROR(INDEX(SETTINGS!$B$34:$D$36,MATCH(I553,SETTINGS!$A$34:$A$36,0),MIN(Q553,2)+1),SETTINGS!$B$36),0)</f>
        <v>0</v>
      </c>
      <c r="AF553" s="28">
        <f t="shared" si="92"/>
        <v>0</v>
      </c>
      <c r="AG553" s="28">
        <f ca="1">IF(AND(Y553=1,AB553=1),ROUND(AA553*AE553*IF(AF553&gt;1,SETTINGS!$B$16,1)*IF(W553&lt;=SETTINGS!$B$14,SETTINGS!$B$15,1)*IF(AU553=1,SETTINGS!$B$21,1),6),0)</f>
        <v>0</v>
      </c>
      <c r="AH553" s="28" t="str">
        <f ca="1">IF(AG553&gt;0,COUNTIFS($Z$2:$Z$601,Z553,$AG$2:$AG$601,"&gt;"&amp;AG553)+COUNTIFS($Z$2:Z553,Z553,$AG$2:AG553,AG553),"")</f>
        <v/>
      </c>
      <c r="AI553" s="28" t="str">
        <f t="shared" ca="1" si="93"/>
        <v/>
      </c>
      <c r="AJ553" s="28" t="str">
        <f t="shared" ca="1" si="94"/>
        <v/>
      </c>
      <c r="AK553" s="28">
        <f>IF(L553=1,IF(COUNTIFS($F$2:F553,F553,$L$2:L553,1)=1,1,0),0)</f>
        <v>0</v>
      </c>
      <c r="AL553" s="28" t="str">
        <f>IF(B553="","",IF(K553="DUPLICATE","Duplicate (removed)",IF(AO553=1,"Scheduled within 24h",IF(M553=1,"Scheduled late",IF(K553="BAD CONTACT","Bad contact details",IF(O553=1,"Stopped / wrong number",IF(N553=1,"Not interested",IF(P553=1,"Partner has no slots",IF(SETTINGS!$B$4&gt;=V553,IF(Q553=0,"Missed deadline: never tried","Missed deadline: tried, not booked"),IF(Q553&gt;=SETTINGS!$B$6,"No reply after max tries","Open"))))))))))</f>
        <v/>
      </c>
      <c r="AM553" s="46" t="str">
        <f>IF(M553=1,IF(_xlfn.MINIFS(LOG!$G$2:$G$2001,LOG!$C$2:$C$2001,F553,LOG!$E$2:$E$2001,B553,LOG!$D$2:$D$2001,"*BOOKED")=0,_xlfn.MINIFS(LOG!$G$2:$G$2001,LOG!$C$2:$C$2001,F553,LOG!$E$2:$E$2001,"",LOG!$D$2:$D$2001,"*BOOKED"),IF(_xlfn.MINIFS(LOG!$G$2:$G$2001,LOG!$C$2:$C$2001,F553,LOG!$E$2:$E$2001,"",LOG!$D$2:$D$2001,"*BOOKED")=0,_xlfn.MINIFS(LOG!$G$2:$G$2001,LOG!$C$2:$C$2001,F553,LOG!$E$2:$E$2001,B553,LOG!$D$2:$D$2001,"*BOOKED"),MIN(_xlfn.MINIFS(LOG!$G$2:$G$2001,LOG!$C$2:$C$2001,F553,LOG!$E$2:$E$2001,B553,LOG!$D$2:$D$2001,"*BOOKED"),_xlfn.MINIFS(LOG!$G$2:$G$2001,LOG!$C$2:$C$2001,F553,LOG!$E$2:$E$2001,"",LOG!$D$2:$D$2001,"*BOOKED")))),"")</f>
        <v/>
      </c>
      <c r="AN553" s="28" t="str">
        <f t="shared" si="95"/>
        <v/>
      </c>
      <c r="AO553" s="28">
        <f>IF(AND(M553=1,AN553&lt;&gt;""),IF(AN553&lt;=SETTINGS!$B$5,1,0),0)</f>
        <v>0</v>
      </c>
      <c r="AP553" s="28">
        <f>IF(M553=1,IF(COUNTIFS(LOG!$C$2:$C$2001,F553,LOG!$E$2:$E$2001,B553,LOG!$D$2:$D$2001,"BOOKED")+COUNTIFS(LOG!$C$2:$C$2001,F553,LOG!$E$2:$E$2001,"",LOG!$D$2:$D$2001,"BOOKED")&gt;0,1,0),0)</f>
        <v>0</v>
      </c>
      <c r="AQ553" s="28" t="str">
        <f t="shared" si="96"/>
        <v/>
      </c>
      <c r="AR553" s="28" t="str">
        <f>IF(AND(AK553=1,K553="OK"),COUNTIFS($AK$2:AK553,1,$K$2:K553,"OK"),"")</f>
        <v/>
      </c>
      <c r="AS553" s="28" t="str">
        <f>IF(L553=1,IFERROR(INDEX(MESSAGES!$J$9:$J$1008,MATCH(F553,MESSAGES!$M$9:$M$1008,0))&amp;"",""),"")</f>
        <v/>
      </c>
      <c r="AT553" s="28" t="str">
        <f>IF(L553=1,IFERROR(INDEX(MESSAGES!$K$9:$K$1008,MATCH(F553,MESSAGES!$M$9:$M$1008,0))&amp;"",""),"")</f>
        <v/>
      </c>
      <c r="AU553" s="28">
        <f t="shared" ca="1" si="97"/>
        <v>0</v>
      </c>
      <c r="AV553" s="28" t="str">
        <f t="shared" si="98"/>
        <v/>
      </c>
    </row>
    <row r="554" spans="1:48" x14ac:dyDescent="0.35">
      <c r="A554" s="28">
        <v>553</v>
      </c>
      <c r="B554" s="28" t="str">
        <f>IF(INPUT!A554="","",TRIM(INPUT!A554))</f>
        <v/>
      </c>
      <c r="C554" s="28" t="str">
        <f>IF(B554="","",INPUT!C554)</f>
        <v/>
      </c>
      <c r="D554" s="28" t="str">
        <f>IF(B554="","",INPUT!D554)</f>
        <v/>
      </c>
      <c r="E554" s="28" t="str">
        <f>IF(B554="","",INPUT!E554)</f>
        <v/>
      </c>
      <c r="F554" s="43" t="str">
        <f>IF(B554="","",TRIM(INPUT!F554&amp;""))</f>
        <v/>
      </c>
      <c r="G554" s="28" t="str">
        <f>IF(B554="","",INPUT!H554)</f>
        <v/>
      </c>
      <c r="H554" s="46" t="str">
        <f>IF(B554="","",INPUT!I554)</f>
        <v/>
      </c>
      <c r="I554" s="28" t="str">
        <f>IF(B554="","",IF(INPUT!J554="","None",INPUT!J554))</f>
        <v/>
      </c>
      <c r="J554" s="28" t="str">
        <f t="shared" si="88"/>
        <v/>
      </c>
      <c r="K554" s="28" t="str">
        <f>IF(B554="","",IF(SUMPRODUCT(($J$2:$J$601=J554)*($H$2:$H$601&lt;H554))+SUMPRODUCT(($J$2:J554=J554)*($H$2:H554=H554))-1&gt;0,"DUPLICATE",IF(AND(ISNUMBER(SEARCH("@",E554)),ISNUMBER(SEARCH(".",E554)),LEN(F554)=10,ISNUMBER(VALUE(F554))),"OK","BAD CONTACT")))</f>
        <v/>
      </c>
      <c r="L554" s="28">
        <f t="shared" si="89"/>
        <v>0</v>
      </c>
      <c r="M554" s="28">
        <f>IF(L554=1,IF(COUNTIFS(LOG!$C$2:$C$2001,F554,LOG!$E$2:$E$2001,B554,LOG!$D$2:$D$2001,"*BOOKED")+COUNTIFS(LOG!$C$2:$C$2001,F554,LOG!$E$2:$E$2001,"",LOG!$D$2:$D$2001,"*BOOKED")&gt;0,1,0),0)</f>
        <v>0</v>
      </c>
      <c r="N554" s="28">
        <f>IF(L554=1,IF(COUNTIFS(LOG!$C$2:$C$2001,F554,LOG!$E$2:$E$2001,B554,LOG!$D$2:$D$2001,"NOT_INTERESTED")+COUNTIFS(LOG!$C$2:$C$2001,F554,LOG!$E$2:$E$2001,"",LOG!$D$2:$D$2001,"NOT_INTERESTED")&gt;0,1,0),0)</f>
        <v>0</v>
      </c>
      <c r="O554" s="28">
        <f>IF(L554=1,IF(COUNTIFS(LOG!$C$2:$C$2001,F554,LOG!$D$2:$D$2001,"STOP")+COUNTIFS(LOG!$C$2:$C$2001,F554,LOG!$D$2:$D$2001,"WRONG_NUMBER")&gt;0,1,IF(ISNUMBER(SEARCH("STOP",AT554)),1,0)),0)</f>
        <v>0</v>
      </c>
      <c r="P554" s="28">
        <f>IF(L554=1,IF(IFERROR(INDEX(PARTNERS!$D$2:$D$88,MATCH(B554,PARTNERS!$A$2:$A$88,0)),"")="NO SLOTS",1,IF(AND(IFERROR(INDEX(PARTNERS!$D$2:$D$88,MATCH(B554,PARTNERS!$A$2:$A$88,0)),"")&lt;&gt;"REOPENED",COUNTIFS(LOG!$E$2:$E$2001,B554,LOG!$D$2:$D$2001,"NO_SLOTS")&gt;0),1,0)),0)</f>
        <v>0</v>
      </c>
      <c r="Q554" s="28">
        <f>IF(L554=1,COUNTIFS(LOG!$C$2:$C$2001,F554,LOG!$H$2:$H$2001,1),0)</f>
        <v>0</v>
      </c>
      <c r="R554" s="46">
        <f>IF(Q554&gt;0,_xlfn.MAXIFS(LOG!$G$2:$G$2001,LOG!$C$2:$C$2001,F554,LOG!$H$2:$H$2001,1),0)</f>
        <v>0</v>
      </c>
      <c r="S554" s="28" t="str">
        <f>IF(Q554&gt;0,IFERROR(INDEX(LOG!$D$2:$D$2001,MATCH(F554&amp;"|"&amp;Q554,LOG!$I$2:$I$2001,0)),""),"")</f>
        <v/>
      </c>
      <c r="T554" s="28">
        <f>IF(S554="",0,IFERROR(VLOOKUP(S554,LISTS!$A$2:$E$10,4,FALSE),0))</f>
        <v>0</v>
      </c>
      <c r="U554" s="46">
        <f t="shared" si="90"/>
        <v>0</v>
      </c>
      <c r="V554" s="46" t="str">
        <f>IF(L554=1,H554+SETTINGS!$B$5/24,"")</f>
        <v/>
      </c>
      <c r="W554" s="28" t="str">
        <f>IF(L554=1,(V554-SETTINGS!$B$4)*24,"")</f>
        <v/>
      </c>
      <c r="X554" s="28">
        <f ca="1">IF(AND(L554=1,K554="OK",M554=0,N554=0,O554=0,P554=0,SETTINGS!$B$4&lt;V554,Q554&lt;SETTINGS!$B$6),1,0)</f>
        <v>0</v>
      </c>
      <c r="Y554" s="28">
        <f ca="1">IF(AND(X554=1,SETTINGS!$B$4&gt;=H554,SETTINGS!$B$4&gt;=U554,ROUND(MOD(SETTINGS!$B$4,1)*1440,0)&gt;=ROUND(SETTINGS!$B$7*1440,0),ROUND(MOD(SETTINGS!$B$4,1)*1440,0)&lt;ROUND(SETTINGS!$B$8*1440,0)),1,0)</f>
        <v>0</v>
      </c>
      <c r="Z554" s="28" t="str">
        <f>IF(B554="","",IF(ROUND(MOD(SETTINGS!$B$4,1)*1440,0)&lt;ROUND(SETTINGS!$B$11*1440,0),"Ram",IF(ROUND(MOD(SETTINGS!$B$4,1)*1440,0)&gt;=ROUND(SETTINGS!$B$10*1440,0),"Shyam",IF(MOD(IFERROR(VALUE(RIGHT(F554,2)),0),2)=0,"Ram","Shyam"))))</f>
        <v/>
      </c>
      <c r="AA554" s="28">
        <f t="shared" ca="1" si="91"/>
        <v>0</v>
      </c>
      <c r="AB554" s="28">
        <f ca="1">IF(X554=1,COUNTIFS($F$2:F554,F554,$X$2:X554,1),0)</f>
        <v>0</v>
      </c>
      <c r="AC554" s="28" t="str">
        <f>IF(L554=1,IF(IFERROR(INDEX(PARTNERS!$C$2:$C$88,MATCH(B554,PARTNERS!$A$2:$A$88,0)),"")="YES","YES","NO"),"")</f>
        <v/>
      </c>
      <c r="AD554" s="28" t="str">
        <f>IF(L554=1,IFERROR(INDEX(PARTNERS!$B$2:$B$88,MATCH(B554,PARTNERS!$A$2:$A$88,0)),""),"")</f>
        <v/>
      </c>
      <c r="AE554" s="28">
        <f ca="1">IF(X554=1,IFERROR(INDEX(SETTINGS!$B$34:$D$36,MATCH(I554,SETTINGS!$A$34:$A$36,0),MIN(Q554,2)+1),SETTINGS!$B$36),0)</f>
        <v>0</v>
      </c>
      <c r="AF554" s="28">
        <f t="shared" si="92"/>
        <v>0</v>
      </c>
      <c r="AG554" s="28">
        <f ca="1">IF(AND(Y554=1,AB554=1),ROUND(AA554*AE554*IF(AF554&gt;1,SETTINGS!$B$16,1)*IF(W554&lt;=SETTINGS!$B$14,SETTINGS!$B$15,1)*IF(AU554=1,SETTINGS!$B$21,1),6),0)</f>
        <v>0</v>
      </c>
      <c r="AH554" s="28" t="str">
        <f ca="1">IF(AG554&gt;0,COUNTIFS($Z$2:$Z$601,Z554,$AG$2:$AG$601,"&gt;"&amp;AG554)+COUNTIFS($Z$2:Z554,Z554,$AG$2:AG554,AG554),"")</f>
        <v/>
      </c>
      <c r="AI554" s="28" t="str">
        <f t="shared" ca="1" si="93"/>
        <v/>
      </c>
      <c r="AJ554" s="28" t="str">
        <f t="shared" ca="1" si="94"/>
        <v/>
      </c>
      <c r="AK554" s="28">
        <f>IF(L554=1,IF(COUNTIFS($F$2:F554,F554,$L$2:L554,1)=1,1,0),0)</f>
        <v>0</v>
      </c>
      <c r="AL554" s="28" t="str">
        <f>IF(B554="","",IF(K554="DUPLICATE","Duplicate (removed)",IF(AO554=1,"Scheduled within 24h",IF(M554=1,"Scheduled late",IF(K554="BAD CONTACT","Bad contact details",IF(O554=1,"Stopped / wrong number",IF(N554=1,"Not interested",IF(P554=1,"Partner has no slots",IF(SETTINGS!$B$4&gt;=V554,IF(Q554=0,"Missed deadline: never tried","Missed deadline: tried, not booked"),IF(Q554&gt;=SETTINGS!$B$6,"No reply after max tries","Open"))))))))))</f>
        <v/>
      </c>
      <c r="AM554" s="46" t="str">
        <f>IF(M554=1,IF(_xlfn.MINIFS(LOG!$G$2:$G$2001,LOG!$C$2:$C$2001,F554,LOG!$E$2:$E$2001,B554,LOG!$D$2:$D$2001,"*BOOKED")=0,_xlfn.MINIFS(LOG!$G$2:$G$2001,LOG!$C$2:$C$2001,F554,LOG!$E$2:$E$2001,"",LOG!$D$2:$D$2001,"*BOOKED"),IF(_xlfn.MINIFS(LOG!$G$2:$G$2001,LOG!$C$2:$C$2001,F554,LOG!$E$2:$E$2001,"",LOG!$D$2:$D$2001,"*BOOKED")=0,_xlfn.MINIFS(LOG!$G$2:$G$2001,LOG!$C$2:$C$2001,F554,LOG!$E$2:$E$2001,B554,LOG!$D$2:$D$2001,"*BOOKED"),MIN(_xlfn.MINIFS(LOG!$G$2:$G$2001,LOG!$C$2:$C$2001,F554,LOG!$E$2:$E$2001,B554,LOG!$D$2:$D$2001,"*BOOKED"),_xlfn.MINIFS(LOG!$G$2:$G$2001,LOG!$C$2:$C$2001,F554,LOG!$E$2:$E$2001,"",LOG!$D$2:$D$2001,"*BOOKED")))),"")</f>
        <v/>
      </c>
      <c r="AN554" s="28" t="str">
        <f t="shared" si="95"/>
        <v/>
      </c>
      <c r="AO554" s="28">
        <f>IF(AND(M554=1,AN554&lt;&gt;""),IF(AN554&lt;=SETTINGS!$B$5,1,0),0)</f>
        <v>0</v>
      </c>
      <c r="AP554" s="28">
        <f>IF(M554=1,IF(COUNTIFS(LOG!$C$2:$C$2001,F554,LOG!$E$2:$E$2001,B554,LOG!$D$2:$D$2001,"BOOKED")+COUNTIFS(LOG!$C$2:$C$2001,F554,LOG!$E$2:$E$2001,"",LOG!$D$2:$D$2001,"BOOKED")&gt;0,1,0),0)</f>
        <v>0</v>
      </c>
      <c r="AQ554" s="28" t="str">
        <f t="shared" si="96"/>
        <v/>
      </c>
      <c r="AR554" s="28" t="str">
        <f>IF(AND(AK554=1,K554="OK"),COUNTIFS($AK$2:AK554,1,$K$2:K554,"OK"),"")</f>
        <v/>
      </c>
      <c r="AS554" s="28" t="str">
        <f>IF(L554=1,IFERROR(INDEX(MESSAGES!$J$9:$J$1008,MATCH(F554,MESSAGES!$M$9:$M$1008,0))&amp;"",""),"")</f>
        <v/>
      </c>
      <c r="AT554" s="28" t="str">
        <f>IF(L554=1,IFERROR(INDEX(MESSAGES!$K$9:$K$1008,MATCH(F554,MESSAGES!$M$9:$M$1008,0))&amp;"",""),"")</f>
        <v/>
      </c>
      <c r="AU554" s="28">
        <f t="shared" ca="1" si="97"/>
        <v>0</v>
      </c>
      <c r="AV554" s="28" t="str">
        <f t="shared" si="98"/>
        <v/>
      </c>
    </row>
    <row r="555" spans="1:48" x14ac:dyDescent="0.35">
      <c r="A555" s="28">
        <v>554</v>
      </c>
      <c r="B555" s="28" t="str">
        <f>IF(INPUT!A555="","",TRIM(INPUT!A555))</f>
        <v/>
      </c>
      <c r="C555" s="28" t="str">
        <f>IF(B555="","",INPUT!C555)</f>
        <v/>
      </c>
      <c r="D555" s="28" t="str">
        <f>IF(B555="","",INPUT!D555)</f>
        <v/>
      </c>
      <c r="E555" s="28" t="str">
        <f>IF(B555="","",INPUT!E555)</f>
        <v/>
      </c>
      <c r="F555" s="43" t="str">
        <f>IF(B555="","",TRIM(INPUT!F555&amp;""))</f>
        <v/>
      </c>
      <c r="G555" s="28" t="str">
        <f>IF(B555="","",INPUT!H555)</f>
        <v/>
      </c>
      <c r="H555" s="46" t="str">
        <f>IF(B555="","",INPUT!I555)</f>
        <v/>
      </c>
      <c r="I555" s="28" t="str">
        <f>IF(B555="","",IF(INPUT!J555="","None",INPUT!J555))</f>
        <v/>
      </c>
      <c r="J555" s="28" t="str">
        <f t="shared" si="88"/>
        <v/>
      </c>
      <c r="K555" s="28" t="str">
        <f>IF(B555="","",IF(SUMPRODUCT(($J$2:$J$601=J555)*($H$2:$H$601&lt;H555))+SUMPRODUCT(($J$2:J555=J555)*($H$2:H555=H555))-1&gt;0,"DUPLICATE",IF(AND(ISNUMBER(SEARCH("@",E555)),ISNUMBER(SEARCH(".",E555)),LEN(F555)=10,ISNUMBER(VALUE(F555))),"OK","BAD CONTACT")))</f>
        <v/>
      </c>
      <c r="L555" s="28">
        <f t="shared" si="89"/>
        <v>0</v>
      </c>
      <c r="M555" s="28">
        <f>IF(L555=1,IF(COUNTIFS(LOG!$C$2:$C$2001,F555,LOG!$E$2:$E$2001,B555,LOG!$D$2:$D$2001,"*BOOKED")+COUNTIFS(LOG!$C$2:$C$2001,F555,LOG!$E$2:$E$2001,"",LOG!$D$2:$D$2001,"*BOOKED")&gt;0,1,0),0)</f>
        <v>0</v>
      </c>
      <c r="N555" s="28">
        <f>IF(L555=1,IF(COUNTIFS(LOG!$C$2:$C$2001,F555,LOG!$E$2:$E$2001,B555,LOG!$D$2:$D$2001,"NOT_INTERESTED")+COUNTIFS(LOG!$C$2:$C$2001,F555,LOG!$E$2:$E$2001,"",LOG!$D$2:$D$2001,"NOT_INTERESTED")&gt;0,1,0),0)</f>
        <v>0</v>
      </c>
      <c r="O555" s="28">
        <f>IF(L555=1,IF(COUNTIFS(LOG!$C$2:$C$2001,F555,LOG!$D$2:$D$2001,"STOP")+COUNTIFS(LOG!$C$2:$C$2001,F555,LOG!$D$2:$D$2001,"WRONG_NUMBER")&gt;0,1,IF(ISNUMBER(SEARCH("STOP",AT555)),1,0)),0)</f>
        <v>0</v>
      </c>
      <c r="P555" s="28">
        <f>IF(L555=1,IF(IFERROR(INDEX(PARTNERS!$D$2:$D$88,MATCH(B555,PARTNERS!$A$2:$A$88,0)),"")="NO SLOTS",1,IF(AND(IFERROR(INDEX(PARTNERS!$D$2:$D$88,MATCH(B555,PARTNERS!$A$2:$A$88,0)),"")&lt;&gt;"REOPENED",COUNTIFS(LOG!$E$2:$E$2001,B555,LOG!$D$2:$D$2001,"NO_SLOTS")&gt;0),1,0)),0)</f>
        <v>0</v>
      </c>
      <c r="Q555" s="28">
        <f>IF(L555=1,COUNTIFS(LOG!$C$2:$C$2001,F555,LOG!$H$2:$H$2001,1),0)</f>
        <v>0</v>
      </c>
      <c r="R555" s="46">
        <f>IF(Q555&gt;0,_xlfn.MAXIFS(LOG!$G$2:$G$2001,LOG!$C$2:$C$2001,F555,LOG!$H$2:$H$2001,1),0)</f>
        <v>0</v>
      </c>
      <c r="S555" s="28" t="str">
        <f>IF(Q555&gt;0,IFERROR(INDEX(LOG!$D$2:$D$2001,MATCH(F555&amp;"|"&amp;Q555,LOG!$I$2:$I$2001,0)),""),"")</f>
        <v/>
      </c>
      <c r="T555" s="28">
        <f>IF(S555="",0,IFERROR(VLOOKUP(S555,LISTS!$A$2:$E$10,4,FALSE),0))</f>
        <v>0</v>
      </c>
      <c r="U555" s="46">
        <f t="shared" si="90"/>
        <v>0</v>
      </c>
      <c r="V555" s="46" t="str">
        <f>IF(L555=1,H555+SETTINGS!$B$5/24,"")</f>
        <v/>
      </c>
      <c r="W555" s="28" t="str">
        <f>IF(L555=1,(V555-SETTINGS!$B$4)*24,"")</f>
        <v/>
      </c>
      <c r="X555" s="28">
        <f ca="1">IF(AND(L555=1,K555="OK",M555=0,N555=0,O555=0,P555=0,SETTINGS!$B$4&lt;V555,Q555&lt;SETTINGS!$B$6),1,0)</f>
        <v>0</v>
      </c>
      <c r="Y555" s="28">
        <f ca="1">IF(AND(X555=1,SETTINGS!$B$4&gt;=H555,SETTINGS!$B$4&gt;=U555,ROUND(MOD(SETTINGS!$B$4,1)*1440,0)&gt;=ROUND(SETTINGS!$B$7*1440,0),ROUND(MOD(SETTINGS!$B$4,1)*1440,0)&lt;ROUND(SETTINGS!$B$8*1440,0)),1,0)</f>
        <v>0</v>
      </c>
      <c r="Z555" s="28" t="str">
        <f>IF(B555="","",IF(ROUND(MOD(SETTINGS!$B$4,1)*1440,0)&lt;ROUND(SETTINGS!$B$11*1440,0),"Ram",IF(ROUND(MOD(SETTINGS!$B$4,1)*1440,0)&gt;=ROUND(SETTINGS!$B$10*1440,0),"Shyam",IF(MOD(IFERROR(VALUE(RIGHT(F555,2)),0),2)=0,"Ram","Shyam"))))</f>
        <v/>
      </c>
      <c r="AA555" s="28">
        <f t="shared" ca="1" si="91"/>
        <v>0</v>
      </c>
      <c r="AB555" s="28">
        <f ca="1">IF(X555=1,COUNTIFS($F$2:F555,F555,$X$2:X555,1),0)</f>
        <v>0</v>
      </c>
      <c r="AC555" s="28" t="str">
        <f>IF(L555=1,IF(IFERROR(INDEX(PARTNERS!$C$2:$C$88,MATCH(B555,PARTNERS!$A$2:$A$88,0)),"")="YES","YES","NO"),"")</f>
        <v/>
      </c>
      <c r="AD555" s="28" t="str">
        <f>IF(L555=1,IFERROR(INDEX(PARTNERS!$B$2:$B$88,MATCH(B555,PARTNERS!$A$2:$A$88,0)),""),"")</f>
        <v/>
      </c>
      <c r="AE555" s="28">
        <f ca="1">IF(X555=1,IFERROR(INDEX(SETTINGS!$B$34:$D$36,MATCH(I555,SETTINGS!$A$34:$A$36,0),MIN(Q555,2)+1),SETTINGS!$B$36),0)</f>
        <v>0</v>
      </c>
      <c r="AF555" s="28">
        <f t="shared" si="92"/>
        <v>0</v>
      </c>
      <c r="AG555" s="28">
        <f ca="1">IF(AND(Y555=1,AB555=1),ROUND(AA555*AE555*IF(AF555&gt;1,SETTINGS!$B$16,1)*IF(W555&lt;=SETTINGS!$B$14,SETTINGS!$B$15,1)*IF(AU555=1,SETTINGS!$B$21,1),6),0)</f>
        <v>0</v>
      </c>
      <c r="AH555" s="28" t="str">
        <f ca="1">IF(AG555&gt;0,COUNTIFS($Z$2:$Z$601,Z555,$AG$2:$AG$601,"&gt;"&amp;AG555)+COUNTIFS($Z$2:Z555,Z555,$AG$2:AG555,AG555),"")</f>
        <v/>
      </c>
      <c r="AI555" s="28" t="str">
        <f t="shared" ca="1" si="93"/>
        <v/>
      </c>
      <c r="AJ555" s="28" t="str">
        <f t="shared" ca="1" si="94"/>
        <v/>
      </c>
      <c r="AK555" s="28">
        <f>IF(L555=1,IF(COUNTIFS($F$2:F555,F555,$L$2:L555,1)=1,1,0),0)</f>
        <v>0</v>
      </c>
      <c r="AL555" s="28" t="str">
        <f>IF(B555="","",IF(K555="DUPLICATE","Duplicate (removed)",IF(AO555=1,"Scheduled within 24h",IF(M555=1,"Scheduled late",IF(K555="BAD CONTACT","Bad contact details",IF(O555=1,"Stopped / wrong number",IF(N555=1,"Not interested",IF(P555=1,"Partner has no slots",IF(SETTINGS!$B$4&gt;=V555,IF(Q555=0,"Missed deadline: never tried","Missed deadline: tried, not booked"),IF(Q555&gt;=SETTINGS!$B$6,"No reply after max tries","Open"))))))))))</f>
        <v/>
      </c>
      <c r="AM555" s="46" t="str">
        <f>IF(M555=1,IF(_xlfn.MINIFS(LOG!$G$2:$G$2001,LOG!$C$2:$C$2001,F555,LOG!$E$2:$E$2001,B555,LOG!$D$2:$D$2001,"*BOOKED")=0,_xlfn.MINIFS(LOG!$G$2:$G$2001,LOG!$C$2:$C$2001,F555,LOG!$E$2:$E$2001,"",LOG!$D$2:$D$2001,"*BOOKED"),IF(_xlfn.MINIFS(LOG!$G$2:$G$2001,LOG!$C$2:$C$2001,F555,LOG!$E$2:$E$2001,"",LOG!$D$2:$D$2001,"*BOOKED")=0,_xlfn.MINIFS(LOG!$G$2:$G$2001,LOG!$C$2:$C$2001,F555,LOG!$E$2:$E$2001,B555,LOG!$D$2:$D$2001,"*BOOKED"),MIN(_xlfn.MINIFS(LOG!$G$2:$G$2001,LOG!$C$2:$C$2001,F555,LOG!$E$2:$E$2001,B555,LOG!$D$2:$D$2001,"*BOOKED"),_xlfn.MINIFS(LOG!$G$2:$G$2001,LOG!$C$2:$C$2001,F555,LOG!$E$2:$E$2001,"",LOG!$D$2:$D$2001,"*BOOKED")))),"")</f>
        <v/>
      </c>
      <c r="AN555" s="28" t="str">
        <f t="shared" si="95"/>
        <v/>
      </c>
      <c r="AO555" s="28">
        <f>IF(AND(M555=1,AN555&lt;&gt;""),IF(AN555&lt;=SETTINGS!$B$5,1,0),0)</f>
        <v>0</v>
      </c>
      <c r="AP555" s="28">
        <f>IF(M555=1,IF(COUNTIFS(LOG!$C$2:$C$2001,F555,LOG!$E$2:$E$2001,B555,LOG!$D$2:$D$2001,"BOOKED")+COUNTIFS(LOG!$C$2:$C$2001,F555,LOG!$E$2:$E$2001,"",LOG!$D$2:$D$2001,"BOOKED")&gt;0,1,0),0)</f>
        <v>0</v>
      </c>
      <c r="AQ555" s="28" t="str">
        <f t="shared" si="96"/>
        <v/>
      </c>
      <c r="AR555" s="28" t="str">
        <f>IF(AND(AK555=1,K555="OK"),COUNTIFS($AK$2:AK555,1,$K$2:K555,"OK"),"")</f>
        <v/>
      </c>
      <c r="AS555" s="28" t="str">
        <f>IF(L555=1,IFERROR(INDEX(MESSAGES!$J$9:$J$1008,MATCH(F555,MESSAGES!$M$9:$M$1008,0))&amp;"",""),"")</f>
        <v/>
      </c>
      <c r="AT555" s="28" t="str">
        <f>IF(L555=1,IFERROR(INDEX(MESSAGES!$K$9:$K$1008,MATCH(F555,MESSAGES!$M$9:$M$1008,0))&amp;"",""),"")</f>
        <v/>
      </c>
      <c r="AU555" s="28">
        <f t="shared" ca="1" si="97"/>
        <v>0</v>
      </c>
      <c r="AV555" s="28" t="str">
        <f t="shared" si="98"/>
        <v/>
      </c>
    </row>
    <row r="556" spans="1:48" x14ac:dyDescent="0.35">
      <c r="A556" s="28">
        <v>555</v>
      </c>
      <c r="B556" s="28" t="str">
        <f>IF(INPUT!A556="","",TRIM(INPUT!A556))</f>
        <v/>
      </c>
      <c r="C556" s="28" t="str">
        <f>IF(B556="","",INPUT!C556)</f>
        <v/>
      </c>
      <c r="D556" s="28" t="str">
        <f>IF(B556="","",INPUT!D556)</f>
        <v/>
      </c>
      <c r="E556" s="28" t="str">
        <f>IF(B556="","",INPUT!E556)</f>
        <v/>
      </c>
      <c r="F556" s="43" t="str">
        <f>IF(B556="","",TRIM(INPUT!F556&amp;""))</f>
        <v/>
      </c>
      <c r="G556" s="28" t="str">
        <f>IF(B556="","",INPUT!H556)</f>
        <v/>
      </c>
      <c r="H556" s="46" t="str">
        <f>IF(B556="","",INPUT!I556)</f>
        <v/>
      </c>
      <c r="I556" s="28" t="str">
        <f>IF(B556="","",IF(INPUT!J556="","None",INPUT!J556))</f>
        <v/>
      </c>
      <c r="J556" s="28" t="str">
        <f t="shared" si="88"/>
        <v/>
      </c>
      <c r="K556" s="28" t="str">
        <f>IF(B556="","",IF(SUMPRODUCT(($J$2:$J$601=J556)*($H$2:$H$601&lt;H556))+SUMPRODUCT(($J$2:J556=J556)*($H$2:H556=H556))-1&gt;0,"DUPLICATE",IF(AND(ISNUMBER(SEARCH("@",E556)),ISNUMBER(SEARCH(".",E556)),LEN(F556)=10,ISNUMBER(VALUE(F556))),"OK","BAD CONTACT")))</f>
        <v/>
      </c>
      <c r="L556" s="28">
        <f t="shared" si="89"/>
        <v>0</v>
      </c>
      <c r="M556" s="28">
        <f>IF(L556=1,IF(COUNTIFS(LOG!$C$2:$C$2001,F556,LOG!$E$2:$E$2001,B556,LOG!$D$2:$D$2001,"*BOOKED")+COUNTIFS(LOG!$C$2:$C$2001,F556,LOG!$E$2:$E$2001,"",LOG!$D$2:$D$2001,"*BOOKED")&gt;0,1,0),0)</f>
        <v>0</v>
      </c>
      <c r="N556" s="28">
        <f>IF(L556=1,IF(COUNTIFS(LOG!$C$2:$C$2001,F556,LOG!$E$2:$E$2001,B556,LOG!$D$2:$D$2001,"NOT_INTERESTED")+COUNTIFS(LOG!$C$2:$C$2001,F556,LOG!$E$2:$E$2001,"",LOG!$D$2:$D$2001,"NOT_INTERESTED")&gt;0,1,0),0)</f>
        <v>0</v>
      </c>
      <c r="O556" s="28">
        <f>IF(L556=1,IF(COUNTIFS(LOG!$C$2:$C$2001,F556,LOG!$D$2:$D$2001,"STOP")+COUNTIFS(LOG!$C$2:$C$2001,F556,LOG!$D$2:$D$2001,"WRONG_NUMBER")&gt;0,1,IF(ISNUMBER(SEARCH("STOP",AT556)),1,0)),0)</f>
        <v>0</v>
      </c>
      <c r="P556" s="28">
        <f>IF(L556=1,IF(IFERROR(INDEX(PARTNERS!$D$2:$D$88,MATCH(B556,PARTNERS!$A$2:$A$88,0)),"")="NO SLOTS",1,IF(AND(IFERROR(INDEX(PARTNERS!$D$2:$D$88,MATCH(B556,PARTNERS!$A$2:$A$88,0)),"")&lt;&gt;"REOPENED",COUNTIFS(LOG!$E$2:$E$2001,B556,LOG!$D$2:$D$2001,"NO_SLOTS")&gt;0),1,0)),0)</f>
        <v>0</v>
      </c>
      <c r="Q556" s="28">
        <f>IF(L556=1,COUNTIFS(LOG!$C$2:$C$2001,F556,LOG!$H$2:$H$2001,1),0)</f>
        <v>0</v>
      </c>
      <c r="R556" s="46">
        <f>IF(Q556&gt;0,_xlfn.MAXIFS(LOG!$G$2:$G$2001,LOG!$C$2:$C$2001,F556,LOG!$H$2:$H$2001,1),0)</f>
        <v>0</v>
      </c>
      <c r="S556" s="28" t="str">
        <f>IF(Q556&gt;0,IFERROR(INDEX(LOG!$D$2:$D$2001,MATCH(F556&amp;"|"&amp;Q556,LOG!$I$2:$I$2001,0)),""),"")</f>
        <v/>
      </c>
      <c r="T556" s="28">
        <f>IF(S556="",0,IFERROR(VLOOKUP(S556,LISTS!$A$2:$E$10,4,FALSE),0))</f>
        <v>0</v>
      </c>
      <c r="U556" s="46">
        <f t="shared" si="90"/>
        <v>0</v>
      </c>
      <c r="V556" s="46" t="str">
        <f>IF(L556=1,H556+SETTINGS!$B$5/24,"")</f>
        <v/>
      </c>
      <c r="W556" s="28" t="str">
        <f>IF(L556=1,(V556-SETTINGS!$B$4)*24,"")</f>
        <v/>
      </c>
      <c r="X556" s="28">
        <f ca="1">IF(AND(L556=1,K556="OK",M556=0,N556=0,O556=0,P556=0,SETTINGS!$B$4&lt;V556,Q556&lt;SETTINGS!$B$6),1,0)</f>
        <v>0</v>
      </c>
      <c r="Y556" s="28">
        <f ca="1">IF(AND(X556=1,SETTINGS!$B$4&gt;=H556,SETTINGS!$B$4&gt;=U556,ROUND(MOD(SETTINGS!$B$4,1)*1440,0)&gt;=ROUND(SETTINGS!$B$7*1440,0),ROUND(MOD(SETTINGS!$B$4,1)*1440,0)&lt;ROUND(SETTINGS!$B$8*1440,0)),1,0)</f>
        <v>0</v>
      </c>
      <c r="Z556" s="28" t="str">
        <f>IF(B556="","",IF(ROUND(MOD(SETTINGS!$B$4,1)*1440,0)&lt;ROUND(SETTINGS!$B$11*1440,0),"Ram",IF(ROUND(MOD(SETTINGS!$B$4,1)*1440,0)&gt;=ROUND(SETTINGS!$B$10*1440,0),"Shyam",IF(MOD(IFERROR(VALUE(RIGHT(F556,2)),0),2)=0,"Ram","Shyam"))))</f>
        <v/>
      </c>
      <c r="AA556" s="28">
        <f t="shared" ca="1" si="91"/>
        <v>0</v>
      </c>
      <c r="AB556" s="28">
        <f ca="1">IF(X556=1,COUNTIFS($F$2:F556,F556,$X$2:X556,1),0)</f>
        <v>0</v>
      </c>
      <c r="AC556" s="28" t="str">
        <f>IF(L556=1,IF(IFERROR(INDEX(PARTNERS!$C$2:$C$88,MATCH(B556,PARTNERS!$A$2:$A$88,0)),"")="YES","YES","NO"),"")</f>
        <v/>
      </c>
      <c r="AD556" s="28" t="str">
        <f>IF(L556=1,IFERROR(INDEX(PARTNERS!$B$2:$B$88,MATCH(B556,PARTNERS!$A$2:$A$88,0)),""),"")</f>
        <v/>
      </c>
      <c r="AE556" s="28">
        <f ca="1">IF(X556=1,IFERROR(INDEX(SETTINGS!$B$34:$D$36,MATCH(I556,SETTINGS!$A$34:$A$36,0),MIN(Q556,2)+1),SETTINGS!$B$36),0)</f>
        <v>0</v>
      </c>
      <c r="AF556" s="28">
        <f t="shared" si="92"/>
        <v>0</v>
      </c>
      <c r="AG556" s="28">
        <f ca="1">IF(AND(Y556=1,AB556=1),ROUND(AA556*AE556*IF(AF556&gt;1,SETTINGS!$B$16,1)*IF(W556&lt;=SETTINGS!$B$14,SETTINGS!$B$15,1)*IF(AU556=1,SETTINGS!$B$21,1),6),0)</f>
        <v>0</v>
      </c>
      <c r="AH556" s="28" t="str">
        <f ca="1">IF(AG556&gt;0,COUNTIFS($Z$2:$Z$601,Z556,$AG$2:$AG$601,"&gt;"&amp;AG556)+COUNTIFS($Z$2:Z556,Z556,$AG$2:AG556,AG556),"")</f>
        <v/>
      </c>
      <c r="AI556" s="28" t="str">
        <f t="shared" ca="1" si="93"/>
        <v/>
      </c>
      <c r="AJ556" s="28" t="str">
        <f t="shared" ca="1" si="94"/>
        <v/>
      </c>
      <c r="AK556" s="28">
        <f>IF(L556=1,IF(COUNTIFS($F$2:F556,F556,$L$2:L556,1)=1,1,0),0)</f>
        <v>0</v>
      </c>
      <c r="AL556" s="28" t="str">
        <f>IF(B556="","",IF(K556="DUPLICATE","Duplicate (removed)",IF(AO556=1,"Scheduled within 24h",IF(M556=1,"Scheduled late",IF(K556="BAD CONTACT","Bad contact details",IF(O556=1,"Stopped / wrong number",IF(N556=1,"Not interested",IF(P556=1,"Partner has no slots",IF(SETTINGS!$B$4&gt;=V556,IF(Q556=0,"Missed deadline: never tried","Missed deadline: tried, not booked"),IF(Q556&gt;=SETTINGS!$B$6,"No reply after max tries","Open"))))))))))</f>
        <v/>
      </c>
      <c r="AM556" s="46" t="str">
        <f>IF(M556=1,IF(_xlfn.MINIFS(LOG!$G$2:$G$2001,LOG!$C$2:$C$2001,F556,LOG!$E$2:$E$2001,B556,LOG!$D$2:$D$2001,"*BOOKED")=0,_xlfn.MINIFS(LOG!$G$2:$G$2001,LOG!$C$2:$C$2001,F556,LOG!$E$2:$E$2001,"",LOG!$D$2:$D$2001,"*BOOKED"),IF(_xlfn.MINIFS(LOG!$G$2:$G$2001,LOG!$C$2:$C$2001,F556,LOG!$E$2:$E$2001,"",LOG!$D$2:$D$2001,"*BOOKED")=0,_xlfn.MINIFS(LOG!$G$2:$G$2001,LOG!$C$2:$C$2001,F556,LOG!$E$2:$E$2001,B556,LOG!$D$2:$D$2001,"*BOOKED"),MIN(_xlfn.MINIFS(LOG!$G$2:$G$2001,LOG!$C$2:$C$2001,F556,LOG!$E$2:$E$2001,B556,LOG!$D$2:$D$2001,"*BOOKED"),_xlfn.MINIFS(LOG!$G$2:$G$2001,LOG!$C$2:$C$2001,F556,LOG!$E$2:$E$2001,"",LOG!$D$2:$D$2001,"*BOOKED")))),"")</f>
        <v/>
      </c>
      <c r="AN556" s="28" t="str">
        <f t="shared" si="95"/>
        <v/>
      </c>
      <c r="AO556" s="28">
        <f>IF(AND(M556=1,AN556&lt;&gt;""),IF(AN556&lt;=SETTINGS!$B$5,1,0),0)</f>
        <v>0</v>
      </c>
      <c r="AP556" s="28">
        <f>IF(M556=1,IF(COUNTIFS(LOG!$C$2:$C$2001,F556,LOG!$E$2:$E$2001,B556,LOG!$D$2:$D$2001,"BOOKED")+COUNTIFS(LOG!$C$2:$C$2001,F556,LOG!$E$2:$E$2001,"",LOG!$D$2:$D$2001,"BOOKED")&gt;0,1,0),0)</f>
        <v>0</v>
      </c>
      <c r="AQ556" s="28" t="str">
        <f t="shared" si="96"/>
        <v/>
      </c>
      <c r="AR556" s="28" t="str">
        <f>IF(AND(AK556=1,K556="OK"),COUNTIFS($AK$2:AK556,1,$K$2:K556,"OK"),"")</f>
        <v/>
      </c>
      <c r="AS556" s="28" t="str">
        <f>IF(L556=1,IFERROR(INDEX(MESSAGES!$J$9:$J$1008,MATCH(F556,MESSAGES!$M$9:$M$1008,0))&amp;"",""),"")</f>
        <v/>
      </c>
      <c r="AT556" s="28" t="str">
        <f>IF(L556=1,IFERROR(INDEX(MESSAGES!$K$9:$K$1008,MATCH(F556,MESSAGES!$M$9:$M$1008,0))&amp;"",""),"")</f>
        <v/>
      </c>
      <c r="AU556" s="28">
        <f t="shared" ca="1" si="97"/>
        <v>0</v>
      </c>
      <c r="AV556" s="28" t="str">
        <f t="shared" si="98"/>
        <v/>
      </c>
    </row>
    <row r="557" spans="1:48" x14ac:dyDescent="0.35">
      <c r="A557" s="28">
        <v>556</v>
      </c>
      <c r="B557" s="28" t="str">
        <f>IF(INPUT!A557="","",TRIM(INPUT!A557))</f>
        <v/>
      </c>
      <c r="C557" s="28" t="str">
        <f>IF(B557="","",INPUT!C557)</f>
        <v/>
      </c>
      <c r="D557" s="28" t="str">
        <f>IF(B557="","",INPUT!D557)</f>
        <v/>
      </c>
      <c r="E557" s="28" t="str">
        <f>IF(B557="","",INPUT!E557)</f>
        <v/>
      </c>
      <c r="F557" s="43" t="str">
        <f>IF(B557="","",TRIM(INPUT!F557&amp;""))</f>
        <v/>
      </c>
      <c r="G557" s="28" t="str">
        <f>IF(B557="","",INPUT!H557)</f>
        <v/>
      </c>
      <c r="H557" s="46" t="str">
        <f>IF(B557="","",INPUT!I557)</f>
        <v/>
      </c>
      <c r="I557" s="28" t="str">
        <f>IF(B557="","",IF(INPUT!J557="","None",INPUT!J557))</f>
        <v/>
      </c>
      <c r="J557" s="28" t="str">
        <f t="shared" si="88"/>
        <v/>
      </c>
      <c r="K557" s="28" t="str">
        <f>IF(B557="","",IF(SUMPRODUCT(($J$2:$J$601=J557)*($H$2:$H$601&lt;H557))+SUMPRODUCT(($J$2:J557=J557)*($H$2:H557=H557))-1&gt;0,"DUPLICATE",IF(AND(ISNUMBER(SEARCH("@",E557)),ISNUMBER(SEARCH(".",E557)),LEN(F557)=10,ISNUMBER(VALUE(F557))),"OK","BAD CONTACT")))</f>
        <v/>
      </c>
      <c r="L557" s="28">
        <f t="shared" si="89"/>
        <v>0</v>
      </c>
      <c r="M557" s="28">
        <f>IF(L557=1,IF(COUNTIFS(LOG!$C$2:$C$2001,F557,LOG!$E$2:$E$2001,B557,LOG!$D$2:$D$2001,"*BOOKED")+COUNTIFS(LOG!$C$2:$C$2001,F557,LOG!$E$2:$E$2001,"",LOG!$D$2:$D$2001,"*BOOKED")&gt;0,1,0),0)</f>
        <v>0</v>
      </c>
      <c r="N557" s="28">
        <f>IF(L557=1,IF(COUNTIFS(LOG!$C$2:$C$2001,F557,LOG!$E$2:$E$2001,B557,LOG!$D$2:$D$2001,"NOT_INTERESTED")+COUNTIFS(LOG!$C$2:$C$2001,F557,LOG!$E$2:$E$2001,"",LOG!$D$2:$D$2001,"NOT_INTERESTED")&gt;0,1,0),0)</f>
        <v>0</v>
      </c>
      <c r="O557" s="28">
        <f>IF(L557=1,IF(COUNTIFS(LOG!$C$2:$C$2001,F557,LOG!$D$2:$D$2001,"STOP")+COUNTIFS(LOG!$C$2:$C$2001,F557,LOG!$D$2:$D$2001,"WRONG_NUMBER")&gt;0,1,IF(ISNUMBER(SEARCH("STOP",AT557)),1,0)),0)</f>
        <v>0</v>
      </c>
      <c r="P557" s="28">
        <f>IF(L557=1,IF(IFERROR(INDEX(PARTNERS!$D$2:$D$88,MATCH(B557,PARTNERS!$A$2:$A$88,0)),"")="NO SLOTS",1,IF(AND(IFERROR(INDEX(PARTNERS!$D$2:$D$88,MATCH(B557,PARTNERS!$A$2:$A$88,0)),"")&lt;&gt;"REOPENED",COUNTIFS(LOG!$E$2:$E$2001,B557,LOG!$D$2:$D$2001,"NO_SLOTS")&gt;0),1,0)),0)</f>
        <v>0</v>
      </c>
      <c r="Q557" s="28">
        <f>IF(L557=1,COUNTIFS(LOG!$C$2:$C$2001,F557,LOG!$H$2:$H$2001,1),0)</f>
        <v>0</v>
      </c>
      <c r="R557" s="46">
        <f>IF(Q557&gt;0,_xlfn.MAXIFS(LOG!$G$2:$G$2001,LOG!$C$2:$C$2001,F557,LOG!$H$2:$H$2001,1),0)</f>
        <v>0</v>
      </c>
      <c r="S557" s="28" t="str">
        <f>IF(Q557&gt;0,IFERROR(INDEX(LOG!$D$2:$D$2001,MATCH(F557&amp;"|"&amp;Q557,LOG!$I$2:$I$2001,0)),""),"")</f>
        <v/>
      </c>
      <c r="T557" s="28">
        <f>IF(S557="",0,IFERROR(VLOOKUP(S557,LISTS!$A$2:$E$10,4,FALSE),0))</f>
        <v>0</v>
      </c>
      <c r="U557" s="46">
        <f t="shared" si="90"/>
        <v>0</v>
      </c>
      <c r="V557" s="46" t="str">
        <f>IF(L557=1,H557+SETTINGS!$B$5/24,"")</f>
        <v/>
      </c>
      <c r="W557" s="28" t="str">
        <f>IF(L557=1,(V557-SETTINGS!$B$4)*24,"")</f>
        <v/>
      </c>
      <c r="X557" s="28">
        <f ca="1">IF(AND(L557=1,K557="OK",M557=0,N557=0,O557=0,P557=0,SETTINGS!$B$4&lt;V557,Q557&lt;SETTINGS!$B$6),1,0)</f>
        <v>0</v>
      </c>
      <c r="Y557" s="28">
        <f ca="1">IF(AND(X557=1,SETTINGS!$B$4&gt;=H557,SETTINGS!$B$4&gt;=U557,ROUND(MOD(SETTINGS!$B$4,1)*1440,0)&gt;=ROUND(SETTINGS!$B$7*1440,0),ROUND(MOD(SETTINGS!$B$4,1)*1440,0)&lt;ROUND(SETTINGS!$B$8*1440,0)),1,0)</f>
        <v>0</v>
      </c>
      <c r="Z557" s="28" t="str">
        <f>IF(B557="","",IF(ROUND(MOD(SETTINGS!$B$4,1)*1440,0)&lt;ROUND(SETTINGS!$B$11*1440,0),"Ram",IF(ROUND(MOD(SETTINGS!$B$4,1)*1440,0)&gt;=ROUND(SETTINGS!$B$10*1440,0),"Shyam",IF(MOD(IFERROR(VALUE(RIGHT(F557,2)),0),2)=0,"Ram","Shyam"))))</f>
        <v/>
      </c>
      <c r="AA557" s="28">
        <f t="shared" ca="1" si="91"/>
        <v>0</v>
      </c>
      <c r="AB557" s="28">
        <f ca="1">IF(X557=1,COUNTIFS($F$2:F557,F557,$X$2:X557,1),0)</f>
        <v>0</v>
      </c>
      <c r="AC557" s="28" t="str">
        <f>IF(L557=1,IF(IFERROR(INDEX(PARTNERS!$C$2:$C$88,MATCH(B557,PARTNERS!$A$2:$A$88,0)),"")="YES","YES","NO"),"")</f>
        <v/>
      </c>
      <c r="AD557" s="28" t="str">
        <f>IF(L557=1,IFERROR(INDEX(PARTNERS!$B$2:$B$88,MATCH(B557,PARTNERS!$A$2:$A$88,0)),""),"")</f>
        <v/>
      </c>
      <c r="AE557" s="28">
        <f ca="1">IF(X557=1,IFERROR(INDEX(SETTINGS!$B$34:$D$36,MATCH(I557,SETTINGS!$A$34:$A$36,0),MIN(Q557,2)+1),SETTINGS!$B$36),0)</f>
        <v>0</v>
      </c>
      <c r="AF557" s="28">
        <f t="shared" si="92"/>
        <v>0</v>
      </c>
      <c r="AG557" s="28">
        <f ca="1">IF(AND(Y557=1,AB557=1),ROUND(AA557*AE557*IF(AF557&gt;1,SETTINGS!$B$16,1)*IF(W557&lt;=SETTINGS!$B$14,SETTINGS!$B$15,1)*IF(AU557=1,SETTINGS!$B$21,1),6),0)</f>
        <v>0</v>
      </c>
      <c r="AH557" s="28" t="str">
        <f ca="1">IF(AG557&gt;0,COUNTIFS($Z$2:$Z$601,Z557,$AG$2:$AG$601,"&gt;"&amp;AG557)+COUNTIFS($Z$2:Z557,Z557,$AG$2:AG557,AG557),"")</f>
        <v/>
      </c>
      <c r="AI557" s="28" t="str">
        <f t="shared" ca="1" si="93"/>
        <v/>
      </c>
      <c r="AJ557" s="28" t="str">
        <f t="shared" ca="1" si="94"/>
        <v/>
      </c>
      <c r="AK557" s="28">
        <f>IF(L557=1,IF(COUNTIFS($F$2:F557,F557,$L$2:L557,1)=1,1,0),0)</f>
        <v>0</v>
      </c>
      <c r="AL557" s="28" t="str">
        <f>IF(B557="","",IF(K557="DUPLICATE","Duplicate (removed)",IF(AO557=1,"Scheduled within 24h",IF(M557=1,"Scheduled late",IF(K557="BAD CONTACT","Bad contact details",IF(O557=1,"Stopped / wrong number",IF(N557=1,"Not interested",IF(P557=1,"Partner has no slots",IF(SETTINGS!$B$4&gt;=V557,IF(Q557=0,"Missed deadline: never tried","Missed deadline: tried, not booked"),IF(Q557&gt;=SETTINGS!$B$6,"No reply after max tries","Open"))))))))))</f>
        <v/>
      </c>
      <c r="AM557" s="46" t="str">
        <f>IF(M557=1,IF(_xlfn.MINIFS(LOG!$G$2:$G$2001,LOG!$C$2:$C$2001,F557,LOG!$E$2:$E$2001,B557,LOG!$D$2:$D$2001,"*BOOKED")=0,_xlfn.MINIFS(LOG!$G$2:$G$2001,LOG!$C$2:$C$2001,F557,LOG!$E$2:$E$2001,"",LOG!$D$2:$D$2001,"*BOOKED"),IF(_xlfn.MINIFS(LOG!$G$2:$G$2001,LOG!$C$2:$C$2001,F557,LOG!$E$2:$E$2001,"",LOG!$D$2:$D$2001,"*BOOKED")=0,_xlfn.MINIFS(LOG!$G$2:$G$2001,LOG!$C$2:$C$2001,F557,LOG!$E$2:$E$2001,B557,LOG!$D$2:$D$2001,"*BOOKED"),MIN(_xlfn.MINIFS(LOG!$G$2:$G$2001,LOG!$C$2:$C$2001,F557,LOG!$E$2:$E$2001,B557,LOG!$D$2:$D$2001,"*BOOKED"),_xlfn.MINIFS(LOG!$G$2:$G$2001,LOG!$C$2:$C$2001,F557,LOG!$E$2:$E$2001,"",LOG!$D$2:$D$2001,"*BOOKED")))),"")</f>
        <v/>
      </c>
      <c r="AN557" s="28" t="str">
        <f t="shared" si="95"/>
        <v/>
      </c>
      <c r="AO557" s="28">
        <f>IF(AND(M557=1,AN557&lt;&gt;""),IF(AN557&lt;=SETTINGS!$B$5,1,0),0)</f>
        <v>0</v>
      </c>
      <c r="AP557" s="28">
        <f>IF(M557=1,IF(COUNTIFS(LOG!$C$2:$C$2001,F557,LOG!$E$2:$E$2001,B557,LOG!$D$2:$D$2001,"BOOKED")+COUNTIFS(LOG!$C$2:$C$2001,F557,LOG!$E$2:$E$2001,"",LOG!$D$2:$D$2001,"BOOKED")&gt;0,1,0),0)</f>
        <v>0</v>
      </c>
      <c r="AQ557" s="28" t="str">
        <f t="shared" si="96"/>
        <v/>
      </c>
      <c r="AR557" s="28" t="str">
        <f>IF(AND(AK557=1,K557="OK"),COUNTIFS($AK$2:AK557,1,$K$2:K557,"OK"),"")</f>
        <v/>
      </c>
      <c r="AS557" s="28" t="str">
        <f>IF(L557=1,IFERROR(INDEX(MESSAGES!$J$9:$J$1008,MATCH(F557,MESSAGES!$M$9:$M$1008,0))&amp;"",""),"")</f>
        <v/>
      </c>
      <c r="AT557" s="28" t="str">
        <f>IF(L557=1,IFERROR(INDEX(MESSAGES!$K$9:$K$1008,MATCH(F557,MESSAGES!$M$9:$M$1008,0))&amp;"",""),"")</f>
        <v/>
      </c>
      <c r="AU557" s="28">
        <f t="shared" ca="1" si="97"/>
        <v>0</v>
      </c>
      <c r="AV557" s="28" t="str">
        <f t="shared" si="98"/>
        <v/>
      </c>
    </row>
    <row r="558" spans="1:48" x14ac:dyDescent="0.35">
      <c r="A558" s="28">
        <v>557</v>
      </c>
      <c r="B558" s="28" t="str">
        <f>IF(INPUT!A558="","",TRIM(INPUT!A558))</f>
        <v/>
      </c>
      <c r="C558" s="28" t="str">
        <f>IF(B558="","",INPUT!C558)</f>
        <v/>
      </c>
      <c r="D558" s="28" t="str">
        <f>IF(B558="","",INPUT!D558)</f>
        <v/>
      </c>
      <c r="E558" s="28" t="str">
        <f>IF(B558="","",INPUT!E558)</f>
        <v/>
      </c>
      <c r="F558" s="43" t="str">
        <f>IF(B558="","",TRIM(INPUT!F558&amp;""))</f>
        <v/>
      </c>
      <c r="G558" s="28" t="str">
        <f>IF(B558="","",INPUT!H558)</f>
        <v/>
      </c>
      <c r="H558" s="46" t="str">
        <f>IF(B558="","",INPUT!I558)</f>
        <v/>
      </c>
      <c r="I558" s="28" t="str">
        <f>IF(B558="","",IF(INPUT!J558="","None",INPUT!J558))</f>
        <v/>
      </c>
      <c r="J558" s="28" t="str">
        <f t="shared" si="88"/>
        <v/>
      </c>
      <c r="K558" s="28" t="str">
        <f>IF(B558="","",IF(SUMPRODUCT(($J$2:$J$601=J558)*($H$2:$H$601&lt;H558))+SUMPRODUCT(($J$2:J558=J558)*($H$2:H558=H558))-1&gt;0,"DUPLICATE",IF(AND(ISNUMBER(SEARCH("@",E558)),ISNUMBER(SEARCH(".",E558)),LEN(F558)=10,ISNUMBER(VALUE(F558))),"OK","BAD CONTACT")))</f>
        <v/>
      </c>
      <c r="L558" s="28">
        <f t="shared" si="89"/>
        <v>0</v>
      </c>
      <c r="M558" s="28">
        <f>IF(L558=1,IF(COUNTIFS(LOG!$C$2:$C$2001,F558,LOG!$E$2:$E$2001,B558,LOG!$D$2:$D$2001,"*BOOKED")+COUNTIFS(LOG!$C$2:$C$2001,F558,LOG!$E$2:$E$2001,"",LOG!$D$2:$D$2001,"*BOOKED")&gt;0,1,0),0)</f>
        <v>0</v>
      </c>
      <c r="N558" s="28">
        <f>IF(L558=1,IF(COUNTIFS(LOG!$C$2:$C$2001,F558,LOG!$E$2:$E$2001,B558,LOG!$D$2:$D$2001,"NOT_INTERESTED")+COUNTIFS(LOG!$C$2:$C$2001,F558,LOG!$E$2:$E$2001,"",LOG!$D$2:$D$2001,"NOT_INTERESTED")&gt;0,1,0),0)</f>
        <v>0</v>
      </c>
      <c r="O558" s="28">
        <f>IF(L558=1,IF(COUNTIFS(LOG!$C$2:$C$2001,F558,LOG!$D$2:$D$2001,"STOP")+COUNTIFS(LOG!$C$2:$C$2001,F558,LOG!$D$2:$D$2001,"WRONG_NUMBER")&gt;0,1,IF(ISNUMBER(SEARCH("STOP",AT558)),1,0)),0)</f>
        <v>0</v>
      </c>
      <c r="P558" s="28">
        <f>IF(L558=1,IF(IFERROR(INDEX(PARTNERS!$D$2:$D$88,MATCH(B558,PARTNERS!$A$2:$A$88,0)),"")="NO SLOTS",1,IF(AND(IFERROR(INDEX(PARTNERS!$D$2:$D$88,MATCH(B558,PARTNERS!$A$2:$A$88,0)),"")&lt;&gt;"REOPENED",COUNTIFS(LOG!$E$2:$E$2001,B558,LOG!$D$2:$D$2001,"NO_SLOTS")&gt;0),1,0)),0)</f>
        <v>0</v>
      </c>
      <c r="Q558" s="28">
        <f>IF(L558=1,COUNTIFS(LOG!$C$2:$C$2001,F558,LOG!$H$2:$H$2001,1),0)</f>
        <v>0</v>
      </c>
      <c r="R558" s="46">
        <f>IF(Q558&gt;0,_xlfn.MAXIFS(LOG!$G$2:$G$2001,LOG!$C$2:$C$2001,F558,LOG!$H$2:$H$2001,1),0)</f>
        <v>0</v>
      </c>
      <c r="S558" s="28" t="str">
        <f>IF(Q558&gt;0,IFERROR(INDEX(LOG!$D$2:$D$2001,MATCH(F558&amp;"|"&amp;Q558,LOG!$I$2:$I$2001,0)),""),"")</f>
        <v/>
      </c>
      <c r="T558" s="28">
        <f>IF(S558="",0,IFERROR(VLOOKUP(S558,LISTS!$A$2:$E$10,4,FALSE),0))</f>
        <v>0</v>
      </c>
      <c r="U558" s="46">
        <f t="shared" si="90"/>
        <v>0</v>
      </c>
      <c r="V558" s="46" t="str">
        <f>IF(L558=1,H558+SETTINGS!$B$5/24,"")</f>
        <v/>
      </c>
      <c r="W558" s="28" t="str">
        <f>IF(L558=1,(V558-SETTINGS!$B$4)*24,"")</f>
        <v/>
      </c>
      <c r="X558" s="28">
        <f ca="1">IF(AND(L558=1,K558="OK",M558=0,N558=0,O558=0,P558=0,SETTINGS!$B$4&lt;V558,Q558&lt;SETTINGS!$B$6),1,0)</f>
        <v>0</v>
      </c>
      <c r="Y558" s="28">
        <f ca="1">IF(AND(X558=1,SETTINGS!$B$4&gt;=H558,SETTINGS!$B$4&gt;=U558,ROUND(MOD(SETTINGS!$B$4,1)*1440,0)&gt;=ROUND(SETTINGS!$B$7*1440,0),ROUND(MOD(SETTINGS!$B$4,1)*1440,0)&lt;ROUND(SETTINGS!$B$8*1440,0)),1,0)</f>
        <v>0</v>
      </c>
      <c r="Z558" s="28" t="str">
        <f>IF(B558="","",IF(ROUND(MOD(SETTINGS!$B$4,1)*1440,0)&lt;ROUND(SETTINGS!$B$11*1440,0),"Ram",IF(ROUND(MOD(SETTINGS!$B$4,1)*1440,0)&gt;=ROUND(SETTINGS!$B$10*1440,0),"Shyam",IF(MOD(IFERROR(VALUE(RIGHT(F558,2)),0),2)=0,"Ram","Shyam"))))</f>
        <v/>
      </c>
      <c r="AA558" s="28">
        <f t="shared" ca="1" si="91"/>
        <v>0</v>
      </c>
      <c r="AB558" s="28">
        <f ca="1">IF(X558=1,COUNTIFS($F$2:F558,F558,$X$2:X558,1),0)</f>
        <v>0</v>
      </c>
      <c r="AC558" s="28" t="str">
        <f>IF(L558=1,IF(IFERROR(INDEX(PARTNERS!$C$2:$C$88,MATCH(B558,PARTNERS!$A$2:$A$88,0)),"")="YES","YES","NO"),"")</f>
        <v/>
      </c>
      <c r="AD558" s="28" t="str">
        <f>IF(L558=1,IFERROR(INDEX(PARTNERS!$B$2:$B$88,MATCH(B558,PARTNERS!$A$2:$A$88,0)),""),"")</f>
        <v/>
      </c>
      <c r="AE558" s="28">
        <f ca="1">IF(X558=1,IFERROR(INDEX(SETTINGS!$B$34:$D$36,MATCH(I558,SETTINGS!$A$34:$A$36,0),MIN(Q558,2)+1),SETTINGS!$B$36),0)</f>
        <v>0</v>
      </c>
      <c r="AF558" s="28">
        <f t="shared" si="92"/>
        <v>0</v>
      </c>
      <c r="AG558" s="28">
        <f ca="1">IF(AND(Y558=1,AB558=1),ROUND(AA558*AE558*IF(AF558&gt;1,SETTINGS!$B$16,1)*IF(W558&lt;=SETTINGS!$B$14,SETTINGS!$B$15,1)*IF(AU558=1,SETTINGS!$B$21,1),6),0)</f>
        <v>0</v>
      </c>
      <c r="AH558" s="28" t="str">
        <f ca="1">IF(AG558&gt;0,COUNTIFS($Z$2:$Z$601,Z558,$AG$2:$AG$601,"&gt;"&amp;AG558)+COUNTIFS($Z$2:Z558,Z558,$AG$2:AG558,AG558),"")</f>
        <v/>
      </c>
      <c r="AI558" s="28" t="str">
        <f t="shared" ca="1" si="93"/>
        <v/>
      </c>
      <c r="AJ558" s="28" t="str">
        <f t="shared" ca="1" si="94"/>
        <v/>
      </c>
      <c r="AK558" s="28">
        <f>IF(L558=1,IF(COUNTIFS($F$2:F558,F558,$L$2:L558,1)=1,1,0),0)</f>
        <v>0</v>
      </c>
      <c r="AL558" s="28" t="str">
        <f>IF(B558="","",IF(K558="DUPLICATE","Duplicate (removed)",IF(AO558=1,"Scheduled within 24h",IF(M558=1,"Scheduled late",IF(K558="BAD CONTACT","Bad contact details",IF(O558=1,"Stopped / wrong number",IF(N558=1,"Not interested",IF(P558=1,"Partner has no slots",IF(SETTINGS!$B$4&gt;=V558,IF(Q558=0,"Missed deadline: never tried","Missed deadline: tried, not booked"),IF(Q558&gt;=SETTINGS!$B$6,"No reply after max tries","Open"))))))))))</f>
        <v/>
      </c>
      <c r="AM558" s="46" t="str">
        <f>IF(M558=1,IF(_xlfn.MINIFS(LOG!$G$2:$G$2001,LOG!$C$2:$C$2001,F558,LOG!$E$2:$E$2001,B558,LOG!$D$2:$D$2001,"*BOOKED")=0,_xlfn.MINIFS(LOG!$G$2:$G$2001,LOG!$C$2:$C$2001,F558,LOG!$E$2:$E$2001,"",LOG!$D$2:$D$2001,"*BOOKED"),IF(_xlfn.MINIFS(LOG!$G$2:$G$2001,LOG!$C$2:$C$2001,F558,LOG!$E$2:$E$2001,"",LOG!$D$2:$D$2001,"*BOOKED")=0,_xlfn.MINIFS(LOG!$G$2:$G$2001,LOG!$C$2:$C$2001,F558,LOG!$E$2:$E$2001,B558,LOG!$D$2:$D$2001,"*BOOKED"),MIN(_xlfn.MINIFS(LOG!$G$2:$G$2001,LOG!$C$2:$C$2001,F558,LOG!$E$2:$E$2001,B558,LOG!$D$2:$D$2001,"*BOOKED"),_xlfn.MINIFS(LOG!$G$2:$G$2001,LOG!$C$2:$C$2001,F558,LOG!$E$2:$E$2001,"",LOG!$D$2:$D$2001,"*BOOKED")))),"")</f>
        <v/>
      </c>
      <c r="AN558" s="28" t="str">
        <f t="shared" si="95"/>
        <v/>
      </c>
      <c r="AO558" s="28">
        <f>IF(AND(M558=1,AN558&lt;&gt;""),IF(AN558&lt;=SETTINGS!$B$5,1,0),0)</f>
        <v>0</v>
      </c>
      <c r="AP558" s="28">
        <f>IF(M558=1,IF(COUNTIFS(LOG!$C$2:$C$2001,F558,LOG!$E$2:$E$2001,B558,LOG!$D$2:$D$2001,"BOOKED")+COUNTIFS(LOG!$C$2:$C$2001,F558,LOG!$E$2:$E$2001,"",LOG!$D$2:$D$2001,"BOOKED")&gt;0,1,0),0)</f>
        <v>0</v>
      </c>
      <c r="AQ558" s="28" t="str">
        <f t="shared" si="96"/>
        <v/>
      </c>
      <c r="AR558" s="28" t="str">
        <f>IF(AND(AK558=1,K558="OK"),COUNTIFS($AK$2:AK558,1,$K$2:K558,"OK"),"")</f>
        <v/>
      </c>
      <c r="AS558" s="28" t="str">
        <f>IF(L558=1,IFERROR(INDEX(MESSAGES!$J$9:$J$1008,MATCH(F558,MESSAGES!$M$9:$M$1008,0))&amp;"",""),"")</f>
        <v/>
      </c>
      <c r="AT558" s="28" t="str">
        <f>IF(L558=1,IFERROR(INDEX(MESSAGES!$K$9:$K$1008,MATCH(F558,MESSAGES!$M$9:$M$1008,0))&amp;"",""),"")</f>
        <v/>
      </c>
      <c r="AU558" s="28">
        <f t="shared" ca="1" si="97"/>
        <v>0</v>
      </c>
      <c r="AV558" s="28" t="str">
        <f t="shared" si="98"/>
        <v/>
      </c>
    </row>
    <row r="559" spans="1:48" x14ac:dyDescent="0.35">
      <c r="A559" s="28">
        <v>558</v>
      </c>
      <c r="B559" s="28" t="str">
        <f>IF(INPUT!A559="","",TRIM(INPUT!A559))</f>
        <v/>
      </c>
      <c r="C559" s="28" t="str">
        <f>IF(B559="","",INPUT!C559)</f>
        <v/>
      </c>
      <c r="D559" s="28" t="str">
        <f>IF(B559="","",INPUT!D559)</f>
        <v/>
      </c>
      <c r="E559" s="28" t="str">
        <f>IF(B559="","",INPUT!E559)</f>
        <v/>
      </c>
      <c r="F559" s="43" t="str">
        <f>IF(B559="","",TRIM(INPUT!F559&amp;""))</f>
        <v/>
      </c>
      <c r="G559" s="28" t="str">
        <f>IF(B559="","",INPUT!H559)</f>
        <v/>
      </c>
      <c r="H559" s="46" t="str">
        <f>IF(B559="","",INPUT!I559)</f>
        <v/>
      </c>
      <c r="I559" s="28" t="str">
        <f>IF(B559="","",IF(INPUT!J559="","None",INPUT!J559))</f>
        <v/>
      </c>
      <c r="J559" s="28" t="str">
        <f t="shared" si="88"/>
        <v/>
      </c>
      <c r="K559" s="28" t="str">
        <f>IF(B559="","",IF(SUMPRODUCT(($J$2:$J$601=J559)*($H$2:$H$601&lt;H559))+SUMPRODUCT(($J$2:J559=J559)*($H$2:H559=H559))-1&gt;0,"DUPLICATE",IF(AND(ISNUMBER(SEARCH("@",E559)),ISNUMBER(SEARCH(".",E559)),LEN(F559)=10,ISNUMBER(VALUE(F559))),"OK","BAD CONTACT")))</f>
        <v/>
      </c>
      <c r="L559" s="28">
        <f t="shared" si="89"/>
        <v>0</v>
      </c>
      <c r="M559" s="28">
        <f>IF(L559=1,IF(COUNTIFS(LOG!$C$2:$C$2001,F559,LOG!$E$2:$E$2001,B559,LOG!$D$2:$D$2001,"*BOOKED")+COUNTIFS(LOG!$C$2:$C$2001,F559,LOG!$E$2:$E$2001,"",LOG!$D$2:$D$2001,"*BOOKED")&gt;0,1,0),0)</f>
        <v>0</v>
      </c>
      <c r="N559" s="28">
        <f>IF(L559=1,IF(COUNTIFS(LOG!$C$2:$C$2001,F559,LOG!$E$2:$E$2001,B559,LOG!$D$2:$D$2001,"NOT_INTERESTED")+COUNTIFS(LOG!$C$2:$C$2001,F559,LOG!$E$2:$E$2001,"",LOG!$D$2:$D$2001,"NOT_INTERESTED")&gt;0,1,0),0)</f>
        <v>0</v>
      </c>
      <c r="O559" s="28">
        <f>IF(L559=1,IF(COUNTIFS(LOG!$C$2:$C$2001,F559,LOG!$D$2:$D$2001,"STOP")+COUNTIFS(LOG!$C$2:$C$2001,F559,LOG!$D$2:$D$2001,"WRONG_NUMBER")&gt;0,1,IF(ISNUMBER(SEARCH("STOP",AT559)),1,0)),0)</f>
        <v>0</v>
      </c>
      <c r="P559" s="28">
        <f>IF(L559=1,IF(IFERROR(INDEX(PARTNERS!$D$2:$D$88,MATCH(B559,PARTNERS!$A$2:$A$88,0)),"")="NO SLOTS",1,IF(AND(IFERROR(INDEX(PARTNERS!$D$2:$D$88,MATCH(B559,PARTNERS!$A$2:$A$88,0)),"")&lt;&gt;"REOPENED",COUNTIFS(LOG!$E$2:$E$2001,B559,LOG!$D$2:$D$2001,"NO_SLOTS")&gt;0),1,0)),0)</f>
        <v>0</v>
      </c>
      <c r="Q559" s="28">
        <f>IF(L559=1,COUNTIFS(LOG!$C$2:$C$2001,F559,LOG!$H$2:$H$2001,1),0)</f>
        <v>0</v>
      </c>
      <c r="R559" s="46">
        <f>IF(Q559&gt;0,_xlfn.MAXIFS(LOG!$G$2:$G$2001,LOG!$C$2:$C$2001,F559,LOG!$H$2:$H$2001,1),0)</f>
        <v>0</v>
      </c>
      <c r="S559" s="28" t="str">
        <f>IF(Q559&gt;0,IFERROR(INDEX(LOG!$D$2:$D$2001,MATCH(F559&amp;"|"&amp;Q559,LOG!$I$2:$I$2001,0)),""),"")</f>
        <v/>
      </c>
      <c r="T559" s="28">
        <f>IF(S559="",0,IFERROR(VLOOKUP(S559,LISTS!$A$2:$E$10,4,FALSE),0))</f>
        <v>0</v>
      </c>
      <c r="U559" s="46">
        <f t="shared" si="90"/>
        <v>0</v>
      </c>
      <c r="V559" s="46" t="str">
        <f>IF(L559=1,H559+SETTINGS!$B$5/24,"")</f>
        <v/>
      </c>
      <c r="W559" s="28" t="str">
        <f>IF(L559=1,(V559-SETTINGS!$B$4)*24,"")</f>
        <v/>
      </c>
      <c r="X559" s="28">
        <f ca="1">IF(AND(L559=1,K559="OK",M559=0,N559=0,O559=0,P559=0,SETTINGS!$B$4&lt;V559,Q559&lt;SETTINGS!$B$6),1,0)</f>
        <v>0</v>
      </c>
      <c r="Y559" s="28">
        <f ca="1">IF(AND(X559=1,SETTINGS!$B$4&gt;=H559,SETTINGS!$B$4&gt;=U559,ROUND(MOD(SETTINGS!$B$4,1)*1440,0)&gt;=ROUND(SETTINGS!$B$7*1440,0),ROUND(MOD(SETTINGS!$B$4,1)*1440,0)&lt;ROUND(SETTINGS!$B$8*1440,0)),1,0)</f>
        <v>0</v>
      </c>
      <c r="Z559" s="28" t="str">
        <f>IF(B559="","",IF(ROUND(MOD(SETTINGS!$B$4,1)*1440,0)&lt;ROUND(SETTINGS!$B$11*1440,0),"Ram",IF(ROUND(MOD(SETTINGS!$B$4,1)*1440,0)&gt;=ROUND(SETTINGS!$B$10*1440,0),"Shyam",IF(MOD(IFERROR(VALUE(RIGHT(F559,2)),0),2)=0,"Ram","Shyam"))))</f>
        <v/>
      </c>
      <c r="AA559" s="28">
        <f t="shared" ca="1" si="91"/>
        <v>0</v>
      </c>
      <c r="AB559" s="28">
        <f ca="1">IF(X559=1,COUNTIFS($F$2:F559,F559,$X$2:X559,1),0)</f>
        <v>0</v>
      </c>
      <c r="AC559" s="28" t="str">
        <f>IF(L559=1,IF(IFERROR(INDEX(PARTNERS!$C$2:$C$88,MATCH(B559,PARTNERS!$A$2:$A$88,0)),"")="YES","YES","NO"),"")</f>
        <v/>
      </c>
      <c r="AD559" s="28" t="str">
        <f>IF(L559=1,IFERROR(INDEX(PARTNERS!$B$2:$B$88,MATCH(B559,PARTNERS!$A$2:$A$88,0)),""),"")</f>
        <v/>
      </c>
      <c r="AE559" s="28">
        <f ca="1">IF(X559=1,IFERROR(INDEX(SETTINGS!$B$34:$D$36,MATCH(I559,SETTINGS!$A$34:$A$36,0),MIN(Q559,2)+1),SETTINGS!$B$36),0)</f>
        <v>0</v>
      </c>
      <c r="AF559" s="28">
        <f t="shared" si="92"/>
        <v>0</v>
      </c>
      <c r="AG559" s="28">
        <f ca="1">IF(AND(Y559=1,AB559=1),ROUND(AA559*AE559*IF(AF559&gt;1,SETTINGS!$B$16,1)*IF(W559&lt;=SETTINGS!$B$14,SETTINGS!$B$15,1)*IF(AU559=1,SETTINGS!$B$21,1),6),0)</f>
        <v>0</v>
      </c>
      <c r="AH559" s="28" t="str">
        <f ca="1">IF(AG559&gt;0,COUNTIFS($Z$2:$Z$601,Z559,$AG$2:$AG$601,"&gt;"&amp;AG559)+COUNTIFS($Z$2:Z559,Z559,$AG$2:AG559,AG559),"")</f>
        <v/>
      </c>
      <c r="AI559" s="28" t="str">
        <f t="shared" ca="1" si="93"/>
        <v/>
      </c>
      <c r="AJ559" s="28" t="str">
        <f t="shared" ca="1" si="94"/>
        <v/>
      </c>
      <c r="AK559" s="28">
        <f>IF(L559=1,IF(COUNTIFS($F$2:F559,F559,$L$2:L559,1)=1,1,0),0)</f>
        <v>0</v>
      </c>
      <c r="AL559" s="28" t="str">
        <f>IF(B559="","",IF(K559="DUPLICATE","Duplicate (removed)",IF(AO559=1,"Scheduled within 24h",IF(M559=1,"Scheduled late",IF(K559="BAD CONTACT","Bad contact details",IF(O559=1,"Stopped / wrong number",IF(N559=1,"Not interested",IF(P559=1,"Partner has no slots",IF(SETTINGS!$B$4&gt;=V559,IF(Q559=0,"Missed deadline: never tried","Missed deadline: tried, not booked"),IF(Q559&gt;=SETTINGS!$B$6,"No reply after max tries","Open"))))))))))</f>
        <v/>
      </c>
      <c r="AM559" s="46" t="str">
        <f>IF(M559=1,IF(_xlfn.MINIFS(LOG!$G$2:$G$2001,LOG!$C$2:$C$2001,F559,LOG!$E$2:$E$2001,B559,LOG!$D$2:$D$2001,"*BOOKED")=0,_xlfn.MINIFS(LOG!$G$2:$G$2001,LOG!$C$2:$C$2001,F559,LOG!$E$2:$E$2001,"",LOG!$D$2:$D$2001,"*BOOKED"),IF(_xlfn.MINIFS(LOG!$G$2:$G$2001,LOG!$C$2:$C$2001,F559,LOG!$E$2:$E$2001,"",LOG!$D$2:$D$2001,"*BOOKED")=0,_xlfn.MINIFS(LOG!$G$2:$G$2001,LOG!$C$2:$C$2001,F559,LOG!$E$2:$E$2001,B559,LOG!$D$2:$D$2001,"*BOOKED"),MIN(_xlfn.MINIFS(LOG!$G$2:$G$2001,LOG!$C$2:$C$2001,F559,LOG!$E$2:$E$2001,B559,LOG!$D$2:$D$2001,"*BOOKED"),_xlfn.MINIFS(LOG!$G$2:$G$2001,LOG!$C$2:$C$2001,F559,LOG!$E$2:$E$2001,"",LOG!$D$2:$D$2001,"*BOOKED")))),"")</f>
        <v/>
      </c>
      <c r="AN559" s="28" t="str">
        <f t="shared" si="95"/>
        <v/>
      </c>
      <c r="AO559" s="28">
        <f>IF(AND(M559=1,AN559&lt;&gt;""),IF(AN559&lt;=SETTINGS!$B$5,1,0),0)</f>
        <v>0</v>
      </c>
      <c r="AP559" s="28">
        <f>IF(M559=1,IF(COUNTIFS(LOG!$C$2:$C$2001,F559,LOG!$E$2:$E$2001,B559,LOG!$D$2:$D$2001,"BOOKED")+COUNTIFS(LOG!$C$2:$C$2001,F559,LOG!$E$2:$E$2001,"",LOG!$D$2:$D$2001,"BOOKED")&gt;0,1,0),0)</f>
        <v>0</v>
      </c>
      <c r="AQ559" s="28" t="str">
        <f t="shared" si="96"/>
        <v/>
      </c>
      <c r="AR559" s="28" t="str">
        <f>IF(AND(AK559=1,K559="OK"),COUNTIFS($AK$2:AK559,1,$K$2:K559,"OK"),"")</f>
        <v/>
      </c>
      <c r="AS559" s="28" t="str">
        <f>IF(L559=1,IFERROR(INDEX(MESSAGES!$J$9:$J$1008,MATCH(F559,MESSAGES!$M$9:$M$1008,0))&amp;"",""),"")</f>
        <v/>
      </c>
      <c r="AT559" s="28" t="str">
        <f>IF(L559=1,IFERROR(INDEX(MESSAGES!$K$9:$K$1008,MATCH(F559,MESSAGES!$M$9:$M$1008,0))&amp;"",""),"")</f>
        <v/>
      </c>
      <c r="AU559" s="28">
        <f t="shared" ca="1" si="97"/>
        <v>0</v>
      </c>
      <c r="AV559" s="28" t="str">
        <f t="shared" si="98"/>
        <v/>
      </c>
    </row>
    <row r="560" spans="1:48" x14ac:dyDescent="0.35">
      <c r="A560" s="28">
        <v>559</v>
      </c>
      <c r="B560" s="28" t="str">
        <f>IF(INPUT!A560="","",TRIM(INPUT!A560))</f>
        <v/>
      </c>
      <c r="C560" s="28" t="str">
        <f>IF(B560="","",INPUT!C560)</f>
        <v/>
      </c>
      <c r="D560" s="28" t="str">
        <f>IF(B560="","",INPUT!D560)</f>
        <v/>
      </c>
      <c r="E560" s="28" t="str">
        <f>IF(B560="","",INPUT!E560)</f>
        <v/>
      </c>
      <c r="F560" s="43" t="str">
        <f>IF(B560="","",TRIM(INPUT!F560&amp;""))</f>
        <v/>
      </c>
      <c r="G560" s="28" t="str">
        <f>IF(B560="","",INPUT!H560)</f>
        <v/>
      </c>
      <c r="H560" s="46" t="str">
        <f>IF(B560="","",INPUT!I560)</f>
        <v/>
      </c>
      <c r="I560" s="28" t="str">
        <f>IF(B560="","",IF(INPUT!J560="","None",INPUT!J560))</f>
        <v/>
      </c>
      <c r="J560" s="28" t="str">
        <f t="shared" si="88"/>
        <v/>
      </c>
      <c r="K560" s="28" t="str">
        <f>IF(B560="","",IF(SUMPRODUCT(($J$2:$J$601=J560)*($H$2:$H$601&lt;H560))+SUMPRODUCT(($J$2:J560=J560)*($H$2:H560=H560))-1&gt;0,"DUPLICATE",IF(AND(ISNUMBER(SEARCH("@",E560)),ISNUMBER(SEARCH(".",E560)),LEN(F560)=10,ISNUMBER(VALUE(F560))),"OK","BAD CONTACT")))</f>
        <v/>
      </c>
      <c r="L560" s="28">
        <f t="shared" si="89"/>
        <v>0</v>
      </c>
      <c r="M560" s="28">
        <f>IF(L560=1,IF(COUNTIFS(LOG!$C$2:$C$2001,F560,LOG!$E$2:$E$2001,B560,LOG!$D$2:$D$2001,"*BOOKED")+COUNTIFS(LOG!$C$2:$C$2001,F560,LOG!$E$2:$E$2001,"",LOG!$D$2:$D$2001,"*BOOKED")&gt;0,1,0),0)</f>
        <v>0</v>
      </c>
      <c r="N560" s="28">
        <f>IF(L560=1,IF(COUNTIFS(LOG!$C$2:$C$2001,F560,LOG!$E$2:$E$2001,B560,LOG!$D$2:$D$2001,"NOT_INTERESTED")+COUNTIFS(LOG!$C$2:$C$2001,F560,LOG!$E$2:$E$2001,"",LOG!$D$2:$D$2001,"NOT_INTERESTED")&gt;0,1,0),0)</f>
        <v>0</v>
      </c>
      <c r="O560" s="28">
        <f>IF(L560=1,IF(COUNTIFS(LOG!$C$2:$C$2001,F560,LOG!$D$2:$D$2001,"STOP")+COUNTIFS(LOG!$C$2:$C$2001,F560,LOG!$D$2:$D$2001,"WRONG_NUMBER")&gt;0,1,IF(ISNUMBER(SEARCH("STOP",AT560)),1,0)),0)</f>
        <v>0</v>
      </c>
      <c r="P560" s="28">
        <f>IF(L560=1,IF(IFERROR(INDEX(PARTNERS!$D$2:$D$88,MATCH(B560,PARTNERS!$A$2:$A$88,0)),"")="NO SLOTS",1,IF(AND(IFERROR(INDEX(PARTNERS!$D$2:$D$88,MATCH(B560,PARTNERS!$A$2:$A$88,0)),"")&lt;&gt;"REOPENED",COUNTIFS(LOG!$E$2:$E$2001,B560,LOG!$D$2:$D$2001,"NO_SLOTS")&gt;0),1,0)),0)</f>
        <v>0</v>
      </c>
      <c r="Q560" s="28">
        <f>IF(L560=1,COUNTIFS(LOG!$C$2:$C$2001,F560,LOG!$H$2:$H$2001,1),0)</f>
        <v>0</v>
      </c>
      <c r="R560" s="46">
        <f>IF(Q560&gt;0,_xlfn.MAXIFS(LOG!$G$2:$G$2001,LOG!$C$2:$C$2001,F560,LOG!$H$2:$H$2001,1),0)</f>
        <v>0</v>
      </c>
      <c r="S560" s="28" t="str">
        <f>IF(Q560&gt;0,IFERROR(INDEX(LOG!$D$2:$D$2001,MATCH(F560&amp;"|"&amp;Q560,LOG!$I$2:$I$2001,0)),""),"")</f>
        <v/>
      </c>
      <c r="T560" s="28">
        <f>IF(S560="",0,IFERROR(VLOOKUP(S560,LISTS!$A$2:$E$10,4,FALSE),0))</f>
        <v>0</v>
      </c>
      <c r="U560" s="46">
        <f t="shared" si="90"/>
        <v>0</v>
      </c>
      <c r="V560" s="46" t="str">
        <f>IF(L560=1,H560+SETTINGS!$B$5/24,"")</f>
        <v/>
      </c>
      <c r="W560" s="28" t="str">
        <f>IF(L560=1,(V560-SETTINGS!$B$4)*24,"")</f>
        <v/>
      </c>
      <c r="X560" s="28">
        <f ca="1">IF(AND(L560=1,K560="OK",M560=0,N560=0,O560=0,P560=0,SETTINGS!$B$4&lt;V560,Q560&lt;SETTINGS!$B$6),1,0)</f>
        <v>0</v>
      </c>
      <c r="Y560" s="28">
        <f ca="1">IF(AND(X560=1,SETTINGS!$B$4&gt;=H560,SETTINGS!$B$4&gt;=U560,ROUND(MOD(SETTINGS!$B$4,1)*1440,0)&gt;=ROUND(SETTINGS!$B$7*1440,0),ROUND(MOD(SETTINGS!$B$4,1)*1440,0)&lt;ROUND(SETTINGS!$B$8*1440,0)),1,0)</f>
        <v>0</v>
      </c>
      <c r="Z560" s="28" t="str">
        <f>IF(B560="","",IF(ROUND(MOD(SETTINGS!$B$4,1)*1440,0)&lt;ROUND(SETTINGS!$B$11*1440,0),"Ram",IF(ROUND(MOD(SETTINGS!$B$4,1)*1440,0)&gt;=ROUND(SETTINGS!$B$10*1440,0),"Shyam",IF(MOD(IFERROR(VALUE(RIGHT(F560,2)),0),2)=0,"Ram","Shyam"))))</f>
        <v/>
      </c>
      <c r="AA560" s="28">
        <f t="shared" ca="1" si="91"/>
        <v>0</v>
      </c>
      <c r="AB560" s="28">
        <f ca="1">IF(X560=1,COUNTIFS($F$2:F560,F560,$X$2:X560,1),0)</f>
        <v>0</v>
      </c>
      <c r="AC560" s="28" t="str">
        <f>IF(L560=1,IF(IFERROR(INDEX(PARTNERS!$C$2:$C$88,MATCH(B560,PARTNERS!$A$2:$A$88,0)),"")="YES","YES","NO"),"")</f>
        <v/>
      </c>
      <c r="AD560" s="28" t="str">
        <f>IF(L560=1,IFERROR(INDEX(PARTNERS!$B$2:$B$88,MATCH(B560,PARTNERS!$A$2:$A$88,0)),""),"")</f>
        <v/>
      </c>
      <c r="AE560" s="28">
        <f ca="1">IF(X560=1,IFERROR(INDEX(SETTINGS!$B$34:$D$36,MATCH(I560,SETTINGS!$A$34:$A$36,0),MIN(Q560,2)+1),SETTINGS!$B$36),0)</f>
        <v>0</v>
      </c>
      <c r="AF560" s="28">
        <f t="shared" si="92"/>
        <v>0</v>
      </c>
      <c r="AG560" s="28">
        <f ca="1">IF(AND(Y560=1,AB560=1),ROUND(AA560*AE560*IF(AF560&gt;1,SETTINGS!$B$16,1)*IF(W560&lt;=SETTINGS!$B$14,SETTINGS!$B$15,1)*IF(AU560=1,SETTINGS!$B$21,1),6),0)</f>
        <v>0</v>
      </c>
      <c r="AH560" s="28" t="str">
        <f ca="1">IF(AG560&gt;0,COUNTIFS($Z$2:$Z$601,Z560,$AG$2:$AG$601,"&gt;"&amp;AG560)+COUNTIFS($Z$2:Z560,Z560,$AG$2:AG560,AG560),"")</f>
        <v/>
      </c>
      <c r="AI560" s="28" t="str">
        <f t="shared" ca="1" si="93"/>
        <v/>
      </c>
      <c r="AJ560" s="28" t="str">
        <f t="shared" ca="1" si="94"/>
        <v/>
      </c>
      <c r="AK560" s="28">
        <f>IF(L560=1,IF(COUNTIFS($F$2:F560,F560,$L$2:L560,1)=1,1,0),0)</f>
        <v>0</v>
      </c>
      <c r="AL560" s="28" t="str">
        <f>IF(B560="","",IF(K560="DUPLICATE","Duplicate (removed)",IF(AO560=1,"Scheduled within 24h",IF(M560=1,"Scheduled late",IF(K560="BAD CONTACT","Bad contact details",IF(O560=1,"Stopped / wrong number",IF(N560=1,"Not interested",IF(P560=1,"Partner has no slots",IF(SETTINGS!$B$4&gt;=V560,IF(Q560=0,"Missed deadline: never tried","Missed deadline: tried, not booked"),IF(Q560&gt;=SETTINGS!$B$6,"No reply after max tries","Open"))))))))))</f>
        <v/>
      </c>
      <c r="AM560" s="46" t="str">
        <f>IF(M560=1,IF(_xlfn.MINIFS(LOG!$G$2:$G$2001,LOG!$C$2:$C$2001,F560,LOG!$E$2:$E$2001,B560,LOG!$D$2:$D$2001,"*BOOKED")=0,_xlfn.MINIFS(LOG!$G$2:$G$2001,LOG!$C$2:$C$2001,F560,LOG!$E$2:$E$2001,"",LOG!$D$2:$D$2001,"*BOOKED"),IF(_xlfn.MINIFS(LOG!$G$2:$G$2001,LOG!$C$2:$C$2001,F560,LOG!$E$2:$E$2001,"",LOG!$D$2:$D$2001,"*BOOKED")=0,_xlfn.MINIFS(LOG!$G$2:$G$2001,LOG!$C$2:$C$2001,F560,LOG!$E$2:$E$2001,B560,LOG!$D$2:$D$2001,"*BOOKED"),MIN(_xlfn.MINIFS(LOG!$G$2:$G$2001,LOG!$C$2:$C$2001,F560,LOG!$E$2:$E$2001,B560,LOG!$D$2:$D$2001,"*BOOKED"),_xlfn.MINIFS(LOG!$G$2:$G$2001,LOG!$C$2:$C$2001,F560,LOG!$E$2:$E$2001,"",LOG!$D$2:$D$2001,"*BOOKED")))),"")</f>
        <v/>
      </c>
      <c r="AN560" s="28" t="str">
        <f t="shared" si="95"/>
        <v/>
      </c>
      <c r="AO560" s="28">
        <f>IF(AND(M560=1,AN560&lt;&gt;""),IF(AN560&lt;=SETTINGS!$B$5,1,0),0)</f>
        <v>0</v>
      </c>
      <c r="AP560" s="28">
        <f>IF(M560=1,IF(COUNTIFS(LOG!$C$2:$C$2001,F560,LOG!$E$2:$E$2001,B560,LOG!$D$2:$D$2001,"BOOKED")+COUNTIFS(LOG!$C$2:$C$2001,F560,LOG!$E$2:$E$2001,"",LOG!$D$2:$D$2001,"BOOKED")&gt;0,1,0),0)</f>
        <v>0</v>
      </c>
      <c r="AQ560" s="28" t="str">
        <f t="shared" si="96"/>
        <v/>
      </c>
      <c r="AR560" s="28" t="str">
        <f>IF(AND(AK560=1,K560="OK"),COUNTIFS($AK$2:AK560,1,$K$2:K560,"OK"),"")</f>
        <v/>
      </c>
      <c r="AS560" s="28" t="str">
        <f>IF(L560=1,IFERROR(INDEX(MESSAGES!$J$9:$J$1008,MATCH(F560,MESSAGES!$M$9:$M$1008,0))&amp;"",""),"")</f>
        <v/>
      </c>
      <c r="AT560" s="28" t="str">
        <f>IF(L560=1,IFERROR(INDEX(MESSAGES!$K$9:$K$1008,MATCH(F560,MESSAGES!$M$9:$M$1008,0))&amp;"",""),"")</f>
        <v/>
      </c>
      <c r="AU560" s="28">
        <f t="shared" ca="1" si="97"/>
        <v>0</v>
      </c>
      <c r="AV560" s="28" t="str">
        <f t="shared" si="98"/>
        <v/>
      </c>
    </row>
    <row r="561" spans="1:48" x14ac:dyDescent="0.35">
      <c r="A561" s="28">
        <v>560</v>
      </c>
      <c r="B561" s="28" t="str">
        <f>IF(INPUT!A561="","",TRIM(INPUT!A561))</f>
        <v/>
      </c>
      <c r="C561" s="28" t="str">
        <f>IF(B561="","",INPUT!C561)</f>
        <v/>
      </c>
      <c r="D561" s="28" t="str">
        <f>IF(B561="","",INPUT!D561)</f>
        <v/>
      </c>
      <c r="E561" s="28" t="str">
        <f>IF(B561="","",INPUT!E561)</f>
        <v/>
      </c>
      <c r="F561" s="43" t="str">
        <f>IF(B561="","",TRIM(INPUT!F561&amp;""))</f>
        <v/>
      </c>
      <c r="G561" s="28" t="str">
        <f>IF(B561="","",INPUT!H561)</f>
        <v/>
      </c>
      <c r="H561" s="46" t="str">
        <f>IF(B561="","",INPUT!I561)</f>
        <v/>
      </c>
      <c r="I561" s="28" t="str">
        <f>IF(B561="","",IF(INPUT!J561="","None",INPUT!J561))</f>
        <v/>
      </c>
      <c r="J561" s="28" t="str">
        <f t="shared" si="88"/>
        <v/>
      </c>
      <c r="K561" s="28" t="str">
        <f>IF(B561="","",IF(SUMPRODUCT(($J$2:$J$601=J561)*($H$2:$H$601&lt;H561))+SUMPRODUCT(($J$2:J561=J561)*($H$2:H561=H561))-1&gt;0,"DUPLICATE",IF(AND(ISNUMBER(SEARCH("@",E561)),ISNUMBER(SEARCH(".",E561)),LEN(F561)=10,ISNUMBER(VALUE(F561))),"OK","BAD CONTACT")))</f>
        <v/>
      </c>
      <c r="L561" s="28">
        <f t="shared" si="89"/>
        <v>0</v>
      </c>
      <c r="M561" s="28">
        <f>IF(L561=1,IF(COUNTIFS(LOG!$C$2:$C$2001,F561,LOG!$E$2:$E$2001,B561,LOG!$D$2:$D$2001,"*BOOKED")+COUNTIFS(LOG!$C$2:$C$2001,F561,LOG!$E$2:$E$2001,"",LOG!$D$2:$D$2001,"*BOOKED")&gt;0,1,0),0)</f>
        <v>0</v>
      </c>
      <c r="N561" s="28">
        <f>IF(L561=1,IF(COUNTIFS(LOG!$C$2:$C$2001,F561,LOG!$E$2:$E$2001,B561,LOG!$D$2:$D$2001,"NOT_INTERESTED")+COUNTIFS(LOG!$C$2:$C$2001,F561,LOG!$E$2:$E$2001,"",LOG!$D$2:$D$2001,"NOT_INTERESTED")&gt;0,1,0),0)</f>
        <v>0</v>
      </c>
      <c r="O561" s="28">
        <f>IF(L561=1,IF(COUNTIFS(LOG!$C$2:$C$2001,F561,LOG!$D$2:$D$2001,"STOP")+COUNTIFS(LOG!$C$2:$C$2001,F561,LOG!$D$2:$D$2001,"WRONG_NUMBER")&gt;0,1,IF(ISNUMBER(SEARCH("STOP",AT561)),1,0)),0)</f>
        <v>0</v>
      </c>
      <c r="P561" s="28">
        <f>IF(L561=1,IF(IFERROR(INDEX(PARTNERS!$D$2:$D$88,MATCH(B561,PARTNERS!$A$2:$A$88,0)),"")="NO SLOTS",1,IF(AND(IFERROR(INDEX(PARTNERS!$D$2:$D$88,MATCH(B561,PARTNERS!$A$2:$A$88,0)),"")&lt;&gt;"REOPENED",COUNTIFS(LOG!$E$2:$E$2001,B561,LOG!$D$2:$D$2001,"NO_SLOTS")&gt;0),1,0)),0)</f>
        <v>0</v>
      </c>
      <c r="Q561" s="28">
        <f>IF(L561=1,COUNTIFS(LOG!$C$2:$C$2001,F561,LOG!$H$2:$H$2001,1),0)</f>
        <v>0</v>
      </c>
      <c r="R561" s="46">
        <f>IF(Q561&gt;0,_xlfn.MAXIFS(LOG!$G$2:$G$2001,LOG!$C$2:$C$2001,F561,LOG!$H$2:$H$2001,1),0)</f>
        <v>0</v>
      </c>
      <c r="S561" s="28" t="str">
        <f>IF(Q561&gt;0,IFERROR(INDEX(LOG!$D$2:$D$2001,MATCH(F561&amp;"|"&amp;Q561,LOG!$I$2:$I$2001,0)),""),"")</f>
        <v/>
      </c>
      <c r="T561" s="28">
        <f>IF(S561="",0,IFERROR(VLOOKUP(S561,LISTS!$A$2:$E$10,4,FALSE),0))</f>
        <v>0</v>
      </c>
      <c r="U561" s="46">
        <f t="shared" si="90"/>
        <v>0</v>
      </c>
      <c r="V561" s="46" t="str">
        <f>IF(L561=1,H561+SETTINGS!$B$5/24,"")</f>
        <v/>
      </c>
      <c r="W561" s="28" t="str">
        <f>IF(L561=1,(V561-SETTINGS!$B$4)*24,"")</f>
        <v/>
      </c>
      <c r="X561" s="28">
        <f ca="1">IF(AND(L561=1,K561="OK",M561=0,N561=0,O561=0,P561=0,SETTINGS!$B$4&lt;V561,Q561&lt;SETTINGS!$B$6),1,0)</f>
        <v>0</v>
      </c>
      <c r="Y561" s="28">
        <f ca="1">IF(AND(X561=1,SETTINGS!$B$4&gt;=H561,SETTINGS!$B$4&gt;=U561,ROUND(MOD(SETTINGS!$B$4,1)*1440,0)&gt;=ROUND(SETTINGS!$B$7*1440,0),ROUND(MOD(SETTINGS!$B$4,1)*1440,0)&lt;ROUND(SETTINGS!$B$8*1440,0)),1,0)</f>
        <v>0</v>
      </c>
      <c r="Z561" s="28" t="str">
        <f>IF(B561="","",IF(ROUND(MOD(SETTINGS!$B$4,1)*1440,0)&lt;ROUND(SETTINGS!$B$11*1440,0),"Ram",IF(ROUND(MOD(SETTINGS!$B$4,1)*1440,0)&gt;=ROUND(SETTINGS!$B$10*1440,0),"Shyam",IF(MOD(IFERROR(VALUE(RIGHT(F561,2)),0),2)=0,"Ram","Shyam"))))</f>
        <v/>
      </c>
      <c r="AA561" s="28">
        <f t="shared" ca="1" si="91"/>
        <v>0</v>
      </c>
      <c r="AB561" s="28">
        <f ca="1">IF(X561=1,COUNTIFS($F$2:F561,F561,$X$2:X561,1),0)</f>
        <v>0</v>
      </c>
      <c r="AC561" s="28" t="str">
        <f>IF(L561=1,IF(IFERROR(INDEX(PARTNERS!$C$2:$C$88,MATCH(B561,PARTNERS!$A$2:$A$88,0)),"")="YES","YES","NO"),"")</f>
        <v/>
      </c>
      <c r="AD561" s="28" t="str">
        <f>IF(L561=1,IFERROR(INDEX(PARTNERS!$B$2:$B$88,MATCH(B561,PARTNERS!$A$2:$A$88,0)),""),"")</f>
        <v/>
      </c>
      <c r="AE561" s="28">
        <f ca="1">IF(X561=1,IFERROR(INDEX(SETTINGS!$B$34:$D$36,MATCH(I561,SETTINGS!$A$34:$A$36,0),MIN(Q561,2)+1),SETTINGS!$B$36),0)</f>
        <v>0</v>
      </c>
      <c r="AF561" s="28">
        <f t="shared" si="92"/>
        <v>0</v>
      </c>
      <c r="AG561" s="28">
        <f ca="1">IF(AND(Y561=1,AB561=1),ROUND(AA561*AE561*IF(AF561&gt;1,SETTINGS!$B$16,1)*IF(W561&lt;=SETTINGS!$B$14,SETTINGS!$B$15,1)*IF(AU561=1,SETTINGS!$B$21,1),6),0)</f>
        <v>0</v>
      </c>
      <c r="AH561" s="28" t="str">
        <f ca="1">IF(AG561&gt;0,COUNTIFS($Z$2:$Z$601,Z561,$AG$2:$AG$601,"&gt;"&amp;AG561)+COUNTIFS($Z$2:Z561,Z561,$AG$2:AG561,AG561),"")</f>
        <v/>
      </c>
      <c r="AI561" s="28" t="str">
        <f t="shared" ca="1" si="93"/>
        <v/>
      </c>
      <c r="AJ561" s="28" t="str">
        <f t="shared" ca="1" si="94"/>
        <v/>
      </c>
      <c r="AK561" s="28">
        <f>IF(L561=1,IF(COUNTIFS($F$2:F561,F561,$L$2:L561,1)=1,1,0),0)</f>
        <v>0</v>
      </c>
      <c r="AL561" s="28" t="str">
        <f>IF(B561="","",IF(K561="DUPLICATE","Duplicate (removed)",IF(AO561=1,"Scheduled within 24h",IF(M561=1,"Scheduled late",IF(K561="BAD CONTACT","Bad contact details",IF(O561=1,"Stopped / wrong number",IF(N561=1,"Not interested",IF(P561=1,"Partner has no slots",IF(SETTINGS!$B$4&gt;=V561,IF(Q561=0,"Missed deadline: never tried","Missed deadline: tried, not booked"),IF(Q561&gt;=SETTINGS!$B$6,"No reply after max tries","Open"))))))))))</f>
        <v/>
      </c>
      <c r="AM561" s="46" t="str">
        <f>IF(M561=1,IF(_xlfn.MINIFS(LOG!$G$2:$G$2001,LOG!$C$2:$C$2001,F561,LOG!$E$2:$E$2001,B561,LOG!$D$2:$D$2001,"*BOOKED")=0,_xlfn.MINIFS(LOG!$G$2:$G$2001,LOG!$C$2:$C$2001,F561,LOG!$E$2:$E$2001,"",LOG!$D$2:$D$2001,"*BOOKED"),IF(_xlfn.MINIFS(LOG!$G$2:$G$2001,LOG!$C$2:$C$2001,F561,LOG!$E$2:$E$2001,"",LOG!$D$2:$D$2001,"*BOOKED")=0,_xlfn.MINIFS(LOG!$G$2:$G$2001,LOG!$C$2:$C$2001,F561,LOG!$E$2:$E$2001,B561,LOG!$D$2:$D$2001,"*BOOKED"),MIN(_xlfn.MINIFS(LOG!$G$2:$G$2001,LOG!$C$2:$C$2001,F561,LOG!$E$2:$E$2001,B561,LOG!$D$2:$D$2001,"*BOOKED"),_xlfn.MINIFS(LOG!$G$2:$G$2001,LOG!$C$2:$C$2001,F561,LOG!$E$2:$E$2001,"",LOG!$D$2:$D$2001,"*BOOKED")))),"")</f>
        <v/>
      </c>
      <c r="AN561" s="28" t="str">
        <f t="shared" si="95"/>
        <v/>
      </c>
      <c r="AO561" s="28">
        <f>IF(AND(M561=1,AN561&lt;&gt;""),IF(AN561&lt;=SETTINGS!$B$5,1,0),0)</f>
        <v>0</v>
      </c>
      <c r="AP561" s="28">
        <f>IF(M561=1,IF(COUNTIFS(LOG!$C$2:$C$2001,F561,LOG!$E$2:$E$2001,B561,LOG!$D$2:$D$2001,"BOOKED")+COUNTIFS(LOG!$C$2:$C$2001,F561,LOG!$E$2:$E$2001,"",LOG!$D$2:$D$2001,"BOOKED")&gt;0,1,0),0)</f>
        <v>0</v>
      </c>
      <c r="AQ561" s="28" t="str">
        <f t="shared" si="96"/>
        <v/>
      </c>
      <c r="AR561" s="28" t="str">
        <f>IF(AND(AK561=1,K561="OK"),COUNTIFS($AK$2:AK561,1,$K$2:K561,"OK"),"")</f>
        <v/>
      </c>
      <c r="AS561" s="28" t="str">
        <f>IF(L561=1,IFERROR(INDEX(MESSAGES!$J$9:$J$1008,MATCH(F561,MESSAGES!$M$9:$M$1008,0))&amp;"",""),"")</f>
        <v/>
      </c>
      <c r="AT561" s="28" t="str">
        <f>IF(L561=1,IFERROR(INDEX(MESSAGES!$K$9:$K$1008,MATCH(F561,MESSAGES!$M$9:$M$1008,0))&amp;"",""),"")</f>
        <v/>
      </c>
      <c r="AU561" s="28">
        <f t="shared" ca="1" si="97"/>
        <v>0</v>
      </c>
      <c r="AV561" s="28" t="str">
        <f t="shared" si="98"/>
        <v/>
      </c>
    </row>
    <row r="562" spans="1:48" x14ac:dyDescent="0.35">
      <c r="A562" s="28">
        <v>561</v>
      </c>
      <c r="B562" s="28" t="str">
        <f>IF(INPUT!A562="","",TRIM(INPUT!A562))</f>
        <v/>
      </c>
      <c r="C562" s="28" t="str">
        <f>IF(B562="","",INPUT!C562)</f>
        <v/>
      </c>
      <c r="D562" s="28" t="str">
        <f>IF(B562="","",INPUT!D562)</f>
        <v/>
      </c>
      <c r="E562" s="28" t="str">
        <f>IF(B562="","",INPUT!E562)</f>
        <v/>
      </c>
      <c r="F562" s="43" t="str">
        <f>IF(B562="","",TRIM(INPUT!F562&amp;""))</f>
        <v/>
      </c>
      <c r="G562" s="28" t="str">
        <f>IF(B562="","",INPUT!H562)</f>
        <v/>
      </c>
      <c r="H562" s="46" t="str">
        <f>IF(B562="","",INPUT!I562)</f>
        <v/>
      </c>
      <c r="I562" s="28" t="str">
        <f>IF(B562="","",IF(INPUT!J562="","None",INPUT!J562))</f>
        <v/>
      </c>
      <c r="J562" s="28" t="str">
        <f t="shared" si="88"/>
        <v/>
      </c>
      <c r="K562" s="28" t="str">
        <f>IF(B562="","",IF(SUMPRODUCT(($J$2:$J$601=J562)*($H$2:$H$601&lt;H562))+SUMPRODUCT(($J$2:J562=J562)*($H$2:H562=H562))-1&gt;0,"DUPLICATE",IF(AND(ISNUMBER(SEARCH("@",E562)),ISNUMBER(SEARCH(".",E562)),LEN(F562)=10,ISNUMBER(VALUE(F562))),"OK","BAD CONTACT")))</f>
        <v/>
      </c>
      <c r="L562" s="28">
        <f t="shared" si="89"/>
        <v>0</v>
      </c>
      <c r="M562" s="28">
        <f>IF(L562=1,IF(COUNTIFS(LOG!$C$2:$C$2001,F562,LOG!$E$2:$E$2001,B562,LOG!$D$2:$D$2001,"*BOOKED")+COUNTIFS(LOG!$C$2:$C$2001,F562,LOG!$E$2:$E$2001,"",LOG!$D$2:$D$2001,"*BOOKED")&gt;0,1,0),0)</f>
        <v>0</v>
      </c>
      <c r="N562" s="28">
        <f>IF(L562=1,IF(COUNTIFS(LOG!$C$2:$C$2001,F562,LOG!$E$2:$E$2001,B562,LOG!$D$2:$D$2001,"NOT_INTERESTED")+COUNTIFS(LOG!$C$2:$C$2001,F562,LOG!$E$2:$E$2001,"",LOG!$D$2:$D$2001,"NOT_INTERESTED")&gt;0,1,0),0)</f>
        <v>0</v>
      </c>
      <c r="O562" s="28">
        <f>IF(L562=1,IF(COUNTIFS(LOG!$C$2:$C$2001,F562,LOG!$D$2:$D$2001,"STOP")+COUNTIFS(LOG!$C$2:$C$2001,F562,LOG!$D$2:$D$2001,"WRONG_NUMBER")&gt;0,1,IF(ISNUMBER(SEARCH("STOP",AT562)),1,0)),0)</f>
        <v>0</v>
      </c>
      <c r="P562" s="28">
        <f>IF(L562=1,IF(IFERROR(INDEX(PARTNERS!$D$2:$D$88,MATCH(B562,PARTNERS!$A$2:$A$88,0)),"")="NO SLOTS",1,IF(AND(IFERROR(INDEX(PARTNERS!$D$2:$D$88,MATCH(B562,PARTNERS!$A$2:$A$88,0)),"")&lt;&gt;"REOPENED",COUNTIFS(LOG!$E$2:$E$2001,B562,LOG!$D$2:$D$2001,"NO_SLOTS")&gt;0),1,0)),0)</f>
        <v>0</v>
      </c>
      <c r="Q562" s="28">
        <f>IF(L562=1,COUNTIFS(LOG!$C$2:$C$2001,F562,LOG!$H$2:$H$2001,1),0)</f>
        <v>0</v>
      </c>
      <c r="R562" s="46">
        <f>IF(Q562&gt;0,_xlfn.MAXIFS(LOG!$G$2:$G$2001,LOG!$C$2:$C$2001,F562,LOG!$H$2:$H$2001,1),0)</f>
        <v>0</v>
      </c>
      <c r="S562" s="28" t="str">
        <f>IF(Q562&gt;0,IFERROR(INDEX(LOG!$D$2:$D$2001,MATCH(F562&amp;"|"&amp;Q562,LOG!$I$2:$I$2001,0)),""),"")</f>
        <v/>
      </c>
      <c r="T562" s="28">
        <f>IF(S562="",0,IFERROR(VLOOKUP(S562,LISTS!$A$2:$E$10,4,FALSE),0))</f>
        <v>0</v>
      </c>
      <c r="U562" s="46">
        <f t="shared" si="90"/>
        <v>0</v>
      </c>
      <c r="V562" s="46" t="str">
        <f>IF(L562=1,H562+SETTINGS!$B$5/24,"")</f>
        <v/>
      </c>
      <c r="W562" s="28" t="str">
        <f>IF(L562=1,(V562-SETTINGS!$B$4)*24,"")</f>
        <v/>
      </c>
      <c r="X562" s="28">
        <f ca="1">IF(AND(L562=1,K562="OK",M562=0,N562=0,O562=0,P562=0,SETTINGS!$B$4&lt;V562,Q562&lt;SETTINGS!$B$6),1,0)</f>
        <v>0</v>
      </c>
      <c r="Y562" s="28">
        <f ca="1">IF(AND(X562=1,SETTINGS!$B$4&gt;=H562,SETTINGS!$B$4&gt;=U562,ROUND(MOD(SETTINGS!$B$4,1)*1440,0)&gt;=ROUND(SETTINGS!$B$7*1440,0),ROUND(MOD(SETTINGS!$B$4,1)*1440,0)&lt;ROUND(SETTINGS!$B$8*1440,0)),1,0)</f>
        <v>0</v>
      </c>
      <c r="Z562" s="28" t="str">
        <f>IF(B562="","",IF(ROUND(MOD(SETTINGS!$B$4,1)*1440,0)&lt;ROUND(SETTINGS!$B$11*1440,0),"Ram",IF(ROUND(MOD(SETTINGS!$B$4,1)*1440,0)&gt;=ROUND(SETTINGS!$B$10*1440,0),"Shyam",IF(MOD(IFERROR(VALUE(RIGHT(F562,2)),0),2)=0,"Ram","Shyam"))))</f>
        <v/>
      </c>
      <c r="AA562" s="28">
        <f t="shared" ca="1" si="91"/>
        <v>0</v>
      </c>
      <c r="AB562" s="28">
        <f ca="1">IF(X562=1,COUNTIFS($F$2:F562,F562,$X$2:X562,1),0)</f>
        <v>0</v>
      </c>
      <c r="AC562" s="28" t="str">
        <f>IF(L562=1,IF(IFERROR(INDEX(PARTNERS!$C$2:$C$88,MATCH(B562,PARTNERS!$A$2:$A$88,0)),"")="YES","YES","NO"),"")</f>
        <v/>
      </c>
      <c r="AD562" s="28" t="str">
        <f>IF(L562=1,IFERROR(INDEX(PARTNERS!$B$2:$B$88,MATCH(B562,PARTNERS!$A$2:$A$88,0)),""),"")</f>
        <v/>
      </c>
      <c r="AE562" s="28">
        <f ca="1">IF(X562=1,IFERROR(INDEX(SETTINGS!$B$34:$D$36,MATCH(I562,SETTINGS!$A$34:$A$36,0),MIN(Q562,2)+1),SETTINGS!$B$36),0)</f>
        <v>0</v>
      </c>
      <c r="AF562" s="28">
        <f t="shared" si="92"/>
        <v>0</v>
      </c>
      <c r="AG562" s="28">
        <f ca="1">IF(AND(Y562=1,AB562=1),ROUND(AA562*AE562*IF(AF562&gt;1,SETTINGS!$B$16,1)*IF(W562&lt;=SETTINGS!$B$14,SETTINGS!$B$15,1)*IF(AU562=1,SETTINGS!$B$21,1),6),0)</f>
        <v>0</v>
      </c>
      <c r="AH562" s="28" t="str">
        <f ca="1">IF(AG562&gt;0,COUNTIFS($Z$2:$Z$601,Z562,$AG$2:$AG$601,"&gt;"&amp;AG562)+COUNTIFS($Z$2:Z562,Z562,$AG$2:AG562,AG562),"")</f>
        <v/>
      </c>
      <c r="AI562" s="28" t="str">
        <f t="shared" ca="1" si="93"/>
        <v/>
      </c>
      <c r="AJ562" s="28" t="str">
        <f t="shared" ca="1" si="94"/>
        <v/>
      </c>
      <c r="AK562" s="28">
        <f>IF(L562=1,IF(COUNTIFS($F$2:F562,F562,$L$2:L562,1)=1,1,0),0)</f>
        <v>0</v>
      </c>
      <c r="AL562" s="28" t="str">
        <f>IF(B562="","",IF(K562="DUPLICATE","Duplicate (removed)",IF(AO562=1,"Scheduled within 24h",IF(M562=1,"Scheduled late",IF(K562="BAD CONTACT","Bad contact details",IF(O562=1,"Stopped / wrong number",IF(N562=1,"Not interested",IF(P562=1,"Partner has no slots",IF(SETTINGS!$B$4&gt;=V562,IF(Q562=0,"Missed deadline: never tried","Missed deadline: tried, not booked"),IF(Q562&gt;=SETTINGS!$B$6,"No reply after max tries","Open"))))))))))</f>
        <v/>
      </c>
      <c r="AM562" s="46" t="str">
        <f>IF(M562=1,IF(_xlfn.MINIFS(LOG!$G$2:$G$2001,LOG!$C$2:$C$2001,F562,LOG!$E$2:$E$2001,B562,LOG!$D$2:$D$2001,"*BOOKED")=0,_xlfn.MINIFS(LOG!$G$2:$G$2001,LOG!$C$2:$C$2001,F562,LOG!$E$2:$E$2001,"",LOG!$D$2:$D$2001,"*BOOKED"),IF(_xlfn.MINIFS(LOG!$G$2:$G$2001,LOG!$C$2:$C$2001,F562,LOG!$E$2:$E$2001,"",LOG!$D$2:$D$2001,"*BOOKED")=0,_xlfn.MINIFS(LOG!$G$2:$G$2001,LOG!$C$2:$C$2001,F562,LOG!$E$2:$E$2001,B562,LOG!$D$2:$D$2001,"*BOOKED"),MIN(_xlfn.MINIFS(LOG!$G$2:$G$2001,LOG!$C$2:$C$2001,F562,LOG!$E$2:$E$2001,B562,LOG!$D$2:$D$2001,"*BOOKED"),_xlfn.MINIFS(LOG!$G$2:$G$2001,LOG!$C$2:$C$2001,F562,LOG!$E$2:$E$2001,"",LOG!$D$2:$D$2001,"*BOOKED")))),"")</f>
        <v/>
      </c>
      <c r="AN562" s="28" t="str">
        <f t="shared" si="95"/>
        <v/>
      </c>
      <c r="AO562" s="28">
        <f>IF(AND(M562=1,AN562&lt;&gt;""),IF(AN562&lt;=SETTINGS!$B$5,1,0),0)</f>
        <v>0</v>
      </c>
      <c r="AP562" s="28">
        <f>IF(M562=1,IF(COUNTIFS(LOG!$C$2:$C$2001,F562,LOG!$E$2:$E$2001,B562,LOG!$D$2:$D$2001,"BOOKED")+COUNTIFS(LOG!$C$2:$C$2001,F562,LOG!$E$2:$E$2001,"",LOG!$D$2:$D$2001,"BOOKED")&gt;0,1,0),0)</f>
        <v>0</v>
      </c>
      <c r="AQ562" s="28" t="str">
        <f t="shared" si="96"/>
        <v/>
      </c>
      <c r="AR562" s="28" t="str">
        <f>IF(AND(AK562=1,K562="OK"),COUNTIFS($AK$2:AK562,1,$K$2:K562,"OK"),"")</f>
        <v/>
      </c>
      <c r="AS562" s="28" t="str">
        <f>IF(L562=1,IFERROR(INDEX(MESSAGES!$J$9:$J$1008,MATCH(F562,MESSAGES!$M$9:$M$1008,0))&amp;"",""),"")</f>
        <v/>
      </c>
      <c r="AT562" s="28" t="str">
        <f>IF(L562=1,IFERROR(INDEX(MESSAGES!$K$9:$K$1008,MATCH(F562,MESSAGES!$M$9:$M$1008,0))&amp;"",""),"")</f>
        <v/>
      </c>
      <c r="AU562" s="28">
        <f t="shared" ca="1" si="97"/>
        <v>0</v>
      </c>
      <c r="AV562" s="28" t="str">
        <f t="shared" si="98"/>
        <v/>
      </c>
    </row>
    <row r="563" spans="1:48" x14ac:dyDescent="0.35">
      <c r="A563" s="28">
        <v>562</v>
      </c>
      <c r="B563" s="28" t="str">
        <f>IF(INPUT!A563="","",TRIM(INPUT!A563))</f>
        <v/>
      </c>
      <c r="C563" s="28" t="str">
        <f>IF(B563="","",INPUT!C563)</f>
        <v/>
      </c>
      <c r="D563" s="28" t="str">
        <f>IF(B563="","",INPUT!D563)</f>
        <v/>
      </c>
      <c r="E563" s="28" t="str">
        <f>IF(B563="","",INPUT!E563)</f>
        <v/>
      </c>
      <c r="F563" s="43" t="str">
        <f>IF(B563="","",TRIM(INPUT!F563&amp;""))</f>
        <v/>
      </c>
      <c r="G563" s="28" t="str">
        <f>IF(B563="","",INPUT!H563)</f>
        <v/>
      </c>
      <c r="H563" s="46" t="str">
        <f>IF(B563="","",INPUT!I563)</f>
        <v/>
      </c>
      <c r="I563" s="28" t="str">
        <f>IF(B563="","",IF(INPUT!J563="","None",INPUT!J563))</f>
        <v/>
      </c>
      <c r="J563" s="28" t="str">
        <f t="shared" si="88"/>
        <v/>
      </c>
      <c r="K563" s="28" t="str">
        <f>IF(B563="","",IF(SUMPRODUCT(($J$2:$J$601=J563)*($H$2:$H$601&lt;H563))+SUMPRODUCT(($J$2:J563=J563)*($H$2:H563=H563))-1&gt;0,"DUPLICATE",IF(AND(ISNUMBER(SEARCH("@",E563)),ISNUMBER(SEARCH(".",E563)),LEN(F563)=10,ISNUMBER(VALUE(F563))),"OK","BAD CONTACT")))</f>
        <v/>
      </c>
      <c r="L563" s="28">
        <f t="shared" si="89"/>
        <v>0</v>
      </c>
      <c r="M563" s="28">
        <f>IF(L563=1,IF(COUNTIFS(LOG!$C$2:$C$2001,F563,LOG!$E$2:$E$2001,B563,LOG!$D$2:$D$2001,"*BOOKED")+COUNTIFS(LOG!$C$2:$C$2001,F563,LOG!$E$2:$E$2001,"",LOG!$D$2:$D$2001,"*BOOKED")&gt;0,1,0),0)</f>
        <v>0</v>
      </c>
      <c r="N563" s="28">
        <f>IF(L563=1,IF(COUNTIFS(LOG!$C$2:$C$2001,F563,LOG!$E$2:$E$2001,B563,LOG!$D$2:$D$2001,"NOT_INTERESTED")+COUNTIFS(LOG!$C$2:$C$2001,F563,LOG!$E$2:$E$2001,"",LOG!$D$2:$D$2001,"NOT_INTERESTED")&gt;0,1,0),0)</f>
        <v>0</v>
      </c>
      <c r="O563" s="28">
        <f>IF(L563=1,IF(COUNTIFS(LOG!$C$2:$C$2001,F563,LOG!$D$2:$D$2001,"STOP")+COUNTIFS(LOG!$C$2:$C$2001,F563,LOG!$D$2:$D$2001,"WRONG_NUMBER")&gt;0,1,IF(ISNUMBER(SEARCH("STOP",AT563)),1,0)),0)</f>
        <v>0</v>
      </c>
      <c r="P563" s="28">
        <f>IF(L563=1,IF(IFERROR(INDEX(PARTNERS!$D$2:$D$88,MATCH(B563,PARTNERS!$A$2:$A$88,0)),"")="NO SLOTS",1,IF(AND(IFERROR(INDEX(PARTNERS!$D$2:$D$88,MATCH(B563,PARTNERS!$A$2:$A$88,0)),"")&lt;&gt;"REOPENED",COUNTIFS(LOG!$E$2:$E$2001,B563,LOG!$D$2:$D$2001,"NO_SLOTS")&gt;0),1,0)),0)</f>
        <v>0</v>
      </c>
      <c r="Q563" s="28">
        <f>IF(L563=1,COUNTIFS(LOG!$C$2:$C$2001,F563,LOG!$H$2:$H$2001,1),0)</f>
        <v>0</v>
      </c>
      <c r="R563" s="46">
        <f>IF(Q563&gt;0,_xlfn.MAXIFS(LOG!$G$2:$G$2001,LOG!$C$2:$C$2001,F563,LOG!$H$2:$H$2001,1),0)</f>
        <v>0</v>
      </c>
      <c r="S563" s="28" t="str">
        <f>IF(Q563&gt;0,IFERROR(INDEX(LOG!$D$2:$D$2001,MATCH(F563&amp;"|"&amp;Q563,LOG!$I$2:$I$2001,0)),""),"")</f>
        <v/>
      </c>
      <c r="T563" s="28">
        <f>IF(S563="",0,IFERROR(VLOOKUP(S563,LISTS!$A$2:$E$10,4,FALSE),0))</f>
        <v>0</v>
      </c>
      <c r="U563" s="46">
        <f t="shared" si="90"/>
        <v>0</v>
      </c>
      <c r="V563" s="46" t="str">
        <f>IF(L563=1,H563+SETTINGS!$B$5/24,"")</f>
        <v/>
      </c>
      <c r="W563" s="28" t="str">
        <f>IF(L563=1,(V563-SETTINGS!$B$4)*24,"")</f>
        <v/>
      </c>
      <c r="X563" s="28">
        <f ca="1">IF(AND(L563=1,K563="OK",M563=0,N563=0,O563=0,P563=0,SETTINGS!$B$4&lt;V563,Q563&lt;SETTINGS!$B$6),1,0)</f>
        <v>0</v>
      </c>
      <c r="Y563" s="28">
        <f ca="1">IF(AND(X563=1,SETTINGS!$B$4&gt;=H563,SETTINGS!$B$4&gt;=U563,ROUND(MOD(SETTINGS!$B$4,1)*1440,0)&gt;=ROUND(SETTINGS!$B$7*1440,0),ROUND(MOD(SETTINGS!$B$4,1)*1440,0)&lt;ROUND(SETTINGS!$B$8*1440,0)),1,0)</f>
        <v>0</v>
      </c>
      <c r="Z563" s="28" t="str">
        <f>IF(B563="","",IF(ROUND(MOD(SETTINGS!$B$4,1)*1440,0)&lt;ROUND(SETTINGS!$B$11*1440,0),"Ram",IF(ROUND(MOD(SETTINGS!$B$4,1)*1440,0)&gt;=ROUND(SETTINGS!$B$10*1440,0),"Shyam",IF(MOD(IFERROR(VALUE(RIGHT(F563,2)),0),2)=0,"Ram","Shyam"))))</f>
        <v/>
      </c>
      <c r="AA563" s="28">
        <f t="shared" ca="1" si="91"/>
        <v>0</v>
      </c>
      <c r="AB563" s="28">
        <f ca="1">IF(X563=1,COUNTIFS($F$2:F563,F563,$X$2:X563,1),0)</f>
        <v>0</v>
      </c>
      <c r="AC563" s="28" t="str">
        <f>IF(L563=1,IF(IFERROR(INDEX(PARTNERS!$C$2:$C$88,MATCH(B563,PARTNERS!$A$2:$A$88,0)),"")="YES","YES","NO"),"")</f>
        <v/>
      </c>
      <c r="AD563" s="28" t="str">
        <f>IF(L563=1,IFERROR(INDEX(PARTNERS!$B$2:$B$88,MATCH(B563,PARTNERS!$A$2:$A$88,0)),""),"")</f>
        <v/>
      </c>
      <c r="AE563" s="28">
        <f ca="1">IF(X563=1,IFERROR(INDEX(SETTINGS!$B$34:$D$36,MATCH(I563,SETTINGS!$A$34:$A$36,0),MIN(Q563,2)+1),SETTINGS!$B$36),0)</f>
        <v>0</v>
      </c>
      <c r="AF563" s="28">
        <f t="shared" si="92"/>
        <v>0</v>
      </c>
      <c r="AG563" s="28">
        <f ca="1">IF(AND(Y563=1,AB563=1),ROUND(AA563*AE563*IF(AF563&gt;1,SETTINGS!$B$16,1)*IF(W563&lt;=SETTINGS!$B$14,SETTINGS!$B$15,1)*IF(AU563=1,SETTINGS!$B$21,1),6),0)</f>
        <v>0</v>
      </c>
      <c r="AH563" s="28" t="str">
        <f ca="1">IF(AG563&gt;0,COUNTIFS($Z$2:$Z$601,Z563,$AG$2:$AG$601,"&gt;"&amp;AG563)+COUNTIFS($Z$2:Z563,Z563,$AG$2:AG563,AG563),"")</f>
        <v/>
      </c>
      <c r="AI563" s="28" t="str">
        <f t="shared" ca="1" si="93"/>
        <v/>
      </c>
      <c r="AJ563" s="28" t="str">
        <f t="shared" ca="1" si="94"/>
        <v/>
      </c>
      <c r="AK563" s="28">
        <f>IF(L563=1,IF(COUNTIFS($F$2:F563,F563,$L$2:L563,1)=1,1,0),0)</f>
        <v>0</v>
      </c>
      <c r="AL563" s="28" t="str">
        <f>IF(B563="","",IF(K563="DUPLICATE","Duplicate (removed)",IF(AO563=1,"Scheduled within 24h",IF(M563=1,"Scheduled late",IF(K563="BAD CONTACT","Bad contact details",IF(O563=1,"Stopped / wrong number",IF(N563=1,"Not interested",IF(P563=1,"Partner has no slots",IF(SETTINGS!$B$4&gt;=V563,IF(Q563=0,"Missed deadline: never tried","Missed deadline: tried, not booked"),IF(Q563&gt;=SETTINGS!$B$6,"No reply after max tries","Open"))))))))))</f>
        <v/>
      </c>
      <c r="AM563" s="46" t="str">
        <f>IF(M563=1,IF(_xlfn.MINIFS(LOG!$G$2:$G$2001,LOG!$C$2:$C$2001,F563,LOG!$E$2:$E$2001,B563,LOG!$D$2:$D$2001,"*BOOKED")=0,_xlfn.MINIFS(LOG!$G$2:$G$2001,LOG!$C$2:$C$2001,F563,LOG!$E$2:$E$2001,"",LOG!$D$2:$D$2001,"*BOOKED"),IF(_xlfn.MINIFS(LOG!$G$2:$G$2001,LOG!$C$2:$C$2001,F563,LOG!$E$2:$E$2001,"",LOG!$D$2:$D$2001,"*BOOKED")=0,_xlfn.MINIFS(LOG!$G$2:$G$2001,LOG!$C$2:$C$2001,F563,LOG!$E$2:$E$2001,B563,LOG!$D$2:$D$2001,"*BOOKED"),MIN(_xlfn.MINIFS(LOG!$G$2:$G$2001,LOG!$C$2:$C$2001,F563,LOG!$E$2:$E$2001,B563,LOG!$D$2:$D$2001,"*BOOKED"),_xlfn.MINIFS(LOG!$G$2:$G$2001,LOG!$C$2:$C$2001,F563,LOG!$E$2:$E$2001,"",LOG!$D$2:$D$2001,"*BOOKED")))),"")</f>
        <v/>
      </c>
      <c r="AN563" s="28" t="str">
        <f t="shared" si="95"/>
        <v/>
      </c>
      <c r="AO563" s="28">
        <f>IF(AND(M563=1,AN563&lt;&gt;""),IF(AN563&lt;=SETTINGS!$B$5,1,0),0)</f>
        <v>0</v>
      </c>
      <c r="AP563" s="28">
        <f>IF(M563=1,IF(COUNTIFS(LOG!$C$2:$C$2001,F563,LOG!$E$2:$E$2001,B563,LOG!$D$2:$D$2001,"BOOKED")+COUNTIFS(LOG!$C$2:$C$2001,F563,LOG!$E$2:$E$2001,"",LOG!$D$2:$D$2001,"BOOKED")&gt;0,1,0),0)</f>
        <v>0</v>
      </c>
      <c r="AQ563" s="28" t="str">
        <f t="shared" si="96"/>
        <v/>
      </c>
      <c r="AR563" s="28" t="str">
        <f>IF(AND(AK563=1,K563="OK"),COUNTIFS($AK$2:AK563,1,$K$2:K563,"OK"),"")</f>
        <v/>
      </c>
      <c r="AS563" s="28" t="str">
        <f>IF(L563=1,IFERROR(INDEX(MESSAGES!$J$9:$J$1008,MATCH(F563,MESSAGES!$M$9:$M$1008,0))&amp;"",""),"")</f>
        <v/>
      </c>
      <c r="AT563" s="28" t="str">
        <f>IF(L563=1,IFERROR(INDEX(MESSAGES!$K$9:$K$1008,MATCH(F563,MESSAGES!$M$9:$M$1008,0))&amp;"",""),"")</f>
        <v/>
      </c>
      <c r="AU563" s="28">
        <f t="shared" ca="1" si="97"/>
        <v>0</v>
      </c>
      <c r="AV563" s="28" t="str">
        <f t="shared" si="98"/>
        <v/>
      </c>
    </row>
    <row r="564" spans="1:48" x14ac:dyDescent="0.35">
      <c r="A564" s="28">
        <v>563</v>
      </c>
      <c r="B564" s="28" t="str">
        <f>IF(INPUT!A564="","",TRIM(INPUT!A564))</f>
        <v/>
      </c>
      <c r="C564" s="28" t="str">
        <f>IF(B564="","",INPUT!C564)</f>
        <v/>
      </c>
      <c r="D564" s="28" t="str">
        <f>IF(B564="","",INPUT!D564)</f>
        <v/>
      </c>
      <c r="E564" s="28" t="str">
        <f>IF(B564="","",INPUT!E564)</f>
        <v/>
      </c>
      <c r="F564" s="43" t="str">
        <f>IF(B564="","",TRIM(INPUT!F564&amp;""))</f>
        <v/>
      </c>
      <c r="G564" s="28" t="str">
        <f>IF(B564="","",INPUT!H564)</f>
        <v/>
      </c>
      <c r="H564" s="46" t="str">
        <f>IF(B564="","",INPUT!I564)</f>
        <v/>
      </c>
      <c r="I564" s="28" t="str">
        <f>IF(B564="","",IF(INPUT!J564="","None",INPUT!J564))</f>
        <v/>
      </c>
      <c r="J564" s="28" t="str">
        <f t="shared" si="88"/>
        <v/>
      </c>
      <c r="K564" s="28" t="str">
        <f>IF(B564="","",IF(SUMPRODUCT(($J$2:$J$601=J564)*($H$2:$H$601&lt;H564))+SUMPRODUCT(($J$2:J564=J564)*($H$2:H564=H564))-1&gt;0,"DUPLICATE",IF(AND(ISNUMBER(SEARCH("@",E564)),ISNUMBER(SEARCH(".",E564)),LEN(F564)=10,ISNUMBER(VALUE(F564))),"OK","BAD CONTACT")))</f>
        <v/>
      </c>
      <c r="L564" s="28">
        <f t="shared" si="89"/>
        <v>0</v>
      </c>
      <c r="M564" s="28">
        <f>IF(L564=1,IF(COUNTIFS(LOG!$C$2:$C$2001,F564,LOG!$E$2:$E$2001,B564,LOG!$D$2:$D$2001,"*BOOKED")+COUNTIFS(LOG!$C$2:$C$2001,F564,LOG!$E$2:$E$2001,"",LOG!$D$2:$D$2001,"*BOOKED")&gt;0,1,0),0)</f>
        <v>0</v>
      </c>
      <c r="N564" s="28">
        <f>IF(L564=1,IF(COUNTIFS(LOG!$C$2:$C$2001,F564,LOG!$E$2:$E$2001,B564,LOG!$D$2:$D$2001,"NOT_INTERESTED")+COUNTIFS(LOG!$C$2:$C$2001,F564,LOG!$E$2:$E$2001,"",LOG!$D$2:$D$2001,"NOT_INTERESTED")&gt;0,1,0),0)</f>
        <v>0</v>
      </c>
      <c r="O564" s="28">
        <f>IF(L564=1,IF(COUNTIFS(LOG!$C$2:$C$2001,F564,LOG!$D$2:$D$2001,"STOP")+COUNTIFS(LOG!$C$2:$C$2001,F564,LOG!$D$2:$D$2001,"WRONG_NUMBER")&gt;0,1,IF(ISNUMBER(SEARCH("STOP",AT564)),1,0)),0)</f>
        <v>0</v>
      </c>
      <c r="P564" s="28">
        <f>IF(L564=1,IF(IFERROR(INDEX(PARTNERS!$D$2:$D$88,MATCH(B564,PARTNERS!$A$2:$A$88,0)),"")="NO SLOTS",1,IF(AND(IFERROR(INDEX(PARTNERS!$D$2:$D$88,MATCH(B564,PARTNERS!$A$2:$A$88,0)),"")&lt;&gt;"REOPENED",COUNTIFS(LOG!$E$2:$E$2001,B564,LOG!$D$2:$D$2001,"NO_SLOTS")&gt;0),1,0)),0)</f>
        <v>0</v>
      </c>
      <c r="Q564" s="28">
        <f>IF(L564=1,COUNTIFS(LOG!$C$2:$C$2001,F564,LOG!$H$2:$H$2001,1),0)</f>
        <v>0</v>
      </c>
      <c r="R564" s="46">
        <f>IF(Q564&gt;0,_xlfn.MAXIFS(LOG!$G$2:$G$2001,LOG!$C$2:$C$2001,F564,LOG!$H$2:$H$2001,1),0)</f>
        <v>0</v>
      </c>
      <c r="S564" s="28" t="str">
        <f>IF(Q564&gt;0,IFERROR(INDEX(LOG!$D$2:$D$2001,MATCH(F564&amp;"|"&amp;Q564,LOG!$I$2:$I$2001,0)),""),"")</f>
        <v/>
      </c>
      <c r="T564" s="28">
        <f>IF(S564="",0,IFERROR(VLOOKUP(S564,LISTS!$A$2:$E$10,4,FALSE),0))</f>
        <v>0</v>
      </c>
      <c r="U564" s="46">
        <f t="shared" si="90"/>
        <v>0</v>
      </c>
      <c r="V564" s="46" t="str">
        <f>IF(L564=1,H564+SETTINGS!$B$5/24,"")</f>
        <v/>
      </c>
      <c r="W564" s="28" t="str">
        <f>IF(L564=1,(V564-SETTINGS!$B$4)*24,"")</f>
        <v/>
      </c>
      <c r="X564" s="28">
        <f ca="1">IF(AND(L564=1,K564="OK",M564=0,N564=0,O564=0,P564=0,SETTINGS!$B$4&lt;V564,Q564&lt;SETTINGS!$B$6),1,0)</f>
        <v>0</v>
      </c>
      <c r="Y564" s="28">
        <f ca="1">IF(AND(X564=1,SETTINGS!$B$4&gt;=H564,SETTINGS!$B$4&gt;=U564,ROUND(MOD(SETTINGS!$B$4,1)*1440,0)&gt;=ROUND(SETTINGS!$B$7*1440,0),ROUND(MOD(SETTINGS!$B$4,1)*1440,0)&lt;ROUND(SETTINGS!$B$8*1440,0)),1,0)</f>
        <v>0</v>
      </c>
      <c r="Z564" s="28" t="str">
        <f>IF(B564="","",IF(ROUND(MOD(SETTINGS!$B$4,1)*1440,0)&lt;ROUND(SETTINGS!$B$11*1440,0),"Ram",IF(ROUND(MOD(SETTINGS!$B$4,1)*1440,0)&gt;=ROUND(SETTINGS!$B$10*1440,0),"Shyam",IF(MOD(IFERROR(VALUE(RIGHT(F564,2)),0),2)=0,"Ram","Shyam"))))</f>
        <v/>
      </c>
      <c r="AA564" s="28">
        <f t="shared" ca="1" si="91"/>
        <v>0</v>
      </c>
      <c r="AB564" s="28">
        <f ca="1">IF(X564=1,COUNTIFS($F$2:F564,F564,$X$2:X564,1),0)</f>
        <v>0</v>
      </c>
      <c r="AC564" s="28" t="str">
        <f>IF(L564=1,IF(IFERROR(INDEX(PARTNERS!$C$2:$C$88,MATCH(B564,PARTNERS!$A$2:$A$88,0)),"")="YES","YES","NO"),"")</f>
        <v/>
      </c>
      <c r="AD564" s="28" t="str">
        <f>IF(L564=1,IFERROR(INDEX(PARTNERS!$B$2:$B$88,MATCH(B564,PARTNERS!$A$2:$A$88,0)),""),"")</f>
        <v/>
      </c>
      <c r="AE564" s="28">
        <f ca="1">IF(X564=1,IFERROR(INDEX(SETTINGS!$B$34:$D$36,MATCH(I564,SETTINGS!$A$34:$A$36,0),MIN(Q564,2)+1),SETTINGS!$B$36),0)</f>
        <v>0</v>
      </c>
      <c r="AF564" s="28">
        <f t="shared" si="92"/>
        <v>0</v>
      </c>
      <c r="AG564" s="28">
        <f ca="1">IF(AND(Y564=1,AB564=1),ROUND(AA564*AE564*IF(AF564&gt;1,SETTINGS!$B$16,1)*IF(W564&lt;=SETTINGS!$B$14,SETTINGS!$B$15,1)*IF(AU564=1,SETTINGS!$B$21,1),6),0)</f>
        <v>0</v>
      </c>
      <c r="AH564" s="28" t="str">
        <f ca="1">IF(AG564&gt;0,COUNTIFS($Z$2:$Z$601,Z564,$AG$2:$AG$601,"&gt;"&amp;AG564)+COUNTIFS($Z$2:Z564,Z564,$AG$2:AG564,AG564),"")</f>
        <v/>
      </c>
      <c r="AI564" s="28" t="str">
        <f t="shared" ca="1" si="93"/>
        <v/>
      </c>
      <c r="AJ564" s="28" t="str">
        <f t="shared" ca="1" si="94"/>
        <v/>
      </c>
      <c r="AK564" s="28">
        <f>IF(L564=1,IF(COUNTIFS($F$2:F564,F564,$L$2:L564,1)=1,1,0),0)</f>
        <v>0</v>
      </c>
      <c r="AL564" s="28" t="str">
        <f>IF(B564="","",IF(K564="DUPLICATE","Duplicate (removed)",IF(AO564=1,"Scheduled within 24h",IF(M564=1,"Scheduled late",IF(K564="BAD CONTACT","Bad contact details",IF(O564=1,"Stopped / wrong number",IF(N564=1,"Not interested",IF(P564=1,"Partner has no slots",IF(SETTINGS!$B$4&gt;=V564,IF(Q564=0,"Missed deadline: never tried","Missed deadline: tried, not booked"),IF(Q564&gt;=SETTINGS!$B$6,"No reply after max tries","Open"))))))))))</f>
        <v/>
      </c>
      <c r="AM564" s="46" t="str">
        <f>IF(M564=1,IF(_xlfn.MINIFS(LOG!$G$2:$G$2001,LOG!$C$2:$C$2001,F564,LOG!$E$2:$E$2001,B564,LOG!$D$2:$D$2001,"*BOOKED")=0,_xlfn.MINIFS(LOG!$G$2:$G$2001,LOG!$C$2:$C$2001,F564,LOG!$E$2:$E$2001,"",LOG!$D$2:$D$2001,"*BOOKED"),IF(_xlfn.MINIFS(LOG!$G$2:$G$2001,LOG!$C$2:$C$2001,F564,LOG!$E$2:$E$2001,"",LOG!$D$2:$D$2001,"*BOOKED")=0,_xlfn.MINIFS(LOG!$G$2:$G$2001,LOG!$C$2:$C$2001,F564,LOG!$E$2:$E$2001,B564,LOG!$D$2:$D$2001,"*BOOKED"),MIN(_xlfn.MINIFS(LOG!$G$2:$G$2001,LOG!$C$2:$C$2001,F564,LOG!$E$2:$E$2001,B564,LOG!$D$2:$D$2001,"*BOOKED"),_xlfn.MINIFS(LOG!$G$2:$G$2001,LOG!$C$2:$C$2001,F564,LOG!$E$2:$E$2001,"",LOG!$D$2:$D$2001,"*BOOKED")))),"")</f>
        <v/>
      </c>
      <c r="AN564" s="28" t="str">
        <f t="shared" si="95"/>
        <v/>
      </c>
      <c r="AO564" s="28">
        <f>IF(AND(M564=1,AN564&lt;&gt;""),IF(AN564&lt;=SETTINGS!$B$5,1,0),0)</f>
        <v>0</v>
      </c>
      <c r="AP564" s="28">
        <f>IF(M564=1,IF(COUNTIFS(LOG!$C$2:$C$2001,F564,LOG!$E$2:$E$2001,B564,LOG!$D$2:$D$2001,"BOOKED")+COUNTIFS(LOG!$C$2:$C$2001,F564,LOG!$E$2:$E$2001,"",LOG!$D$2:$D$2001,"BOOKED")&gt;0,1,0),0)</f>
        <v>0</v>
      </c>
      <c r="AQ564" s="28" t="str">
        <f t="shared" si="96"/>
        <v/>
      </c>
      <c r="AR564" s="28" t="str">
        <f>IF(AND(AK564=1,K564="OK"),COUNTIFS($AK$2:AK564,1,$K$2:K564,"OK"),"")</f>
        <v/>
      </c>
      <c r="AS564" s="28" t="str">
        <f>IF(L564=1,IFERROR(INDEX(MESSAGES!$J$9:$J$1008,MATCH(F564,MESSAGES!$M$9:$M$1008,0))&amp;"",""),"")</f>
        <v/>
      </c>
      <c r="AT564" s="28" t="str">
        <f>IF(L564=1,IFERROR(INDEX(MESSAGES!$K$9:$K$1008,MATCH(F564,MESSAGES!$M$9:$M$1008,0))&amp;"",""),"")</f>
        <v/>
      </c>
      <c r="AU564" s="28">
        <f t="shared" ca="1" si="97"/>
        <v>0</v>
      </c>
      <c r="AV564" s="28" t="str">
        <f t="shared" si="98"/>
        <v/>
      </c>
    </row>
    <row r="565" spans="1:48" x14ac:dyDescent="0.35">
      <c r="A565" s="28">
        <v>564</v>
      </c>
      <c r="B565" s="28" t="str">
        <f>IF(INPUT!A565="","",TRIM(INPUT!A565))</f>
        <v/>
      </c>
      <c r="C565" s="28" t="str">
        <f>IF(B565="","",INPUT!C565)</f>
        <v/>
      </c>
      <c r="D565" s="28" t="str">
        <f>IF(B565="","",INPUT!D565)</f>
        <v/>
      </c>
      <c r="E565" s="28" t="str">
        <f>IF(B565="","",INPUT!E565)</f>
        <v/>
      </c>
      <c r="F565" s="43" t="str">
        <f>IF(B565="","",TRIM(INPUT!F565&amp;""))</f>
        <v/>
      </c>
      <c r="G565" s="28" t="str">
        <f>IF(B565="","",INPUT!H565)</f>
        <v/>
      </c>
      <c r="H565" s="46" t="str">
        <f>IF(B565="","",INPUT!I565)</f>
        <v/>
      </c>
      <c r="I565" s="28" t="str">
        <f>IF(B565="","",IF(INPUT!J565="","None",INPUT!J565))</f>
        <v/>
      </c>
      <c r="J565" s="28" t="str">
        <f t="shared" si="88"/>
        <v/>
      </c>
      <c r="K565" s="28" t="str">
        <f>IF(B565="","",IF(SUMPRODUCT(($J$2:$J$601=J565)*($H$2:$H$601&lt;H565))+SUMPRODUCT(($J$2:J565=J565)*($H$2:H565=H565))-1&gt;0,"DUPLICATE",IF(AND(ISNUMBER(SEARCH("@",E565)),ISNUMBER(SEARCH(".",E565)),LEN(F565)=10,ISNUMBER(VALUE(F565))),"OK","BAD CONTACT")))</f>
        <v/>
      </c>
      <c r="L565" s="28">
        <f t="shared" si="89"/>
        <v>0</v>
      </c>
      <c r="M565" s="28">
        <f>IF(L565=1,IF(COUNTIFS(LOG!$C$2:$C$2001,F565,LOG!$E$2:$E$2001,B565,LOG!$D$2:$D$2001,"*BOOKED")+COUNTIFS(LOG!$C$2:$C$2001,F565,LOG!$E$2:$E$2001,"",LOG!$D$2:$D$2001,"*BOOKED")&gt;0,1,0),0)</f>
        <v>0</v>
      </c>
      <c r="N565" s="28">
        <f>IF(L565=1,IF(COUNTIFS(LOG!$C$2:$C$2001,F565,LOG!$E$2:$E$2001,B565,LOG!$D$2:$D$2001,"NOT_INTERESTED")+COUNTIFS(LOG!$C$2:$C$2001,F565,LOG!$E$2:$E$2001,"",LOG!$D$2:$D$2001,"NOT_INTERESTED")&gt;0,1,0),0)</f>
        <v>0</v>
      </c>
      <c r="O565" s="28">
        <f>IF(L565=1,IF(COUNTIFS(LOG!$C$2:$C$2001,F565,LOG!$D$2:$D$2001,"STOP")+COUNTIFS(LOG!$C$2:$C$2001,F565,LOG!$D$2:$D$2001,"WRONG_NUMBER")&gt;0,1,IF(ISNUMBER(SEARCH("STOP",AT565)),1,0)),0)</f>
        <v>0</v>
      </c>
      <c r="P565" s="28">
        <f>IF(L565=1,IF(IFERROR(INDEX(PARTNERS!$D$2:$D$88,MATCH(B565,PARTNERS!$A$2:$A$88,0)),"")="NO SLOTS",1,IF(AND(IFERROR(INDEX(PARTNERS!$D$2:$D$88,MATCH(B565,PARTNERS!$A$2:$A$88,0)),"")&lt;&gt;"REOPENED",COUNTIFS(LOG!$E$2:$E$2001,B565,LOG!$D$2:$D$2001,"NO_SLOTS")&gt;0),1,0)),0)</f>
        <v>0</v>
      </c>
      <c r="Q565" s="28">
        <f>IF(L565=1,COUNTIFS(LOG!$C$2:$C$2001,F565,LOG!$H$2:$H$2001,1),0)</f>
        <v>0</v>
      </c>
      <c r="R565" s="46">
        <f>IF(Q565&gt;0,_xlfn.MAXIFS(LOG!$G$2:$G$2001,LOG!$C$2:$C$2001,F565,LOG!$H$2:$H$2001,1),0)</f>
        <v>0</v>
      </c>
      <c r="S565" s="28" t="str">
        <f>IF(Q565&gt;0,IFERROR(INDEX(LOG!$D$2:$D$2001,MATCH(F565&amp;"|"&amp;Q565,LOG!$I$2:$I$2001,0)),""),"")</f>
        <v/>
      </c>
      <c r="T565" s="28">
        <f>IF(S565="",0,IFERROR(VLOOKUP(S565,LISTS!$A$2:$E$10,4,FALSE),0))</f>
        <v>0</v>
      </c>
      <c r="U565" s="46">
        <f t="shared" si="90"/>
        <v>0</v>
      </c>
      <c r="V565" s="46" t="str">
        <f>IF(L565=1,H565+SETTINGS!$B$5/24,"")</f>
        <v/>
      </c>
      <c r="W565" s="28" t="str">
        <f>IF(L565=1,(V565-SETTINGS!$B$4)*24,"")</f>
        <v/>
      </c>
      <c r="X565" s="28">
        <f ca="1">IF(AND(L565=1,K565="OK",M565=0,N565=0,O565=0,P565=0,SETTINGS!$B$4&lt;V565,Q565&lt;SETTINGS!$B$6),1,0)</f>
        <v>0</v>
      </c>
      <c r="Y565" s="28">
        <f ca="1">IF(AND(X565=1,SETTINGS!$B$4&gt;=H565,SETTINGS!$B$4&gt;=U565,ROUND(MOD(SETTINGS!$B$4,1)*1440,0)&gt;=ROUND(SETTINGS!$B$7*1440,0),ROUND(MOD(SETTINGS!$B$4,1)*1440,0)&lt;ROUND(SETTINGS!$B$8*1440,0)),1,0)</f>
        <v>0</v>
      </c>
      <c r="Z565" s="28" t="str">
        <f>IF(B565="","",IF(ROUND(MOD(SETTINGS!$B$4,1)*1440,0)&lt;ROUND(SETTINGS!$B$11*1440,0),"Ram",IF(ROUND(MOD(SETTINGS!$B$4,1)*1440,0)&gt;=ROUND(SETTINGS!$B$10*1440,0),"Shyam",IF(MOD(IFERROR(VALUE(RIGHT(F565,2)),0),2)=0,"Ram","Shyam"))))</f>
        <v/>
      </c>
      <c r="AA565" s="28">
        <f t="shared" ca="1" si="91"/>
        <v>0</v>
      </c>
      <c r="AB565" s="28">
        <f ca="1">IF(X565=1,COUNTIFS($F$2:F565,F565,$X$2:X565,1),0)</f>
        <v>0</v>
      </c>
      <c r="AC565" s="28" t="str">
        <f>IF(L565=1,IF(IFERROR(INDEX(PARTNERS!$C$2:$C$88,MATCH(B565,PARTNERS!$A$2:$A$88,0)),"")="YES","YES","NO"),"")</f>
        <v/>
      </c>
      <c r="AD565" s="28" t="str">
        <f>IF(L565=1,IFERROR(INDEX(PARTNERS!$B$2:$B$88,MATCH(B565,PARTNERS!$A$2:$A$88,0)),""),"")</f>
        <v/>
      </c>
      <c r="AE565" s="28">
        <f ca="1">IF(X565=1,IFERROR(INDEX(SETTINGS!$B$34:$D$36,MATCH(I565,SETTINGS!$A$34:$A$36,0),MIN(Q565,2)+1),SETTINGS!$B$36),0)</f>
        <v>0</v>
      </c>
      <c r="AF565" s="28">
        <f t="shared" si="92"/>
        <v>0</v>
      </c>
      <c r="AG565" s="28">
        <f ca="1">IF(AND(Y565=1,AB565=1),ROUND(AA565*AE565*IF(AF565&gt;1,SETTINGS!$B$16,1)*IF(W565&lt;=SETTINGS!$B$14,SETTINGS!$B$15,1)*IF(AU565=1,SETTINGS!$B$21,1),6),0)</f>
        <v>0</v>
      </c>
      <c r="AH565" s="28" t="str">
        <f ca="1">IF(AG565&gt;0,COUNTIFS($Z$2:$Z$601,Z565,$AG$2:$AG$601,"&gt;"&amp;AG565)+COUNTIFS($Z$2:Z565,Z565,$AG$2:AG565,AG565),"")</f>
        <v/>
      </c>
      <c r="AI565" s="28" t="str">
        <f t="shared" ca="1" si="93"/>
        <v/>
      </c>
      <c r="AJ565" s="28" t="str">
        <f t="shared" ca="1" si="94"/>
        <v/>
      </c>
      <c r="AK565" s="28">
        <f>IF(L565=1,IF(COUNTIFS($F$2:F565,F565,$L$2:L565,1)=1,1,0),0)</f>
        <v>0</v>
      </c>
      <c r="AL565" s="28" t="str">
        <f>IF(B565="","",IF(K565="DUPLICATE","Duplicate (removed)",IF(AO565=1,"Scheduled within 24h",IF(M565=1,"Scheduled late",IF(K565="BAD CONTACT","Bad contact details",IF(O565=1,"Stopped / wrong number",IF(N565=1,"Not interested",IF(P565=1,"Partner has no slots",IF(SETTINGS!$B$4&gt;=V565,IF(Q565=0,"Missed deadline: never tried","Missed deadline: tried, not booked"),IF(Q565&gt;=SETTINGS!$B$6,"No reply after max tries","Open"))))))))))</f>
        <v/>
      </c>
      <c r="AM565" s="46" t="str">
        <f>IF(M565=1,IF(_xlfn.MINIFS(LOG!$G$2:$G$2001,LOG!$C$2:$C$2001,F565,LOG!$E$2:$E$2001,B565,LOG!$D$2:$D$2001,"*BOOKED")=0,_xlfn.MINIFS(LOG!$G$2:$G$2001,LOG!$C$2:$C$2001,F565,LOG!$E$2:$E$2001,"",LOG!$D$2:$D$2001,"*BOOKED"),IF(_xlfn.MINIFS(LOG!$G$2:$G$2001,LOG!$C$2:$C$2001,F565,LOG!$E$2:$E$2001,"",LOG!$D$2:$D$2001,"*BOOKED")=0,_xlfn.MINIFS(LOG!$G$2:$G$2001,LOG!$C$2:$C$2001,F565,LOG!$E$2:$E$2001,B565,LOG!$D$2:$D$2001,"*BOOKED"),MIN(_xlfn.MINIFS(LOG!$G$2:$G$2001,LOG!$C$2:$C$2001,F565,LOG!$E$2:$E$2001,B565,LOG!$D$2:$D$2001,"*BOOKED"),_xlfn.MINIFS(LOG!$G$2:$G$2001,LOG!$C$2:$C$2001,F565,LOG!$E$2:$E$2001,"",LOG!$D$2:$D$2001,"*BOOKED")))),"")</f>
        <v/>
      </c>
      <c r="AN565" s="28" t="str">
        <f t="shared" si="95"/>
        <v/>
      </c>
      <c r="AO565" s="28">
        <f>IF(AND(M565=1,AN565&lt;&gt;""),IF(AN565&lt;=SETTINGS!$B$5,1,0),0)</f>
        <v>0</v>
      </c>
      <c r="AP565" s="28">
        <f>IF(M565=1,IF(COUNTIFS(LOG!$C$2:$C$2001,F565,LOG!$E$2:$E$2001,B565,LOG!$D$2:$D$2001,"BOOKED")+COUNTIFS(LOG!$C$2:$C$2001,F565,LOG!$E$2:$E$2001,"",LOG!$D$2:$D$2001,"BOOKED")&gt;0,1,0),0)</f>
        <v>0</v>
      </c>
      <c r="AQ565" s="28" t="str">
        <f t="shared" si="96"/>
        <v/>
      </c>
      <c r="AR565" s="28" t="str">
        <f>IF(AND(AK565=1,K565="OK"),COUNTIFS($AK$2:AK565,1,$K$2:K565,"OK"),"")</f>
        <v/>
      </c>
      <c r="AS565" s="28" t="str">
        <f>IF(L565=1,IFERROR(INDEX(MESSAGES!$J$9:$J$1008,MATCH(F565,MESSAGES!$M$9:$M$1008,0))&amp;"",""),"")</f>
        <v/>
      </c>
      <c r="AT565" s="28" t="str">
        <f>IF(L565=1,IFERROR(INDEX(MESSAGES!$K$9:$K$1008,MATCH(F565,MESSAGES!$M$9:$M$1008,0))&amp;"",""),"")</f>
        <v/>
      </c>
      <c r="AU565" s="28">
        <f t="shared" ca="1" si="97"/>
        <v>0</v>
      </c>
      <c r="AV565" s="28" t="str">
        <f t="shared" si="98"/>
        <v/>
      </c>
    </row>
    <row r="566" spans="1:48" x14ac:dyDescent="0.35">
      <c r="A566" s="28">
        <v>565</v>
      </c>
      <c r="B566" s="28" t="str">
        <f>IF(INPUT!A566="","",TRIM(INPUT!A566))</f>
        <v/>
      </c>
      <c r="C566" s="28" t="str">
        <f>IF(B566="","",INPUT!C566)</f>
        <v/>
      </c>
      <c r="D566" s="28" t="str">
        <f>IF(B566="","",INPUT!D566)</f>
        <v/>
      </c>
      <c r="E566" s="28" t="str">
        <f>IF(B566="","",INPUT!E566)</f>
        <v/>
      </c>
      <c r="F566" s="43" t="str">
        <f>IF(B566="","",TRIM(INPUT!F566&amp;""))</f>
        <v/>
      </c>
      <c r="G566" s="28" t="str">
        <f>IF(B566="","",INPUT!H566)</f>
        <v/>
      </c>
      <c r="H566" s="46" t="str">
        <f>IF(B566="","",INPUT!I566)</f>
        <v/>
      </c>
      <c r="I566" s="28" t="str">
        <f>IF(B566="","",IF(INPUT!J566="","None",INPUT!J566))</f>
        <v/>
      </c>
      <c r="J566" s="28" t="str">
        <f t="shared" si="88"/>
        <v/>
      </c>
      <c r="K566" s="28" t="str">
        <f>IF(B566="","",IF(SUMPRODUCT(($J$2:$J$601=J566)*($H$2:$H$601&lt;H566))+SUMPRODUCT(($J$2:J566=J566)*($H$2:H566=H566))-1&gt;0,"DUPLICATE",IF(AND(ISNUMBER(SEARCH("@",E566)),ISNUMBER(SEARCH(".",E566)),LEN(F566)=10,ISNUMBER(VALUE(F566))),"OK","BAD CONTACT")))</f>
        <v/>
      </c>
      <c r="L566" s="28">
        <f t="shared" si="89"/>
        <v>0</v>
      </c>
      <c r="M566" s="28">
        <f>IF(L566=1,IF(COUNTIFS(LOG!$C$2:$C$2001,F566,LOG!$E$2:$E$2001,B566,LOG!$D$2:$D$2001,"*BOOKED")+COUNTIFS(LOG!$C$2:$C$2001,F566,LOG!$E$2:$E$2001,"",LOG!$D$2:$D$2001,"*BOOKED")&gt;0,1,0),0)</f>
        <v>0</v>
      </c>
      <c r="N566" s="28">
        <f>IF(L566=1,IF(COUNTIFS(LOG!$C$2:$C$2001,F566,LOG!$E$2:$E$2001,B566,LOG!$D$2:$D$2001,"NOT_INTERESTED")+COUNTIFS(LOG!$C$2:$C$2001,F566,LOG!$E$2:$E$2001,"",LOG!$D$2:$D$2001,"NOT_INTERESTED")&gt;0,1,0),0)</f>
        <v>0</v>
      </c>
      <c r="O566" s="28">
        <f>IF(L566=1,IF(COUNTIFS(LOG!$C$2:$C$2001,F566,LOG!$D$2:$D$2001,"STOP")+COUNTIFS(LOG!$C$2:$C$2001,F566,LOG!$D$2:$D$2001,"WRONG_NUMBER")&gt;0,1,IF(ISNUMBER(SEARCH("STOP",AT566)),1,0)),0)</f>
        <v>0</v>
      </c>
      <c r="P566" s="28">
        <f>IF(L566=1,IF(IFERROR(INDEX(PARTNERS!$D$2:$D$88,MATCH(B566,PARTNERS!$A$2:$A$88,0)),"")="NO SLOTS",1,IF(AND(IFERROR(INDEX(PARTNERS!$D$2:$D$88,MATCH(B566,PARTNERS!$A$2:$A$88,0)),"")&lt;&gt;"REOPENED",COUNTIFS(LOG!$E$2:$E$2001,B566,LOG!$D$2:$D$2001,"NO_SLOTS")&gt;0),1,0)),0)</f>
        <v>0</v>
      </c>
      <c r="Q566" s="28">
        <f>IF(L566=1,COUNTIFS(LOG!$C$2:$C$2001,F566,LOG!$H$2:$H$2001,1),0)</f>
        <v>0</v>
      </c>
      <c r="R566" s="46">
        <f>IF(Q566&gt;0,_xlfn.MAXIFS(LOG!$G$2:$G$2001,LOG!$C$2:$C$2001,F566,LOG!$H$2:$H$2001,1),0)</f>
        <v>0</v>
      </c>
      <c r="S566" s="28" t="str">
        <f>IF(Q566&gt;0,IFERROR(INDEX(LOG!$D$2:$D$2001,MATCH(F566&amp;"|"&amp;Q566,LOG!$I$2:$I$2001,0)),""),"")</f>
        <v/>
      </c>
      <c r="T566" s="28">
        <f>IF(S566="",0,IFERROR(VLOOKUP(S566,LISTS!$A$2:$E$10,4,FALSE),0))</f>
        <v>0</v>
      </c>
      <c r="U566" s="46">
        <f t="shared" si="90"/>
        <v>0</v>
      </c>
      <c r="V566" s="46" t="str">
        <f>IF(L566=1,H566+SETTINGS!$B$5/24,"")</f>
        <v/>
      </c>
      <c r="W566" s="28" t="str">
        <f>IF(L566=1,(V566-SETTINGS!$B$4)*24,"")</f>
        <v/>
      </c>
      <c r="X566" s="28">
        <f ca="1">IF(AND(L566=1,K566="OK",M566=0,N566=0,O566=0,P566=0,SETTINGS!$B$4&lt;V566,Q566&lt;SETTINGS!$B$6),1,0)</f>
        <v>0</v>
      </c>
      <c r="Y566" s="28">
        <f ca="1">IF(AND(X566=1,SETTINGS!$B$4&gt;=H566,SETTINGS!$B$4&gt;=U566,ROUND(MOD(SETTINGS!$B$4,1)*1440,0)&gt;=ROUND(SETTINGS!$B$7*1440,0),ROUND(MOD(SETTINGS!$B$4,1)*1440,0)&lt;ROUND(SETTINGS!$B$8*1440,0)),1,0)</f>
        <v>0</v>
      </c>
      <c r="Z566" s="28" t="str">
        <f>IF(B566="","",IF(ROUND(MOD(SETTINGS!$B$4,1)*1440,0)&lt;ROUND(SETTINGS!$B$11*1440,0),"Ram",IF(ROUND(MOD(SETTINGS!$B$4,1)*1440,0)&gt;=ROUND(SETTINGS!$B$10*1440,0),"Shyam",IF(MOD(IFERROR(VALUE(RIGHT(F566,2)),0),2)=0,"Ram","Shyam"))))</f>
        <v/>
      </c>
      <c r="AA566" s="28">
        <f t="shared" ca="1" si="91"/>
        <v>0</v>
      </c>
      <c r="AB566" s="28">
        <f ca="1">IF(X566=1,COUNTIFS($F$2:F566,F566,$X$2:X566,1),0)</f>
        <v>0</v>
      </c>
      <c r="AC566" s="28" t="str">
        <f>IF(L566=1,IF(IFERROR(INDEX(PARTNERS!$C$2:$C$88,MATCH(B566,PARTNERS!$A$2:$A$88,0)),"")="YES","YES","NO"),"")</f>
        <v/>
      </c>
      <c r="AD566" s="28" t="str">
        <f>IF(L566=1,IFERROR(INDEX(PARTNERS!$B$2:$B$88,MATCH(B566,PARTNERS!$A$2:$A$88,0)),""),"")</f>
        <v/>
      </c>
      <c r="AE566" s="28">
        <f ca="1">IF(X566=1,IFERROR(INDEX(SETTINGS!$B$34:$D$36,MATCH(I566,SETTINGS!$A$34:$A$36,0),MIN(Q566,2)+1),SETTINGS!$B$36),0)</f>
        <v>0</v>
      </c>
      <c r="AF566" s="28">
        <f t="shared" si="92"/>
        <v>0</v>
      </c>
      <c r="AG566" s="28">
        <f ca="1">IF(AND(Y566=1,AB566=1),ROUND(AA566*AE566*IF(AF566&gt;1,SETTINGS!$B$16,1)*IF(W566&lt;=SETTINGS!$B$14,SETTINGS!$B$15,1)*IF(AU566=1,SETTINGS!$B$21,1),6),0)</f>
        <v>0</v>
      </c>
      <c r="AH566" s="28" t="str">
        <f ca="1">IF(AG566&gt;0,COUNTIFS($Z$2:$Z$601,Z566,$AG$2:$AG$601,"&gt;"&amp;AG566)+COUNTIFS($Z$2:Z566,Z566,$AG$2:AG566,AG566),"")</f>
        <v/>
      </c>
      <c r="AI566" s="28" t="str">
        <f t="shared" ca="1" si="93"/>
        <v/>
      </c>
      <c r="AJ566" s="28" t="str">
        <f t="shared" ca="1" si="94"/>
        <v/>
      </c>
      <c r="AK566" s="28">
        <f>IF(L566=1,IF(COUNTIFS($F$2:F566,F566,$L$2:L566,1)=1,1,0),0)</f>
        <v>0</v>
      </c>
      <c r="AL566" s="28" t="str">
        <f>IF(B566="","",IF(K566="DUPLICATE","Duplicate (removed)",IF(AO566=1,"Scheduled within 24h",IF(M566=1,"Scheduled late",IF(K566="BAD CONTACT","Bad contact details",IF(O566=1,"Stopped / wrong number",IF(N566=1,"Not interested",IF(P566=1,"Partner has no slots",IF(SETTINGS!$B$4&gt;=V566,IF(Q566=0,"Missed deadline: never tried","Missed deadline: tried, not booked"),IF(Q566&gt;=SETTINGS!$B$6,"No reply after max tries","Open"))))))))))</f>
        <v/>
      </c>
      <c r="AM566" s="46" t="str">
        <f>IF(M566=1,IF(_xlfn.MINIFS(LOG!$G$2:$G$2001,LOG!$C$2:$C$2001,F566,LOG!$E$2:$E$2001,B566,LOG!$D$2:$D$2001,"*BOOKED")=0,_xlfn.MINIFS(LOG!$G$2:$G$2001,LOG!$C$2:$C$2001,F566,LOG!$E$2:$E$2001,"",LOG!$D$2:$D$2001,"*BOOKED"),IF(_xlfn.MINIFS(LOG!$G$2:$G$2001,LOG!$C$2:$C$2001,F566,LOG!$E$2:$E$2001,"",LOG!$D$2:$D$2001,"*BOOKED")=0,_xlfn.MINIFS(LOG!$G$2:$G$2001,LOG!$C$2:$C$2001,F566,LOG!$E$2:$E$2001,B566,LOG!$D$2:$D$2001,"*BOOKED"),MIN(_xlfn.MINIFS(LOG!$G$2:$G$2001,LOG!$C$2:$C$2001,F566,LOG!$E$2:$E$2001,B566,LOG!$D$2:$D$2001,"*BOOKED"),_xlfn.MINIFS(LOG!$G$2:$G$2001,LOG!$C$2:$C$2001,F566,LOG!$E$2:$E$2001,"",LOG!$D$2:$D$2001,"*BOOKED")))),"")</f>
        <v/>
      </c>
      <c r="AN566" s="28" t="str">
        <f t="shared" si="95"/>
        <v/>
      </c>
      <c r="AO566" s="28">
        <f>IF(AND(M566=1,AN566&lt;&gt;""),IF(AN566&lt;=SETTINGS!$B$5,1,0),0)</f>
        <v>0</v>
      </c>
      <c r="AP566" s="28">
        <f>IF(M566=1,IF(COUNTIFS(LOG!$C$2:$C$2001,F566,LOG!$E$2:$E$2001,B566,LOG!$D$2:$D$2001,"BOOKED")+COUNTIFS(LOG!$C$2:$C$2001,F566,LOG!$E$2:$E$2001,"",LOG!$D$2:$D$2001,"BOOKED")&gt;0,1,0),0)</f>
        <v>0</v>
      </c>
      <c r="AQ566" s="28" t="str">
        <f t="shared" si="96"/>
        <v/>
      </c>
      <c r="AR566" s="28" t="str">
        <f>IF(AND(AK566=1,K566="OK"),COUNTIFS($AK$2:AK566,1,$K$2:K566,"OK"),"")</f>
        <v/>
      </c>
      <c r="AS566" s="28" t="str">
        <f>IF(L566=1,IFERROR(INDEX(MESSAGES!$J$9:$J$1008,MATCH(F566,MESSAGES!$M$9:$M$1008,0))&amp;"",""),"")</f>
        <v/>
      </c>
      <c r="AT566" s="28" t="str">
        <f>IF(L566=1,IFERROR(INDEX(MESSAGES!$K$9:$K$1008,MATCH(F566,MESSAGES!$M$9:$M$1008,0))&amp;"",""),"")</f>
        <v/>
      </c>
      <c r="AU566" s="28">
        <f t="shared" ca="1" si="97"/>
        <v>0</v>
      </c>
      <c r="AV566" s="28" t="str">
        <f t="shared" si="98"/>
        <v/>
      </c>
    </row>
    <row r="567" spans="1:48" x14ac:dyDescent="0.35">
      <c r="A567" s="28">
        <v>566</v>
      </c>
      <c r="B567" s="28" t="str">
        <f>IF(INPUT!A567="","",TRIM(INPUT!A567))</f>
        <v/>
      </c>
      <c r="C567" s="28" t="str">
        <f>IF(B567="","",INPUT!C567)</f>
        <v/>
      </c>
      <c r="D567" s="28" t="str">
        <f>IF(B567="","",INPUT!D567)</f>
        <v/>
      </c>
      <c r="E567" s="28" t="str">
        <f>IF(B567="","",INPUT!E567)</f>
        <v/>
      </c>
      <c r="F567" s="43" t="str">
        <f>IF(B567="","",TRIM(INPUT!F567&amp;""))</f>
        <v/>
      </c>
      <c r="G567" s="28" t="str">
        <f>IF(B567="","",INPUT!H567)</f>
        <v/>
      </c>
      <c r="H567" s="46" t="str">
        <f>IF(B567="","",INPUT!I567)</f>
        <v/>
      </c>
      <c r="I567" s="28" t="str">
        <f>IF(B567="","",IF(INPUT!J567="","None",INPUT!J567))</f>
        <v/>
      </c>
      <c r="J567" s="28" t="str">
        <f t="shared" si="88"/>
        <v/>
      </c>
      <c r="K567" s="28" t="str">
        <f>IF(B567="","",IF(SUMPRODUCT(($J$2:$J$601=J567)*($H$2:$H$601&lt;H567))+SUMPRODUCT(($J$2:J567=J567)*($H$2:H567=H567))-1&gt;0,"DUPLICATE",IF(AND(ISNUMBER(SEARCH("@",E567)),ISNUMBER(SEARCH(".",E567)),LEN(F567)=10,ISNUMBER(VALUE(F567))),"OK","BAD CONTACT")))</f>
        <v/>
      </c>
      <c r="L567" s="28">
        <f t="shared" si="89"/>
        <v>0</v>
      </c>
      <c r="M567" s="28">
        <f>IF(L567=1,IF(COUNTIFS(LOG!$C$2:$C$2001,F567,LOG!$E$2:$E$2001,B567,LOG!$D$2:$D$2001,"*BOOKED")+COUNTIFS(LOG!$C$2:$C$2001,F567,LOG!$E$2:$E$2001,"",LOG!$D$2:$D$2001,"*BOOKED")&gt;0,1,0),0)</f>
        <v>0</v>
      </c>
      <c r="N567" s="28">
        <f>IF(L567=1,IF(COUNTIFS(LOG!$C$2:$C$2001,F567,LOG!$E$2:$E$2001,B567,LOG!$D$2:$D$2001,"NOT_INTERESTED")+COUNTIFS(LOG!$C$2:$C$2001,F567,LOG!$E$2:$E$2001,"",LOG!$D$2:$D$2001,"NOT_INTERESTED")&gt;0,1,0),0)</f>
        <v>0</v>
      </c>
      <c r="O567" s="28">
        <f>IF(L567=1,IF(COUNTIFS(LOG!$C$2:$C$2001,F567,LOG!$D$2:$D$2001,"STOP")+COUNTIFS(LOG!$C$2:$C$2001,F567,LOG!$D$2:$D$2001,"WRONG_NUMBER")&gt;0,1,IF(ISNUMBER(SEARCH("STOP",AT567)),1,0)),0)</f>
        <v>0</v>
      </c>
      <c r="P567" s="28">
        <f>IF(L567=1,IF(IFERROR(INDEX(PARTNERS!$D$2:$D$88,MATCH(B567,PARTNERS!$A$2:$A$88,0)),"")="NO SLOTS",1,IF(AND(IFERROR(INDEX(PARTNERS!$D$2:$D$88,MATCH(B567,PARTNERS!$A$2:$A$88,0)),"")&lt;&gt;"REOPENED",COUNTIFS(LOG!$E$2:$E$2001,B567,LOG!$D$2:$D$2001,"NO_SLOTS")&gt;0),1,0)),0)</f>
        <v>0</v>
      </c>
      <c r="Q567" s="28">
        <f>IF(L567=1,COUNTIFS(LOG!$C$2:$C$2001,F567,LOG!$H$2:$H$2001,1),0)</f>
        <v>0</v>
      </c>
      <c r="R567" s="46">
        <f>IF(Q567&gt;0,_xlfn.MAXIFS(LOG!$G$2:$G$2001,LOG!$C$2:$C$2001,F567,LOG!$H$2:$H$2001,1),0)</f>
        <v>0</v>
      </c>
      <c r="S567" s="28" t="str">
        <f>IF(Q567&gt;0,IFERROR(INDEX(LOG!$D$2:$D$2001,MATCH(F567&amp;"|"&amp;Q567,LOG!$I$2:$I$2001,0)),""),"")</f>
        <v/>
      </c>
      <c r="T567" s="28">
        <f>IF(S567="",0,IFERROR(VLOOKUP(S567,LISTS!$A$2:$E$10,4,FALSE),0))</f>
        <v>0</v>
      </c>
      <c r="U567" s="46">
        <f t="shared" si="90"/>
        <v>0</v>
      </c>
      <c r="V567" s="46" t="str">
        <f>IF(L567=1,H567+SETTINGS!$B$5/24,"")</f>
        <v/>
      </c>
      <c r="W567" s="28" t="str">
        <f>IF(L567=1,(V567-SETTINGS!$B$4)*24,"")</f>
        <v/>
      </c>
      <c r="X567" s="28">
        <f ca="1">IF(AND(L567=1,K567="OK",M567=0,N567=0,O567=0,P567=0,SETTINGS!$B$4&lt;V567,Q567&lt;SETTINGS!$B$6),1,0)</f>
        <v>0</v>
      </c>
      <c r="Y567" s="28">
        <f ca="1">IF(AND(X567=1,SETTINGS!$B$4&gt;=H567,SETTINGS!$B$4&gt;=U567,ROUND(MOD(SETTINGS!$B$4,1)*1440,0)&gt;=ROUND(SETTINGS!$B$7*1440,0),ROUND(MOD(SETTINGS!$B$4,1)*1440,0)&lt;ROUND(SETTINGS!$B$8*1440,0)),1,0)</f>
        <v>0</v>
      </c>
      <c r="Z567" s="28" t="str">
        <f>IF(B567="","",IF(ROUND(MOD(SETTINGS!$B$4,1)*1440,0)&lt;ROUND(SETTINGS!$B$11*1440,0),"Ram",IF(ROUND(MOD(SETTINGS!$B$4,1)*1440,0)&gt;=ROUND(SETTINGS!$B$10*1440,0),"Shyam",IF(MOD(IFERROR(VALUE(RIGHT(F567,2)),0),2)=0,"Ram","Shyam"))))</f>
        <v/>
      </c>
      <c r="AA567" s="28">
        <f t="shared" ca="1" si="91"/>
        <v>0</v>
      </c>
      <c r="AB567" s="28">
        <f ca="1">IF(X567=1,COUNTIFS($F$2:F567,F567,$X$2:X567,1),0)</f>
        <v>0</v>
      </c>
      <c r="AC567" s="28" t="str">
        <f>IF(L567=1,IF(IFERROR(INDEX(PARTNERS!$C$2:$C$88,MATCH(B567,PARTNERS!$A$2:$A$88,0)),"")="YES","YES","NO"),"")</f>
        <v/>
      </c>
      <c r="AD567" s="28" t="str">
        <f>IF(L567=1,IFERROR(INDEX(PARTNERS!$B$2:$B$88,MATCH(B567,PARTNERS!$A$2:$A$88,0)),""),"")</f>
        <v/>
      </c>
      <c r="AE567" s="28">
        <f ca="1">IF(X567=1,IFERROR(INDEX(SETTINGS!$B$34:$D$36,MATCH(I567,SETTINGS!$A$34:$A$36,0),MIN(Q567,2)+1),SETTINGS!$B$36),0)</f>
        <v>0</v>
      </c>
      <c r="AF567" s="28">
        <f t="shared" si="92"/>
        <v>0</v>
      </c>
      <c r="AG567" s="28">
        <f ca="1">IF(AND(Y567=1,AB567=1),ROUND(AA567*AE567*IF(AF567&gt;1,SETTINGS!$B$16,1)*IF(W567&lt;=SETTINGS!$B$14,SETTINGS!$B$15,1)*IF(AU567=1,SETTINGS!$B$21,1),6),0)</f>
        <v>0</v>
      </c>
      <c r="AH567" s="28" t="str">
        <f ca="1">IF(AG567&gt;0,COUNTIFS($Z$2:$Z$601,Z567,$AG$2:$AG$601,"&gt;"&amp;AG567)+COUNTIFS($Z$2:Z567,Z567,$AG$2:AG567,AG567),"")</f>
        <v/>
      </c>
      <c r="AI567" s="28" t="str">
        <f t="shared" ca="1" si="93"/>
        <v/>
      </c>
      <c r="AJ567" s="28" t="str">
        <f t="shared" ca="1" si="94"/>
        <v/>
      </c>
      <c r="AK567" s="28">
        <f>IF(L567=1,IF(COUNTIFS($F$2:F567,F567,$L$2:L567,1)=1,1,0),0)</f>
        <v>0</v>
      </c>
      <c r="AL567" s="28" t="str">
        <f>IF(B567="","",IF(K567="DUPLICATE","Duplicate (removed)",IF(AO567=1,"Scheduled within 24h",IF(M567=1,"Scheduled late",IF(K567="BAD CONTACT","Bad contact details",IF(O567=1,"Stopped / wrong number",IF(N567=1,"Not interested",IF(P567=1,"Partner has no slots",IF(SETTINGS!$B$4&gt;=V567,IF(Q567=0,"Missed deadline: never tried","Missed deadline: tried, not booked"),IF(Q567&gt;=SETTINGS!$B$6,"No reply after max tries","Open"))))))))))</f>
        <v/>
      </c>
      <c r="AM567" s="46" t="str">
        <f>IF(M567=1,IF(_xlfn.MINIFS(LOG!$G$2:$G$2001,LOG!$C$2:$C$2001,F567,LOG!$E$2:$E$2001,B567,LOG!$D$2:$D$2001,"*BOOKED")=0,_xlfn.MINIFS(LOG!$G$2:$G$2001,LOG!$C$2:$C$2001,F567,LOG!$E$2:$E$2001,"",LOG!$D$2:$D$2001,"*BOOKED"),IF(_xlfn.MINIFS(LOG!$G$2:$G$2001,LOG!$C$2:$C$2001,F567,LOG!$E$2:$E$2001,"",LOG!$D$2:$D$2001,"*BOOKED")=0,_xlfn.MINIFS(LOG!$G$2:$G$2001,LOG!$C$2:$C$2001,F567,LOG!$E$2:$E$2001,B567,LOG!$D$2:$D$2001,"*BOOKED"),MIN(_xlfn.MINIFS(LOG!$G$2:$G$2001,LOG!$C$2:$C$2001,F567,LOG!$E$2:$E$2001,B567,LOG!$D$2:$D$2001,"*BOOKED"),_xlfn.MINIFS(LOG!$G$2:$G$2001,LOG!$C$2:$C$2001,F567,LOG!$E$2:$E$2001,"",LOG!$D$2:$D$2001,"*BOOKED")))),"")</f>
        <v/>
      </c>
      <c r="AN567" s="28" t="str">
        <f t="shared" si="95"/>
        <v/>
      </c>
      <c r="AO567" s="28">
        <f>IF(AND(M567=1,AN567&lt;&gt;""),IF(AN567&lt;=SETTINGS!$B$5,1,0),0)</f>
        <v>0</v>
      </c>
      <c r="AP567" s="28">
        <f>IF(M567=1,IF(COUNTIFS(LOG!$C$2:$C$2001,F567,LOG!$E$2:$E$2001,B567,LOG!$D$2:$D$2001,"BOOKED")+COUNTIFS(LOG!$C$2:$C$2001,F567,LOG!$E$2:$E$2001,"",LOG!$D$2:$D$2001,"BOOKED")&gt;0,1,0),0)</f>
        <v>0</v>
      </c>
      <c r="AQ567" s="28" t="str">
        <f t="shared" si="96"/>
        <v/>
      </c>
      <c r="AR567" s="28" t="str">
        <f>IF(AND(AK567=1,K567="OK"),COUNTIFS($AK$2:AK567,1,$K$2:K567,"OK"),"")</f>
        <v/>
      </c>
      <c r="AS567" s="28" t="str">
        <f>IF(L567=1,IFERROR(INDEX(MESSAGES!$J$9:$J$1008,MATCH(F567,MESSAGES!$M$9:$M$1008,0))&amp;"",""),"")</f>
        <v/>
      </c>
      <c r="AT567" s="28" t="str">
        <f>IF(L567=1,IFERROR(INDEX(MESSAGES!$K$9:$K$1008,MATCH(F567,MESSAGES!$M$9:$M$1008,0))&amp;"",""),"")</f>
        <v/>
      </c>
      <c r="AU567" s="28">
        <f t="shared" ca="1" si="97"/>
        <v>0</v>
      </c>
      <c r="AV567" s="28" t="str">
        <f t="shared" si="98"/>
        <v/>
      </c>
    </row>
    <row r="568" spans="1:48" x14ac:dyDescent="0.35">
      <c r="A568" s="28">
        <v>567</v>
      </c>
      <c r="B568" s="28" t="str">
        <f>IF(INPUT!A568="","",TRIM(INPUT!A568))</f>
        <v/>
      </c>
      <c r="C568" s="28" t="str">
        <f>IF(B568="","",INPUT!C568)</f>
        <v/>
      </c>
      <c r="D568" s="28" t="str">
        <f>IF(B568="","",INPUT!D568)</f>
        <v/>
      </c>
      <c r="E568" s="28" t="str">
        <f>IF(B568="","",INPUT!E568)</f>
        <v/>
      </c>
      <c r="F568" s="43" t="str">
        <f>IF(B568="","",TRIM(INPUT!F568&amp;""))</f>
        <v/>
      </c>
      <c r="G568" s="28" t="str">
        <f>IF(B568="","",INPUT!H568)</f>
        <v/>
      </c>
      <c r="H568" s="46" t="str">
        <f>IF(B568="","",INPUT!I568)</f>
        <v/>
      </c>
      <c r="I568" s="28" t="str">
        <f>IF(B568="","",IF(INPUT!J568="","None",INPUT!J568))</f>
        <v/>
      </c>
      <c r="J568" s="28" t="str">
        <f t="shared" si="88"/>
        <v/>
      </c>
      <c r="K568" s="28" t="str">
        <f>IF(B568="","",IF(SUMPRODUCT(($J$2:$J$601=J568)*($H$2:$H$601&lt;H568))+SUMPRODUCT(($J$2:J568=J568)*($H$2:H568=H568))-1&gt;0,"DUPLICATE",IF(AND(ISNUMBER(SEARCH("@",E568)),ISNUMBER(SEARCH(".",E568)),LEN(F568)=10,ISNUMBER(VALUE(F568))),"OK","BAD CONTACT")))</f>
        <v/>
      </c>
      <c r="L568" s="28">
        <f t="shared" si="89"/>
        <v>0</v>
      </c>
      <c r="M568" s="28">
        <f>IF(L568=1,IF(COUNTIFS(LOG!$C$2:$C$2001,F568,LOG!$E$2:$E$2001,B568,LOG!$D$2:$D$2001,"*BOOKED")+COUNTIFS(LOG!$C$2:$C$2001,F568,LOG!$E$2:$E$2001,"",LOG!$D$2:$D$2001,"*BOOKED")&gt;0,1,0),0)</f>
        <v>0</v>
      </c>
      <c r="N568" s="28">
        <f>IF(L568=1,IF(COUNTIFS(LOG!$C$2:$C$2001,F568,LOG!$E$2:$E$2001,B568,LOG!$D$2:$D$2001,"NOT_INTERESTED")+COUNTIFS(LOG!$C$2:$C$2001,F568,LOG!$E$2:$E$2001,"",LOG!$D$2:$D$2001,"NOT_INTERESTED")&gt;0,1,0),0)</f>
        <v>0</v>
      </c>
      <c r="O568" s="28">
        <f>IF(L568=1,IF(COUNTIFS(LOG!$C$2:$C$2001,F568,LOG!$D$2:$D$2001,"STOP")+COUNTIFS(LOG!$C$2:$C$2001,F568,LOG!$D$2:$D$2001,"WRONG_NUMBER")&gt;0,1,IF(ISNUMBER(SEARCH("STOP",AT568)),1,0)),0)</f>
        <v>0</v>
      </c>
      <c r="P568" s="28">
        <f>IF(L568=1,IF(IFERROR(INDEX(PARTNERS!$D$2:$D$88,MATCH(B568,PARTNERS!$A$2:$A$88,0)),"")="NO SLOTS",1,IF(AND(IFERROR(INDEX(PARTNERS!$D$2:$D$88,MATCH(B568,PARTNERS!$A$2:$A$88,0)),"")&lt;&gt;"REOPENED",COUNTIFS(LOG!$E$2:$E$2001,B568,LOG!$D$2:$D$2001,"NO_SLOTS")&gt;0),1,0)),0)</f>
        <v>0</v>
      </c>
      <c r="Q568" s="28">
        <f>IF(L568=1,COUNTIFS(LOG!$C$2:$C$2001,F568,LOG!$H$2:$H$2001,1),0)</f>
        <v>0</v>
      </c>
      <c r="R568" s="46">
        <f>IF(Q568&gt;0,_xlfn.MAXIFS(LOG!$G$2:$G$2001,LOG!$C$2:$C$2001,F568,LOG!$H$2:$H$2001,1),0)</f>
        <v>0</v>
      </c>
      <c r="S568" s="28" t="str">
        <f>IF(Q568&gt;0,IFERROR(INDEX(LOG!$D$2:$D$2001,MATCH(F568&amp;"|"&amp;Q568,LOG!$I$2:$I$2001,0)),""),"")</f>
        <v/>
      </c>
      <c r="T568" s="28">
        <f>IF(S568="",0,IFERROR(VLOOKUP(S568,LISTS!$A$2:$E$10,4,FALSE),0))</f>
        <v>0</v>
      </c>
      <c r="U568" s="46">
        <f t="shared" si="90"/>
        <v>0</v>
      </c>
      <c r="V568" s="46" t="str">
        <f>IF(L568=1,H568+SETTINGS!$B$5/24,"")</f>
        <v/>
      </c>
      <c r="W568" s="28" t="str">
        <f>IF(L568=1,(V568-SETTINGS!$B$4)*24,"")</f>
        <v/>
      </c>
      <c r="X568" s="28">
        <f ca="1">IF(AND(L568=1,K568="OK",M568=0,N568=0,O568=0,P568=0,SETTINGS!$B$4&lt;V568,Q568&lt;SETTINGS!$B$6),1,0)</f>
        <v>0</v>
      </c>
      <c r="Y568" s="28">
        <f ca="1">IF(AND(X568=1,SETTINGS!$B$4&gt;=H568,SETTINGS!$B$4&gt;=U568,ROUND(MOD(SETTINGS!$B$4,1)*1440,0)&gt;=ROUND(SETTINGS!$B$7*1440,0),ROUND(MOD(SETTINGS!$B$4,1)*1440,0)&lt;ROUND(SETTINGS!$B$8*1440,0)),1,0)</f>
        <v>0</v>
      </c>
      <c r="Z568" s="28" t="str">
        <f>IF(B568="","",IF(ROUND(MOD(SETTINGS!$B$4,1)*1440,0)&lt;ROUND(SETTINGS!$B$11*1440,0),"Ram",IF(ROUND(MOD(SETTINGS!$B$4,1)*1440,0)&gt;=ROUND(SETTINGS!$B$10*1440,0),"Shyam",IF(MOD(IFERROR(VALUE(RIGHT(F568,2)),0),2)=0,"Ram","Shyam"))))</f>
        <v/>
      </c>
      <c r="AA568" s="28">
        <f t="shared" ca="1" si="91"/>
        <v>0</v>
      </c>
      <c r="AB568" s="28">
        <f ca="1">IF(X568=1,COUNTIFS($F$2:F568,F568,$X$2:X568,1),0)</f>
        <v>0</v>
      </c>
      <c r="AC568" s="28" t="str">
        <f>IF(L568=1,IF(IFERROR(INDEX(PARTNERS!$C$2:$C$88,MATCH(B568,PARTNERS!$A$2:$A$88,0)),"")="YES","YES","NO"),"")</f>
        <v/>
      </c>
      <c r="AD568" s="28" t="str">
        <f>IF(L568=1,IFERROR(INDEX(PARTNERS!$B$2:$B$88,MATCH(B568,PARTNERS!$A$2:$A$88,0)),""),"")</f>
        <v/>
      </c>
      <c r="AE568" s="28">
        <f ca="1">IF(X568=1,IFERROR(INDEX(SETTINGS!$B$34:$D$36,MATCH(I568,SETTINGS!$A$34:$A$36,0),MIN(Q568,2)+1),SETTINGS!$B$36),0)</f>
        <v>0</v>
      </c>
      <c r="AF568" s="28">
        <f t="shared" si="92"/>
        <v>0</v>
      </c>
      <c r="AG568" s="28">
        <f ca="1">IF(AND(Y568=1,AB568=1),ROUND(AA568*AE568*IF(AF568&gt;1,SETTINGS!$B$16,1)*IF(W568&lt;=SETTINGS!$B$14,SETTINGS!$B$15,1)*IF(AU568=1,SETTINGS!$B$21,1),6),0)</f>
        <v>0</v>
      </c>
      <c r="AH568" s="28" t="str">
        <f ca="1">IF(AG568&gt;0,COUNTIFS($Z$2:$Z$601,Z568,$AG$2:$AG$601,"&gt;"&amp;AG568)+COUNTIFS($Z$2:Z568,Z568,$AG$2:AG568,AG568),"")</f>
        <v/>
      </c>
      <c r="AI568" s="28" t="str">
        <f t="shared" ca="1" si="93"/>
        <v/>
      </c>
      <c r="AJ568" s="28" t="str">
        <f t="shared" ca="1" si="94"/>
        <v/>
      </c>
      <c r="AK568" s="28">
        <f>IF(L568=1,IF(COUNTIFS($F$2:F568,F568,$L$2:L568,1)=1,1,0),0)</f>
        <v>0</v>
      </c>
      <c r="AL568" s="28" t="str">
        <f>IF(B568="","",IF(K568="DUPLICATE","Duplicate (removed)",IF(AO568=1,"Scheduled within 24h",IF(M568=1,"Scheduled late",IF(K568="BAD CONTACT","Bad contact details",IF(O568=1,"Stopped / wrong number",IF(N568=1,"Not interested",IF(P568=1,"Partner has no slots",IF(SETTINGS!$B$4&gt;=V568,IF(Q568=0,"Missed deadline: never tried","Missed deadline: tried, not booked"),IF(Q568&gt;=SETTINGS!$B$6,"No reply after max tries","Open"))))))))))</f>
        <v/>
      </c>
      <c r="AM568" s="46" t="str">
        <f>IF(M568=1,IF(_xlfn.MINIFS(LOG!$G$2:$G$2001,LOG!$C$2:$C$2001,F568,LOG!$E$2:$E$2001,B568,LOG!$D$2:$D$2001,"*BOOKED")=0,_xlfn.MINIFS(LOG!$G$2:$G$2001,LOG!$C$2:$C$2001,F568,LOG!$E$2:$E$2001,"",LOG!$D$2:$D$2001,"*BOOKED"),IF(_xlfn.MINIFS(LOG!$G$2:$G$2001,LOG!$C$2:$C$2001,F568,LOG!$E$2:$E$2001,"",LOG!$D$2:$D$2001,"*BOOKED")=0,_xlfn.MINIFS(LOG!$G$2:$G$2001,LOG!$C$2:$C$2001,F568,LOG!$E$2:$E$2001,B568,LOG!$D$2:$D$2001,"*BOOKED"),MIN(_xlfn.MINIFS(LOG!$G$2:$G$2001,LOG!$C$2:$C$2001,F568,LOG!$E$2:$E$2001,B568,LOG!$D$2:$D$2001,"*BOOKED"),_xlfn.MINIFS(LOG!$G$2:$G$2001,LOG!$C$2:$C$2001,F568,LOG!$E$2:$E$2001,"",LOG!$D$2:$D$2001,"*BOOKED")))),"")</f>
        <v/>
      </c>
      <c r="AN568" s="28" t="str">
        <f t="shared" si="95"/>
        <v/>
      </c>
      <c r="AO568" s="28">
        <f>IF(AND(M568=1,AN568&lt;&gt;""),IF(AN568&lt;=SETTINGS!$B$5,1,0),0)</f>
        <v>0</v>
      </c>
      <c r="AP568" s="28">
        <f>IF(M568=1,IF(COUNTIFS(LOG!$C$2:$C$2001,F568,LOG!$E$2:$E$2001,B568,LOG!$D$2:$D$2001,"BOOKED")+COUNTIFS(LOG!$C$2:$C$2001,F568,LOG!$E$2:$E$2001,"",LOG!$D$2:$D$2001,"BOOKED")&gt;0,1,0),0)</f>
        <v>0</v>
      </c>
      <c r="AQ568" s="28" t="str">
        <f t="shared" si="96"/>
        <v/>
      </c>
      <c r="AR568" s="28" t="str">
        <f>IF(AND(AK568=1,K568="OK"),COUNTIFS($AK$2:AK568,1,$K$2:K568,"OK"),"")</f>
        <v/>
      </c>
      <c r="AS568" s="28" t="str">
        <f>IF(L568=1,IFERROR(INDEX(MESSAGES!$J$9:$J$1008,MATCH(F568,MESSAGES!$M$9:$M$1008,0))&amp;"",""),"")</f>
        <v/>
      </c>
      <c r="AT568" s="28" t="str">
        <f>IF(L568=1,IFERROR(INDEX(MESSAGES!$K$9:$K$1008,MATCH(F568,MESSAGES!$M$9:$M$1008,0))&amp;"",""),"")</f>
        <v/>
      </c>
      <c r="AU568" s="28">
        <f t="shared" ca="1" si="97"/>
        <v>0</v>
      </c>
      <c r="AV568" s="28" t="str">
        <f t="shared" si="98"/>
        <v/>
      </c>
    </row>
    <row r="569" spans="1:48" x14ac:dyDescent="0.35">
      <c r="A569" s="28">
        <v>568</v>
      </c>
      <c r="B569" s="28" t="str">
        <f>IF(INPUT!A569="","",TRIM(INPUT!A569))</f>
        <v/>
      </c>
      <c r="C569" s="28" t="str">
        <f>IF(B569="","",INPUT!C569)</f>
        <v/>
      </c>
      <c r="D569" s="28" t="str">
        <f>IF(B569="","",INPUT!D569)</f>
        <v/>
      </c>
      <c r="E569" s="28" t="str">
        <f>IF(B569="","",INPUT!E569)</f>
        <v/>
      </c>
      <c r="F569" s="43" t="str">
        <f>IF(B569="","",TRIM(INPUT!F569&amp;""))</f>
        <v/>
      </c>
      <c r="G569" s="28" t="str">
        <f>IF(B569="","",INPUT!H569)</f>
        <v/>
      </c>
      <c r="H569" s="46" t="str">
        <f>IF(B569="","",INPUT!I569)</f>
        <v/>
      </c>
      <c r="I569" s="28" t="str">
        <f>IF(B569="","",IF(INPUT!J569="","None",INPUT!J569))</f>
        <v/>
      </c>
      <c r="J569" s="28" t="str">
        <f t="shared" si="88"/>
        <v/>
      </c>
      <c r="K569" s="28" t="str">
        <f>IF(B569="","",IF(SUMPRODUCT(($J$2:$J$601=J569)*($H$2:$H$601&lt;H569))+SUMPRODUCT(($J$2:J569=J569)*($H$2:H569=H569))-1&gt;0,"DUPLICATE",IF(AND(ISNUMBER(SEARCH("@",E569)),ISNUMBER(SEARCH(".",E569)),LEN(F569)=10,ISNUMBER(VALUE(F569))),"OK","BAD CONTACT")))</f>
        <v/>
      </c>
      <c r="L569" s="28">
        <f t="shared" si="89"/>
        <v>0</v>
      </c>
      <c r="M569" s="28">
        <f>IF(L569=1,IF(COUNTIFS(LOG!$C$2:$C$2001,F569,LOG!$E$2:$E$2001,B569,LOG!$D$2:$D$2001,"*BOOKED")+COUNTIFS(LOG!$C$2:$C$2001,F569,LOG!$E$2:$E$2001,"",LOG!$D$2:$D$2001,"*BOOKED")&gt;0,1,0),0)</f>
        <v>0</v>
      </c>
      <c r="N569" s="28">
        <f>IF(L569=1,IF(COUNTIFS(LOG!$C$2:$C$2001,F569,LOG!$E$2:$E$2001,B569,LOG!$D$2:$D$2001,"NOT_INTERESTED")+COUNTIFS(LOG!$C$2:$C$2001,F569,LOG!$E$2:$E$2001,"",LOG!$D$2:$D$2001,"NOT_INTERESTED")&gt;0,1,0),0)</f>
        <v>0</v>
      </c>
      <c r="O569" s="28">
        <f>IF(L569=1,IF(COUNTIFS(LOG!$C$2:$C$2001,F569,LOG!$D$2:$D$2001,"STOP")+COUNTIFS(LOG!$C$2:$C$2001,F569,LOG!$D$2:$D$2001,"WRONG_NUMBER")&gt;0,1,IF(ISNUMBER(SEARCH("STOP",AT569)),1,0)),0)</f>
        <v>0</v>
      </c>
      <c r="P569" s="28">
        <f>IF(L569=1,IF(IFERROR(INDEX(PARTNERS!$D$2:$D$88,MATCH(B569,PARTNERS!$A$2:$A$88,0)),"")="NO SLOTS",1,IF(AND(IFERROR(INDEX(PARTNERS!$D$2:$D$88,MATCH(B569,PARTNERS!$A$2:$A$88,0)),"")&lt;&gt;"REOPENED",COUNTIFS(LOG!$E$2:$E$2001,B569,LOG!$D$2:$D$2001,"NO_SLOTS")&gt;0),1,0)),0)</f>
        <v>0</v>
      </c>
      <c r="Q569" s="28">
        <f>IF(L569=1,COUNTIFS(LOG!$C$2:$C$2001,F569,LOG!$H$2:$H$2001,1),0)</f>
        <v>0</v>
      </c>
      <c r="R569" s="46">
        <f>IF(Q569&gt;0,_xlfn.MAXIFS(LOG!$G$2:$G$2001,LOG!$C$2:$C$2001,F569,LOG!$H$2:$H$2001,1),0)</f>
        <v>0</v>
      </c>
      <c r="S569" s="28" t="str">
        <f>IF(Q569&gt;0,IFERROR(INDEX(LOG!$D$2:$D$2001,MATCH(F569&amp;"|"&amp;Q569,LOG!$I$2:$I$2001,0)),""),"")</f>
        <v/>
      </c>
      <c r="T569" s="28">
        <f>IF(S569="",0,IFERROR(VLOOKUP(S569,LISTS!$A$2:$E$10,4,FALSE),0))</f>
        <v>0</v>
      </c>
      <c r="U569" s="46">
        <f t="shared" si="90"/>
        <v>0</v>
      </c>
      <c r="V569" s="46" t="str">
        <f>IF(L569=1,H569+SETTINGS!$B$5/24,"")</f>
        <v/>
      </c>
      <c r="W569" s="28" t="str">
        <f>IF(L569=1,(V569-SETTINGS!$B$4)*24,"")</f>
        <v/>
      </c>
      <c r="X569" s="28">
        <f ca="1">IF(AND(L569=1,K569="OK",M569=0,N569=0,O569=0,P569=0,SETTINGS!$B$4&lt;V569,Q569&lt;SETTINGS!$B$6),1,0)</f>
        <v>0</v>
      </c>
      <c r="Y569" s="28">
        <f ca="1">IF(AND(X569=1,SETTINGS!$B$4&gt;=H569,SETTINGS!$B$4&gt;=U569,ROUND(MOD(SETTINGS!$B$4,1)*1440,0)&gt;=ROUND(SETTINGS!$B$7*1440,0),ROUND(MOD(SETTINGS!$B$4,1)*1440,0)&lt;ROUND(SETTINGS!$B$8*1440,0)),1,0)</f>
        <v>0</v>
      </c>
      <c r="Z569" s="28" t="str">
        <f>IF(B569="","",IF(ROUND(MOD(SETTINGS!$B$4,1)*1440,0)&lt;ROUND(SETTINGS!$B$11*1440,0),"Ram",IF(ROUND(MOD(SETTINGS!$B$4,1)*1440,0)&gt;=ROUND(SETTINGS!$B$10*1440,0),"Shyam",IF(MOD(IFERROR(VALUE(RIGHT(F569,2)),0),2)=0,"Ram","Shyam"))))</f>
        <v/>
      </c>
      <c r="AA569" s="28">
        <f t="shared" ca="1" si="91"/>
        <v>0</v>
      </c>
      <c r="AB569" s="28">
        <f ca="1">IF(X569=1,COUNTIFS($F$2:F569,F569,$X$2:X569,1),0)</f>
        <v>0</v>
      </c>
      <c r="AC569" s="28" t="str">
        <f>IF(L569=1,IF(IFERROR(INDEX(PARTNERS!$C$2:$C$88,MATCH(B569,PARTNERS!$A$2:$A$88,0)),"")="YES","YES","NO"),"")</f>
        <v/>
      </c>
      <c r="AD569" s="28" t="str">
        <f>IF(L569=1,IFERROR(INDEX(PARTNERS!$B$2:$B$88,MATCH(B569,PARTNERS!$A$2:$A$88,0)),""),"")</f>
        <v/>
      </c>
      <c r="AE569" s="28">
        <f ca="1">IF(X569=1,IFERROR(INDEX(SETTINGS!$B$34:$D$36,MATCH(I569,SETTINGS!$A$34:$A$36,0),MIN(Q569,2)+1),SETTINGS!$B$36),0)</f>
        <v>0</v>
      </c>
      <c r="AF569" s="28">
        <f t="shared" si="92"/>
        <v>0</v>
      </c>
      <c r="AG569" s="28">
        <f ca="1">IF(AND(Y569=1,AB569=1),ROUND(AA569*AE569*IF(AF569&gt;1,SETTINGS!$B$16,1)*IF(W569&lt;=SETTINGS!$B$14,SETTINGS!$B$15,1)*IF(AU569=1,SETTINGS!$B$21,1),6),0)</f>
        <v>0</v>
      </c>
      <c r="AH569" s="28" t="str">
        <f ca="1">IF(AG569&gt;0,COUNTIFS($Z$2:$Z$601,Z569,$AG$2:$AG$601,"&gt;"&amp;AG569)+COUNTIFS($Z$2:Z569,Z569,$AG$2:AG569,AG569),"")</f>
        <v/>
      </c>
      <c r="AI569" s="28" t="str">
        <f t="shared" ca="1" si="93"/>
        <v/>
      </c>
      <c r="AJ569" s="28" t="str">
        <f t="shared" ca="1" si="94"/>
        <v/>
      </c>
      <c r="AK569" s="28">
        <f>IF(L569=1,IF(COUNTIFS($F$2:F569,F569,$L$2:L569,1)=1,1,0),0)</f>
        <v>0</v>
      </c>
      <c r="AL569" s="28" t="str">
        <f>IF(B569="","",IF(K569="DUPLICATE","Duplicate (removed)",IF(AO569=1,"Scheduled within 24h",IF(M569=1,"Scheduled late",IF(K569="BAD CONTACT","Bad contact details",IF(O569=1,"Stopped / wrong number",IF(N569=1,"Not interested",IF(P569=1,"Partner has no slots",IF(SETTINGS!$B$4&gt;=V569,IF(Q569=0,"Missed deadline: never tried","Missed deadline: tried, not booked"),IF(Q569&gt;=SETTINGS!$B$6,"No reply after max tries","Open"))))))))))</f>
        <v/>
      </c>
      <c r="AM569" s="46" t="str">
        <f>IF(M569=1,IF(_xlfn.MINIFS(LOG!$G$2:$G$2001,LOG!$C$2:$C$2001,F569,LOG!$E$2:$E$2001,B569,LOG!$D$2:$D$2001,"*BOOKED")=0,_xlfn.MINIFS(LOG!$G$2:$G$2001,LOG!$C$2:$C$2001,F569,LOG!$E$2:$E$2001,"",LOG!$D$2:$D$2001,"*BOOKED"),IF(_xlfn.MINIFS(LOG!$G$2:$G$2001,LOG!$C$2:$C$2001,F569,LOG!$E$2:$E$2001,"",LOG!$D$2:$D$2001,"*BOOKED")=0,_xlfn.MINIFS(LOG!$G$2:$G$2001,LOG!$C$2:$C$2001,F569,LOG!$E$2:$E$2001,B569,LOG!$D$2:$D$2001,"*BOOKED"),MIN(_xlfn.MINIFS(LOG!$G$2:$G$2001,LOG!$C$2:$C$2001,F569,LOG!$E$2:$E$2001,B569,LOG!$D$2:$D$2001,"*BOOKED"),_xlfn.MINIFS(LOG!$G$2:$G$2001,LOG!$C$2:$C$2001,F569,LOG!$E$2:$E$2001,"",LOG!$D$2:$D$2001,"*BOOKED")))),"")</f>
        <v/>
      </c>
      <c r="AN569" s="28" t="str">
        <f t="shared" si="95"/>
        <v/>
      </c>
      <c r="AO569" s="28">
        <f>IF(AND(M569=1,AN569&lt;&gt;""),IF(AN569&lt;=SETTINGS!$B$5,1,0),0)</f>
        <v>0</v>
      </c>
      <c r="AP569" s="28">
        <f>IF(M569=1,IF(COUNTIFS(LOG!$C$2:$C$2001,F569,LOG!$E$2:$E$2001,B569,LOG!$D$2:$D$2001,"BOOKED")+COUNTIFS(LOG!$C$2:$C$2001,F569,LOG!$E$2:$E$2001,"",LOG!$D$2:$D$2001,"BOOKED")&gt;0,1,0),0)</f>
        <v>0</v>
      </c>
      <c r="AQ569" s="28" t="str">
        <f t="shared" si="96"/>
        <v/>
      </c>
      <c r="AR569" s="28" t="str">
        <f>IF(AND(AK569=1,K569="OK"),COUNTIFS($AK$2:AK569,1,$K$2:K569,"OK"),"")</f>
        <v/>
      </c>
      <c r="AS569" s="28" t="str">
        <f>IF(L569=1,IFERROR(INDEX(MESSAGES!$J$9:$J$1008,MATCH(F569,MESSAGES!$M$9:$M$1008,0))&amp;"",""),"")</f>
        <v/>
      </c>
      <c r="AT569" s="28" t="str">
        <f>IF(L569=1,IFERROR(INDEX(MESSAGES!$K$9:$K$1008,MATCH(F569,MESSAGES!$M$9:$M$1008,0))&amp;"",""),"")</f>
        <v/>
      </c>
      <c r="AU569" s="28">
        <f t="shared" ca="1" si="97"/>
        <v>0</v>
      </c>
      <c r="AV569" s="28" t="str">
        <f t="shared" si="98"/>
        <v/>
      </c>
    </row>
    <row r="570" spans="1:48" x14ac:dyDescent="0.35">
      <c r="A570" s="28">
        <v>569</v>
      </c>
      <c r="B570" s="28" t="str">
        <f>IF(INPUT!A570="","",TRIM(INPUT!A570))</f>
        <v/>
      </c>
      <c r="C570" s="28" t="str">
        <f>IF(B570="","",INPUT!C570)</f>
        <v/>
      </c>
      <c r="D570" s="28" t="str">
        <f>IF(B570="","",INPUT!D570)</f>
        <v/>
      </c>
      <c r="E570" s="28" t="str">
        <f>IF(B570="","",INPUT!E570)</f>
        <v/>
      </c>
      <c r="F570" s="43" t="str">
        <f>IF(B570="","",TRIM(INPUT!F570&amp;""))</f>
        <v/>
      </c>
      <c r="G570" s="28" t="str">
        <f>IF(B570="","",INPUT!H570)</f>
        <v/>
      </c>
      <c r="H570" s="46" t="str">
        <f>IF(B570="","",INPUT!I570)</f>
        <v/>
      </c>
      <c r="I570" s="28" t="str">
        <f>IF(B570="","",IF(INPUT!J570="","None",INPUT!J570))</f>
        <v/>
      </c>
      <c r="J570" s="28" t="str">
        <f t="shared" si="88"/>
        <v/>
      </c>
      <c r="K570" s="28" t="str">
        <f>IF(B570="","",IF(SUMPRODUCT(($J$2:$J$601=J570)*($H$2:$H$601&lt;H570))+SUMPRODUCT(($J$2:J570=J570)*($H$2:H570=H570))-1&gt;0,"DUPLICATE",IF(AND(ISNUMBER(SEARCH("@",E570)),ISNUMBER(SEARCH(".",E570)),LEN(F570)=10,ISNUMBER(VALUE(F570))),"OK","BAD CONTACT")))</f>
        <v/>
      </c>
      <c r="L570" s="28">
        <f t="shared" si="89"/>
        <v>0</v>
      </c>
      <c r="M570" s="28">
        <f>IF(L570=1,IF(COUNTIFS(LOG!$C$2:$C$2001,F570,LOG!$E$2:$E$2001,B570,LOG!$D$2:$D$2001,"*BOOKED")+COUNTIFS(LOG!$C$2:$C$2001,F570,LOG!$E$2:$E$2001,"",LOG!$D$2:$D$2001,"*BOOKED")&gt;0,1,0),0)</f>
        <v>0</v>
      </c>
      <c r="N570" s="28">
        <f>IF(L570=1,IF(COUNTIFS(LOG!$C$2:$C$2001,F570,LOG!$E$2:$E$2001,B570,LOG!$D$2:$D$2001,"NOT_INTERESTED")+COUNTIFS(LOG!$C$2:$C$2001,F570,LOG!$E$2:$E$2001,"",LOG!$D$2:$D$2001,"NOT_INTERESTED")&gt;0,1,0),0)</f>
        <v>0</v>
      </c>
      <c r="O570" s="28">
        <f>IF(L570=1,IF(COUNTIFS(LOG!$C$2:$C$2001,F570,LOG!$D$2:$D$2001,"STOP")+COUNTIFS(LOG!$C$2:$C$2001,F570,LOG!$D$2:$D$2001,"WRONG_NUMBER")&gt;0,1,IF(ISNUMBER(SEARCH("STOP",AT570)),1,0)),0)</f>
        <v>0</v>
      </c>
      <c r="P570" s="28">
        <f>IF(L570=1,IF(IFERROR(INDEX(PARTNERS!$D$2:$D$88,MATCH(B570,PARTNERS!$A$2:$A$88,0)),"")="NO SLOTS",1,IF(AND(IFERROR(INDEX(PARTNERS!$D$2:$D$88,MATCH(B570,PARTNERS!$A$2:$A$88,0)),"")&lt;&gt;"REOPENED",COUNTIFS(LOG!$E$2:$E$2001,B570,LOG!$D$2:$D$2001,"NO_SLOTS")&gt;0),1,0)),0)</f>
        <v>0</v>
      </c>
      <c r="Q570" s="28">
        <f>IF(L570=1,COUNTIFS(LOG!$C$2:$C$2001,F570,LOG!$H$2:$H$2001,1),0)</f>
        <v>0</v>
      </c>
      <c r="R570" s="46">
        <f>IF(Q570&gt;0,_xlfn.MAXIFS(LOG!$G$2:$G$2001,LOG!$C$2:$C$2001,F570,LOG!$H$2:$H$2001,1),0)</f>
        <v>0</v>
      </c>
      <c r="S570" s="28" t="str">
        <f>IF(Q570&gt;0,IFERROR(INDEX(LOG!$D$2:$D$2001,MATCH(F570&amp;"|"&amp;Q570,LOG!$I$2:$I$2001,0)),""),"")</f>
        <v/>
      </c>
      <c r="T570" s="28">
        <f>IF(S570="",0,IFERROR(VLOOKUP(S570,LISTS!$A$2:$E$10,4,FALSE),0))</f>
        <v>0</v>
      </c>
      <c r="U570" s="46">
        <f t="shared" si="90"/>
        <v>0</v>
      </c>
      <c r="V570" s="46" t="str">
        <f>IF(L570=1,H570+SETTINGS!$B$5/24,"")</f>
        <v/>
      </c>
      <c r="W570" s="28" t="str">
        <f>IF(L570=1,(V570-SETTINGS!$B$4)*24,"")</f>
        <v/>
      </c>
      <c r="X570" s="28">
        <f ca="1">IF(AND(L570=1,K570="OK",M570=0,N570=0,O570=0,P570=0,SETTINGS!$B$4&lt;V570,Q570&lt;SETTINGS!$B$6),1,0)</f>
        <v>0</v>
      </c>
      <c r="Y570" s="28">
        <f ca="1">IF(AND(X570=1,SETTINGS!$B$4&gt;=H570,SETTINGS!$B$4&gt;=U570,ROUND(MOD(SETTINGS!$B$4,1)*1440,0)&gt;=ROUND(SETTINGS!$B$7*1440,0),ROUND(MOD(SETTINGS!$B$4,1)*1440,0)&lt;ROUND(SETTINGS!$B$8*1440,0)),1,0)</f>
        <v>0</v>
      </c>
      <c r="Z570" s="28" t="str">
        <f>IF(B570="","",IF(ROUND(MOD(SETTINGS!$B$4,1)*1440,0)&lt;ROUND(SETTINGS!$B$11*1440,0),"Ram",IF(ROUND(MOD(SETTINGS!$B$4,1)*1440,0)&gt;=ROUND(SETTINGS!$B$10*1440,0),"Shyam",IF(MOD(IFERROR(VALUE(RIGHT(F570,2)),0),2)=0,"Ram","Shyam"))))</f>
        <v/>
      </c>
      <c r="AA570" s="28">
        <f t="shared" ca="1" si="91"/>
        <v>0</v>
      </c>
      <c r="AB570" s="28">
        <f ca="1">IF(X570=1,COUNTIFS($F$2:F570,F570,$X$2:X570,1),0)</f>
        <v>0</v>
      </c>
      <c r="AC570" s="28" t="str">
        <f>IF(L570=1,IF(IFERROR(INDEX(PARTNERS!$C$2:$C$88,MATCH(B570,PARTNERS!$A$2:$A$88,0)),"")="YES","YES","NO"),"")</f>
        <v/>
      </c>
      <c r="AD570" s="28" t="str">
        <f>IF(L570=1,IFERROR(INDEX(PARTNERS!$B$2:$B$88,MATCH(B570,PARTNERS!$A$2:$A$88,0)),""),"")</f>
        <v/>
      </c>
      <c r="AE570" s="28">
        <f ca="1">IF(X570=1,IFERROR(INDEX(SETTINGS!$B$34:$D$36,MATCH(I570,SETTINGS!$A$34:$A$36,0),MIN(Q570,2)+1),SETTINGS!$B$36),0)</f>
        <v>0</v>
      </c>
      <c r="AF570" s="28">
        <f t="shared" si="92"/>
        <v>0</v>
      </c>
      <c r="AG570" s="28">
        <f ca="1">IF(AND(Y570=1,AB570=1),ROUND(AA570*AE570*IF(AF570&gt;1,SETTINGS!$B$16,1)*IF(W570&lt;=SETTINGS!$B$14,SETTINGS!$B$15,1)*IF(AU570=1,SETTINGS!$B$21,1),6),0)</f>
        <v>0</v>
      </c>
      <c r="AH570" s="28" t="str">
        <f ca="1">IF(AG570&gt;0,COUNTIFS($Z$2:$Z$601,Z570,$AG$2:$AG$601,"&gt;"&amp;AG570)+COUNTIFS($Z$2:Z570,Z570,$AG$2:AG570,AG570),"")</f>
        <v/>
      </c>
      <c r="AI570" s="28" t="str">
        <f t="shared" ca="1" si="93"/>
        <v/>
      </c>
      <c r="AJ570" s="28" t="str">
        <f t="shared" ca="1" si="94"/>
        <v/>
      </c>
      <c r="AK570" s="28">
        <f>IF(L570=1,IF(COUNTIFS($F$2:F570,F570,$L$2:L570,1)=1,1,0),0)</f>
        <v>0</v>
      </c>
      <c r="AL570" s="28" t="str">
        <f>IF(B570="","",IF(K570="DUPLICATE","Duplicate (removed)",IF(AO570=1,"Scheduled within 24h",IF(M570=1,"Scheduled late",IF(K570="BAD CONTACT","Bad contact details",IF(O570=1,"Stopped / wrong number",IF(N570=1,"Not interested",IF(P570=1,"Partner has no slots",IF(SETTINGS!$B$4&gt;=V570,IF(Q570=0,"Missed deadline: never tried","Missed deadline: tried, not booked"),IF(Q570&gt;=SETTINGS!$B$6,"No reply after max tries","Open"))))))))))</f>
        <v/>
      </c>
      <c r="AM570" s="46" t="str">
        <f>IF(M570=1,IF(_xlfn.MINIFS(LOG!$G$2:$G$2001,LOG!$C$2:$C$2001,F570,LOG!$E$2:$E$2001,B570,LOG!$D$2:$D$2001,"*BOOKED")=0,_xlfn.MINIFS(LOG!$G$2:$G$2001,LOG!$C$2:$C$2001,F570,LOG!$E$2:$E$2001,"",LOG!$D$2:$D$2001,"*BOOKED"),IF(_xlfn.MINIFS(LOG!$G$2:$G$2001,LOG!$C$2:$C$2001,F570,LOG!$E$2:$E$2001,"",LOG!$D$2:$D$2001,"*BOOKED")=0,_xlfn.MINIFS(LOG!$G$2:$G$2001,LOG!$C$2:$C$2001,F570,LOG!$E$2:$E$2001,B570,LOG!$D$2:$D$2001,"*BOOKED"),MIN(_xlfn.MINIFS(LOG!$G$2:$G$2001,LOG!$C$2:$C$2001,F570,LOG!$E$2:$E$2001,B570,LOG!$D$2:$D$2001,"*BOOKED"),_xlfn.MINIFS(LOG!$G$2:$G$2001,LOG!$C$2:$C$2001,F570,LOG!$E$2:$E$2001,"",LOG!$D$2:$D$2001,"*BOOKED")))),"")</f>
        <v/>
      </c>
      <c r="AN570" s="28" t="str">
        <f t="shared" si="95"/>
        <v/>
      </c>
      <c r="AO570" s="28">
        <f>IF(AND(M570=1,AN570&lt;&gt;""),IF(AN570&lt;=SETTINGS!$B$5,1,0),0)</f>
        <v>0</v>
      </c>
      <c r="AP570" s="28">
        <f>IF(M570=1,IF(COUNTIFS(LOG!$C$2:$C$2001,F570,LOG!$E$2:$E$2001,B570,LOG!$D$2:$D$2001,"BOOKED")+COUNTIFS(LOG!$C$2:$C$2001,F570,LOG!$E$2:$E$2001,"",LOG!$D$2:$D$2001,"BOOKED")&gt;0,1,0),0)</f>
        <v>0</v>
      </c>
      <c r="AQ570" s="28" t="str">
        <f t="shared" si="96"/>
        <v/>
      </c>
      <c r="AR570" s="28" t="str">
        <f>IF(AND(AK570=1,K570="OK"),COUNTIFS($AK$2:AK570,1,$K$2:K570,"OK"),"")</f>
        <v/>
      </c>
      <c r="AS570" s="28" t="str">
        <f>IF(L570=1,IFERROR(INDEX(MESSAGES!$J$9:$J$1008,MATCH(F570,MESSAGES!$M$9:$M$1008,0))&amp;"",""),"")</f>
        <v/>
      </c>
      <c r="AT570" s="28" t="str">
        <f>IF(L570=1,IFERROR(INDEX(MESSAGES!$K$9:$K$1008,MATCH(F570,MESSAGES!$M$9:$M$1008,0))&amp;"",""),"")</f>
        <v/>
      </c>
      <c r="AU570" s="28">
        <f t="shared" ca="1" si="97"/>
        <v>0</v>
      </c>
      <c r="AV570" s="28" t="str">
        <f t="shared" si="98"/>
        <v/>
      </c>
    </row>
    <row r="571" spans="1:48" x14ac:dyDescent="0.35">
      <c r="A571" s="28">
        <v>570</v>
      </c>
      <c r="B571" s="28" t="str">
        <f>IF(INPUT!A571="","",TRIM(INPUT!A571))</f>
        <v/>
      </c>
      <c r="C571" s="28" t="str">
        <f>IF(B571="","",INPUT!C571)</f>
        <v/>
      </c>
      <c r="D571" s="28" t="str">
        <f>IF(B571="","",INPUT!D571)</f>
        <v/>
      </c>
      <c r="E571" s="28" t="str">
        <f>IF(B571="","",INPUT!E571)</f>
        <v/>
      </c>
      <c r="F571" s="43" t="str">
        <f>IF(B571="","",TRIM(INPUT!F571&amp;""))</f>
        <v/>
      </c>
      <c r="G571" s="28" t="str">
        <f>IF(B571="","",INPUT!H571)</f>
        <v/>
      </c>
      <c r="H571" s="46" t="str">
        <f>IF(B571="","",INPUT!I571)</f>
        <v/>
      </c>
      <c r="I571" s="28" t="str">
        <f>IF(B571="","",IF(INPUT!J571="","None",INPUT!J571))</f>
        <v/>
      </c>
      <c r="J571" s="28" t="str">
        <f t="shared" si="88"/>
        <v/>
      </c>
      <c r="K571" s="28" t="str">
        <f>IF(B571="","",IF(SUMPRODUCT(($J$2:$J$601=J571)*($H$2:$H$601&lt;H571))+SUMPRODUCT(($J$2:J571=J571)*($H$2:H571=H571))-1&gt;0,"DUPLICATE",IF(AND(ISNUMBER(SEARCH("@",E571)),ISNUMBER(SEARCH(".",E571)),LEN(F571)=10,ISNUMBER(VALUE(F571))),"OK","BAD CONTACT")))</f>
        <v/>
      </c>
      <c r="L571" s="28">
        <f t="shared" si="89"/>
        <v>0</v>
      </c>
      <c r="M571" s="28">
        <f>IF(L571=1,IF(COUNTIFS(LOG!$C$2:$C$2001,F571,LOG!$E$2:$E$2001,B571,LOG!$D$2:$D$2001,"*BOOKED")+COUNTIFS(LOG!$C$2:$C$2001,F571,LOG!$E$2:$E$2001,"",LOG!$D$2:$D$2001,"*BOOKED")&gt;0,1,0),0)</f>
        <v>0</v>
      </c>
      <c r="N571" s="28">
        <f>IF(L571=1,IF(COUNTIFS(LOG!$C$2:$C$2001,F571,LOG!$E$2:$E$2001,B571,LOG!$D$2:$D$2001,"NOT_INTERESTED")+COUNTIFS(LOG!$C$2:$C$2001,F571,LOG!$E$2:$E$2001,"",LOG!$D$2:$D$2001,"NOT_INTERESTED")&gt;0,1,0),0)</f>
        <v>0</v>
      </c>
      <c r="O571" s="28">
        <f>IF(L571=1,IF(COUNTIFS(LOG!$C$2:$C$2001,F571,LOG!$D$2:$D$2001,"STOP")+COUNTIFS(LOG!$C$2:$C$2001,F571,LOG!$D$2:$D$2001,"WRONG_NUMBER")&gt;0,1,IF(ISNUMBER(SEARCH("STOP",AT571)),1,0)),0)</f>
        <v>0</v>
      </c>
      <c r="P571" s="28">
        <f>IF(L571=1,IF(IFERROR(INDEX(PARTNERS!$D$2:$D$88,MATCH(B571,PARTNERS!$A$2:$A$88,0)),"")="NO SLOTS",1,IF(AND(IFERROR(INDEX(PARTNERS!$D$2:$D$88,MATCH(B571,PARTNERS!$A$2:$A$88,0)),"")&lt;&gt;"REOPENED",COUNTIFS(LOG!$E$2:$E$2001,B571,LOG!$D$2:$D$2001,"NO_SLOTS")&gt;0),1,0)),0)</f>
        <v>0</v>
      </c>
      <c r="Q571" s="28">
        <f>IF(L571=1,COUNTIFS(LOG!$C$2:$C$2001,F571,LOG!$H$2:$H$2001,1),0)</f>
        <v>0</v>
      </c>
      <c r="R571" s="46">
        <f>IF(Q571&gt;0,_xlfn.MAXIFS(LOG!$G$2:$G$2001,LOG!$C$2:$C$2001,F571,LOG!$H$2:$H$2001,1),0)</f>
        <v>0</v>
      </c>
      <c r="S571" s="28" t="str">
        <f>IF(Q571&gt;0,IFERROR(INDEX(LOG!$D$2:$D$2001,MATCH(F571&amp;"|"&amp;Q571,LOG!$I$2:$I$2001,0)),""),"")</f>
        <v/>
      </c>
      <c r="T571" s="28">
        <f>IF(S571="",0,IFERROR(VLOOKUP(S571,LISTS!$A$2:$E$10,4,FALSE),0))</f>
        <v>0</v>
      </c>
      <c r="U571" s="46">
        <f t="shared" si="90"/>
        <v>0</v>
      </c>
      <c r="V571" s="46" t="str">
        <f>IF(L571=1,H571+SETTINGS!$B$5/24,"")</f>
        <v/>
      </c>
      <c r="W571" s="28" t="str">
        <f>IF(L571=1,(V571-SETTINGS!$B$4)*24,"")</f>
        <v/>
      </c>
      <c r="X571" s="28">
        <f ca="1">IF(AND(L571=1,K571="OK",M571=0,N571=0,O571=0,P571=0,SETTINGS!$B$4&lt;V571,Q571&lt;SETTINGS!$B$6),1,0)</f>
        <v>0</v>
      </c>
      <c r="Y571" s="28">
        <f ca="1">IF(AND(X571=1,SETTINGS!$B$4&gt;=H571,SETTINGS!$B$4&gt;=U571,ROUND(MOD(SETTINGS!$B$4,1)*1440,0)&gt;=ROUND(SETTINGS!$B$7*1440,0),ROUND(MOD(SETTINGS!$B$4,1)*1440,0)&lt;ROUND(SETTINGS!$B$8*1440,0)),1,0)</f>
        <v>0</v>
      </c>
      <c r="Z571" s="28" t="str">
        <f>IF(B571="","",IF(ROUND(MOD(SETTINGS!$B$4,1)*1440,0)&lt;ROUND(SETTINGS!$B$11*1440,0),"Ram",IF(ROUND(MOD(SETTINGS!$B$4,1)*1440,0)&gt;=ROUND(SETTINGS!$B$10*1440,0),"Shyam",IF(MOD(IFERROR(VALUE(RIGHT(F571,2)),0),2)=0,"Ram","Shyam"))))</f>
        <v/>
      </c>
      <c r="AA571" s="28">
        <f t="shared" ca="1" si="91"/>
        <v>0</v>
      </c>
      <c r="AB571" s="28">
        <f ca="1">IF(X571=1,COUNTIFS($F$2:F571,F571,$X$2:X571,1),0)</f>
        <v>0</v>
      </c>
      <c r="AC571" s="28" t="str">
        <f>IF(L571=1,IF(IFERROR(INDEX(PARTNERS!$C$2:$C$88,MATCH(B571,PARTNERS!$A$2:$A$88,0)),"")="YES","YES","NO"),"")</f>
        <v/>
      </c>
      <c r="AD571" s="28" t="str">
        <f>IF(L571=1,IFERROR(INDEX(PARTNERS!$B$2:$B$88,MATCH(B571,PARTNERS!$A$2:$A$88,0)),""),"")</f>
        <v/>
      </c>
      <c r="AE571" s="28">
        <f ca="1">IF(X571=1,IFERROR(INDEX(SETTINGS!$B$34:$D$36,MATCH(I571,SETTINGS!$A$34:$A$36,0),MIN(Q571,2)+1),SETTINGS!$B$36),0)</f>
        <v>0</v>
      </c>
      <c r="AF571" s="28">
        <f t="shared" si="92"/>
        <v>0</v>
      </c>
      <c r="AG571" s="28">
        <f ca="1">IF(AND(Y571=1,AB571=1),ROUND(AA571*AE571*IF(AF571&gt;1,SETTINGS!$B$16,1)*IF(W571&lt;=SETTINGS!$B$14,SETTINGS!$B$15,1)*IF(AU571=1,SETTINGS!$B$21,1),6),0)</f>
        <v>0</v>
      </c>
      <c r="AH571" s="28" t="str">
        <f ca="1">IF(AG571&gt;0,COUNTIFS($Z$2:$Z$601,Z571,$AG$2:$AG$601,"&gt;"&amp;AG571)+COUNTIFS($Z$2:Z571,Z571,$AG$2:AG571,AG571),"")</f>
        <v/>
      </c>
      <c r="AI571" s="28" t="str">
        <f t="shared" ca="1" si="93"/>
        <v/>
      </c>
      <c r="AJ571" s="28" t="str">
        <f t="shared" ca="1" si="94"/>
        <v/>
      </c>
      <c r="AK571" s="28">
        <f>IF(L571=1,IF(COUNTIFS($F$2:F571,F571,$L$2:L571,1)=1,1,0),0)</f>
        <v>0</v>
      </c>
      <c r="AL571" s="28" t="str">
        <f>IF(B571="","",IF(K571="DUPLICATE","Duplicate (removed)",IF(AO571=1,"Scheduled within 24h",IF(M571=1,"Scheduled late",IF(K571="BAD CONTACT","Bad contact details",IF(O571=1,"Stopped / wrong number",IF(N571=1,"Not interested",IF(P571=1,"Partner has no slots",IF(SETTINGS!$B$4&gt;=V571,IF(Q571=0,"Missed deadline: never tried","Missed deadline: tried, not booked"),IF(Q571&gt;=SETTINGS!$B$6,"No reply after max tries","Open"))))))))))</f>
        <v/>
      </c>
      <c r="AM571" s="46" t="str">
        <f>IF(M571=1,IF(_xlfn.MINIFS(LOG!$G$2:$G$2001,LOG!$C$2:$C$2001,F571,LOG!$E$2:$E$2001,B571,LOG!$D$2:$D$2001,"*BOOKED")=0,_xlfn.MINIFS(LOG!$G$2:$G$2001,LOG!$C$2:$C$2001,F571,LOG!$E$2:$E$2001,"",LOG!$D$2:$D$2001,"*BOOKED"),IF(_xlfn.MINIFS(LOG!$G$2:$G$2001,LOG!$C$2:$C$2001,F571,LOG!$E$2:$E$2001,"",LOG!$D$2:$D$2001,"*BOOKED")=0,_xlfn.MINIFS(LOG!$G$2:$G$2001,LOG!$C$2:$C$2001,F571,LOG!$E$2:$E$2001,B571,LOG!$D$2:$D$2001,"*BOOKED"),MIN(_xlfn.MINIFS(LOG!$G$2:$G$2001,LOG!$C$2:$C$2001,F571,LOG!$E$2:$E$2001,B571,LOG!$D$2:$D$2001,"*BOOKED"),_xlfn.MINIFS(LOG!$G$2:$G$2001,LOG!$C$2:$C$2001,F571,LOG!$E$2:$E$2001,"",LOG!$D$2:$D$2001,"*BOOKED")))),"")</f>
        <v/>
      </c>
      <c r="AN571" s="28" t="str">
        <f t="shared" si="95"/>
        <v/>
      </c>
      <c r="AO571" s="28">
        <f>IF(AND(M571=1,AN571&lt;&gt;""),IF(AN571&lt;=SETTINGS!$B$5,1,0),0)</f>
        <v>0</v>
      </c>
      <c r="AP571" s="28">
        <f>IF(M571=1,IF(COUNTIFS(LOG!$C$2:$C$2001,F571,LOG!$E$2:$E$2001,B571,LOG!$D$2:$D$2001,"BOOKED")+COUNTIFS(LOG!$C$2:$C$2001,F571,LOG!$E$2:$E$2001,"",LOG!$D$2:$D$2001,"BOOKED")&gt;0,1,0),0)</f>
        <v>0</v>
      </c>
      <c r="AQ571" s="28" t="str">
        <f t="shared" si="96"/>
        <v/>
      </c>
      <c r="AR571" s="28" t="str">
        <f>IF(AND(AK571=1,K571="OK"),COUNTIFS($AK$2:AK571,1,$K$2:K571,"OK"),"")</f>
        <v/>
      </c>
      <c r="AS571" s="28" t="str">
        <f>IF(L571=1,IFERROR(INDEX(MESSAGES!$J$9:$J$1008,MATCH(F571,MESSAGES!$M$9:$M$1008,0))&amp;"",""),"")</f>
        <v/>
      </c>
      <c r="AT571" s="28" t="str">
        <f>IF(L571=1,IFERROR(INDEX(MESSAGES!$K$9:$K$1008,MATCH(F571,MESSAGES!$M$9:$M$1008,0))&amp;"",""),"")</f>
        <v/>
      </c>
      <c r="AU571" s="28">
        <f t="shared" ca="1" si="97"/>
        <v>0</v>
      </c>
      <c r="AV571" s="28" t="str">
        <f t="shared" si="98"/>
        <v/>
      </c>
    </row>
    <row r="572" spans="1:48" x14ac:dyDescent="0.35">
      <c r="A572" s="28">
        <v>571</v>
      </c>
      <c r="B572" s="28" t="str">
        <f>IF(INPUT!A572="","",TRIM(INPUT!A572))</f>
        <v/>
      </c>
      <c r="C572" s="28" t="str">
        <f>IF(B572="","",INPUT!C572)</f>
        <v/>
      </c>
      <c r="D572" s="28" t="str">
        <f>IF(B572="","",INPUT!D572)</f>
        <v/>
      </c>
      <c r="E572" s="28" t="str">
        <f>IF(B572="","",INPUT!E572)</f>
        <v/>
      </c>
      <c r="F572" s="43" t="str">
        <f>IF(B572="","",TRIM(INPUT!F572&amp;""))</f>
        <v/>
      </c>
      <c r="G572" s="28" t="str">
        <f>IF(B572="","",INPUT!H572)</f>
        <v/>
      </c>
      <c r="H572" s="46" t="str">
        <f>IF(B572="","",INPUT!I572)</f>
        <v/>
      </c>
      <c r="I572" s="28" t="str">
        <f>IF(B572="","",IF(INPUT!J572="","None",INPUT!J572))</f>
        <v/>
      </c>
      <c r="J572" s="28" t="str">
        <f t="shared" si="88"/>
        <v/>
      </c>
      <c r="K572" s="28" t="str">
        <f>IF(B572="","",IF(SUMPRODUCT(($J$2:$J$601=J572)*($H$2:$H$601&lt;H572))+SUMPRODUCT(($J$2:J572=J572)*($H$2:H572=H572))-1&gt;0,"DUPLICATE",IF(AND(ISNUMBER(SEARCH("@",E572)),ISNUMBER(SEARCH(".",E572)),LEN(F572)=10,ISNUMBER(VALUE(F572))),"OK","BAD CONTACT")))</f>
        <v/>
      </c>
      <c r="L572" s="28">
        <f t="shared" si="89"/>
        <v>0</v>
      </c>
      <c r="M572" s="28">
        <f>IF(L572=1,IF(COUNTIFS(LOG!$C$2:$C$2001,F572,LOG!$E$2:$E$2001,B572,LOG!$D$2:$D$2001,"*BOOKED")+COUNTIFS(LOG!$C$2:$C$2001,F572,LOG!$E$2:$E$2001,"",LOG!$D$2:$D$2001,"*BOOKED")&gt;0,1,0),0)</f>
        <v>0</v>
      </c>
      <c r="N572" s="28">
        <f>IF(L572=1,IF(COUNTIFS(LOG!$C$2:$C$2001,F572,LOG!$E$2:$E$2001,B572,LOG!$D$2:$D$2001,"NOT_INTERESTED")+COUNTIFS(LOG!$C$2:$C$2001,F572,LOG!$E$2:$E$2001,"",LOG!$D$2:$D$2001,"NOT_INTERESTED")&gt;0,1,0),0)</f>
        <v>0</v>
      </c>
      <c r="O572" s="28">
        <f>IF(L572=1,IF(COUNTIFS(LOG!$C$2:$C$2001,F572,LOG!$D$2:$D$2001,"STOP")+COUNTIFS(LOG!$C$2:$C$2001,F572,LOG!$D$2:$D$2001,"WRONG_NUMBER")&gt;0,1,IF(ISNUMBER(SEARCH("STOP",AT572)),1,0)),0)</f>
        <v>0</v>
      </c>
      <c r="P572" s="28">
        <f>IF(L572=1,IF(IFERROR(INDEX(PARTNERS!$D$2:$D$88,MATCH(B572,PARTNERS!$A$2:$A$88,0)),"")="NO SLOTS",1,IF(AND(IFERROR(INDEX(PARTNERS!$D$2:$D$88,MATCH(B572,PARTNERS!$A$2:$A$88,0)),"")&lt;&gt;"REOPENED",COUNTIFS(LOG!$E$2:$E$2001,B572,LOG!$D$2:$D$2001,"NO_SLOTS")&gt;0),1,0)),0)</f>
        <v>0</v>
      </c>
      <c r="Q572" s="28">
        <f>IF(L572=1,COUNTIFS(LOG!$C$2:$C$2001,F572,LOG!$H$2:$H$2001,1),0)</f>
        <v>0</v>
      </c>
      <c r="R572" s="46">
        <f>IF(Q572&gt;0,_xlfn.MAXIFS(LOG!$G$2:$G$2001,LOG!$C$2:$C$2001,F572,LOG!$H$2:$H$2001,1),0)</f>
        <v>0</v>
      </c>
      <c r="S572" s="28" t="str">
        <f>IF(Q572&gt;0,IFERROR(INDEX(LOG!$D$2:$D$2001,MATCH(F572&amp;"|"&amp;Q572,LOG!$I$2:$I$2001,0)),""),"")</f>
        <v/>
      </c>
      <c r="T572" s="28">
        <f>IF(S572="",0,IFERROR(VLOOKUP(S572,LISTS!$A$2:$E$10,4,FALSE),0))</f>
        <v>0</v>
      </c>
      <c r="U572" s="46">
        <f t="shared" si="90"/>
        <v>0</v>
      </c>
      <c r="V572" s="46" t="str">
        <f>IF(L572=1,H572+SETTINGS!$B$5/24,"")</f>
        <v/>
      </c>
      <c r="W572" s="28" t="str">
        <f>IF(L572=1,(V572-SETTINGS!$B$4)*24,"")</f>
        <v/>
      </c>
      <c r="X572" s="28">
        <f ca="1">IF(AND(L572=1,K572="OK",M572=0,N572=0,O572=0,P572=0,SETTINGS!$B$4&lt;V572,Q572&lt;SETTINGS!$B$6),1,0)</f>
        <v>0</v>
      </c>
      <c r="Y572" s="28">
        <f ca="1">IF(AND(X572=1,SETTINGS!$B$4&gt;=H572,SETTINGS!$B$4&gt;=U572,ROUND(MOD(SETTINGS!$B$4,1)*1440,0)&gt;=ROUND(SETTINGS!$B$7*1440,0),ROUND(MOD(SETTINGS!$B$4,1)*1440,0)&lt;ROUND(SETTINGS!$B$8*1440,0)),1,0)</f>
        <v>0</v>
      </c>
      <c r="Z572" s="28" t="str">
        <f>IF(B572="","",IF(ROUND(MOD(SETTINGS!$B$4,1)*1440,0)&lt;ROUND(SETTINGS!$B$11*1440,0),"Ram",IF(ROUND(MOD(SETTINGS!$B$4,1)*1440,0)&gt;=ROUND(SETTINGS!$B$10*1440,0),"Shyam",IF(MOD(IFERROR(VALUE(RIGHT(F572,2)),0),2)=0,"Ram","Shyam"))))</f>
        <v/>
      </c>
      <c r="AA572" s="28">
        <f t="shared" ca="1" si="91"/>
        <v>0</v>
      </c>
      <c r="AB572" s="28">
        <f ca="1">IF(X572=1,COUNTIFS($F$2:F572,F572,$X$2:X572,1),0)</f>
        <v>0</v>
      </c>
      <c r="AC572" s="28" t="str">
        <f>IF(L572=1,IF(IFERROR(INDEX(PARTNERS!$C$2:$C$88,MATCH(B572,PARTNERS!$A$2:$A$88,0)),"")="YES","YES","NO"),"")</f>
        <v/>
      </c>
      <c r="AD572" s="28" t="str">
        <f>IF(L572=1,IFERROR(INDEX(PARTNERS!$B$2:$B$88,MATCH(B572,PARTNERS!$A$2:$A$88,0)),""),"")</f>
        <v/>
      </c>
      <c r="AE572" s="28">
        <f ca="1">IF(X572=1,IFERROR(INDEX(SETTINGS!$B$34:$D$36,MATCH(I572,SETTINGS!$A$34:$A$36,0),MIN(Q572,2)+1),SETTINGS!$B$36),0)</f>
        <v>0</v>
      </c>
      <c r="AF572" s="28">
        <f t="shared" si="92"/>
        <v>0</v>
      </c>
      <c r="AG572" s="28">
        <f ca="1">IF(AND(Y572=1,AB572=1),ROUND(AA572*AE572*IF(AF572&gt;1,SETTINGS!$B$16,1)*IF(W572&lt;=SETTINGS!$B$14,SETTINGS!$B$15,1)*IF(AU572=1,SETTINGS!$B$21,1),6),0)</f>
        <v>0</v>
      </c>
      <c r="AH572" s="28" t="str">
        <f ca="1">IF(AG572&gt;0,COUNTIFS($Z$2:$Z$601,Z572,$AG$2:$AG$601,"&gt;"&amp;AG572)+COUNTIFS($Z$2:Z572,Z572,$AG$2:AG572,AG572),"")</f>
        <v/>
      </c>
      <c r="AI572" s="28" t="str">
        <f t="shared" ca="1" si="93"/>
        <v/>
      </c>
      <c r="AJ572" s="28" t="str">
        <f t="shared" ca="1" si="94"/>
        <v/>
      </c>
      <c r="AK572" s="28">
        <f>IF(L572=1,IF(COUNTIFS($F$2:F572,F572,$L$2:L572,1)=1,1,0),0)</f>
        <v>0</v>
      </c>
      <c r="AL572" s="28" t="str">
        <f>IF(B572="","",IF(K572="DUPLICATE","Duplicate (removed)",IF(AO572=1,"Scheduled within 24h",IF(M572=1,"Scheduled late",IF(K572="BAD CONTACT","Bad contact details",IF(O572=1,"Stopped / wrong number",IF(N572=1,"Not interested",IF(P572=1,"Partner has no slots",IF(SETTINGS!$B$4&gt;=V572,IF(Q572=0,"Missed deadline: never tried","Missed deadline: tried, not booked"),IF(Q572&gt;=SETTINGS!$B$6,"No reply after max tries","Open"))))))))))</f>
        <v/>
      </c>
      <c r="AM572" s="46" t="str">
        <f>IF(M572=1,IF(_xlfn.MINIFS(LOG!$G$2:$G$2001,LOG!$C$2:$C$2001,F572,LOG!$E$2:$E$2001,B572,LOG!$D$2:$D$2001,"*BOOKED")=0,_xlfn.MINIFS(LOG!$G$2:$G$2001,LOG!$C$2:$C$2001,F572,LOG!$E$2:$E$2001,"",LOG!$D$2:$D$2001,"*BOOKED"),IF(_xlfn.MINIFS(LOG!$G$2:$G$2001,LOG!$C$2:$C$2001,F572,LOG!$E$2:$E$2001,"",LOG!$D$2:$D$2001,"*BOOKED")=0,_xlfn.MINIFS(LOG!$G$2:$G$2001,LOG!$C$2:$C$2001,F572,LOG!$E$2:$E$2001,B572,LOG!$D$2:$D$2001,"*BOOKED"),MIN(_xlfn.MINIFS(LOG!$G$2:$G$2001,LOG!$C$2:$C$2001,F572,LOG!$E$2:$E$2001,B572,LOG!$D$2:$D$2001,"*BOOKED"),_xlfn.MINIFS(LOG!$G$2:$G$2001,LOG!$C$2:$C$2001,F572,LOG!$E$2:$E$2001,"",LOG!$D$2:$D$2001,"*BOOKED")))),"")</f>
        <v/>
      </c>
      <c r="AN572" s="28" t="str">
        <f t="shared" si="95"/>
        <v/>
      </c>
      <c r="AO572" s="28">
        <f>IF(AND(M572=1,AN572&lt;&gt;""),IF(AN572&lt;=SETTINGS!$B$5,1,0),0)</f>
        <v>0</v>
      </c>
      <c r="AP572" s="28">
        <f>IF(M572=1,IF(COUNTIFS(LOG!$C$2:$C$2001,F572,LOG!$E$2:$E$2001,B572,LOG!$D$2:$D$2001,"BOOKED")+COUNTIFS(LOG!$C$2:$C$2001,F572,LOG!$E$2:$E$2001,"",LOG!$D$2:$D$2001,"BOOKED")&gt;0,1,0),0)</f>
        <v>0</v>
      </c>
      <c r="AQ572" s="28" t="str">
        <f t="shared" si="96"/>
        <v/>
      </c>
      <c r="AR572" s="28" t="str">
        <f>IF(AND(AK572=1,K572="OK"),COUNTIFS($AK$2:AK572,1,$K$2:K572,"OK"),"")</f>
        <v/>
      </c>
      <c r="AS572" s="28" t="str">
        <f>IF(L572=1,IFERROR(INDEX(MESSAGES!$J$9:$J$1008,MATCH(F572,MESSAGES!$M$9:$M$1008,0))&amp;"",""),"")</f>
        <v/>
      </c>
      <c r="AT572" s="28" t="str">
        <f>IF(L572=1,IFERROR(INDEX(MESSAGES!$K$9:$K$1008,MATCH(F572,MESSAGES!$M$9:$M$1008,0))&amp;"",""),"")</f>
        <v/>
      </c>
      <c r="AU572" s="28">
        <f t="shared" ca="1" si="97"/>
        <v>0</v>
      </c>
      <c r="AV572" s="28" t="str">
        <f t="shared" si="98"/>
        <v/>
      </c>
    </row>
    <row r="573" spans="1:48" x14ac:dyDescent="0.35">
      <c r="A573" s="28">
        <v>572</v>
      </c>
      <c r="B573" s="28" t="str">
        <f>IF(INPUT!A573="","",TRIM(INPUT!A573))</f>
        <v/>
      </c>
      <c r="C573" s="28" t="str">
        <f>IF(B573="","",INPUT!C573)</f>
        <v/>
      </c>
      <c r="D573" s="28" t="str">
        <f>IF(B573="","",INPUT!D573)</f>
        <v/>
      </c>
      <c r="E573" s="28" t="str">
        <f>IF(B573="","",INPUT!E573)</f>
        <v/>
      </c>
      <c r="F573" s="43" t="str">
        <f>IF(B573="","",TRIM(INPUT!F573&amp;""))</f>
        <v/>
      </c>
      <c r="G573" s="28" t="str">
        <f>IF(B573="","",INPUT!H573)</f>
        <v/>
      </c>
      <c r="H573" s="46" t="str">
        <f>IF(B573="","",INPUT!I573)</f>
        <v/>
      </c>
      <c r="I573" s="28" t="str">
        <f>IF(B573="","",IF(INPUT!J573="","None",INPUT!J573))</f>
        <v/>
      </c>
      <c r="J573" s="28" t="str">
        <f t="shared" si="88"/>
        <v/>
      </c>
      <c r="K573" s="28" t="str">
        <f>IF(B573="","",IF(SUMPRODUCT(($J$2:$J$601=J573)*($H$2:$H$601&lt;H573))+SUMPRODUCT(($J$2:J573=J573)*($H$2:H573=H573))-1&gt;0,"DUPLICATE",IF(AND(ISNUMBER(SEARCH("@",E573)),ISNUMBER(SEARCH(".",E573)),LEN(F573)=10,ISNUMBER(VALUE(F573))),"OK","BAD CONTACT")))</f>
        <v/>
      </c>
      <c r="L573" s="28">
        <f t="shared" si="89"/>
        <v>0</v>
      </c>
      <c r="M573" s="28">
        <f>IF(L573=1,IF(COUNTIFS(LOG!$C$2:$C$2001,F573,LOG!$E$2:$E$2001,B573,LOG!$D$2:$D$2001,"*BOOKED")+COUNTIFS(LOG!$C$2:$C$2001,F573,LOG!$E$2:$E$2001,"",LOG!$D$2:$D$2001,"*BOOKED")&gt;0,1,0),0)</f>
        <v>0</v>
      </c>
      <c r="N573" s="28">
        <f>IF(L573=1,IF(COUNTIFS(LOG!$C$2:$C$2001,F573,LOG!$E$2:$E$2001,B573,LOG!$D$2:$D$2001,"NOT_INTERESTED")+COUNTIFS(LOG!$C$2:$C$2001,F573,LOG!$E$2:$E$2001,"",LOG!$D$2:$D$2001,"NOT_INTERESTED")&gt;0,1,0),0)</f>
        <v>0</v>
      </c>
      <c r="O573" s="28">
        <f>IF(L573=1,IF(COUNTIFS(LOG!$C$2:$C$2001,F573,LOG!$D$2:$D$2001,"STOP")+COUNTIFS(LOG!$C$2:$C$2001,F573,LOG!$D$2:$D$2001,"WRONG_NUMBER")&gt;0,1,IF(ISNUMBER(SEARCH("STOP",AT573)),1,0)),0)</f>
        <v>0</v>
      </c>
      <c r="P573" s="28">
        <f>IF(L573=1,IF(IFERROR(INDEX(PARTNERS!$D$2:$D$88,MATCH(B573,PARTNERS!$A$2:$A$88,0)),"")="NO SLOTS",1,IF(AND(IFERROR(INDEX(PARTNERS!$D$2:$D$88,MATCH(B573,PARTNERS!$A$2:$A$88,0)),"")&lt;&gt;"REOPENED",COUNTIFS(LOG!$E$2:$E$2001,B573,LOG!$D$2:$D$2001,"NO_SLOTS")&gt;0),1,0)),0)</f>
        <v>0</v>
      </c>
      <c r="Q573" s="28">
        <f>IF(L573=1,COUNTIFS(LOG!$C$2:$C$2001,F573,LOG!$H$2:$H$2001,1),0)</f>
        <v>0</v>
      </c>
      <c r="R573" s="46">
        <f>IF(Q573&gt;0,_xlfn.MAXIFS(LOG!$G$2:$G$2001,LOG!$C$2:$C$2001,F573,LOG!$H$2:$H$2001,1),0)</f>
        <v>0</v>
      </c>
      <c r="S573" s="28" t="str">
        <f>IF(Q573&gt;0,IFERROR(INDEX(LOG!$D$2:$D$2001,MATCH(F573&amp;"|"&amp;Q573,LOG!$I$2:$I$2001,0)),""),"")</f>
        <v/>
      </c>
      <c r="T573" s="28">
        <f>IF(S573="",0,IFERROR(VLOOKUP(S573,LISTS!$A$2:$E$10,4,FALSE),0))</f>
        <v>0</v>
      </c>
      <c r="U573" s="46">
        <f t="shared" si="90"/>
        <v>0</v>
      </c>
      <c r="V573" s="46" t="str">
        <f>IF(L573=1,H573+SETTINGS!$B$5/24,"")</f>
        <v/>
      </c>
      <c r="W573" s="28" t="str">
        <f>IF(L573=1,(V573-SETTINGS!$B$4)*24,"")</f>
        <v/>
      </c>
      <c r="X573" s="28">
        <f ca="1">IF(AND(L573=1,K573="OK",M573=0,N573=0,O573=0,P573=0,SETTINGS!$B$4&lt;V573,Q573&lt;SETTINGS!$B$6),1,0)</f>
        <v>0</v>
      </c>
      <c r="Y573" s="28">
        <f ca="1">IF(AND(X573=1,SETTINGS!$B$4&gt;=H573,SETTINGS!$B$4&gt;=U573,ROUND(MOD(SETTINGS!$B$4,1)*1440,0)&gt;=ROUND(SETTINGS!$B$7*1440,0),ROUND(MOD(SETTINGS!$B$4,1)*1440,0)&lt;ROUND(SETTINGS!$B$8*1440,0)),1,0)</f>
        <v>0</v>
      </c>
      <c r="Z573" s="28" t="str">
        <f>IF(B573="","",IF(ROUND(MOD(SETTINGS!$B$4,1)*1440,0)&lt;ROUND(SETTINGS!$B$11*1440,0),"Ram",IF(ROUND(MOD(SETTINGS!$B$4,1)*1440,0)&gt;=ROUND(SETTINGS!$B$10*1440,0),"Shyam",IF(MOD(IFERROR(VALUE(RIGHT(F573,2)),0),2)=0,"Ram","Shyam"))))</f>
        <v/>
      </c>
      <c r="AA573" s="28">
        <f t="shared" ca="1" si="91"/>
        <v>0</v>
      </c>
      <c r="AB573" s="28">
        <f ca="1">IF(X573=1,COUNTIFS($F$2:F573,F573,$X$2:X573,1),0)</f>
        <v>0</v>
      </c>
      <c r="AC573" s="28" t="str">
        <f>IF(L573=1,IF(IFERROR(INDEX(PARTNERS!$C$2:$C$88,MATCH(B573,PARTNERS!$A$2:$A$88,0)),"")="YES","YES","NO"),"")</f>
        <v/>
      </c>
      <c r="AD573" s="28" t="str">
        <f>IF(L573=1,IFERROR(INDEX(PARTNERS!$B$2:$B$88,MATCH(B573,PARTNERS!$A$2:$A$88,0)),""),"")</f>
        <v/>
      </c>
      <c r="AE573" s="28">
        <f ca="1">IF(X573=1,IFERROR(INDEX(SETTINGS!$B$34:$D$36,MATCH(I573,SETTINGS!$A$34:$A$36,0),MIN(Q573,2)+1),SETTINGS!$B$36),0)</f>
        <v>0</v>
      </c>
      <c r="AF573" s="28">
        <f t="shared" si="92"/>
        <v>0</v>
      </c>
      <c r="AG573" s="28">
        <f ca="1">IF(AND(Y573=1,AB573=1),ROUND(AA573*AE573*IF(AF573&gt;1,SETTINGS!$B$16,1)*IF(W573&lt;=SETTINGS!$B$14,SETTINGS!$B$15,1)*IF(AU573=1,SETTINGS!$B$21,1),6),0)</f>
        <v>0</v>
      </c>
      <c r="AH573" s="28" t="str">
        <f ca="1">IF(AG573&gt;0,COUNTIFS($Z$2:$Z$601,Z573,$AG$2:$AG$601,"&gt;"&amp;AG573)+COUNTIFS($Z$2:Z573,Z573,$AG$2:AG573,AG573),"")</f>
        <v/>
      </c>
      <c r="AI573" s="28" t="str">
        <f t="shared" ca="1" si="93"/>
        <v/>
      </c>
      <c r="AJ573" s="28" t="str">
        <f t="shared" ca="1" si="94"/>
        <v/>
      </c>
      <c r="AK573" s="28">
        <f>IF(L573=1,IF(COUNTIFS($F$2:F573,F573,$L$2:L573,1)=1,1,0),0)</f>
        <v>0</v>
      </c>
      <c r="AL573" s="28" t="str">
        <f>IF(B573="","",IF(K573="DUPLICATE","Duplicate (removed)",IF(AO573=1,"Scheduled within 24h",IF(M573=1,"Scheduled late",IF(K573="BAD CONTACT","Bad contact details",IF(O573=1,"Stopped / wrong number",IF(N573=1,"Not interested",IF(P573=1,"Partner has no slots",IF(SETTINGS!$B$4&gt;=V573,IF(Q573=0,"Missed deadline: never tried","Missed deadline: tried, not booked"),IF(Q573&gt;=SETTINGS!$B$6,"No reply after max tries","Open"))))))))))</f>
        <v/>
      </c>
      <c r="AM573" s="46" t="str">
        <f>IF(M573=1,IF(_xlfn.MINIFS(LOG!$G$2:$G$2001,LOG!$C$2:$C$2001,F573,LOG!$E$2:$E$2001,B573,LOG!$D$2:$D$2001,"*BOOKED")=0,_xlfn.MINIFS(LOG!$G$2:$G$2001,LOG!$C$2:$C$2001,F573,LOG!$E$2:$E$2001,"",LOG!$D$2:$D$2001,"*BOOKED"),IF(_xlfn.MINIFS(LOG!$G$2:$G$2001,LOG!$C$2:$C$2001,F573,LOG!$E$2:$E$2001,"",LOG!$D$2:$D$2001,"*BOOKED")=0,_xlfn.MINIFS(LOG!$G$2:$G$2001,LOG!$C$2:$C$2001,F573,LOG!$E$2:$E$2001,B573,LOG!$D$2:$D$2001,"*BOOKED"),MIN(_xlfn.MINIFS(LOG!$G$2:$G$2001,LOG!$C$2:$C$2001,F573,LOG!$E$2:$E$2001,B573,LOG!$D$2:$D$2001,"*BOOKED"),_xlfn.MINIFS(LOG!$G$2:$G$2001,LOG!$C$2:$C$2001,F573,LOG!$E$2:$E$2001,"",LOG!$D$2:$D$2001,"*BOOKED")))),"")</f>
        <v/>
      </c>
      <c r="AN573" s="28" t="str">
        <f t="shared" si="95"/>
        <v/>
      </c>
      <c r="AO573" s="28">
        <f>IF(AND(M573=1,AN573&lt;&gt;""),IF(AN573&lt;=SETTINGS!$B$5,1,0),0)</f>
        <v>0</v>
      </c>
      <c r="AP573" s="28">
        <f>IF(M573=1,IF(COUNTIFS(LOG!$C$2:$C$2001,F573,LOG!$E$2:$E$2001,B573,LOG!$D$2:$D$2001,"BOOKED")+COUNTIFS(LOG!$C$2:$C$2001,F573,LOG!$E$2:$E$2001,"",LOG!$D$2:$D$2001,"BOOKED")&gt;0,1,0),0)</f>
        <v>0</v>
      </c>
      <c r="AQ573" s="28" t="str">
        <f t="shared" si="96"/>
        <v/>
      </c>
      <c r="AR573" s="28" t="str">
        <f>IF(AND(AK573=1,K573="OK"),COUNTIFS($AK$2:AK573,1,$K$2:K573,"OK"),"")</f>
        <v/>
      </c>
      <c r="AS573" s="28" t="str">
        <f>IF(L573=1,IFERROR(INDEX(MESSAGES!$J$9:$J$1008,MATCH(F573,MESSAGES!$M$9:$M$1008,0))&amp;"",""),"")</f>
        <v/>
      </c>
      <c r="AT573" s="28" t="str">
        <f>IF(L573=1,IFERROR(INDEX(MESSAGES!$K$9:$K$1008,MATCH(F573,MESSAGES!$M$9:$M$1008,0))&amp;"",""),"")</f>
        <v/>
      </c>
      <c r="AU573" s="28">
        <f t="shared" ca="1" si="97"/>
        <v>0</v>
      </c>
      <c r="AV573" s="28" t="str">
        <f t="shared" si="98"/>
        <v/>
      </c>
    </row>
    <row r="574" spans="1:48" x14ac:dyDescent="0.35">
      <c r="A574" s="28">
        <v>573</v>
      </c>
      <c r="B574" s="28" t="str">
        <f>IF(INPUT!A574="","",TRIM(INPUT!A574))</f>
        <v/>
      </c>
      <c r="C574" s="28" t="str">
        <f>IF(B574="","",INPUT!C574)</f>
        <v/>
      </c>
      <c r="D574" s="28" t="str">
        <f>IF(B574="","",INPUT!D574)</f>
        <v/>
      </c>
      <c r="E574" s="28" t="str">
        <f>IF(B574="","",INPUT!E574)</f>
        <v/>
      </c>
      <c r="F574" s="43" t="str">
        <f>IF(B574="","",TRIM(INPUT!F574&amp;""))</f>
        <v/>
      </c>
      <c r="G574" s="28" t="str">
        <f>IF(B574="","",INPUT!H574)</f>
        <v/>
      </c>
      <c r="H574" s="46" t="str">
        <f>IF(B574="","",INPUT!I574)</f>
        <v/>
      </c>
      <c r="I574" s="28" t="str">
        <f>IF(B574="","",IF(INPUT!J574="","None",INPUT!J574))</f>
        <v/>
      </c>
      <c r="J574" s="28" t="str">
        <f t="shared" si="88"/>
        <v/>
      </c>
      <c r="K574" s="28" t="str">
        <f>IF(B574="","",IF(SUMPRODUCT(($J$2:$J$601=J574)*($H$2:$H$601&lt;H574))+SUMPRODUCT(($J$2:J574=J574)*($H$2:H574=H574))-1&gt;0,"DUPLICATE",IF(AND(ISNUMBER(SEARCH("@",E574)),ISNUMBER(SEARCH(".",E574)),LEN(F574)=10,ISNUMBER(VALUE(F574))),"OK","BAD CONTACT")))</f>
        <v/>
      </c>
      <c r="L574" s="28">
        <f t="shared" si="89"/>
        <v>0</v>
      </c>
      <c r="M574" s="28">
        <f>IF(L574=1,IF(COUNTIFS(LOG!$C$2:$C$2001,F574,LOG!$E$2:$E$2001,B574,LOG!$D$2:$D$2001,"*BOOKED")+COUNTIFS(LOG!$C$2:$C$2001,F574,LOG!$E$2:$E$2001,"",LOG!$D$2:$D$2001,"*BOOKED")&gt;0,1,0),0)</f>
        <v>0</v>
      </c>
      <c r="N574" s="28">
        <f>IF(L574=1,IF(COUNTIFS(LOG!$C$2:$C$2001,F574,LOG!$E$2:$E$2001,B574,LOG!$D$2:$D$2001,"NOT_INTERESTED")+COUNTIFS(LOG!$C$2:$C$2001,F574,LOG!$E$2:$E$2001,"",LOG!$D$2:$D$2001,"NOT_INTERESTED")&gt;0,1,0),0)</f>
        <v>0</v>
      </c>
      <c r="O574" s="28">
        <f>IF(L574=1,IF(COUNTIFS(LOG!$C$2:$C$2001,F574,LOG!$D$2:$D$2001,"STOP")+COUNTIFS(LOG!$C$2:$C$2001,F574,LOG!$D$2:$D$2001,"WRONG_NUMBER")&gt;0,1,IF(ISNUMBER(SEARCH("STOP",AT574)),1,0)),0)</f>
        <v>0</v>
      </c>
      <c r="P574" s="28">
        <f>IF(L574=1,IF(IFERROR(INDEX(PARTNERS!$D$2:$D$88,MATCH(B574,PARTNERS!$A$2:$A$88,0)),"")="NO SLOTS",1,IF(AND(IFERROR(INDEX(PARTNERS!$D$2:$D$88,MATCH(B574,PARTNERS!$A$2:$A$88,0)),"")&lt;&gt;"REOPENED",COUNTIFS(LOG!$E$2:$E$2001,B574,LOG!$D$2:$D$2001,"NO_SLOTS")&gt;0),1,0)),0)</f>
        <v>0</v>
      </c>
      <c r="Q574" s="28">
        <f>IF(L574=1,COUNTIFS(LOG!$C$2:$C$2001,F574,LOG!$H$2:$H$2001,1),0)</f>
        <v>0</v>
      </c>
      <c r="R574" s="46">
        <f>IF(Q574&gt;0,_xlfn.MAXIFS(LOG!$G$2:$G$2001,LOG!$C$2:$C$2001,F574,LOG!$H$2:$H$2001,1),0)</f>
        <v>0</v>
      </c>
      <c r="S574" s="28" t="str">
        <f>IF(Q574&gt;0,IFERROR(INDEX(LOG!$D$2:$D$2001,MATCH(F574&amp;"|"&amp;Q574,LOG!$I$2:$I$2001,0)),""),"")</f>
        <v/>
      </c>
      <c r="T574" s="28">
        <f>IF(S574="",0,IFERROR(VLOOKUP(S574,LISTS!$A$2:$E$10,4,FALSE),0))</f>
        <v>0</v>
      </c>
      <c r="U574" s="46">
        <f t="shared" si="90"/>
        <v>0</v>
      </c>
      <c r="V574" s="46" t="str">
        <f>IF(L574=1,H574+SETTINGS!$B$5/24,"")</f>
        <v/>
      </c>
      <c r="W574" s="28" t="str">
        <f>IF(L574=1,(V574-SETTINGS!$B$4)*24,"")</f>
        <v/>
      </c>
      <c r="X574" s="28">
        <f ca="1">IF(AND(L574=1,K574="OK",M574=0,N574=0,O574=0,P574=0,SETTINGS!$B$4&lt;V574,Q574&lt;SETTINGS!$B$6),1,0)</f>
        <v>0</v>
      </c>
      <c r="Y574" s="28">
        <f ca="1">IF(AND(X574=1,SETTINGS!$B$4&gt;=H574,SETTINGS!$B$4&gt;=U574,ROUND(MOD(SETTINGS!$B$4,1)*1440,0)&gt;=ROUND(SETTINGS!$B$7*1440,0),ROUND(MOD(SETTINGS!$B$4,1)*1440,0)&lt;ROUND(SETTINGS!$B$8*1440,0)),1,0)</f>
        <v>0</v>
      </c>
      <c r="Z574" s="28" t="str">
        <f>IF(B574="","",IF(ROUND(MOD(SETTINGS!$B$4,1)*1440,0)&lt;ROUND(SETTINGS!$B$11*1440,0),"Ram",IF(ROUND(MOD(SETTINGS!$B$4,1)*1440,0)&gt;=ROUND(SETTINGS!$B$10*1440,0),"Shyam",IF(MOD(IFERROR(VALUE(RIGHT(F574,2)),0),2)=0,"Ram","Shyam"))))</f>
        <v/>
      </c>
      <c r="AA574" s="28">
        <f t="shared" ca="1" si="91"/>
        <v>0</v>
      </c>
      <c r="AB574" s="28">
        <f ca="1">IF(X574=1,COUNTIFS($F$2:F574,F574,$X$2:X574,1),0)</f>
        <v>0</v>
      </c>
      <c r="AC574" s="28" t="str">
        <f>IF(L574=1,IF(IFERROR(INDEX(PARTNERS!$C$2:$C$88,MATCH(B574,PARTNERS!$A$2:$A$88,0)),"")="YES","YES","NO"),"")</f>
        <v/>
      </c>
      <c r="AD574" s="28" t="str">
        <f>IF(L574=1,IFERROR(INDEX(PARTNERS!$B$2:$B$88,MATCH(B574,PARTNERS!$A$2:$A$88,0)),""),"")</f>
        <v/>
      </c>
      <c r="AE574" s="28">
        <f ca="1">IF(X574=1,IFERROR(INDEX(SETTINGS!$B$34:$D$36,MATCH(I574,SETTINGS!$A$34:$A$36,0),MIN(Q574,2)+1),SETTINGS!$B$36),0)</f>
        <v>0</v>
      </c>
      <c r="AF574" s="28">
        <f t="shared" si="92"/>
        <v>0</v>
      </c>
      <c r="AG574" s="28">
        <f ca="1">IF(AND(Y574=1,AB574=1),ROUND(AA574*AE574*IF(AF574&gt;1,SETTINGS!$B$16,1)*IF(W574&lt;=SETTINGS!$B$14,SETTINGS!$B$15,1)*IF(AU574=1,SETTINGS!$B$21,1),6),0)</f>
        <v>0</v>
      </c>
      <c r="AH574" s="28" t="str">
        <f ca="1">IF(AG574&gt;0,COUNTIFS($Z$2:$Z$601,Z574,$AG$2:$AG$601,"&gt;"&amp;AG574)+COUNTIFS($Z$2:Z574,Z574,$AG$2:AG574,AG574),"")</f>
        <v/>
      </c>
      <c r="AI574" s="28" t="str">
        <f t="shared" ca="1" si="93"/>
        <v/>
      </c>
      <c r="AJ574" s="28" t="str">
        <f t="shared" ca="1" si="94"/>
        <v/>
      </c>
      <c r="AK574" s="28">
        <f>IF(L574=1,IF(COUNTIFS($F$2:F574,F574,$L$2:L574,1)=1,1,0),0)</f>
        <v>0</v>
      </c>
      <c r="AL574" s="28" t="str">
        <f>IF(B574="","",IF(K574="DUPLICATE","Duplicate (removed)",IF(AO574=1,"Scheduled within 24h",IF(M574=1,"Scheduled late",IF(K574="BAD CONTACT","Bad contact details",IF(O574=1,"Stopped / wrong number",IF(N574=1,"Not interested",IF(P574=1,"Partner has no slots",IF(SETTINGS!$B$4&gt;=V574,IF(Q574=0,"Missed deadline: never tried","Missed deadline: tried, not booked"),IF(Q574&gt;=SETTINGS!$B$6,"No reply after max tries","Open"))))))))))</f>
        <v/>
      </c>
      <c r="AM574" s="46" t="str">
        <f>IF(M574=1,IF(_xlfn.MINIFS(LOG!$G$2:$G$2001,LOG!$C$2:$C$2001,F574,LOG!$E$2:$E$2001,B574,LOG!$D$2:$D$2001,"*BOOKED")=0,_xlfn.MINIFS(LOG!$G$2:$G$2001,LOG!$C$2:$C$2001,F574,LOG!$E$2:$E$2001,"",LOG!$D$2:$D$2001,"*BOOKED"),IF(_xlfn.MINIFS(LOG!$G$2:$G$2001,LOG!$C$2:$C$2001,F574,LOG!$E$2:$E$2001,"",LOG!$D$2:$D$2001,"*BOOKED")=0,_xlfn.MINIFS(LOG!$G$2:$G$2001,LOG!$C$2:$C$2001,F574,LOG!$E$2:$E$2001,B574,LOG!$D$2:$D$2001,"*BOOKED"),MIN(_xlfn.MINIFS(LOG!$G$2:$G$2001,LOG!$C$2:$C$2001,F574,LOG!$E$2:$E$2001,B574,LOG!$D$2:$D$2001,"*BOOKED"),_xlfn.MINIFS(LOG!$G$2:$G$2001,LOG!$C$2:$C$2001,F574,LOG!$E$2:$E$2001,"",LOG!$D$2:$D$2001,"*BOOKED")))),"")</f>
        <v/>
      </c>
      <c r="AN574" s="28" t="str">
        <f t="shared" si="95"/>
        <v/>
      </c>
      <c r="AO574" s="28">
        <f>IF(AND(M574=1,AN574&lt;&gt;""),IF(AN574&lt;=SETTINGS!$B$5,1,0),0)</f>
        <v>0</v>
      </c>
      <c r="AP574" s="28">
        <f>IF(M574=1,IF(COUNTIFS(LOG!$C$2:$C$2001,F574,LOG!$E$2:$E$2001,B574,LOG!$D$2:$D$2001,"BOOKED")+COUNTIFS(LOG!$C$2:$C$2001,F574,LOG!$E$2:$E$2001,"",LOG!$D$2:$D$2001,"BOOKED")&gt;0,1,0),0)</f>
        <v>0</v>
      </c>
      <c r="AQ574" s="28" t="str">
        <f t="shared" si="96"/>
        <v/>
      </c>
      <c r="AR574" s="28" t="str">
        <f>IF(AND(AK574=1,K574="OK"),COUNTIFS($AK$2:AK574,1,$K$2:K574,"OK"),"")</f>
        <v/>
      </c>
      <c r="AS574" s="28" t="str">
        <f>IF(L574=1,IFERROR(INDEX(MESSAGES!$J$9:$J$1008,MATCH(F574,MESSAGES!$M$9:$M$1008,0))&amp;"",""),"")</f>
        <v/>
      </c>
      <c r="AT574" s="28" t="str">
        <f>IF(L574=1,IFERROR(INDEX(MESSAGES!$K$9:$K$1008,MATCH(F574,MESSAGES!$M$9:$M$1008,0))&amp;"",""),"")</f>
        <v/>
      </c>
      <c r="AU574" s="28">
        <f t="shared" ca="1" si="97"/>
        <v>0</v>
      </c>
      <c r="AV574" s="28" t="str">
        <f t="shared" si="98"/>
        <v/>
      </c>
    </row>
    <row r="575" spans="1:48" x14ac:dyDescent="0.35">
      <c r="A575" s="28">
        <v>574</v>
      </c>
      <c r="B575" s="28" t="str">
        <f>IF(INPUT!A575="","",TRIM(INPUT!A575))</f>
        <v/>
      </c>
      <c r="C575" s="28" t="str">
        <f>IF(B575="","",INPUT!C575)</f>
        <v/>
      </c>
      <c r="D575" s="28" t="str">
        <f>IF(B575="","",INPUT!D575)</f>
        <v/>
      </c>
      <c r="E575" s="28" t="str">
        <f>IF(B575="","",INPUT!E575)</f>
        <v/>
      </c>
      <c r="F575" s="43" t="str">
        <f>IF(B575="","",TRIM(INPUT!F575&amp;""))</f>
        <v/>
      </c>
      <c r="G575" s="28" t="str">
        <f>IF(B575="","",INPUT!H575)</f>
        <v/>
      </c>
      <c r="H575" s="46" t="str">
        <f>IF(B575="","",INPUT!I575)</f>
        <v/>
      </c>
      <c r="I575" s="28" t="str">
        <f>IF(B575="","",IF(INPUT!J575="","None",INPUT!J575))</f>
        <v/>
      </c>
      <c r="J575" s="28" t="str">
        <f t="shared" si="88"/>
        <v/>
      </c>
      <c r="K575" s="28" t="str">
        <f>IF(B575="","",IF(SUMPRODUCT(($J$2:$J$601=J575)*($H$2:$H$601&lt;H575))+SUMPRODUCT(($J$2:J575=J575)*($H$2:H575=H575))-1&gt;0,"DUPLICATE",IF(AND(ISNUMBER(SEARCH("@",E575)),ISNUMBER(SEARCH(".",E575)),LEN(F575)=10,ISNUMBER(VALUE(F575))),"OK","BAD CONTACT")))</f>
        <v/>
      </c>
      <c r="L575" s="28">
        <f t="shared" si="89"/>
        <v>0</v>
      </c>
      <c r="M575" s="28">
        <f>IF(L575=1,IF(COUNTIFS(LOG!$C$2:$C$2001,F575,LOG!$E$2:$E$2001,B575,LOG!$D$2:$D$2001,"*BOOKED")+COUNTIFS(LOG!$C$2:$C$2001,F575,LOG!$E$2:$E$2001,"",LOG!$D$2:$D$2001,"*BOOKED")&gt;0,1,0),0)</f>
        <v>0</v>
      </c>
      <c r="N575" s="28">
        <f>IF(L575=1,IF(COUNTIFS(LOG!$C$2:$C$2001,F575,LOG!$E$2:$E$2001,B575,LOG!$D$2:$D$2001,"NOT_INTERESTED")+COUNTIFS(LOG!$C$2:$C$2001,F575,LOG!$E$2:$E$2001,"",LOG!$D$2:$D$2001,"NOT_INTERESTED")&gt;0,1,0),0)</f>
        <v>0</v>
      </c>
      <c r="O575" s="28">
        <f>IF(L575=1,IF(COUNTIFS(LOG!$C$2:$C$2001,F575,LOG!$D$2:$D$2001,"STOP")+COUNTIFS(LOG!$C$2:$C$2001,F575,LOG!$D$2:$D$2001,"WRONG_NUMBER")&gt;0,1,IF(ISNUMBER(SEARCH("STOP",AT575)),1,0)),0)</f>
        <v>0</v>
      </c>
      <c r="P575" s="28">
        <f>IF(L575=1,IF(IFERROR(INDEX(PARTNERS!$D$2:$D$88,MATCH(B575,PARTNERS!$A$2:$A$88,0)),"")="NO SLOTS",1,IF(AND(IFERROR(INDEX(PARTNERS!$D$2:$D$88,MATCH(B575,PARTNERS!$A$2:$A$88,0)),"")&lt;&gt;"REOPENED",COUNTIFS(LOG!$E$2:$E$2001,B575,LOG!$D$2:$D$2001,"NO_SLOTS")&gt;0),1,0)),0)</f>
        <v>0</v>
      </c>
      <c r="Q575" s="28">
        <f>IF(L575=1,COUNTIFS(LOG!$C$2:$C$2001,F575,LOG!$H$2:$H$2001,1),0)</f>
        <v>0</v>
      </c>
      <c r="R575" s="46">
        <f>IF(Q575&gt;0,_xlfn.MAXIFS(LOG!$G$2:$G$2001,LOG!$C$2:$C$2001,F575,LOG!$H$2:$H$2001,1),0)</f>
        <v>0</v>
      </c>
      <c r="S575" s="28" t="str">
        <f>IF(Q575&gt;0,IFERROR(INDEX(LOG!$D$2:$D$2001,MATCH(F575&amp;"|"&amp;Q575,LOG!$I$2:$I$2001,0)),""),"")</f>
        <v/>
      </c>
      <c r="T575" s="28">
        <f>IF(S575="",0,IFERROR(VLOOKUP(S575,LISTS!$A$2:$E$10,4,FALSE),0))</f>
        <v>0</v>
      </c>
      <c r="U575" s="46">
        <f t="shared" si="90"/>
        <v>0</v>
      </c>
      <c r="V575" s="46" t="str">
        <f>IF(L575=1,H575+SETTINGS!$B$5/24,"")</f>
        <v/>
      </c>
      <c r="W575" s="28" t="str">
        <f>IF(L575=1,(V575-SETTINGS!$B$4)*24,"")</f>
        <v/>
      </c>
      <c r="X575" s="28">
        <f ca="1">IF(AND(L575=1,K575="OK",M575=0,N575=0,O575=0,P575=0,SETTINGS!$B$4&lt;V575,Q575&lt;SETTINGS!$B$6),1,0)</f>
        <v>0</v>
      </c>
      <c r="Y575" s="28">
        <f ca="1">IF(AND(X575=1,SETTINGS!$B$4&gt;=H575,SETTINGS!$B$4&gt;=U575,ROUND(MOD(SETTINGS!$B$4,1)*1440,0)&gt;=ROUND(SETTINGS!$B$7*1440,0),ROUND(MOD(SETTINGS!$B$4,1)*1440,0)&lt;ROUND(SETTINGS!$B$8*1440,0)),1,0)</f>
        <v>0</v>
      </c>
      <c r="Z575" s="28" t="str">
        <f>IF(B575="","",IF(ROUND(MOD(SETTINGS!$B$4,1)*1440,0)&lt;ROUND(SETTINGS!$B$11*1440,0),"Ram",IF(ROUND(MOD(SETTINGS!$B$4,1)*1440,0)&gt;=ROUND(SETTINGS!$B$10*1440,0),"Shyam",IF(MOD(IFERROR(VALUE(RIGHT(F575,2)),0),2)=0,"Ram","Shyam"))))</f>
        <v/>
      </c>
      <c r="AA575" s="28">
        <f t="shared" ca="1" si="91"/>
        <v>0</v>
      </c>
      <c r="AB575" s="28">
        <f ca="1">IF(X575=1,COUNTIFS($F$2:F575,F575,$X$2:X575,1),0)</f>
        <v>0</v>
      </c>
      <c r="AC575" s="28" t="str">
        <f>IF(L575=1,IF(IFERROR(INDEX(PARTNERS!$C$2:$C$88,MATCH(B575,PARTNERS!$A$2:$A$88,0)),"")="YES","YES","NO"),"")</f>
        <v/>
      </c>
      <c r="AD575" s="28" t="str">
        <f>IF(L575=1,IFERROR(INDEX(PARTNERS!$B$2:$B$88,MATCH(B575,PARTNERS!$A$2:$A$88,0)),""),"")</f>
        <v/>
      </c>
      <c r="AE575" s="28">
        <f ca="1">IF(X575=1,IFERROR(INDEX(SETTINGS!$B$34:$D$36,MATCH(I575,SETTINGS!$A$34:$A$36,0),MIN(Q575,2)+1),SETTINGS!$B$36),0)</f>
        <v>0</v>
      </c>
      <c r="AF575" s="28">
        <f t="shared" si="92"/>
        <v>0</v>
      </c>
      <c r="AG575" s="28">
        <f ca="1">IF(AND(Y575=1,AB575=1),ROUND(AA575*AE575*IF(AF575&gt;1,SETTINGS!$B$16,1)*IF(W575&lt;=SETTINGS!$B$14,SETTINGS!$B$15,1)*IF(AU575=1,SETTINGS!$B$21,1),6),0)</f>
        <v>0</v>
      </c>
      <c r="AH575" s="28" t="str">
        <f ca="1">IF(AG575&gt;0,COUNTIFS($Z$2:$Z$601,Z575,$AG$2:$AG$601,"&gt;"&amp;AG575)+COUNTIFS($Z$2:Z575,Z575,$AG$2:AG575,AG575),"")</f>
        <v/>
      </c>
      <c r="AI575" s="28" t="str">
        <f t="shared" ca="1" si="93"/>
        <v/>
      </c>
      <c r="AJ575" s="28" t="str">
        <f t="shared" ca="1" si="94"/>
        <v/>
      </c>
      <c r="AK575" s="28">
        <f>IF(L575=1,IF(COUNTIFS($F$2:F575,F575,$L$2:L575,1)=1,1,0),0)</f>
        <v>0</v>
      </c>
      <c r="AL575" s="28" t="str">
        <f>IF(B575="","",IF(K575="DUPLICATE","Duplicate (removed)",IF(AO575=1,"Scheduled within 24h",IF(M575=1,"Scheduled late",IF(K575="BAD CONTACT","Bad contact details",IF(O575=1,"Stopped / wrong number",IF(N575=1,"Not interested",IF(P575=1,"Partner has no slots",IF(SETTINGS!$B$4&gt;=V575,IF(Q575=0,"Missed deadline: never tried","Missed deadline: tried, not booked"),IF(Q575&gt;=SETTINGS!$B$6,"No reply after max tries","Open"))))))))))</f>
        <v/>
      </c>
      <c r="AM575" s="46" t="str">
        <f>IF(M575=1,IF(_xlfn.MINIFS(LOG!$G$2:$G$2001,LOG!$C$2:$C$2001,F575,LOG!$E$2:$E$2001,B575,LOG!$D$2:$D$2001,"*BOOKED")=0,_xlfn.MINIFS(LOG!$G$2:$G$2001,LOG!$C$2:$C$2001,F575,LOG!$E$2:$E$2001,"",LOG!$D$2:$D$2001,"*BOOKED"),IF(_xlfn.MINIFS(LOG!$G$2:$G$2001,LOG!$C$2:$C$2001,F575,LOG!$E$2:$E$2001,"",LOG!$D$2:$D$2001,"*BOOKED")=0,_xlfn.MINIFS(LOG!$G$2:$G$2001,LOG!$C$2:$C$2001,F575,LOG!$E$2:$E$2001,B575,LOG!$D$2:$D$2001,"*BOOKED"),MIN(_xlfn.MINIFS(LOG!$G$2:$G$2001,LOG!$C$2:$C$2001,F575,LOG!$E$2:$E$2001,B575,LOG!$D$2:$D$2001,"*BOOKED"),_xlfn.MINIFS(LOG!$G$2:$G$2001,LOG!$C$2:$C$2001,F575,LOG!$E$2:$E$2001,"",LOG!$D$2:$D$2001,"*BOOKED")))),"")</f>
        <v/>
      </c>
      <c r="AN575" s="28" t="str">
        <f t="shared" si="95"/>
        <v/>
      </c>
      <c r="AO575" s="28">
        <f>IF(AND(M575=1,AN575&lt;&gt;""),IF(AN575&lt;=SETTINGS!$B$5,1,0),0)</f>
        <v>0</v>
      </c>
      <c r="AP575" s="28">
        <f>IF(M575=1,IF(COUNTIFS(LOG!$C$2:$C$2001,F575,LOG!$E$2:$E$2001,B575,LOG!$D$2:$D$2001,"BOOKED")+COUNTIFS(LOG!$C$2:$C$2001,F575,LOG!$E$2:$E$2001,"",LOG!$D$2:$D$2001,"BOOKED")&gt;0,1,0),0)</f>
        <v>0</v>
      </c>
      <c r="AQ575" s="28" t="str">
        <f t="shared" si="96"/>
        <v/>
      </c>
      <c r="AR575" s="28" t="str">
        <f>IF(AND(AK575=1,K575="OK"),COUNTIFS($AK$2:AK575,1,$K$2:K575,"OK"),"")</f>
        <v/>
      </c>
      <c r="AS575" s="28" t="str">
        <f>IF(L575=1,IFERROR(INDEX(MESSAGES!$J$9:$J$1008,MATCH(F575,MESSAGES!$M$9:$M$1008,0))&amp;"",""),"")</f>
        <v/>
      </c>
      <c r="AT575" s="28" t="str">
        <f>IF(L575=1,IFERROR(INDEX(MESSAGES!$K$9:$K$1008,MATCH(F575,MESSAGES!$M$9:$M$1008,0))&amp;"",""),"")</f>
        <v/>
      </c>
      <c r="AU575" s="28">
        <f t="shared" ca="1" si="97"/>
        <v>0</v>
      </c>
      <c r="AV575" s="28" t="str">
        <f t="shared" si="98"/>
        <v/>
      </c>
    </row>
    <row r="576" spans="1:48" x14ac:dyDescent="0.35">
      <c r="A576" s="28">
        <v>575</v>
      </c>
      <c r="B576" s="28" t="str">
        <f>IF(INPUT!A576="","",TRIM(INPUT!A576))</f>
        <v/>
      </c>
      <c r="C576" s="28" t="str">
        <f>IF(B576="","",INPUT!C576)</f>
        <v/>
      </c>
      <c r="D576" s="28" t="str">
        <f>IF(B576="","",INPUT!D576)</f>
        <v/>
      </c>
      <c r="E576" s="28" t="str">
        <f>IF(B576="","",INPUT!E576)</f>
        <v/>
      </c>
      <c r="F576" s="43" t="str">
        <f>IF(B576="","",TRIM(INPUT!F576&amp;""))</f>
        <v/>
      </c>
      <c r="G576" s="28" t="str">
        <f>IF(B576="","",INPUT!H576)</f>
        <v/>
      </c>
      <c r="H576" s="46" t="str">
        <f>IF(B576="","",INPUT!I576)</f>
        <v/>
      </c>
      <c r="I576" s="28" t="str">
        <f>IF(B576="","",IF(INPUT!J576="","None",INPUT!J576))</f>
        <v/>
      </c>
      <c r="J576" s="28" t="str">
        <f t="shared" si="88"/>
        <v/>
      </c>
      <c r="K576" s="28" t="str">
        <f>IF(B576="","",IF(SUMPRODUCT(($J$2:$J$601=J576)*($H$2:$H$601&lt;H576))+SUMPRODUCT(($J$2:J576=J576)*($H$2:H576=H576))-1&gt;0,"DUPLICATE",IF(AND(ISNUMBER(SEARCH("@",E576)),ISNUMBER(SEARCH(".",E576)),LEN(F576)=10,ISNUMBER(VALUE(F576))),"OK","BAD CONTACT")))</f>
        <v/>
      </c>
      <c r="L576" s="28">
        <f t="shared" si="89"/>
        <v>0</v>
      </c>
      <c r="M576" s="28">
        <f>IF(L576=1,IF(COUNTIFS(LOG!$C$2:$C$2001,F576,LOG!$E$2:$E$2001,B576,LOG!$D$2:$D$2001,"*BOOKED")+COUNTIFS(LOG!$C$2:$C$2001,F576,LOG!$E$2:$E$2001,"",LOG!$D$2:$D$2001,"*BOOKED")&gt;0,1,0),0)</f>
        <v>0</v>
      </c>
      <c r="N576" s="28">
        <f>IF(L576=1,IF(COUNTIFS(LOG!$C$2:$C$2001,F576,LOG!$E$2:$E$2001,B576,LOG!$D$2:$D$2001,"NOT_INTERESTED")+COUNTIFS(LOG!$C$2:$C$2001,F576,LOG!$E$2:$E$2001,"",LOG!$D$2:$D$2001,"NOT_INTERESTED")&gt;0,1,0),0)</f>
        <v>0</v>
      </c>
      <c r="O576" s="28">
        <f>IF(L576=1,IF(COUNTIFS(LOG!$C$2:$C$2001,F576,LOG!$D$2:$D$2001,"STOP")+COUNTIFS(LOG!$C$2:$C$2001,F576,LOG!$D$2:$D$2001,"WRONG_NUMBER")&gt;0,1,IF(ISNUMBER(SEARCH("STOP",AT576)),1,0)),0)</f>
        <v>0</v>
      </c>
      <c r="P576" s="28">
        <f>IF(L576=1,IF(IFERROR(INDEX(PARTNERS!$D$2:$D$88,MATCH(B576,PARTNERS!$A$2:$A$88,0)),"")="NO SLOTS",1,IF(AND(IFERROR(INDEX(PARTNERS!$D$2:$D$88,MATCH(B576,PARTNERS!$A$2:$A$88,0)),"")&lt;&gt;"REOPENED",COUNTIFS(LOG!$E$2:$E$2001,B576,LOG!$D$2:$D$2001,"NO_SLOTS")&gt;0),1,0)),0)</f>
        <v>0</v>
      </c>
      <c r="Q576" s="28">
        <f>IF(L576=1,COUNTIFS(LOG!$C$2:$C$2001,F576,LOG!$H$2:$H$2001,1),0)</f>
        <v>0</v>
      </c>
      <c r="R576" s="46">
        <f>IF(Q576&gt;0,_xlfn.MAXIFS(LOG!$G$2:$G$2001,LOG!$C$2:$C$2001,F576,LOG!$H$2:$H$2001,1),0)</f>
        <v>0</v>
      </c>
      <c r="S576" s="28" t="str">
        <f>IF(Q576&gt;0,IFERROR(INDEX(LOG!$D$2:$D$2001,MATCH(F576&amp;"|"&amp;Q576,LOG!$I$2:$I$2001,0)),""),"")</f>
        <v/>
      </c>
      <c r="T576" s="28">
        <f>IF(S576="",0,IFERROR(VLOOKUP(S576,LISTS!$A$2:$E$10,4,FALSE),0))</f>
        <v>0</v>
      </c>
      <c r="U576" s="46">
        <f t="shared" si="90"/>
        <v>0</v>
      </c>
      <c r="V576" s="46" t="str">
        <f>IF(L576=1,H576+SETTINGS!$B$5/24,"")</f>
        <v/>
      </c>
      <c r="W576" s="28" t="str">
        <f>IF(L576=1,(V576-SETTINGS!$B$4)*24,"")</f>
        <v/>
      </c>
      <c r="X576" s="28">
        <f ca="1">IF(AND(L576=1,K576="OK",M576=0,N576=0,O576=0,P576=0,SETTINGS!$B$4&lt;V576,Q576&lt;SETTINGS!$B$6),1,0)</f>
        <v>0</v>
      </c>
      <c r="Y576" s="28">
        <f ca="1">IF(AND(X576=1,SETTINGS!$B$4&gt;=H576,SETTINGS!$B$4&gt;=U576,ROUND(MOD(SETTINGS!$B$4,1)*1440,0)&gt;=ROUND(SETTINGS!$B$7*1440,0),ROUND(MOD(SETTINGS!$B$4,1)*1440,0)&lt;ROUND(SETTINGS!$B$8*1440,0)),1,0)</f>
        <v>0</v>
      </c>
      <c r="Z576" s="28" t="str">
        <f>IF(B576="","",IF(ROUND(MOD(SETTINGS!$B$4,1)*1440,0)&lt;ROUND(SETTINGS!$B$11*1440,0),"Ram",IF(ROUND(MOD(SETTINGS!$B$4,1)*1440,0)&gt;=ROUND(SETTINGS!$B$10*1440,0),"Shyam",IF(MOD(IFERROR(VALUE(RIGHT(F576,2)),0),2)=0,"Ram","Shyam"))))</f>
        <v/>
      </c>
      <c r="AA576" s="28">
        <f t="shared" ca="1" si="91"/>
        <v>0</v>
      </c>
      <c r="AB576" s="28">
        <f ca="1">IF(X576=1,COUNTIFS($F$2:F576,F576,$X$2:X576,1),0)</f>
        <v>0</v>
      </c>
      <c r="AC576" s="28" t="str">
        <f>IF(L576=1,IF(IFERROR(INDEX(PARTNERS!$C$2:$C$88,MATCH(B576,PARTNERS!$A$2:$A$88,0)),"")="YES","YES","NO"),"")</f>
        <v/>
      </c>
      <c r="AD576" s="28" t="str">
        <f>IF(L576=1,IFERROR(INDEX(PARTNERS!$B$2:$B$88,MATCH(B576,PARTNERS!$A$2:$A$88,0)),""),"")</f>
        <v/>
      </c>
      <c r="AE576" s="28">
        <f ca="1">IF(X576=1,IFERROR(INDEX(SETTINGS!$B$34:$D$36,MATCH(I576,SETTINGS!$A$34:$A$36,0),MIN(Q576,2)+1),SETTINGS!$B$36),0)</f>
        <v>0</v>
      </c>
      <c r="AF576" s="28">
        <f t="shared" si="92"/>
        <v>0</v>
      </c>
      <c r="AG576" s="28">
        <f ca="1">IF(AND(Y576=1,AB576=1),ROUND(AA576*AE576*IF(AF576&gt;1,SETTINGS!$B$16,1)*IF(W576&lt;=SETTINGS!$B$14,SETTINGS!$B$15,1)*IF(AU576=1,SETTINGS!$B$21,1),6),0)</f>
        <v>0</v>
      </c>
      <c r="AH576" s="28" t="str">
        <f ca="1">IF(AG576&gt;0,COUNTIFS($Z$2:$Z$601,Z576,$AG$2:$AG$601,"&gt;"&amp;AG576)+COUNTIFS($Z$2:Z576,Z576,$AG$2:AG576,AG576),"")</f>
        <v/>
      </c>
      <c r="AI576" s="28" t="str">
        <f t="shared" ca="1" si="93"/>
        <v/>
      </c>
      <c r="AJ576" s="28" t="str">
        <f t="shared" ca="1" si="94"/>
        <v/>
      </c>
      <c r="AK576" s="28">
        <f>IF(L576=1,IF(COUNTIFS($F$2:F576,F576,$L$2:L576,1)=1,1,0),0)</f>
        <v>0</v>
      </c>
      <c r="AL576" s="28" t="str">
        <f>IF(B576="","",IF(K576="DUPLICATE","Duplicate (removed)",IF(AO576=1,"Scheduled within 24h",IF(M576=1,"Scheduled late",IF(K576="BAD CONTACT","Bad contact details",IF(O576=1,"Stopped / wrong number",IF(N576=1,"Not interested",IF(P576=1,"Partner has no slots",IF(SETTINGS!$B$4&gt;=V576,IF(Q576=0,"Missed deadline: never tried","Missed deadline: tried, not booked"),IF(Q576&gt;=SETTINGS!$B$6,"No reply after max tries","Open"))))))))))</f>
        <v/>
      </c>
      <c r="AM576" s="46" t="str">
        <f>IF(M576=1,IF(_xlfn.MINIFS(LOG!$G$2:$G$2001,LOG!$C$2:$C$2001,F576,LOG!$E$2:$E$2001,B576,LOG!$D$2:$D$2001,"*BOOKED")=0,_xlfn.MINIFS(LOG!$G$2:$G$2001,LOG!$C$2:$C$2001,F576,LOG!$E$2:$E$2001,"",LOG!$D$2:$D$2001,"*BOOKED"),IF(_xlfn.MINIFS(LOG!$G$2:$G$2001,LOG!$C$2:$C$2001,F576,LOG!$E$2:$E$2001,"",LOG!$D$2:$D$2001,"*BOOKED")=0,_xlfn.MINIFS(LOG!$G$2:$G$2001,LOG!$C$2:$C$2001,F576,LOG!$E$2:$E$2001,B576,LOG!$D$2:$D$2001,"*BOOKED"),MIN(_xlfn.MINIFS(LOG!$G$2:$G$2001,LOG!$C$2:$C$2001,F576,LOG!$E$2:$E$2001,B576,LOG!$D$2:$D$2001,"*BOOKED"),_xlfn.MINIFS(LOG!$G$2:$G$2001,LOG!$C$2:$C$2001,F576,LOG!$E$2:$E$2001,"",LOG!$D$2:$D$2001,"*BOOKED")))),"")</f>
        <v/>
      </c>
      <c r="AN576" s="28" t="str">
        <f t="shared" si="95"/>
        <v/>
      </c>
      <c r="AO576" s="28">
        <f>IF(AND(M576=1,AN576&lt;&gt;""),IF(AN576&lt;=SETTINGS!$B$5,1,0),0)</f>
        <v>0</v>
      </c>
      <c r="AP576" s="28">
        <f>IF(M576=1,IF(COUNTIFS(LOG!$C$2:$C$2001,F576,LOG!$E$2:$E$2001,B576,LOG!$D$2:$D$2001,"BOOKED")+COUNTIFS(LOG!$C$2:$C$2001,F576,LOG!$E$2:$E$2001,"",LOG!$D$2:$D$2001,"BOOKED")&gt;0,1,0),0)</f>
        <v>0</v>
      </c>
      <c r="AQ576" s="28" t="str">
        <f t="shared" si="96"/>
        <v/>
      </c>
      <c r="AR576" s="28" t="str">
        <f>IF(AND(AK576=1,K576="OK"),COUNTIFS($AK$2:AK576,1,$K$2:K576,"OK"),"")</f>
        <v/>
      </c>
      <c r="AS576" s="28" t="str">
        <f>IF(L576=1,IFERROR(INDEX(MESSAGES!$J$9:$J$1008,MATCH(F576,MESSAGES!$M$9:$M$1008,0))&amp;"",""),"")</f>
        <v/>
      </c>
      <c r="AT576" s="28" t="str">
        <f>IF(L576=1,IFERROR(INDEX(MESSAGES!$K$9:$K$1008,MATCH(F576,MESSAGES!$M$9:$M$1008,0))&amp;"",""),"")</f>
        <v/>
      </c>
      <c r="AU576" s="28">
        <f t="shared" ca="1" si="97"/>
        <v>0</v>
      </c>
      <c r="AV576" s="28" t="str">
        <f t="shared" si="98"/>
        <v/>
      </c>
    </row>
    <row r="577" spans="1:48" x14ac:dyDescent="0.35">
      <c r="A577" s="28">
        <v>576</v>
      </c>
      <c r="B577" s="28" t="str">
        <f>IF(INPUT!A577="","",TRIM(INPUT!A577))</f>
        <v/>
      </c>
      <c r="C577" s="28" t="str">
        <f>IF(B577="","",INPUT!C577)</f>
        <v/>
      </c>
      <c r="D577" s="28" t="str">
        <f>IF(B577="","",INPUT!D577)</f>
        <v/>
      </c>
      <c r="E577" s="28" t="str">
        <f>IF(B577="","",INPUT!E577)</f>
        <v/>
      </c>
      <c r="F577" s="43" t="str">
        <f>IF(B577="","",TRIM(INPUT!F577&amp;""))</f>
        <v/>
      </c>
      <c r="G577" s="28" t="str">
        <f>IF(B577="","",INPUT!H577)</f>
        <v/>
      </c>
      <c r="H577" s="46" t="str">
        <f>IF(B577="","",INPUT!I577)</f>
        <v/>
      </c>
      <c r="I577" s="28" t="str">
        <f>IF(B577="","",IF(INPUT!J577="","None",INPUT!J577))</f>
        <v/>
      </c>
      <c r="J577" s="28" t="str">
        <f t="shared" si="88"/>
        <v/>
      </c>
      <c r="K577" s="28" t="str">
        <f>IF(B577="","",IF(SUMPRODUCT(($J$2:$J$601=J577)*($H$2:$H$601&lt;H577))+SUMPRODUCT(($J$2:J577=J577)*($H$2:H577=H577))-1&gt;0,"DUPLICATE",IF(AND(ISNUMBER(SEARCH("@",E577)),ISNUMBER(SEARCH(".",E577)),LEN(F577)=10,ISNUMBER(VALUE(F577))),"OK","BAD CONTACT")))</f>
        <v/>
      </c>
      <c r="L577" s="28">
        <f t="shared" si="89"/>
        <v>0</v>
      </c>
      <c r="M577" s="28">
        <f>IF(L577=1,IF(COUNTIFS(LOG!$C$2:$C$2001,F577,LOG!$E$2:$E$2001,B577,LOG!$D$2:$D$2001,"*BOOKED")+COUNTIFS(LOG!$C$2:$C$2001,F577,LOG!$E$2:$E$2001,"",LOG!$D$2:$D$2001,"*BOOKED")&gt;0,1,0),0)</f>
        <v>0</v>
      </c>
      <c r="N577" s="28">
        <f>IF(L577=1,IF(COUNTIFS(LOG!$C$2:$C$2001,F577,LOG!$E$2:$E$2001,B577,LOG!$D$2:$D$2001,"NOT_INTERESTED")+COUNTIFS(LOG!$C$2:$C$2001,F577,LOG!$E$2:$E$2001,"",LOG!$D$2:$D$2001,"NOT_INTERESTED")&gt;0,1,0),0)</f>
        <v>0</v>
      </c>
      <c r="O577" s="28">
        <f>IF(L577=1,IF(COUNTIFS(LOG!$C$2:$C$2001,F577,LOG!$D$2:$D$2001,"STOP")+COUNTIFS(LOG!$C$2:$C$2001,F577,LOG!$D$2:$D$2001,"WRONG_NUMBER")&gt;0,1,IF(ISNUMBER(SEARCH("STOP",AT577)),1,0)),0)</f>
        <v>0</v>
      </c>
      <c r="P577" s="28">
        <f>IF(L577=1,IF(IFERROR(INDEX(PARTNERS!$D$2:$D$88,MATCH(B577,PARTNERS!$A$2:$A$88,0)),"")="NO SLOTS",1,IF(AND(IFERROR(INDEX(PARTNERS!$D$2:$D$88,MATCH(B577,PARTNERS!$A$2:$A$88,0)),"")&lt;&gt;"REOPENED",COUNTIFS(LOG!$E$2:$E$2001,B577,LOG!$D$2:$D$2001,"NO_SLOTS")&gt;0),1,0)),0)</f>
        <v>0</v>
      </c>
      <c r="Q577" s="28">
        <f>IF(L577=1,COUNTIFS(LOG!$C$2:$C$2001,F577,LOG!$H$2:$H$2001,1),0)</f>
        <v>0</v>
      </c>
      <c r="R577" s="46">
        <f>IF(Q577&gt;0,_xlfn.MAXIFS(LOG!$G$2:$G$2001,LOG!$C$2:$C$2001,F577,LOG!$H$2:$H$2001,1),0)</f>
        <v>0</v>
      </c>
      <c r="S577" s="28" t="str">
        <f>IF(Q577&gt;0,IFERROR(INDEX(LOG!$D$2:$D$2001,MATCH(F577&amp;"|"&amp;Q577,LOG!$I$2:$I$2001,0)),""),"")</f>
        <v/>
      </c>
      <c r="T577" s="28">
        <f>IF(S577="",0,IFERROR(VLOOKUP(S577,LISTS!$A$2:$E$10,4,FALSE),0))</f>
        <v>0</v>
      </c>
      <c r="U577" s="46">
        <f t="shared" si="90"/>
        <v>0</v>
      </c>
      <c r="V577" s="46" t="str">
        <f>IF(L577=1,H577+SETTINGS!$B$5/24,"")</f>
        <v/>
      </c>
      <c r="W577" s="28" t="str">
        <f>IF(L577=1,(V577-SETTINGS!$B$4)*24,"")</f>
        <v/>
      </c>
      <c r="X577" s="28">
        <f ca="1">IF(AND(L577=1,K577="OK",M577=0,N577=0,O577=0,P577=0,SETTINGS!$B$4&lt;V577,Q577&lt;SETTINGS!$B$6),1,0)</f>
        <v>0</v>
      </c>
      <c r="Y577" s="28">
        <f ca="1">IF(AND(X577=1,SETTINGS!$B$4&gt;=H577,SETTINGS!$B$4&gt;=U577,ROUND(MOD(SETTINGS!$B$4,1)*1440,0)&gt;=ROUND(SETTINGS!$B$7*1440,0),ROUND(MOD(SETTINGS!$B$4,1)*1440,0)&lt;ROUND(SETTINGS!$B$8*1440,0)),1,0)</f>
        <v>0</v>
      </c>
      <c r="Z577" s="28" t="str">
        <f>IF(B577="","",IF(ROUND(MOD(SETTINGS!$B$4,1)*1440,0)&lt;ROUND(SETTINGS!$B$11*1440,0),"Ram",IF(ROUND(MOD(SETTINGS!$B$4,1)*1440,0)&gt;=ROUND(SETTINGS!$B$10*1440,0),"Shyam",IF(MOD(IFERROR(VALUE(RIGHT(F577,2)),0),2)=0,"Ram","Shyam"))))</f>
        <v/>
      </c>
      <c r="AA577" s="28">
        <f t="shared" ca="1" si="91"/>
        <v>0</v>
      </c>
      <c r="AB577" s="28">
        <f ca="1">IF(X577=1,COUNTIFS($F$2:F577,F577,$X$2:X577,1),0)</f>
        <v>0</v>
      </c>
      <c r="AC577" s="28" t="str">
        <f>IF(L577=1,IF(IFERROR(INDEX(PARTNERS!$C$2:$C$88,MATCH(B577,PARTNERS!$A$2:$A$88,0)),"")="YES","YES","NO"),"")</f>
        <v/>
      </c>
      <c r="AD577" s="28" t="str">
        <f>IF(L577=1,IFERROR(INDEX(PARTNERS!$B$2:$B$88,MATCH(B577,PARTNERS!$A$2:$A$88,0)),""),"")</f>
        <v/>
      </c>
      <c r="AE577" s="28">
        <f ca="1">IF(X577=1,IFERROR(INDEX(SETTINGS!$B$34:$D$36,MATCH(I577,SETTINGS!$A$34:$A$36,0),MIN(Q577,2)+1),SETTINGS!$B$36),0)</f>
        <v>0</v>
      </c>
      <c r="AF577" s="28">
        <f t="shared" si="92"/>
        <v>0</v>
      </c>
      <c r="AG577" s="28">
        <f ca="1">IF(AND(Y577=1,AB577=1),ROUND(AA577*AE577*IF(AF577&gt;1,SETTINGS!$B$16,1)*IF(W577&lt;=SETTINGS!$B$14,SETTINGS!$B$15,1)*IF(AU577=1,SETTINGS!$B$21,1),6),0)</f>
        <v>0</v>
      </c>
      <c r="AH577" s="28" t="str">
        <f ca="1">IF(AG577&gt;0,COUNTIFS($Z$2:$Z$601,Z577,$AG$2:$AG$601,"&gt;"&amp;AG577)+COUNTIFS($Z$2:Z577,Z577,$AG$2:AG577,AG577),"")</f>
        <v/>
      </c>
      <c r="AI577" s="28" t="str">
        <f t="shared" ca="1" si="93"/>
        <v/>
      </c>
      <c r="AJ577" s="28" t="str">
        <f t="shared" ca="1" si="94"/>
        <v/>
      </c>
      <c r="AK577" s="28">
        <f>IF(L577=1,IF(COUNTIFS($F$2:F577,F577,$L$2:L577,1)=1,1,0),0)</f>
        <v>0</v>
      </c>
      <c r="AL577" s="28" t="str">
        <f>IF(B577="","",IF(K577="DUPLICATE","Duplicate (removed)",IF(AO577=1,"Scheduled within 24h",IF(M577=1,"Scheduled late",IF(K577="BAD CONTACT","Bad contact details",IF(O577=1,"Stopped / wrong number",IF(N577=1,"Not interested",IF(P577=1,"Partner has no slots",IF(SETTINGS!$B$4&gt;=V577,IF(Q577=0,"Missed deadline: never tried","Missed deadline: tried, not booked"),IF(Q577&gt;=SETTINGS!$B$6,"No reply after max tries","Open"))))))))))</f>
        <v/>
      </c>
      <c r="AM577" s="46" t="str">
        <f>IF(M577=1,IF(_xlfn.MINIFS(LOG!$G$2:$G$2001,LOG!$C$2:$C$2001,F577,LOG!$E$2:$E$2001,B577,LOG!$D$2:$D$2001,"*BOOKED")=0,_xlfn.MINIFS(LOG!$G$2:$G$2001,LOG!$C$2:$C$2001,F577,LOG!$E$2:$E$2001,"",LOG!$D$2:$D$2001,"*BOOKED"),IF(_xlfn.MINIFS(LOG!$G$2:$G$2001,LOG!$C$2:$C$2001,F577,LOG!$E$2:$E$2001,"",LOG!$D$2:$D$2001,"*BOOKED")=0,_xlfn.MINIFS(LOG!$G$2:$G$2001,LOG!$C$2:$C$2001,F577,LOG!$E$2:$E$2001,B577,LOG!$D$2:$D$2001,"*BOOKED"),MIN(_xlfn.MINIFS(LOG!$G$2:$G$2001,LOG!$C$2:$C$2001,F577,LOG!$E$2:$E$2001,B577,LOG!$D$2:$D$2001,"*BOOKED"),_xlfn.MINIFS(LOG!$G$2:$G$2001,LOG!$C$2:$C$2001,F577,LOG!$E$2:$E$2001,"",LOG!$D$2:$D$2001,"*BOOKED")))),"")</f>
        <v/>
      </c>
      <c r="AN577" s="28" t="str">
        <f t="shared" si="95"/>
        <v/>
      </c>
      <c r="AO577" s="28">
        <f>IF(AND(M577=1,AN577&lt;&gt;""),IF(AN577&lt;=SETTINGS!$B$5,1,0),0)</f>
        <v>0</v>
      </c>
      <c r="AP577" s="28">
        <f>IF(M577=1,IF(COUNTIFS(LOG!$C$2:$C$2001,F577,LOG!$E$2:$E$2001,B577,LOG!$D$2:$D$2001,"BOOKED")+COUNTIFS(LOG!$C$2:$C$2001,F577,LOG!$E$2:$E$2001,"",LOG!$D$2:$D$2001,"BOOKED")&gt;0,1,0),0)</f>
        <v>0</v>
      </c>
      <c r="AQ577" s="28" t="str">
        <f t="shared" si="96"/>
        <v/>
      </c>
      <c r="AR577" s="28" t="str">
        <f>IF(AND(AK577=1,K577="OK"),COUNTIFS($AK$2:AK577,1,$K$2:K577,"OK"),"")</f>
        <v/>
      </c>
      <c r="AS577" s="28" t="str">
        <f>IF(L577=1,IFERROR(INDEX(MESSAGES!$J$9:$J$1008,MATCH(F577,MESSAGES!$M$9:$M$1008,0))&amp;"",""),"")</f>
        <v/>
      </c>
      <c r="AT577" s="28" t="str">
        <f>IF(L577=1,IFERROR(INDEX(MESSAGES!$K$9:$K$1008,MATCH(F577,MESSAGES!$M$9:$M$1008,0))&amp;"",""),"")</f>
        <v/>
      </c>
      <c r="AU577" s="28">
        <f t="shared" ca="1" si="97"/>
        <v>0</v>
      </c>
      <c r="AV577" s="28" t="str">
        <f t="shared" si="98"/>
        <v/>
      </c>
    </row>
    <row r="578" spans="1:48" x14ac:dyDescent="0.35">
      <c r="A578" s="28">
        <v>577</v>
      </c>
      <c r="B578" s="28" t="str">
        <f>IF(INPUT!A578="","",TRIM(INPUT!A578))</f>
        <v/>
      </c>
      <c r="C578" s="28" t="str">
        <f>IF(B578="","",INPUT!C578)</f>
        <v/>
      </c>
      <c r="D578" s="28" t="str">
        <f>IF(B578="","",INPUT!D578)</f>
        <v/>
      </c>
      <c r="E578" s="28" t="str">
        <f>IF(B578="","",INPUT!E578)</f>
        <v/>
      </c>
      <c r="F578" s="43" t="str">
        <f>IF(B578="","",TRIM(INPUT!F578&amp;""))</f>
        <v/>
      </c>
      <c r="G578" s="28" t="str">
        <f>IF(B578="","",INPUT!H578)</f>
        <v/>
      </c>
      <c r="H578" s="46" t="str">
        <f>IF(B578="","",INPUT!I578)</f>
        <v/>
      </c>
      <c r="I578" s="28" t="str">
        <f>IF(B578="","",IF(INPUT!J578="","None",INPUT!J578))</f>
        <v/>
      </c>
      <c r="J578" s="28" t="str">
        <f t="shared" ref="J578:J601" si="99">IF(B578="","",LOWER(E578)&amp;"|"&amp;LOWER(B578)&amp;"|"&amp;G578&amp;"|"&amp;LOWER(C578))</f>
        <v/>
      </c>
      <c r="K578" s="28" t="str">
        <f>IF(B578="","",IF(SUMPRODUCT(($J$2:$J$601=J578)*($H$2:$H$601&lt;H578))+SUMPRODUCT(($J$2:J578=J578)*($H$2:H578=H578))-1&gt;0,"DUPLICATE",IF(AND(ISNUMBER(SEARCH("@",E578)),ISNUMBER(SEARCH(".",E578)),LEN(F578)=10,ISNUMBER(VALUE(F578))),"OK","BAD CONTACT")))</f>
        <v/>
      </c>
      <c r="L578" s="28">
        <f t="shared" ref="L578:L641" si="100">IF(B578="",0,IF(K578="DUPLICATE",0,1))</f>
        <v>0</v>
      </c>
      <c r="M578" s="28">
        <f>IF(L578=1,IF(COUNTIFS(LOG!$C$2:$C$2001,F578,LOG!$E$2:$E$2001,B578,LOG!$D$2:$D$2001,"*BOOKED")+COUNTIFS(LOG!$C$2:$C$2001,F578,LOG!$E$2:$E$2001,"",LOG!$D$2:$D$2001,"*BOOKED")&gt;0,1,0),0)</f>
        <v>0</v>
      </c>
      <c r="N578" s="28">
        <f>IF(L578=1,IF(COUNTIFS(LOG!$C$2:$C$2001,F578,LOG!$E$2:$E$2001,B578,LOG!$D$2:$D$2001,"NOT_INTERESTED")+COUNTIFS(LOG!$C$2:$C$2001,F578,LOG!$E$2:$E$2001,"",LOG!$D$2:$D$2001,"NOT_INTERESTED")&gt;0,1,0),0)</f>
        <v>0</v>
      </c>
      <c r="O578" s="28">
        <f>IF(L578=1,IF(COUNTIFS(LOG!$C$2:$C$2001,F578,LOG!$D$2:$D$2001,"STOP")+COUNTIFS(LOG!$C$2:$C$2001,F578,LOG!$D$2:$D$2001,"WRONG_NUMBER")&gt;0,1,IF(ISNUMBER(SEARCH("STOP",AT578)),1,0)),0)</f>
        <v>0</v>
      </c>
      <c r="P578" s="28">
        <f>IF(L578=1,IF(IFERROR(INDEX(PARTNERS!$D$2:$D$88,MATCH(B578,PARTNERS!$A$2:$A$88,0)),"")="NO SLOTS",1,IF(AND(IFERROR(INDEX(PARTNERS!$D$2:$D$88,MATCH(B578,PARTNERS!$A$2:$A$88,0)),"")&lt;&gt;"REOPENED",COUNTIFS(LOG!$E$2:$E$2001,B578,LOG!$D$2:$D$2001,"NO_SLOTS")&gt;0),1,0)),0)</f>
        <v>0</v>
      </c>
      <c r="Q578" s="28">
        <f>IF(L578=1,COUNTIFS(LOG!$C$2:$C$2001,F578,LOG!$H$2:$H$2001,1),0)</f>
        <v>0</v>
      </c>
      <c r="R578" s="46">
        <f>IF(Q578&gt;0,_xlfn.MAXIFS(LOG!$G$2:$G$2001,LOG!$C$2:$C$2001,F578,LOG!$H$2:$H$2001,1),0)</f>
        <v>0</v>
      </c>
      <c r="S578" s="28" t="str">
        <f>IF(Q578&gt;0,IFERROR(INDEX(LOG!$D$2:$D$2001,MATCH(F578&amp;"|"&amp;Q578,LOG!$I$2:$I$2001,0)),""),"")</f>
        <v/>
      </c>
      <c r="T578" s="28">
        <f>IF(S578="",0,IFERROR(VLOOKUP(S578,LISTS!$A$2:$E$10,4,FALSE),0))</f>
        <v>0</v>
      </c>
      <c r="U578" s="46">
        <f t="shared" ref="U578:U641" si="101">IF(Q578=0,0,R578+T578/1440)</f>
        <v>0</v>
      </c>
      <c r="V578" s="46" t="str">
        <f>IF(L578=1,H578+SETTINGS!$B$5/24,"")</f>
        <v/>
      </c>
      <c r="W578" s="28" t="str">
        <f>IF(L578=1,(V578-SETTINGS!$B$4)*24,"")</f>
        <v/>
      </c>
      <c r="X578" s="28">
        <f ca="1">IF(AND(L578=1,K578="OK",M578=0,N578=0,O578=0,P578=0,SETTINGS!$B$4&lt;V578,Q578&lt;SETTINGS!$B$6),1,0)</f>
        <v>0</v>
      </c>
      <c r="Y578" s="28">
        <f ca="1">IF(AND(X578=1,SETTINGS!$B$4&gt;=H578,SETTINGS!$B$4&gt;=U578,ROUND(MOD(SETTINGS!$B$4,1)*1440,0)&gt;=ROUND(SETTINGS!$B$7*1440,0),ROUND(MOD(SETTINGS!$B$4,1)*1440,0)&lt;ROUND(SETTINGS!$B$8*1440,0)),1,0)</f>
        <v>0</v>
      </c>
      <c r="Z578" s="28" t="str">
        <f>IF(B578="","",IF(ROUND(MOD(SETTINGS!$B$4,1)*1440,0)&lt;ROUND(SETTINGS!$B$11*1440,0),"Ram",IF(ROUND(MOD(SETTINGS!$B$4,1)*1440,0)&gt;=ROUND(SETTINGS!$B$10*1440,0),"Shyam",IF(MOD(IFERROR(VALUE(RIGHT(F578,2)),0),2)=0,"Ram","Shyam"))))</f>
        <v/>
      </c>
      <c r="AA578" s="28">
        <f t="shared" ref="AA578:AA601" ca="1" si="102">IF(X578=1,COUNTIFS($F$2:$F$601,F578,$X$2:$X$601,1),0)</f>
        <v>0</v>
      </c>
      <c r="AB578" s="28">
        <f ca="1">IF(X578=1,COUNTIFS($F$2:F578,F578,$X$2:X578,1),0)</f>
        <v>0</v>
      </c>
      <c r="AC578" s="28" t="str">
        <f>IF(L578=1,IF(IFERROR(INDEX(PARTNERS!$C$2:$C$88,MATCH(B578,PARTNERS!$A$2:$A$88,0)),"")="YES","YES","NO"),"")</f>
        <v/>
      </c>
      <c r="AD578" s="28" t="str">
        <f>IF(L578=1,IFERROR(INDEX(PARTNERS!$B$2:$B$88,MATCH(B578,PARTNERS!$A$2:$A$88,0)),""),"")</f>
        <v/>
      </c>
      <c r="AE578" s="28">
        <f ca="1">IF(X578=1,IFERROR(INDEX(SETTINGS!$B$34:$D$36,MATCH(I578,SETTINGS!$A$34:$A$36,0),MIN(Q578,2)+1),SETTINGS!$B$36),0)</f>
        <v>0</v>
      </c>
      <c r="AF578" s="28">
        <f t="shared" ref="AF578:AF601" si="103">IF(L578=1,IFERROR(VALUE(RIGHT(G578,1)),1),0)</f>
        <v>0</v>
      </c>
      <c r="AG578" s="28">
        <f ca="1">IF(AND(Y578=1,AB578=1),ROUND(AA578*AE578*IF(AF578&gt;1,SETTINGS!$B$16,1)*IF(W578&lt;=SETTINGS!$B$14,SETTINGS!$B$15,1)*IF(AU578=1,SETTINGS!$B$21,1),6),0)</f>
        <v>0</v>
      </c>
      <c r="AH578" s="28" t="str">
        <f ca="1">IF(AG578&gt;0,COUNTIFS($Z$2:$Z$601,Z578,$AG$2:$AG$601,"&gt;"&amp;AG578)+COUNTIFS($Z$2:Z578,Z578,$AG$2:AG578,AG578),"")</f>
        <v/>
      </c>
      <c r="AI578" s="28" t="str">
        <f t="shared" ref="AI578:AI641" ca="1" si="104">IF(AH578&lt;&gt;"",Z578&amp;"|"&amp;AH578,"")</f>
        <v/>
      </c>
      <c r="AJ578" s="28" t="str">
        <f t="shared" ref="AJ578:AJ601" ca="1" si="105">IF(X578=1,F578&amp;"|"&amp;AB578,"")</f>
        <v/>
      </c>
      <c r="AK578" s="28">
        <f>IF(L578=1,IF(COUNTIFS($F$2:F578,F578,$L$2:L578,1)=1,1,0),0)</f>
        <v>0</v>
      </c>
      <c r="AL578" s="28" t="str">
        <f>IF(B578="","",IF(K578="DUPLICATE","Duplicate (removed)",IF(AO578=1,"Scheduled within 24h",IF(M578=1,"Scheduled late",IF(K578="BAD CONTACT","Bad contact details",IF(O578=1,"Stopped / wrong number",IF(N578=1,"Not interested",IF(P578=1,"Partner has no slots",IF(SETTINGS!$B$4&gt;=V578,IF(Q578=0,"Missed deadline: never tried","Missed deadline: tried, not booked"),IF(Q578&gt;=SETTINGS!$B$6,"No reply after max tries","Open"))))))))))</f>
        <v/>
      </c>
      <c r="AM578" s="46" t="str">
        <f>IF(M578=1,IF(_xlfn.MINIFS(LOG!$G$2:$G$2001,LOG!$C$2:$C$2001,F578,LOG!$E$2:$E$2001,B578,LOG!$D$2:$D$2001,"*BOOKED")=0,_xlfn.MINIFS(LOG!$G$2:$G$2001,LOG!$C$2:$C$2001,F578,LOG!$E$2:$E$2001,"",LOG!$D$2:$D$2001,"*BOOKED"),IF(_xlfn.MINIFS(LOG!$G$2:$G$2001,LOG!$C$2:$C$2001,F578,LOG!$E$2:$E$2001,"",LOG!$D$2:$D$2001,"*BOOKED")=0,_xlfn.MINIFS(LOG!$G$2:$G$2001,LOG!$C$2:$C$2001,F578,LOG!$E$2:$E$2001,B578,LOG!$D$2:$D$2001,"*BOOKED"),MIN(_xlfn.MINIFS(LOG!$G$2:$G$2001,LOG!$C$2:$C$2001,F578,LOG!$E$2:$E$2001,B578,LOG!$D$2:$D$2001,"*BOOKED"),_xlfn.MINIFS(LOG!$G$2:$G$2001,LOG!$C$2:$C$2001,F578,LOG!$E$2:$E$2001,"",LOG!$D$2:$D$2001,"*BOOKED")))),"")</f>
        <v/>
      </c>
      <c r="AN578" s="28" t="str">
        <f t="shared" ref="AN578:AN641" si="106">IF(M578=1,(AM578-H578)*24,"")</f>
        <v/>
      </c>
      <c r="AO578" s="28">
        <f>IF(AND(M578=1,AN578&lt;&gt;""),IF(AN578&lt;=SETTINGS!$B$5,1,0),0)</f>
        <v>0</v>
      </c>
      <c r="AP578" s="28">
        <f>IF(M578=1,IF(COUNTIFS(LOG!$C$2:$C$2001,F578,LOG!$E$2:$E$2001,B578,LOG!$D$2:$D$2001,"BOOKED")+COUNTIFS(LOG!$C$2:$C$2001,F578,LOG!$E$2:$E$2001,"",LOG!$D$2:$D$2001,"BOOKED")&gt;0,1,0),0)</f>
        <v>0</v>
      </c>
      <c r="AQ578" s="28" t="str">
        <f t="shared" ref="AQ578:AQ601" si="107">IF(B578="","",LEFT(D578,FIND(" ",D578&amp;" ")-1))</f>
        <v/>
      </c>
      <c r="AR578" s="28" t="str">
        <f>IF(AND(AK578=1,K578="OK"),COUNTIFS($AK$2:AK578,1,$K$2:K578,"OK"),"")</f>
        <v/>
      </c>
      <c r="AS578" s="28" t="str">
        <f>IF(L578=1,IFERROR(INDEX(MESSAGES!$J$9:$J$1008,MATCH(F578,MESSAGES!$M$9:$M$1008,0))&amp;"",""),"")</f>
        <v/>
      </c>
      <c r="AT578" s="28" t="str">
        <f>IF(L578=1,IFERROR(INDEX(MESSAGES!$K$9:$K$1008,MATCH(F578,MESSAGES!$M$9:$M$1008,0))&amp;"",""),"")</f>
        <v/>
      </c>
      <c r="AU578" s="28">
        <f t="shared" ref="AU578:AU641" ca="1" si="108">IF(AND(X578=1,ISNUMBER(SEARCH("YES",AT578))),1,0)</f>
        <v>0</v>
      </c>
      <c r="AV578" s="28" t="str">
        <f t="shared" ref="AV578:AV601" si="109">IF(L578=1,IF(MOD(IFERROR(VALUE(MID(F578,9,1)),0),2)=0,"SEND","HOLD"),"")</f>
        <v/>
      </c>
    </row>
    <row r="579" spans="1:48" x14ac:dyDescent="0.35">
      <c r="A579" s="28">
        <v>578</v>
      </c>
      <c r="B579" s="28" t="str">
        <f>IF(INPUT!A579="","",TRIM(INPUT!A579))</f>
        <v/>
      </c>
      <c r="C579" s="28" t="str">
        <f>IF(B579="","",INPUT!C579)</f>
        <v/>
      </c>
      <c r="D579" s="28" t="str">
        <f>IF(B579="","",INPUT!D579)</f>
        <v/>
      </c>
      <c r="E579" s="28" t="str">
        <f>IF(B579="","",INPUT!E579)</f>
        <v/>
      </c>
      <c r="F579" s="43" t="str">
        <f>IF(B579="","",TRIM(INPUT!F579&amp;""))</f>
        <v/>
      </c>
      <c r="G579" s="28" t="str">
        <f>IF(B579="","",INPUT!H579)</f>
        <v/>
      </c>
      <c r="H579" s="46" t="str">
        <f>IF(B579="","",INPUT!I579)</f>
        <v/>
      </c>
      <c r="I579" s="28" t="str">
        <f>IF(B579="","",IF(INPUT!J579="","None",INPUT!J579))</f>
        <v/>
      </c>
      <c r="J579" s="28" t="str">
        <f t="shared" si="99"/>
        <v/>
      </c>
      <c r="K579" s="28" t="str">
        <f>IF(B579="","",IF(SUMPRODUCT(($J$2:$J$601=J579)*($H$2:$H$601&lt;H579))+SUMPRODUCT(($J$2:J579=J579)*($H$2:H579=H579))-1&gt;0,"DUPLICATE",IF(AND(ISNUMBER(SEARCH("@",E579)),ISNUMBER(SEARCH(".",E579)),LEN(F579)=10,ISNUMBER(VALUE(F579))),"OK","BAD CONTACT")))</f>
        <v/>
      </c>
      <c r="L579" s="28">
        <f t="shared" si="100"/>
        <v>0</v>
      </c>
      <c r="M579" s="28">
        <f>IF(L579=1,IF(COUNTIFS(LOG!$C$2:$C$2001,F579,LOG!$E$2:$E$2001,B579,LOG!$D$2:$D$2001,"*BOOKED")+COUNTIFS(LOG!$C$2:$C$2001,F579,LOG!$E$2:$E$2001,"",LOG!$D$2:$D$2001,"*BOOKED")&gt;0,1,0),0)</f>
        <v>0</v>
      </c>
      <c r="N579" s="28">
        <f>IF(L579=1,IF(COUNTIFS(LOG!$C$2:$C$2001,F579,LOG!$E$2:$E$2001,B579,LOG!$D$2:$D$2001,"NOT_INTERESTED")+COUNTIFS(LOG!$C$2:$C$2001,F579,LOG!$E$2:$E$2001,"",LOG!$D$2:$D$2001,"NOT_INTERESTED")&gt;0,1,0),0)</f>
        <v>0</v>
      </c>
      <c r="O579" s="28">
        <f>IF(L579=1,IF(COUNTIFS(LOG!$C$2:$C$2001,F579,LOG!$D$2:$D$2001,"STOP")+COUNTIFS(LOG!$C$2:$C$2001,F579,LOG!$D$2:$D$2001,"WRONG_NUMBER")&gt;0,1,IF(ISNUMBER(SEARCH("STOP",AT579)),1,0)),0)</f>
        <v>0</v>
      </c>
      <c r="P579" s="28">
        <f>IF(L579=1,IF(IFERROR(INDEX(PARTNERS!$D$2:$D$88,MATCH(B579,PARTNERS!$A$2:$A$88,0)),"")="NO SLOTS",1,IF(AND(IFERROR(INDEX(PARTNERS!$D$2:$D$88,MATCH(B579,PARTNERS!$A$2:$A$88,0)),"")&lt;&gt;"REOPENED",COUNTIFS(LOG!$E$2:$E$2001,B579,LOG!$D$2:$D$2001,"NO_SLOTS")&gt;0),1,0)),0)</f>
        <v>0</v>
      </c>
      <c r="Q579" s="28">
        <f>IF(L579=1,COUNTIFS(LOG!$C$2:$C$2001,F579,LOG!$H$2:$H$2001,1),0)</f>
        <v>0</v>
      </c>
      <c r="R579" s="46">
        <f>IF(Q579&gt;0,_xlfn.MAXIFS(LOG!$G$2:$G$2001,LOG!$C$2:$C$2001,F579,LOG!$H$2:$H$2001,1),0)</f>
        <v>0</v>
      </c>
      <c r="S579" s="28" t="str">
        <f>IF(Q579&gt;0,IFERROR(INDEX(LOG!$D$2:$D$2001,MATCH(F579&amp;"|"&amp;Q579,LOG!$I$2:$I$2001,0)),""),"")</f>
        <v/>
      </c>
      <c r="T579" s="28">
        <f>IF(S579="",0,IFERROR(VLOOKUP(S579,LISTS!$A$2:$E$10,4,FALSE),0))</f>
        <v>0</v>
      </c>
      <c r="U579" s="46">
        <f t="shared" si="101"/>
        <v>0</v>
      </c>
      <c r="V579" s="46" t="str">
        <f>IF(L579=1,H579+SETTINGS!$B$5/24,"")</f>
        <v/>
      </c>
      <c r="W579" s="28" t="str">
        <f>IF(L579=1,(V579-SETTINGS!$B$4)*24,"")</f>
        <v/>
      </c>
      <c r="X579" s="28">
        <f ca="1">IF(AND(L579=1,K579="OK",M579=0,N579=0,O579=0,P579=0,SETTINGS!$B$4&lt;V579,Q579&lt;SETTINGS!$B$6),1,0)</f>
        <v>0</v>
      </c>
      <c r="Y579" s="28">
        <f ca="1">IF(AND(X579=1,SETTINGS!$B$4&gt;=H579,SETTINGS!$B$4&gt;=U579,ROUND(MOD(SETTINGS!$B$4,1)*1440,0)&gt;=ROUND(SETTINGS!$B$7*1440,0),ROUND(MOD(SETTINGS!$B$4,1)*1440,0)&lt;ROUND(SETTINGS!$B$8*1440,0)),1,0)</f>
        <v>0</v>
      </c>
      <c r="Z579" s="28" t="str">
        <f>IF(B579="","",IF(ROUND(MOD(SETTINGS!$B$4,1)*1440,0)&lt;ROUND(SETTINGS!$B$11*1440,0),"Ram",IF(ROUND(MOD(SETTINGS!$B$4,1)*1440,0)&gt;=ROUND(SETTINGS!$B$10*1440,0),"Shyam",IF(MOD(IFERROR(VALUE(RIGHT(F579,2)),0),2)=0,"Ram","Shyam"))))</f>
        <v/>
      </c>
      <c r="AA579" s="28">
        <f t="shared" ca="1" si="102"/>
        <v>0</v>
      </c>
      <c r="AB579" s="28">
        <f ca="1">IF(X579=1,COUNTIFS($F$2:F579,F579,$X$2:X579,1),0)</f>
        <v>0</v>
      </c>
      <c r="AC579" s="28" t="str">
        <f>IF(L579=1,IF(IFERROR(INDEX(PARTNERS!$C$2:$C$88,MATCH(B579,PARTNERS!$A$2:$A$88,0)),"")="YES","YES","NO"),"")</f>
        <v/>
      </c>
      <c r="AD579" s="28" t="str">
        <f>IF(L579=1,IFERROR(INDEX(PARTNERS!$B$2:$B$88,MATCH(B579,PARTNERS!$A$2:$A$88,0)),""),"")</f>
        <v/>
      </c>
      <c r="AE579" s="28">
        <f ca="1">IF(X579=1,IFERROR(INDEX(SETTINGS!$B$34:$D$36,MATCH(I579,SETTINGS!$A$34:$A$36,0),MIN(Q579,2)+1),SETTINGS!$B$36),0)</f>
        <v>0</v>
      </c>
      <c r="AF579" s="28">
        <f t="shared" si="103"/>
        <v>0</v>
      </c>
      <c r="AG579" s="28">
        <f ca="1">IF(AND(Y579=1,AB579=1),ROUND(AA579*AE579*IF(AF579&gt;1,SETTINGS!$B$16,1)*IF(W579&lt;=SETTINGS!$B$14,SETTINGS!$B$15,1)*IF(AU579=1,SETTINGS!$B$21,1),6),0)</f>
        <v>0</v>
      </c>
      <c r="AH579" s="28" t="str">
        <f ca="1">IF(AG579&gt;0,COUNTIFS($Z$2:$Z$601,Z579,$AG$2:$AG$601,"&gt;"&amp;AG579)+COUNTIFS($Z$2:Z579,Z579,$AG$2:AG579,AG579),"")</f>
        <v/>
      </c>
      <c r="AI579" s="28" t="str">
        <f t="shared" ca="1" si="104"/>
        <v/>
      </c>
      <c r="AJ579" s="28" t="str">
        <f t="shared" ca="1" si="105"/>
        <v/>
      </c>
      <c r="AK579" s="28">
        <f>IF(L579=1,IF(COUNTIFS($F$2:F579,F579,$L$2:L579,1)=1,1,0),0)</f>
        <v>0</v>
      </c>
      <c r="AL579" s="28" t="str">
        <f>IF(B579="","",IF(K579="DUPLICATE","Duplicate (removed)",IF(AO579=1,"Scheduled within 24h",IF(M579=1,"Scheduled late",IF(K579="BAD CONTACT","Bad contact details",IF(O579=1,"Stopped / wrong number",IF(N579=1,"Not interested",IF(P579=1,"Partner has no slots",IF(SETTINGS!$B$4&gt;=V579,IF(Q579=0,"Missed deadline: never tried","Missed deadline: tried, not booked"),IF(Q579&gt;=SETTINGS!$B$6,"No reply after max tries","Open"))))))))))</f>
        <v/>
      </c>
      <c r="AM579" s="46" t="str">
        <f>IF(M579=1,IF(_xlfn.MINIFS(LOG!$G$2:$G$2001,LOG!$C$2:$C$2001,F579,LOG!$E$2:$E$2001,B579,LOG!$D$2:$D$2001,"*BOOKED")=0,_xlfn.MINIFS(LOG!$G$2:$G$2001,LOG!$C$2:$C$2001,F579,LOG!$E$2:$E$2001,"",LOG!$D$2:$D$2001,"*BOOKED"),IF(_xlfn.MINIFS(LOG!$G$2:$G$2001,LOG!$C$2:$C$2001,F579,LOG!$E$2:$E$2001,"",LOG!$D$2:$D$2001,"*BOOKED")=0,_xlfn.MINIFS(LOG!$G$2:$G$2001,LOG!$C$2:$C$2001,F579,LOG!$E$2:$E$2001,B579,LOG!$D$2:$D$2001,"*BOOKED"),MIN(_xlfn.MINIFS(LOG!$G$2:$G$2001,LOG!$C$2:$C$2001,F579,LOG!$E$2:$E$2001,B579,LOG!$D$2:$D$2001,"*BOOKED"),_xlfn.MINIFS(LOG!$G$2:$G$2001,LOG!$C$2:$C$2001,F579,LOG!$E$2:$E$2001,"",LOG!$D$2:$D$2001,"*BOOKED")))),"")</f>
        <v/>
      </c>
      <c r="AN579" s="28" t="str">
        <f t="shared" si="106"/>
        <v/>
      </c>
      <c r="AO579" s="28">
        <f>IF(AND(M579=1,AN579&lt;&gt;""),IF(AN579&lt;=SETTINGS!$B$5,1,0),0)</f>
        <v>0</v>
      </c>
      <c r="AP579" s="28">
        <f>IF(M579=1,IF(COUNTIFS(LOG!$C$2:$C$2001,F579,LOG!$E$2:$E$2001,B579,LOG!$D$2:$D$2001,"BOOKED")+COUNTIFS(LOG!$C$2:$C$2001,F579,LOG!$E$2:$E$2001,"",LOG!$D$2:$D$2001,"BOOKED")&gt;0,1,0),0)</f>
        <v>0</v>
      </c>
      <c r="AQ579" s="28" t="str">
        <f t="shared" si="107"/>
        <v/>
      </c>
      <c r="AR579" s="28" t="str">
        <f>IF(AND(AK579=1,K579="OK"),COUNTIFS($AK$2:AK579,1,$K$2:K579,"OK"),"")</f>
        <v/>
      </c>
      <c r="AS579" s="28" t="str">
        <f>IF(L579=1,IFERROR(INDEX(MESSAGES!$J$9:$J$1008,MATCH(F579,MESSAGES!$M$9:$M$1008,0))&amp;"",""),"")</f>
        <v/>
      </c>
      <c r="AT579" s="28" t="str">
        <f>IF(L579=1,IFERROR(INDEX(MESSAGES!$K$9:$K$1008,MATCH(F579,MESSAGES!$M$9:$M$1008,0))&amp;"",""),"")</f>
        <v/>
      </c>
      <c r="AU579" s="28">
        <f t="shared" ca="1" si="108"/>
        <v>0</v>
      </c>
      <c r="AV579" s="28" t="str">
        <f t="shared" si="109"/>
        <v/>
      </c>
    </row>
    <row r="580" spans="1:48" x14ac:dyDescent="0.35">
      <c r="A580" s="28">
        <v>579</v>
      </c>
      <c r="B580" s="28" t="str">
        <f>IF(INPUT!A580="","",TRIM(INPUT!A580))</f>
        <v/>
      </c>
      <c r="C580" s="28" t="str">
        <f>IF(B580="","",INPUT!C580)</f>
        <v/>
      </c>
      <c r="D580" s="28" t="str">
        <f>IF(B580="","",INPUT!D580)</f>
        <v/>
      </c>
      <c r="E580" s="28" t="str">
        <f>IF(B580="","",INPUT!E580)</f>
        <v/>
      </c>
      <c r="F580" s="43" t="str">
        <f>IF(B580="","",TRIM(INPUT!F580&amp;""))</f>
        <v/>
      </c>
      <c r="G580" s="28" t="str">
        <f>IF(B580="","",INPUT!H580)</f>
        <v/>
      </c>
      <c r="H580" s="46" t="str">
        <f>IF(B580="","",INPUT!I580)</f>
        <v/>
      </c>
      <c r="I580" s="28" t="str">
        <f>IF(B580="","",IF(INPUT!J580="","None",INPUT!J580))</f>
        <v/>
      </c>
      <c r="J580" s="28" t="str">
        <f t="shared" si="99"/>
        <v/>
      </c>
      <c r="K580" s="28" t="str">
        <f>IF(B580="","",IF(SUMPRODUCT(($J$2:$J$601=J580)*($H$2:$H$601&lt;H580))+SUMPRODUCT(($J$2:J580=J580)*($H$2:H580=H580))-1&gt;0,"DUPLICATE",IF(AND(ISNUMBER(SEARCH("@",E580)),ISNUMBER(SEARCH(".",E580)),LEN(F580)=10,ISNUMBER(VALUE(F580))),"OK","BAD CONTACT")))</f>
        <v/>
      </c>
      <c r="L580" s="28">
        <f t="shared" si="100"/>
        <v>0</v>
      </c>
      <c r="M580" s="28">
        <f>IF(L580=1,IF(COUNTIFS(LOG!$C$2:$C$2001,F580,LOG!$E$2:$E$2001,B580,LOG!$D$2:$D$2001,"*BOOKED")+COUNTIFS(LOG!$C$2:$C$2001,F580,LOG!$E$2:$E$2001,"",LOG!$D$2:$D$2001,"*BOOKED")&gt;0,1,0),0)</f>
        <v>0</v>
      </c>
      <c r="N580" s="28">
        <f>IF(L580=1,IF(COUNTIFS(LOG!$C$2:$C$2001,F580,LOG!$E$2:$E$2001,B580,LOG!$D$2:$D$2001,"NOT_INTERESTED")+COUNTIFS(LOG!$C$2:$C$2001,F580,LOG!$E$2:$E$2001,"",LOG!$D$2:$D$2001,"NOT_INTERESTED")&gt;0,1,0),0)</f>
        <v>0</v>
      </c>
      <c r="O580" s="28">
        <f>IF(L580=1,IF(COUNTIFS(LOG!$C$2:$C$2001,F580,LOG!$D$2:$D$2001,"STOP")+COUNTIFS(LOG!$C$2:$C$2001,F580,LOG!$D$2:$D$2001,"WRONG_NUMBER")&gt;0,1,IF(ISNUMBER(SEARCH("STOP",AT580)),1,0)),0)</f>
        <v>0</v>
      </c>
      <c r="P580" s="28">
        <f>IF(L580=1,IF(IFERROR(INDEX(PARTNERS!$D$2:$D$88,MATCH(B580,PARTNERS!$A$2:$A$88,0)),"")="NO SLOTS",1,IF(AND(IFERROR(INDEX(PARTNERS!$D$2:$D$88,MATCH(B580,PARTNERS!$A$2:$A$88,0)),"")&lt;&gt;"REOPENED",COUNTIFS(LOG!$E$2:$E$2001,B580,LOG!$D$2:$D$2001,"NO_SLOTS")&gt;0),1,0)),0)</f>
        <v>0</v>
      </c>
      <c r="Q580" s="28">
        <f>IF(L580=1,COUNTIFS(LOG!$C$2:$C$2001,F580,LOG!$H$2:$H$2001,1),0)</f>
        <v>0</v>
      </c>
      <c r="R580" s="46">
        <f>IF(Q580&gt;0,_xlfn.MAXIFS(LOG!$G$2:$G$2001,LOG!$C$2:$C$2001,F580,LOG!$H$2:$H$2001,1),0)</f>
        <v>0</v>
      </c>
      <c r="S580" s="28" t="str">
        <f>IF(Q580&gt;0,IFERROR(INDEX(LOG!$D$2:$D$2001,MATCH(F580&amp;"|"&amp;Q580,LOG!$I$2:$I$2001,0)),""),"")</f>
        <v/>
      </c>
      <c r="T580" s="28">
        <f>IF(S580="",0,IFERROR(VLOOKUP(S580,LISTS!$A$2:$E$10,4,FALSE),0))</f>
        <v>0</v>
      </c>
      <c r="U580" s="46">
        <f t="shared" si="101"/>
        <v>0</v>
      </c>
      <c r="V580" s="46" t="str">
        <f>IF(L580=1,H580+SETTINGS!$B$5/24,"")</f>
        <v/>
      </c>
      <c r="W580" s="28" t="str">
        <f>IF(L580=1,(V580-SETTINGS!$B$4)*24,"")</f>
        <v/>
      </c>
      <c r="X580" s="28">
        <f ca="1">IF(AND(L580=1,K580="OK",M580=0,N580=0,O580=0,P580=0,SETTINGS!$B$4&lt;V580,Q580&lt;SETTINGS!$B$6),1,0)</f>
        <v>0</v>
      </c>
      <c r="Y580" s="28">
        <f ca="1">IF(AND(X580=1,SETTINGS!$B$4&gt;=H580,SETTINGS!$B$4&gt;=U580,ROUND(MOD(SETTINGS!$B$4,1)*1440,0)&gt;=ROUND(SETTINGS!$B$7*1440,0),ROUND(MOD(SETTINGS!$B$4,1)*1440,0)&lt;ROUND(SETTINGS!$B$8*1440,0)),1,0)</f>
        <v>0</v>
      </c>
      <c r="Z580" s="28" t="str">
        <f>IF(B580="","",IF(ROUND(MOD(SETTINGS!$B$4,1)*1440,0)&lt;ROUND(SETTINGS!$B$11*1440,0),"Ram",IF(ROUND(MOD(SETTINGS!$B$4,1)*1440,0)&gt;=ROUND(SETTINGS!$B$10*1440,0),"Shyam",IF(MOD(IFERROR(VALUE(RIGHT(F580,2)),0),2)=0,"Ram","Shyam"))))</f>
        <v/>
      </c>
      <c r="AA580" s="28">
        <f t="shared" ca="1" si="102"/>
        <v>0</v>
      </c>
      <c r="AB580" s="28">
        <f ca="1">IF(X580=1,COUNTIFS($F$2:F580,F580,$X$2:X580,1),0)</f>
        <v>0</v>
      </c>
      <c r="AC580" s="28" t="str">
        <f>IF(L580=1,IF(IFERROR(INDEX(PARTNERS!$C$2:$C$88,MATCH(B580,PARTNERS!$A$2:$A$88,0)),"")="YES","YES","NO"),"")</f>
        <v/>
      </c>
      <c r="AD580" s="28" t="str">
        <f>IF(L580=1,IFERROR(INDEX(PARTNERS!$B$2:$B$88,MATCH(B580,PARTNERS!$A$2:$A$88,0)),""),"")</f>
        <v/>
      </c>
      <c r="AE580" s="28">
        <f ca="1">IF(X580=1,IFERROR(INDEX(SETTINGS!$B$34:$D$36,MATCH(I580,SETTINGS!$A$34:$A$36,0),MIN(Q580,2)+1),SETTINGS!$B$36),0)</f>
        <v>0</v>
      </c>
      <c r="AF580" s="28">
        <f t="shared" si="103"/>
        <v>0</v>
      </c>
      <c r="AG580" s="28">
        <f ca="1">IF(AND(Y580=1,AB580=1),ROUND(AA580*AE580*IF(AF580&gt;1,SETTINGS!$B$16,1)*IF(W580&lt;=SETTINGS!$B$14,SETTINGS!$B$15,1)*IF(AU580=1,SETTINGS!$B$21,1),6),0)</f>
        <v>0</v>
      </c>
      <c r="AH580" s="28" t="str">
        <f ca="1">IF(AG580&gt;0,COUNTIFS($Z$2:$Z$601,Z580,$AG$2:$AG$601,"&gt;"&amp;AG580)+COUNTIFS($Z$2:Z580,Z580,$AG$2:AG580,AG580),"")</f>
        <v/>
      </c>
      <c r="AI580" s="28" t="str">
        <f t="shared" ca="1" si="104"/>
        <v/>
      </c>
      <c r="AJ580" s="28" t="str">
        <f t="shared" ca="1" si="105"/>
        <v/>
      </c>
      <c r="AK580" s="28">
        <f>IF(L580=1,IF(COUNTIFS($F$2:F580,F580,$L$2:L580,1)=1,1,0),0)</f>
        <v>0</v>
      </c>
      <c r="AL580" s="28" t="str">
        <f>IF(B580="","",IF(K580="DUPLICATE","Duplicate (removed)",IF(AO580=1,"Scheduled within 24h",IF(M580=1,"Scheduled late",IF(K580="BAD CONTACT","Bad contact details",IF(O580=1,"Stopped / wrong number",IF(N580=1,"Not interested",IF(P580=1,"Partner has no slots",IF(SETTINGS!$B$4&gt;=V580,IF(Q580=0,"Missed deadline: never tried","Missed deadline: tried, not booked"),IF(Q580&gt;=SETTINGS!$B$6,"No reply after max tries","Open"))))))))))</f>
        <v/>
      </c>
      <c r="AM580" s="46" t="str">
        <f>IF(M580=1,IF(_xlfn.MINIFS(LOG!$G$2:$G$2001,LOG!$C$2:$C$2001,F580,LOG!$E$2:$E$2001,B580,LOG!$D$2:$D$2001,"*BOOKED")=0,_xlfn.MINIFS(LOG!$G$2:$G$2001,LOG!$C$2:$C$2001,F580,LOG!$E$2:$E$2001,"",LOG!$D$2:$D$2001,"*BOOKED"),IF(_xlfn.MINIFS(LOG!$G$2:$G$2001,LOG!$C$2:$C$2001,F580,LOG!$E$2:$E$2001,"",LOG!$D$2:$D$2001,"*BOOKED")=0,_xlfn.MINIFS(LOG!$G$2:$G$2001,LOG!$C$2:$C$2001,F580,LOG!$E$2:$E$2001,B580,LOG!$D$2:$D$2001,"*BOOKED"),MIN(_xlfn.MINIFS(LOG!$G$2:$G$2001,LOG!$C$2:$C$2001,F580,LOG!$E$2:$E$2001,B580,LOG!$D$2:$D$2001,"*BOOKED"),_xlfn.MINIFS(LOG!$G$2:$G$2001,LOG!$C$2:$C$2001,F580,LOG!$E$2:$E$2001,"",LOG!$D$2:$D$2001,"*BOOKED")))),"")</f>
        <v/>
      </c>
      <c r="AN580" s="28" t="str">
        <f t="shared" si="106"/>
        <v/>
      </c>
      <c r="AO580" s="28">
        <f>IF(AND(M580=1,AN580&lt;&gt;""),IF(AN580&lt;=SETTINGS!$B$5,1,0),0)</f>
        <v>0</v>
      </c>
      <c r="AP580" s="28">
        <f>IF(M580=1,IF(COUNTIFS(LOG!$C$2:$C$2001,F580,LOG!$E$2:$E$2001,B580,LOG!$D$2:$D$2001,"BOOKED")+COUNTIFS(LOG!$C$2:$C$2001,F580,LOG!$E$2:$E$2001,"",LOG!$D$2:$D$2001,"BOOKED")&gt;0,1,0),0)</f>
        <v>0</v>
      </c>
      <c r="AQ580" s="28" t="str">
        <f t="shared" si="107"/>
        <v/>
      </c>
      <c r="AR580" s="28" t="str">
        <f>IF(AND(AK580=1,K580="OK"),COUNTIFS($AK$2:AK580,1,$K$2:K580,"OK"),"")</f>
        <v/>
      </c>
      <c r="AS580" s="28" t="str">
        <f>IF(L580=1,IFERROR(INDEX(MESSAGES!$J$9:$J$1008,MATCH(F580,MESSAGES!$M$9:$M$1008,0))&amp;"",""),"")</f>
        <v/>
      </c>
      <c r="AT580" s="28" t="str">
        <f>IF(L580=1,IFERROR(INDEX(MESSAGES!$K$9:$K$1008,MATCH(F580,MESSAGES!$M$9:$M$1008,0))&amp;"",""),"")</f>
        <v/>
      </c>
      <c r="AU580" s="28">
        <f t="shared" ca="1" si="108"/>
        <v>0</v>
      </c>
      <c r="AV580" s="28" t="str">
        <f t="shared" si="109"/>
        <v/>
      </c>
    </row>
    <row r="581" spans="1:48" x14ac:dyDescent="0.35">
      <c r="A581" s="28">
        <v>580</v>
      </c>
      <c r="B581" s="28" t="str">
        <f>IF(INPUT!A581="","",TRIM(INPUT!A581))</f>
        <v/>
      </c>
      <c r="C581" s="28" t="str">
        <f>IF(B581="","",INPUT!C581)</f>
        <v/>
      </c>
      <c r="D581" s="28" t="str">
        <f>IF(B581="","",INPUT!D581)</f>
        <v/>
      </c>
      <c r="E581" s="28" t="str">
        <f>IF(B581="","",INPUT!E581)</f>
        <v/>
      </c>
      <c r="F581" s="43" t="str">
        <f>IF(B581="","",TRIM(INPUT!F581&amp;""))</f>
        <v/>
      </c>
      <c r="G581" s="28" t="str">
        <f>IF(B581="","",INPUT!H581)</f>
        <v/>
      </c>
      <c r="H581" s="46" t="str">
        <f>IF(B581="","",INPUT!I581)</f>
        <v/>
      </c>
      <c r="I581" s="28" t="str">
        <f>IF(B581="","",IF(INPUT!J581="","None",INPUT!J581))</f>
        <v/>
      </c>
      <c r="J581" s="28" t="str">
        <f t="shared" si="99"/>
        <v/>
      </c>
      <c r="K581" s="28" t="str">
        <f>IF(B581="","",IF(SUMPRODUCT(($J$2:$J$601=J581)*($H$2:$H$601&lt;H581))+SUMPRODUCT(($J$2:J581=J581)*($H$2:H581=H581))-1&gt;0,"DUPLICATE",IF(AND(ISNUMBER(SEARCH("@",E581)),ISNUMBER(SEARCH(".",E581)),LEN(F581)=10,ISNUMBER(VALUE(F581))),"OK","BAD CONTACT")))</f>
        <v/>
      </c>
      <c r="L581" s="28">
        <f t="shared" si="100"/>
        <v>0</v>
      </c>
      <c r="M581" s="28">
        <f>IF(L581=1,IF(COUNTIFS(LOG!$C$2:$C$2001,F581,LOG!$E$2:$E$2001,B581,LOG!$D$2:$D$2001,"*BOOKED")+COUNTIFS(LOG!$C$2:$C$2001,F581,LOG!$E$2:$E$2001,"",LOG!$D$2:$D$2001,"*BOOKED")&gt;0,1,0),0)</f>
        <v>0</v>
      </c>
      <c r="N581" s="28">
        <f>IF(L581=1,IF(COUNTIFS(LOG!$C$2:$C$2001,F581,LOG!$E$2:$E$2001,B581,LOG!$D$2:$D$2001,"NOT_INTERESTED")+COUNTIFS(LOG!$C$2:$C$2001,F581,LOG!$E$2:$E$2001,"",LOG!$D$2:$D$2001,"NOT_INTERESTED")&gt;0,1,0),0)</f>
        <v>0</v>
      </c>
      <c r="O581" s="28">
        <f>IF(L581=1,IF(COUNTIFS(LOG!$C$2:$C$2001,F581,LOG!$D$2:$D$2001,"STOP")+COUNTIFS(LOG!$C$2:$C$2001,F581,LOG!$D$2:$D$2001,"WRONG_NUMBER")&gt;0,1,IF(ISNUMBER(SEARCH("STOP",AT581)),1,0)),0)</f>
        <v>0</v>
      </c>
      <c r="P581" s="28">
        <f>IF(L581=1,IF(IFERROR(INDEX(PARTNERS!$D$2:$D$88,MATCH(B581,PARTNERS!$A$2:$A$88,0)),"")="NO SLOTS",1,IF(AND(IFERROR(INDEX(PARTNERS!$D$2:$D$88,MATCH(B581,PARTNERS!$A$2:$A$88,0)),"")&lt;&gt;"REOPENED",COUNTIFS(LOG!$E$2:$E$2001,B581,LOG!$D$2:$D$2001,"NO_SLOTS")&gt;0),1,0)),0)</f>
        <v>0</v>
      </c>
      <c r="Q581" s="28">
        <f>IF(L581=1,COUNTIFS(LOG!$C$2:$C$2001,F581,LOG!$H$2:$H$2001,1),0)</f>
        <v>0</v>
      </c>
      <c r="R581" s="46">
        <f>IF(Q581&gt;0,_xlfn.MAXIFS(LOG!$G$2:$G$2001,LOG!$C$2:$C$2001,F581,LOG!$H$2:$H$2001,1),0)</f>
        <v>0</v>
      </c>
      <c r="S581" s="28" t="str">
        <f>IF(Q581&gt;0,IFERROR(INDEX(LOG!$D$2:$D$2001,MATCH(F581&amp;"|"&amp;Q581,LOG!$I$2:$I$2001,0)),""),"")</f>
        <v/>
      </c>
      <c r="T581" s="28">
        <f>IF(S581="",0,IFERROR(VLOOKUP(S581,LISTS!$A$2:$E$10,4,FALSE),0))</f>
        <v>0</v>
      </c>
      <c r="U581" s="46">
        <f t="shared" si="101"/>
        <v>0</v>
      </c>
      <c r="V581" s="46" t="str">
        <f>IF(L581=1,H581+SETTINGS!$B$5/24,"")</f>
        <v/>
      </c>
      <c r="W581" s="28" t="str">
        <f>IF(L581=1,(V581-SETTINGS!$B$4)*24,"")</f>
        <v/>
      </c>
      <c r="X581" s="28">
        <f ca="1">IF(AND(L581=1,K581="OK",M581=0,N581=0,O581=0,P581=0,SETTINGS!$B$4&lt;V581,Q581&lt;SETTINGS!$B$6),1,0)</f>
        <v>0</v>
      </c>
      <c r="Y581" s="28">
        <f ca="1">IF(AND(X581=1,SETTINGS!$B$4&gt;=H581,SETTINGS!$B$4&gt;=U581,ROUND(MOD(SETTINGS!$B$4,1)*1440,0)&gt;=ROUND(SETTINGS!$B$7*1440,0),ROUND(MOD(SETTINGS!$B$4,1)*1440,0)&lt;ROUND(SETTINGS!$B$8*1440,0)),1,0)</f>
        <v>0</v>
      </c>
      <c r="Z581" s="28" t="str">
        <f>IF(B581="","",IF(ROUND(MOD(SETTINGS!$B$4,1)*1440,0)&lt;ROUND(SETTINGS!$B$11*1440,0),"Ram",IF(ROUND(MOD(SETTINGS!$B$4,1)*1440,0)&gt;=ROUND(SETTINGS!$B$10*1440,0),"Shyam",IF(MOD(IFERROR(VALUE(RIGHT(F581,2)),0),2)=0,"Ram","Shyam"))))</f>
        <v/>
      </c>
      <c r="AA581" s="28">
        <f t="shared" ca="1" si="102"/>
        <v>0</v>
      </c>
      <c r="AB581" s="28">
        <f ca="1">IF(X581=1,COUNTIFS($F$2:F581,F581,$X$2:X581,1),0)</f>
        <v>0</v>
      </c>
      <c r="AC581" s="28" t="str">
        <f>IF(L581=1,IF(IFERROR(INDEX(PARTNERS!$C$2:$C$88,MATCH(B581,PARTNERS!$A$2:$A$88,0)),"")="YES","YES","NO"),"")</f>
        <v/>
      </c>
      <c r="AD581" s="28" t="str">
        <f>IF(L581=1,IFERROR(INDEX(PARTNERS!$B$2:$B$88,MATCH(B581,PARTNERS!$A$2:$A$88,0)),""),"")</f>
        <v/>
      </c>
      <c r="AE581" s="28">
        <f ca="1">IF(X581=1,IFERROR(INDEX(SETTINGS!$B$34:$D$36,MATCH(I581,SETTINGS!$A$34:$A$36,0),MIN(Q581,2)+1),SETTINGS!$B$36),0)</f>
        <v>0</v>
      </c>
      <c r="AF581" s="28">
        <f t="shared" si="103"/>
        <v>0</v>
      </c>
      <c r="AG581" s="28">
        <f ca="1">IF(AND(Y581=1,AB581=1),ROUND(AA581*AE581*IF(AF581&gt;1,SETTINGS!$B$16,1)*IF(W581&lt;=SETTINGS!$B$14,SETTINGS!$B$15,1)*IF(AU581=1,SETTINGS!$B$21,1),6),0)</f>
        <v>0</v>
      </c>
      <c r="AH581" s="28" t="str">
        <f ca="1">IF(AG581&gt;0,COUNTIFS($Z$2:$Z$601,Z581,$AG$2:$AG$601,"&gt;"&amp;AG581)+COUNTIFS($Z$2:Z581,Z581,$AG$2:AG581,AG581),"")</f>
        <v/>
      </c>
      <c r="AI581" s="28" t="str">
        <f t="shared" ca="1" si="104"/>
        <v/>
      </c>
      <c r="AJ581" s="28" t="str">
        <f t="shared" ca="1" si="105"/>
        <v/>
      </c>
      <c r="AK581" s="28">
        <f>IF(L581=1,IF(COUNTIFS($F$2:F581,F581,$L$2:L581,1)=1,1,0),0)</f>
        <v>0</v>
      </c>
      <c r="AL581" s="28" t="str">
        <f>IF(B581="","",IF(K581="DUPLICATE","Duplicate (removed)",IF(AO581=1,"Scheduled within 24h",IF(M581=1,"Scheduled late",IF(K581="BAD CONTACT","Bad contact details",IF(O581=1,"Stopped / wrong number",IF(N581=1,"Not interested",IF(P581=1,"Partner has no slots",IF(SETTINGS!$B$4&gt;=V581,IF(Q581=0,"Missed deadline: never tried","Missed deadline: tried, not booked"),IF(Q581&gt;=SETTINGS!$B$6,"No reply after max tries","Open"))))))))))</f>
        <v/>
      </c>
      <c r="AM581" s="46" t="str">
        <f>IF(M581=1,IF(_xlfn.MINIFS(LOG!$G$2:$G$2001,LOG!$C$2:$C$2001,F581,LOG!$E$2:$E$2001,B581,LOG!$D$2:$D$2001,"*BOOKED")=0,_xlfn.MINIFS(LOG!$G$2:$G$2001,LOG!$C$2:$C$2001,F581,LOG!$E$2:$E$2001,"",LOG!$D$2:$D$2001,"*BOOKED"),IF(_xlfn.MINIFS(LOG!$G$2:$G$2001,LOG!$C$2:$C$2001,F581,LOG!$E$2:$E$2001,"",LOG!$D$2:$D$2001,"*BOOKED")=0,_xlfn.MINIFS(LOG!$G$2:$G$2001,LOG!$C$2:$C$2001,F581,LOG!$E$2:$E$2001,B581,LOG!$D$2:$D$2001,"*BOOKED"),MIN(_xlfn.MINIFS(LOG!$G$2:$G$2001,LOG!$C$2:$C$2001,F581,LOG!$E$2:$E$2001,B581,LOG!$D$2:$D$2001,"*BOOKED"),_xlfn.MINIFS(LOG!$G$2:$G$2001,LOG!$C$2:$C$2001,F581,LOG!$E$2:$E$2001,"",LOG!$D$2:$D$2001,"*BOOKED")))),"")</f>
        <v/>
      </c>
      <c r="AN581" s="28" t="str">
        <f t="shared" si="106"/>
        <v/>
      </c>
      <c r="AO581" s="28">
        <f>IF(AND(M581=1,AN581&lt;&gt;""),IF(AN581&lt;=SETTINGS!$B$5,1,0),0)</f>
        <v>0</v>
      </c>
      <c r="AP581" s="28">
        <f>IF(M581=1,IF(COUNTIFS(LOG!$C$2:$C$2001,F581,LOG!$E$2:$E$2001,B581,LOG!$D$2:$D$2001,"BOOKED")+COUNTIFS(LOG!$C$2:$C$2001,F581,LOG!$E$2:$E$2001,"",LOG!$D$2:$D$2001,"BOOKED")&gt;0,1,0),0)</f>
        <v>0</v>
      </c>
      <c r="AQ581" s="28" t="str">
        <f t="shared" si="107"/>
        <v/>
      </c>
      <c r="AR581" s="28" t="str">
        <f>IF(AND(AK581=1,K581="OK"),COUNTIFS($AK$2:AK581,1,$K$2:K581,"OK"),"")</f>
        <v/>
      </c>
      <c r="AS581" s="28" t="str">
        <f>IF(L581=1,IFERROR(INDEX(MESSAGES!$J$9:$J$1008,MATCH(F581,MESSAGES!$M$9:$M$1008,0))&amp;"",""),"")</f>
        <v/>
      </c>
      <c r="AT581" s="28" t="str">
        <f>IF(L581=1,IFERROR(INDEX(MESSAGES!$K$9:$K$1008,MATCH(F581,MESSAGES!$M$9:$M$1008,0))&amp;"",""),"")</f>
        <v/>
      </c>
      <c r="AU581" s="28">
        <f t="shared" ca="1" si="108"/>
        <v>0</v>
      </c>
      <c r="AV581" s="28" t="str">
        <f t="shared" si="109"/>
        <v/>
      </c>
    </row>
    <row r="582" spans="1:48" x14ac:dyDescent="0.35">
      <c r="A582" s="28">
        <v>581</v>
      </c>
      <c r="B582" s="28" t="str">
        <f>IF(INPUT!A582="","",TRIM(INPUT!A582))</f>
        <v/>
      </c>
      <c r="C582" s="28" t="str">
        <f>IF(B582="","",INPUT!C582)</f>
        <v/>
      </c>
      <c r="D582" s="28" t="str">
        <f>IF(B582="","",INPUT!D582)</f>
        <v/>
      </c>
      <c r="E582" s="28" t="str">
        <f>IF(B582="","",INPUT!E582)</f>
        <v/>
      </c>
      <c r="F582" s="43" t="str">
        <f>IF(B582="","",TRIM(INPUT!F582&amp;""))</f>
        <v/>
      </c>
      <c r="G582" s="28" t="str">
        <f>IF(B582="","",INPUT!H582)</f>
        <v/>
      </c>
      <c r="H582" s="46" t="str">
        <f>IF(B582="","",INPUT!I582)</f>
        <v/>
      </c>
      <c r="I582" s="28" t="str">
        <f>IF(B582="","",IF(INPUT!J582="","None",INPUT!J582))</f>
        <v/>
      </c>
      <c r="J582" s="28" t="str">
        <f t="shared" si="99"/>
        <v/>
      </c>
      <c r="K582" s="28" t="str">
        <f>IF(B582="","",IF(SUMPRODUCT(($J$2:$J$601=J582)*($H$2:$H$601&lt;H582))+SUMPRODUCT(($J$2:J582=J582)*($H$2:H582=H582))-1&gt;0,"DUPLICATE",IF(AND(ISNUMBER(SEARCH("@",E582)),ISNUMBER(SEARCH(".",E582)),LEN(F582)=10,ISNUMBER(VALUE(F582))),"OK","BAD CONTACT")))</f>
        <v/>
      </c>
      <c r="L582" s="28">
        <f t="shared" si="100"/>
        <v>0</v>
      </c>
      <c r="M582" s="28">
        <f>IF(L582=1,IF(COUNTIFS(LOG!$C$2:$C$2001,F582,LOG!$E$2:$E$2001,B582,LOG!$D$2:$D$2001,"*BOOKED")+COUNTIFS(LOG!$C$2:$C$2001,F582,LOG!$E$2:$E$2001,"",LOG!$D$2:$D$2001,"*BOOKED")&gt;0,1,0),0)</f>
        <v>0</v>
      </c>
      <c r="N582" s="28">
        <f>IF(L582=1,IF(COUNTIFS(LOG!$C$2:$C$2001,F582,LOG!$E$2:$E$2001,B582,LOG!$D$2:$D$2001,"NOT_INTERESTED")+COUNTIFS(LOG!$C$2:$C$2001,F582,LOG!$E$2:$E$2001,"",LOG!$D$2:$D$2001,"NOT_INTERESTED")&gt;0,1,0),0)</f>
        <v>0</v>
      </c>
      <c r="O582" s="28">
        <f>IF(L582=1,IF(COUNTIFS(LOG!$C$2:$C$2001,F582,LOG!$D$2:$D$2001,"STOP")+COUNTIFS(LOG!$C$2:$C$2001,F582,LOG!$D$2:$D$2001,"WRONG_NUMBER")&gt;0,1,IF(ISNUMBER(SEARCH("STOP",AT582)),1,0)),0)</f>
        <v>0</v>
      </c>
      <c r="P582" s="28">
        <f>IF(L582=1,IF(IFERROR(INDEX(PARTNERS!$D$2:$D$88,MATCH(B582,PARTNERS!$A$2:$A$88,0)),"")="NO SLOTS",1,IF(AND(IFERROR(INDEX(PARTNERS!$D$2:$D$88,MATCH(B582,PARTNERS!$A$2:$A$88,0)),"")&lt;&gt;"REOPENED",COUNTIFS(LOG!$E$2:$E$2001,B582,LOG!$D$2:$D$2001,"NO_SLOTS")&gt;0),1,0)),0)</f>
        <v>0</v>
      </c>
      <c r="Q582" s="28">
        <f>IF(L582=1,COUNTIFS(LOG!$C$2:$C$2001,F582,LOG!$H$2:$H$2001,1),0)</f>
        <v>0</v>
      </c>
      <c r="R582" s="46">
        <f>IF(Q582&gt;0,_xlfn.MAXIFS(LOG!$G$2:$G$2001,LOG!$C$2:$C$2001,F582,LOG!$H$2:$H$2001,1),0)</f>
        <v>0</v>
      </c>
      <c r="S582" s="28" t="str">
        <f>IF(Q582&gt;0,IFERROR(INDEX(LOG!$D$2:$D$2001,MATCH(F582&amp;"|"&amp;Q582,LOG!$I$2:$I$2001,0)),""),"")</f>
        <v/>
      </c>
      <c r="T582" s="28">
        <f>IF(S582="",0,IFERROR(VLOOKUP(S582,LISTS!$A$2:$E$10,4,FALSE),0))</f>
        <v>0</v>
      </c>
      <c r="U582" s="46">
        <f t="shared" si="101"/>
        <v>0</v>
      </c>
      <c r="V582" s="46" t="str">
        <f>IF(L582=1,H582+SETTINGS!$B$5/24,"")</f>
        <v/>
      </c>
      <c r="W582" s="28" t="str">
        <f>IF(L582=1,(V582-SETTINGS!$B$4)*24,"")</f>
        <v/>
      </c>
      <c r="X582" s="28">
        <f ca="1">IF(AND(L582=1,K582="OK",M582=0,N582=0,O582=0,P582=0,SETTINGS!$B$4&lt;V582,Q582&lt;SETTINGS!$B$6),1,0)</f>
        <v>0</v>
      </c>
      <c r="Y582" s="28">
        <f ca="1">IF(AND(X582=1,SETTINGS!$B$4&gt;=H582,SETTINGS!$B$4&gt;=U582,ROUND(MOD(SETTINGS!$B$4,1)*1440,0)&gt;=ROUND(SETTINGS!$B$7*1440,0),ROUND(MOD(SETTINGS!$B$4,1)*1440,0)&lt;ROUND(SETTINGS!$B$8*1440,0)),1,0)</f>
        <v>0</v>
      </c>
      <c r="Z582" s="28" t="str">
        <f>IF(B582="","",IF(ROUND(MOD(SETTINGS!$B$4,1)*1440,0)&lt;ROUND(SETTINGS!$B$11*1440,0),"Ram",IF(ROUND(MOD(SETTINGS!$B$4,1)*1440,0)&gt;=ROUND(SETTINGS!$B$10*1440,0),"Shyam",IF(MOD(IFERROR(VALUE(RIGHT(F582,2)),0),2)=0,"Ram","Shyam"))))</f>
        <v/>
      </c>
      <c r="AA582" s="28">
        <f t="shared" ca="1" si="102"/>
        <v>0</v>
      </c>
      <c r="AB582" s="28">
        <f ca="1">IF(X582=1,COUNTIFS($F$2:F582,F582,$X$2:X582,1),0)</f>
        <v>0</v>
      </c>
      <c r="AC582" s="28" t="str">
        <f>IF(L582=1,IF(IFERROR(INDEX(PARTNERS!$C$2:$C$88,MATCH(B582,PARTNERS!$A$2:$A$88,0)),"")="YES","YES","NO"),"")</f>
        <v/>
      </c>
      <c r="AD582" s="28" t="str">
        <f>IF(L582=1,IFERROR(INDEX(PARTNERS!$B$2:$B$88,MATCH(B582,PARTNERS!$A$2:$A$88,0)),""),"")</f>
        <v/>
      </c>
      <c r="AE582" s="28">
        <f ca="1">IF(X582=1,IFERROR(INDEX(SETTINGS!$B$34:$D$36,MATCH(I582,SETTINGS!$A$34:$A$36,0),MIN(Q582,2)+1),SETTINGS!$B$36),0)</f>
        <v>0</v>
      </c>
      <c r="AF582" s="28">
        <f t="shared" si="103"/>
        <v>0</v>
      </c>
      <c r="AG582" s="28">
        <f ca="1">IF(AND(Y582=1,AB582=1),ROUND(AA582*AE582*IF(AF582&gt;1,SETTINGS!$B$16,1)*IF(W582&lt;=SETTINGS!$B$14,SETTINGS!$B$15,1)*IF(AU582=1,SETTINGS!$B$21,1),6),0)</f>
        <v>0</v>
      </c>
      <c r="AH582" s="28" t="str">
        <f ca="1">IF(AG582&gt;0,COUNTIFS($Z$2:$Z$601,Z582,$AG$2:$AG$601,"&gt;"&amp;AG582)+COUNTIFS($Z$2:Z582,Z582,$AG$2:AG582,AG582),"")</f>
        <v/>
      </c>
      <c r="AI582" s="28" t="str">
        <f t="shared" ca="1" si="104"/>
        <v/>
      </c>
      <c r="AJ582" s="28" t="str">
        <f t="shared" ca="1" si="105"/>
        <v/>
      </c>
      <c r="AK582" s="28">
        <f>IF(L582=1,IF(COUNTIFS($F$2:F582,F582,$L$2:L582,1)=1,1,0),0)</f>
        <v>0</v>
      </c>
      <c r="AL582" s="28" t="str">
        <f>IF(B582="","",IF(K582="DUPLICATE","Duplicate (removed)",IF(AO582=1,"Scheduled within 24h",IF(M582=1,"Scheduled late",IF(K582="BAD CONTACT","Bad contact details",IF(O582=1,"Stopped / wrong number",IF(N582=1,"Not interested",IF(P582=1,"Partner has no slots",IF(SETTINGS!$B$4&gt;=V582,IF(Q582=0,"Missed deadline: never tried","Missed deadline: tried, not booked"),IF(Q582&gt;=SETTINGS!$B$6,"No reply after max tries","Open"))))))))))</f>
        <v/>
      </c>
      <c r="AM582" s="46" t="str">
        <f>IF(M582=1,IF(_xlfn.MINIFS(LOG!$G$2:$G$2001,LOG!$C$2:$C$2001,F582,LOG!$E$2:$E$2001,B582,LOG!$D$2:$D$2001,"*BOOKED")=0,_xlfn.MINIFS(LOG!$G$2:$G$2001,LOG!$C$2:$C$2001,F582,LOG!$E$2:$E$2001,"",LOG!$D$2:$D$2001,"*BOOKED"),IF(_xlfn.MINIFS(LOG!$G$2:$G$2001,LOG!$C$2:$C$2001,F582,LOG!$E$2:$E$2001,"",LOG!$D$2:$D$2001,"*BOOKED")=0,_xlfn.MINIFS(LOG!$G$2:$G$2001,LOG!$C$2:$C$2001,F582,LOG!$E$2:$E$2001,B582,LOG!$D$2:$D$2001,"*BOOKED"),MIN(_xlfn.MINIFS(LOG!$G$2:$G$2001,LOG!$C$2:$C$2001,F582,LOG!$E$2:$E$2001,B582,LOG!$D$2:$D$2001,"*BOOKED"),_xlfn.MINIFS(LOG!$G$2:$G$2001,LOG!$C$2:$C$2001,F582,LOG!$E$2:$E$2001,"",LOG!$D$2:$D$2001,"*BOOKED")))),"")</f>
        <v/>
      </c>
      <c r="AN582" s="28" t="str">
        <f t="shared" si="106"/>
        <v/>
      </c>
      <c r="AO582" s="28">
        <f>IF(AND(M582=1,AN582&lt;&gt;""),IF(AN582&lt;=SETTINGS!$B$5,1,0),0)</f>
        <v>0</v>
      </c>
      <c r="AP582" s="28">
        <f>IF(M582=1,IF(COUNTIFS(LOG!$C$2:$C$2001,F582,LOG!$E$2:$E$2001,B582,LOG!$D$2:$D$2001,"BOOKED")+COUNTIFS(LOG!$C$2:$C$2001,F582,LOG!$E$2:$E$2001,"",LOG!$D$2:$D$2001,"BOOKED")&gt;0,1,0),0)</f>
        <v>0</v>
      </c>
      <c r="AQ582" s="28" t="str">
        <f t="shared" si="107"/>
        <v/>
      </c>
      <c r="AR582" s="28" t="str">
        <f>IF(AND(AK582=1,K582="OK"),COUNTIFS($AK$2:AK582,1,$K$2:K582,"OK"),"")</f>
        <v/>
      </c>
      <c r="AS582" s="28" t="str">
        <f>IF(L582=1,IFERROR(INDEX(MESSAGES!$J$9:$J$1008,MATCH(F582,MESSAGES!$M$9:$M$1008,0))&amp;"",""),"")</f>
        <v/>
      </c>
      <c r="AT582" s="28" t="str">
        <f>IF(L582=1,IFERROR(INDEX(MESSAGES!$K$9:$K$1008,MATCH(F582,MESSAGES!$M$9:$M$1008,0))&amp;"",""),"")</f>
        <v/>
      </c>
      <c r="AU582" s="28">
        <f t="shared" ca="1" si="108"/>
        <v>0</v>
      </c>
      <c r="AV582" s="28" t="str">
        <f t="shared" si="109"/>
        <v/>
      </c>
    </row>
    <row r="583" spans="1:48" x14ac:dyDescent="0.35">
      <c r="A583" s="28">
        <v>582</v>
      </c>
      <c r="B583" s="28" t="str">
        <f>IF(INPUT!A583="","",TRIM(INPUT!A583))</f>
        <v/>
      </c>
      <c r="C583" s="28" t="str">
        <f>IF(B583="","",INPUT!C583)</f>
        <v/>
      </c>
      <c r="D583" s="28" t="str">
        <f>IF(B583="","",INPUT!D583)</f>
        <v/>
      </c>
      <c r="E583" s="28" t="str">
        <f>IF(B583="","",INPUT!E583)</f>
        <v/>
      </c>
      <c r="F583" s="43" t="str">
        <f>IF(B583="","",TRIM(INPUT!F583&amp;""))</f>
        <v/>
      </c>
      <c r="G583" s="28" t="str">
        <f>IF(B583="","",INPUT!H583)</f>
        <v/>
      </c>
      <c r="H583" s="46" t="str">
        <f>IF(B583="","",INPUT!I583)</f>
        <v/>
      </c>
      <c r="I583" s="28" t="str">
        <f>IF(B583="","",IF(INPUT!J583="","None",INPUT!J583))</f>
        <v/>
      </c>
      <c r="J583" s="28" t="str">
        <f t="shared" si="99"/>
        <v/>
      </c>
      <c r="K583" s="28" t="str">
        <f>IF(B583="","",IF(SUMPRODUCT(($J$2:$J$601=J583)*($H$2:$H$601&lt;H583))+SUMPRODUCT(($J$2:J583=J583)*($H$2:H583=H583))-1&gt;0,"DUPLICATE",IF(AND(ISNUMBER(SEARCH("@",E583)),ISNUMBER(SEARCH(".",E583)),LEN(F583)=10,ISNUMBER(VALUE(F583))),"OK","BAD CONTACT")))</f>
        <v/>
      </c>
      <c r="L583" s="28">
        <f t="shared" si="100"/>
        <v>0</v>
      </c>
      <c r="M583" s="28">
        <f>IF(L583=1,IF(COUNTIFS(LOG!$C$2:$C$2001,F583,LOG!$E$2:$E$2001,B583,LOG!$D$2:$D$2001,"*BOOKED")+COUNTIFS(LOG!$C$2:$C$2001,F583,LOG!$E$2:$E$2001,"",LOG!$D$2:$D$2001,"*BOOKED")&gt;0,1,0),0)</f>
        <v>0</v>
      </c>
      <c r="N583" s="28">
        <f>IF(L583=1,IF(COUNTIFS(LOG!$C$2:$C$2001,F583,LOG!$E$2:$E$2001,B583,LOG!$D$2:$D$2001,"NOT_INTERESTED")+COUNTIFS(LOG!$C$2:$C$2001,F583,LOG!$E$2:$E$2001,"",LOG!$D$2:$D$2001,"NOT_INTERESTED")&gt;0,1,0),0)</f>
        <v>0</v>
      </c>
      <c r="O583" s="28">
        <f>IF(L583=1,IF(COUNTIFS(LOG!$C$2:$C$2001,F583,LOG!$D$2:$D$2001,"STOP")+COUNTIFS(LOG!$C$2:$C$2001,F583,LOG!$D$2:$D$2001,"WRONG_NUMBER")&gt;0,1,IF(ISNUMBER(SEARCH("STOP",AT583)),1,0)),0)</f>
        <v>0</v>
      </c>
      <c r="P583" s="28">
        <f>IF(L583=1,IF(IFERROR(INDEX(PARTNERS!$D$2:$D$88,MATCH(B583,PARTNERS!$A$2:$A$88,0)),"")="NO SLOTS",1,IF(AND(IFERROR(INDEX(PARTNERS!$D$2:$D$88,MATCH(B583,PARTNERS!$A$2:$A$88,0)),"")&lt;&gt;"REOPENED",COUNTIFS(LOG!$E$2:$E$2001,B583,LOG!$D$2:$D$2001,"NO_SLOTS")&gt;0),1,0)),0)</f>
        <v>0</v>
      </c>
      <c r="Q583" s="28">
        <f>IF(L583=1,COUNTIFS(LOG!$C$2:$C$2001,F583,LOG!$H$2:$H$2001,1),0)</f>
        <v>0</v>
      </c>
      <c r="R583" s="46">
        <f>IF(Q583&gt;0,_xlfn.MAXIFS(LOG!$G$2:$G$2001,LOG!$C$2:$C$2001,F583,LOG!$H$2:$H$2001,1),0)</f>
        <v>0</v>
      </c>
      <c r="S583" s="28" t="str">
        <f>IF(Q583&gt;0,IFERROR(INDEX(LOG!$D$2:$D$2001,MATCH(F583&amp;"|"&amp;Q583,LOG!$I$2:$I$2001,0)),""),"")</f>
        <v/>
      </c>
      <c r="T583" s="28">
        <f>IF(S583="",0,IFERROR(VLOOKUP(S583,LISTS!$A$2:$E$10,4,FALSE),0))</f>
        <v>0</v>
      </c>
      <c r="U583" s="46">
        <f t="shared" si="101"/>
        <v>0</v>
      </c>
      <c r="V583" s="46" t="str">
        <f>IF(L583=1,H583+SETTINGS!$B$5/24,"")</f>
        <v/>
      </c>
      <c r="W583" s="28" t="str">
        <f>IF(L583=1,(V583-SETTINGS!$B$4)*24,"")</f>
        <v/>
      </c>
      <c r="X583" s="28">
        <f ca="1">IF(AND(L583=1,K583="OK",M583=0,N583=0,O583=0,P583=0,SETTINGS!$B$4&lt;V583,Q583&lt;SETTINGS!$B$6),1,0)</f>
        <v>0</v>
      </c>
      <c r="Y583" s="28">
        <f ca="1">IF(AND(X583=1,SETTINGS!$B$4&gt;=H583,SETTINGS!$B$4&gt;=U583,ROUND(MOD(SETTINGS!$B$4,1)*1440,0)&gt;=ROUND(SETTINGS!$B$7*1440,0),ROUND(MOD(SETTINGS!$B$4,1)*1440,0)&lt;ROUND(SETTINGS!$B$8*1440,0)),1,0)</f>
        <v>0</v>
      </c>
      <c r="Z583" s="28" t="str">
        <f>IF(B583="","",IF(ROUND(MOD(SETTINGS!$B$4,1)*1440,0)&lt;ROUND(SETTINGS!$B$11*1440,0),"Ram",IF(ROUND(MOD(SETTINGS!$B$4,1)*1440,0)&gt;=ROUND(SETTINGS!$B$10*1440,0),"Shyam",IF(MOD(IFERROR(VALUE(RIGHT(F583,2)),0),2)=0,"Ram","Shyam"))))</f>
        <v/>
      </c>
      <c r="AA583" s="28">
        <f t="shared" ca="1" si="102"/>
        <v>0</v>
      </c>
      <c r="AB583" s="28">
        <f ca="1">IF(X583=1,COUNTIFS($F$2:F583,F583,$X$2:X583,1),0)</f>
        <v>0</v>
      </c>
      <c r="AC583" s="28" t="str">
        <f>IF(L583=1,IF(IFERROR(INDEX(PARTNERS!$C$2:$C$88,MATCH(B583,PARTNERS!$A$2:$A$88,0)),"")="YES","YES","NO"),"")</f>
        <v/>
      </c>
      <c r="AD583" s="28" t="str">
        <f>IF(L583=1,IFERROR(INDEX(PARTNERS!$B$2:$B$88,MATCH(B583,PARTNERS!$A$2:$A$88,0)),""),"")</f>
        <v/>
      </c>
      <c r="AE583" s="28">
        <f ca="1">IF(X583=1,IFERROR(INDEX(SETTINGS!$B$34:$D$36,MATCH(I583,SETTINGS!$A$34:$A$36,0),MIN(Q583,2)+1),SETTINGS!$B$36),0)</f>
        <v>0</v>
      </c>
      <c r="AF583" s="28">
        <f t="shared" si="103"/>
        <v>0</v>
      </c>
      <c r="AG583" s="28">
        <f ca="1">IF(AND(Y583=1,AB583=1),ROUND(AA583*AE583*IF(AF583&gt;1,SETTINGS!$B$16,1)*IF(W583&lt;=SETTINGS!$B$14,SETTINGS!$B$15,1)*IF(AU583=1,SETTINGS!$B$21,1),6),0)</f>
        <v>0</v>
      </c>
      <c r="AH583" s="28" t="str">
        <f ca="1">IF(AG583&gt;0,COUNTIFS($Z$2:$Z$601,Z583,$AG$2:$AG$601,"&gt;"&amp;AG583)+COUNTIFS($Z$2:Z583,Z583,$AG$2:AG583,AG583),"")</f>
        <v/>
      </c>
      <c r="AI583" s="28" t="str">
        <f t="shared" ca="1" si="104"/>
        <v/>
      </c>
      <c r="AJ583" s="28" t="str">
        <f t="shared" ca="1" si="105"/>
        <v/>
      </c>
      <c r="AK583" s="28">
        <f>IF(L583=1,IF(COUNTIFS($F$2:F583,F583,$L$2:L583,1)=1,1,0),0)</f>
        <v>0</v>
      </c>
      <c r="AL583" s="28" t="str">
        <f>IF(B583="","",IF(K583="DUPLICATE","Duplicate (removed)",IF(AO583=1,"Scheduled within 24h",IF(M583=1,"Scheduled late",IF(K583="BAD CONTACT","Bad contact details",IF(O583=1,"Stopped / wrong number",IF(N583=1,"Not interested",IF(P583=1,"Partner has no slots",IF(SETTINGS!$B$4&gt;=V583,IF(Q583=0,"Missed deadline: never tried","Missed deadline: tried, not booked"),IF(Q583&gt;=SETTINGS!$B$6,"No reply after max tries","Open"))))))))))</f>
        <v/>
      </c>
      <c r="AM583" s="46" t="str">
        <f>IF(M583=1,IF(_xlfn.MINIFS(LOG!$G$2:$G$2001,LOG!$C$2:$C$2001,F583,LOG!$E$2:$E$2001,B583,LOG!$D$2:$D$2001,"*BOOKED")=0,_xlfn.MINIFS(LOG!$G$2:$G$2001,LOG!$C$2:$C$2001,F583,LOG!$E$2:$E$2001,"",LOG!$D$2:$D$2001,"*BOOKED"),IF(_xlfn.MINIFS(LOG!$G$2:$G$2001,LOG!$C$2:$C$2001,F583,LOG!$E$2:$E$2001,"",LOG!$D$2:$D$2001,"*BOOKED")=0,_xlfn.MINIFS(LOG!$G$2:$G$2001,LOG!$C$2:$C$2001,F583,LOG!$E$2:$E$2001,B583,LOG!$D$2:$D$2001,"*BOOKED"),MIN(_xlfn.MINIFS(LOG!$G$2:$G$2001,LOG!$C$2:$C$2001,F583,LOG!$E$2:$E$2001,B583,LOG!$D$2:$D$2001,"*BOOKED"),_xlfn.MINIFS(LOG!$G$2:$G$2001,LOG!$C$2:$C$2001,F583,LOG!$E$2:$E$2001,"",LOG!$D$2:$D$2001,"*BOOKED")))),"")</f>
        <v/>
      </c>
      <c r="AN583" s="28" t="str">
        <f t="shared" si="106"/>
        <v/>
      </c>
      <c r="AO583" s="28">
        <f>IF(AND(M583=1,AN583&lt;&gt;""),IF(AN583&lt;=SETTINGS!$B$5,1,0),0)</f>
        <v>0</v>
      </c>
      <c r="AP583" s="28">
        <f>IF(M583=1,IF(COUNTIFS(LOG!$C$2:$C$2001,F583,LOG!$E$2:$E$2001,B583,LOG!$D$2:$D$2001,"BOOKED")+COUNTIFS(LOG!$C$2:$C$2001,F583,LOG!$E$2:$E$2001,"",LOG!$D$2:$D$2001,"BOOKED")&gt;0,1,0),0)</f>
        <v>0</v>
      </c>
      <c r="AQ583" s="28" t="str">
        <f t="shared" si="107"/>
        <v/>
      </c>
      <c r="AR583" s="28" t="str">
        <f>IF(AND(AK583=1,K583="OK"),COUNTIFS($AK$2:AK583,1,$K$2:K583,"OK"),"")</f>
        <v/>
      </c>
      <c r="AS583" s="28" t="str">
        <f>IF(L583=1,IFERROR(INDEX(MESSAGES!$J$9:$J$1008,MATCH(F583,MESSAGES!$M$9:$M$1008,0))&amp;"",""),"")</f>
        <v/>
      </c>
      <c r="AT583" s="28" t="str">
        <f>IF(L583=1,IFERROR(INDEX(MESSAGES!$K$9:$K$1008,MATCH(F583,MESSAGES!$M$9:$M$1008,0))&amp;"",""),"")</f>
        <v/>
      </c>
      <c r="AU583" s="28">
        <f t="shared" ca="1" si="108"/>
        <v>0</v>
      </c>
      <c r="AV583" s="28" t="str">
        <f t="shared" si="109"/>
        <v/>
      </c>
    </row>
    <row r="584" spans="1:48" x14ac:dyDescent="0.35">
      <c r="A584" s="28">
        <v>583</v>
      </c>
      <c r="B584" s="28" t="str">
        <f>IF(INPUT!A584="","",TRIM(INPUT!A584))</f>
        <v/>
      </c>
      <c r="C584" s="28" t="str">
        <f>IF(B584="","",INPUT!C584)</f>
        <v/>
      </c>
      <c r="D584" s="28" t="str">
        <f>IF(B584="","",INPUT!D584)</f>
        <v/>
      </c>
      <c r="E584" s="28" t="str">
        <f>IF(B584="","",INPUT!E584)</f>
        <v/>
      </c>
      <c r="F584" s="43" t="str">
        <f>IF(B584="","",TRIM(INPUT!F584&amp;""))</f>
        <v/>
      </c>
      <c r="G584" s="28" t="str">
        <f>IF(B584="","",INPUT!H584)</f>
        <v/>
      </c>
      <c r="H584" s="46" t="str">
        <f>IF(B584="","",INPUT!I584)</f>
        <v/>
      </c>
      <c r="I584" s="28" t="str">
        <f>IF(B584="","",IF(INPUT!J584="","None",INPUT!J584))</f>
        <v/>
      </c>
      <c r="J584" s="28" t="str">
        <f t="shared" si="99"/>
        <v/>
      </c>
      <c r="K584" s="28" t="str">
        <f>IF(B584="","",IF(SUMPRODUCT(($J$2:$J$601=J584)*($H$2:$H$601&lt;H584))+SUMPRODUCT(($J$2:J584=J584)*($H$2:H584=H584))-1&gt;0,"DUPLICATE",IF(AND(ISNUMBER(SEARCH("@",E584)),ISNUMBER(SEARCH(".",E584)),LEN(F584)=10,ISNUMBER(VALUE(F584))),"OK","BAD CONTACT")))</f>
        <v/>
      </c>
      <c r="L584" s="28">
        <f t="shared" si="100"/>
        <v>0</v>
      </c>
      <c r="M584" s="28">
        <f>IF(L584=1,IF(COUNTIFS(LOG!$C$2:$C$2001,F584,LOG!$E$2:$E$2001,B584,LOG!$D$2:$D$2001,"*BOOKED")+COUNTIFS(LOG!$C$2:$C$2001,F584,LOG!$E$2:$E$2001,"",LOG!$D$2:$D$2001,"*BOOKED")&gt;0,1,0),0)</f>
        <v>0</v>
      </c>
      <c r="N584" s="28">
        <f>IF(L584=1,IF(COUNTIFS(LOG!$C$2:$C$2001,F584,LOG!$E$2:$E$2001,B584,LOG!$D$2:$D$2001,"NOT_INTERESTED")+COUNTIFS(LOG!$C$2:$C$2001,F584,LOG!$E$2:$E$2001,"",LOG!$D$2:$D$2001,"NOT_INTERESTED")&gt;0,1,0),0)</f>
        <v>0</v>
      </c>
      <c r="O584" s="28">
        <f>IF(L584=1,IF(COUNTIFS(LOG!$C$2:$C$2001,F584,LOG!$D$2:$D$2001,"STOP")+COUNTIFS(LOG!$C$2:$C$2001,F584,LOG!$D$2:$D$2001,"WRONG_NUMBER")&gt;0,1,IF(ISNUMBER(SEARCH("STOP",AT584)),1,0)),0)</f>
        <v>0</v>
      </c>
      <c r="P584" s="28">
        <f>IF(L584=1,IF(IFERROR(INDEX(PARTNERS!$D$2:$D$88,MATCH(B584,PARTNERS!$A$2:$A$88,0)),"")="NO SLOTS",1,IF(AND(IFERROR(INDEX(PARTNERS!$D$2:$D$88,MATCH(B584,PARTNERS!$A$2:$A$88,0)),"")&lt;&gt;"REOPENED",COUNTIFS(LOG!$E$2:$E$2001,B584,LOG!$D$2:$D$2001,"NO_SLOTS")&gt;0),1,0)),0)</f>
        <v>0</v>
      </c>
      <c r="Q584" s="28">
        <f>IF(L584=1,COUNTIFS(LOG!$C$2:$C$2001,F584,LOG!$H$2:$H$2001,1),0)</f>
        <v>0</v>
      </c>
      <c r="R584" s="46">
        <f>IF(Q584&gt;0,_xlfn.MAXIFS(LOG!$G$2:$G$2001,LOG!$C$2:$C$2001,F584,LOG!$H$2:$H$2001,1),0)</f>
        <v>0</v>
      </c>
      <c r="S584" s="28" t="str">
        <f>IF(Q584&gt;0,IFERROR(INDEX(LOG!$D$2:$D$2001,MATCH(F584&amp;"|"&amp;Q584,LOG!$I$2:$I$2001,0)),""),"")</f>
        <v/>
      </c>
      <c r="T584" s="28">
        <f>IF(S584="",0,IFERROR(VLOOKUP(S584,LISTS!$A$2:$E$10,4,FALSE),0))</f>
        <v>0</v>
      </c>
      <c r="U584" s="46">
        <f t="shared" si="101"/>
        <v>0</v>
      </c>
      <c r="V584" s="46" t="str">
        <f>IF(L584=1,H584+SETTINGS!$B$5/24,"")</f>
        <v/>
      </c>
      <c r="W584" s="28" t="str">
        <f>IF(L584=1,(V584-SETTINGS!$B$4)*24,"")</f>
        <v/>
      </c>
      <c r="X584" s="28">
        <f ca="1">IF(AND(L584=1,K584="OK",M584=0,N584=0,O584=0,P584=0,SETTINGS!$B$4&lt;V584,Q584&lt;SETTINGS!$B$6),1,0)</f>
        <v>0</v>
      </c>
      <c r="Y584" s="28">
        <f ca="1">IF(AND(X584=1,SETTINGS!$B$4&gt;=H584,SETTINGS!$B$4&gt;=U584,ROUND(MOD(SETTINGS!$B$4,1)*1440,0)&gt;=ROUND(SETTINGS!$B$7*1440,0),ROUND(MOD(SETTINGS!$B$4,1)*1440,0)&lt;ROUND(SETTINGS!$B$8*1440,0)),1,0)</f>
        <v>0</v>
      </c>
      <c r="Z584" s="28" t="str">
        <f>IF(B584="","",IF(ROUND(MOD(SETTINGS!$B$4,1)*1440,0)&lt;ROUND(SETTINGS!$B$11*1440,0),"Ram",IF(ROUND(MOD(SETTINGS!$B$4,1)*1440,0)&gt;=ROUND(SETTINGS!$B$10*1440,0),"Shyam",IF(MOD(IFERROR(VALUE(RIGHT(F584,2)),0),2)=0,"Ram","Shyam"))))</f>
        <v/>
      </c>
      <c r="AA584" s="28">
        <f t="shared" ca="1" si="102"/>
        <v>0</v>
      </c>
      <c r="AB584" s="28">
        <f ca="1">IF(X584=1,COUNTIFS($F$2:F584,F584,$X$2:X584,1),0)</f>
        <v>0</v>
      </c>
      <c r="AC584" s="28" t="str">
        <f>IF(L584=1,IF(IFERROR(INDEX(PARTNERS!$C$2:$C$88,MATCH(B584,PARTNERS!$A$2:$A$88,0)),"")="YES","YES","NO"),"")</f>
        <v/>
      </c>
      <c r="AD584" s="28" t="str">
        <f>IF(L584=1,IFERROR(INDEX(PARTNERS!$B$2:$B$88,MATCH(B584,PARTNERS!$A$2:$A$88,0)),""),"")</f>
        <v/>
      </c>
      <c r="AE584" s="28">
        <f ca="1">IF(X584=1,IFERROR(INDEX(SETTINGS!$B$34:$D$36,MATCH(I584,SETTINGS!$A$34:$A$36,0),MIN(Q584,2)+1),SETTINGS!$B$36),0)</f>
        <v>0</v>
      </c>
      <c r="AF584" s="28">
        <f t="shared" si="103"/>
        <v>0</v>
      </c>
      <c r="AG584" s="28">
        <f ca="1">IF(AND(Y584=1,AB584=1),ROUND(AA584*AE584*IF(AF584&gt;1,SETTINGS!$B$16,1)*IF(W584&lt;=SETTINGS!$B$14,SETTINGS!$B$15,1)*IF(AU584=1,SETTINGS!$B$21,1),6),0)</f>
        <v>0</v>
      </c>
      <c r="AH584" s="28" t="str">
        <f ca="1">IF(AG584&gt;0,COUNTIFS($Z$2:$Z$601,Z584,$AG$2:$AG$601,"&gt;"&amp;AG584)+COUNTIFS($Z$2:Z584,Z584,$AG$2:AG584,AG584),"")</f>
        <v/>
      </c>
      <c r="AI584" s="28" t="str">
        <f t="shared" ca="1" si="104"/>
        <v/>
      </c>
      <c r="AJ584" s="28" t="str">
        <f t="shared" ca="1" si="105"/>
        <v/>
      </c>
      <c r="AK584" s="28">
        <f>IF(L584=1,IF(COUNTIFS($F$2:F584,F584,$L$2:L584,1)=1,1,0),0)</f>
        <v>0</v>
      </c>
      <c r="AL584" s="28" t="str">
        <f>IF(B584="","",IF(K584="DUPLICATE","Duplicate (removed)",IF(AO584=1,"Scheduled within 24h",IF(M584=1,"Scheduled late",IF(K584="BAD CONTACT","Bad contact details",IF(O584=1,"Stopped / wrong number",IF(N584=1,"Not interested",IF(P584=1,"Partner has no slots",IF(SETTINGS!$B$4&gt;=V584,IF(Q584=0,"Missed deadline: never tried","Missed deadline: tried, not booked"),IF(Q584&gt;=SETTINGS!$B$6,"No reply after max tries","Open"))))))))))</f>
        <v/>
      </c>
      <c r="AM584" s="46" t="str">
        <f>IF(M584=1,IF(_xlfn.MINIFS(LOG!$G$2:$G$2001,LOG!$C$2:$C$2001,F584,LOG!$E$2:$E$2001,B584,LOG!$D$2:$D$2001,"*BOOKED")=0,_xlfn.MINIFS(LOG!$G$2:$G$2001,LOG!$C$2:$C$2001,F584,LOG!$E$2:$E$2001,"",LOG!$D$2:$D$2001,"*BOOKED"),IF(_xlfn.MINIFS(LOG!$G$2:$G$2001,LOG!$C$2:$C$2001,F584,LOG!$E$2:$E$2001,"",LOG!$D$2:$D$2001,"*BOOKED")=0,_xlfn.MINIFS(LOG!$G$2:$G$2001,LOG!$C$2:$C$2001,F584,LOG!$E$2:$E$2001,B584,LOG!$D$2:$D$2001,"*BOOKED"),MIN(_xlfn.MINIFS(LOG!$G$2:$G$2001,LOG!$C$2:$C$2001,F584,LOG!$E$2:$E$2001,B584,LOG!$D$2:$D$2001,"*BOOKED"),_xlfn.MINIFS(LOG!$G$2:$G$2001,LOG!$C$2:$C$2001,F584,LOG!$E$2:$E$2001,"",LOG!$D$2:$D$2001,"*BOOKED")))),"")</f>
        <v/>
      </c>
      <c r="AN584" s="28" t="str">
        <f t="shared" si="106"/>
        <v/>
      </c>
      <c r="AO584" s="28">
        <f>IF(AND(M584=1,AN584&lt;&gt;""),IF(AN584&lt;=SETTINGS!$B$5,1,0),0)</f>
        <v>0</v>
      </c>
      <c r="AP584" s="28">
        <f>IF(M584=1,IF(COUNTIFS(LOG!$C$2:$C$2001,F584,LOG!$E$2:$E$2001,B584,LOG!$D$2:$D$2001,"BOOKED")+COUNTIFS(LOG!$C$2:$C$2001,F584,LOG!$E$2:$E$2001,"",LOG!$D$2:$D$2001,"BOOKED")&gt;0,1,0),0)</f>
        <v>0</v>
      </c>
      <c r="AQ584" s="28" t="str">
        <f t="shared" si="107"/>
        <v/>
      </c>
      <c r="AR584" s="28" t="str">
        <f>IF(AND(AK584=1,K584="OK"),COUNTIFS($AK$2:AK584,1,$K$2:K584,"OK"),"")</f>
        <v/>
      </c>
      <c r="AS584" s="28" t="str">
        <f>IF(L584=1,IFERROR(INDEX(MESSAGES!$J$9:$J$1008,MATCH(F584,MESSAGES!$M$9:$M$1008,0))&amp;"",""),"")</f>
        <v/>
      </c>
      <c r="AT584" s="28" t="str">
        <f>IF(L584=1,IFERROR(INDEX(MESSAGES!$K$9:$K$1008,MATCH(F584,MESSAGES!$M$9:$M$1008,0))&amp;"",""),"")</f>
        <v/>
      </c>
      <c r="AU584" s="28">
        <f t="shared" ca="1" si="108"/>
        <v>0</v>
      </c>
      <c r="AV584" s="28" t="str">
        <f t="shared" si="109"/>
        <v/>
      </c>
    </row>
    <row r="585" spans="1:48" x14ac:dyDescent="0.35">
      <c r="A585" s="28">
        <v>584</v>
      </c>
      <c r="B585" s="28" t="str">
        <f>IF(INPUT!A585="","",TRIM(INPUT!A585))</f>
        <v/>
      </c>
      <c r="C585" s="28" t="str">
        <f>IF(B585="","",INPUT!C585)</f>
        <v/>
      </c>
      <c r="D585" s="28" t="str">
        <f>IF(B585="","",INPUT!D585)</f>
        <v/>
      </c>
      <c r="E585" s="28" t="str">
        <f>IF(B585="","",INPUT!E585)</f>
        <v/>
      </c>
      <c r="F585" s="43" t="str">
        <f>IF(B585="","",TRIM(INPUT!F585&amp;""))</f>
        <v/>
      </c>
      <c r="G585" s="28" t="str">
        <f>IF(B585="","",INPUT!H585)</f>
        <v/>
      </c>
      <c r="H585" s="46" t="str">
        <f>IF(B585="","",INPUT!I585)</f>
        <v/>
      </c>
      <c r="I585" s="28" t="str">
        <f>IF(B585="","",IF(INPUT!J585="","None",INPUT!J585))</f>
        <v/>
      </c>
      <c r="J585" s="28" t="str">
        <f t="shared" si="99"/>
        <v/>
      </c>
      <c r="K585" s="28" t="str">
        <f>IF(B585="","",IF(SUMPRODUCT(($J$2:$J$601=J585)*($H$2:$H$601&lt;H585))+SUMPRODUCT(($J$2:J585=J585)*($H$2:H585=H585))-1&gt;0,"DUPLICATE",IF(AND(ISNUMBER(SEARCH("@",E585)),ISNUMBER(SEARCH(".",E585)),LEN(F585)=10,ISNUMBER(VALUE(F585))),"OK","BAD CONTACT")))</f>
        <v/>
      </c>
      <c r="L585" s="28">
        <f t="shared" si="100"/>
        <v>0</v>
      </c>
      <c r="M585" s="28">
        <f>IF(L585=1,IF(COUNTIFS(LOG!$C$2:$C$2001,F585,LOG!$E$2:$E$2001,B585,LOG!$D$2:$D$2001,"*BOOKED")+COUNTIFS(LOG!$C$2:$C$2001,F585,LOG!$E$2:$E$2001,"",LOG!$D$2:$D$2001,"*BOOKED")&gt;0,1,0),0)</f>
        <v>0</v>
      </c>
      <c r="N585" s="28">
        <f>IF(L585=1,IF(COUNTIFS(LOG!$C$2:$C$2001,F585,LOG!$E$2:$E$2001,B585,LOG!$D$2:$D$2001,"NOT_INTERESTED")+COUNTIFS(LOG!$C$2:$C$2001,F585,LOG!$E$2:$E$2001,"",LOG!$D$2:$D$2001,"NOT_INTERESTED")&gt;0,1,0),0)</f>
        <v>0</v>
      </c>
      <c r="O585" s="28">
        <f>IF(L585=1,IF(COUNTIFS(LOG!$C$2:$C$2001,F585,LOG!$D$2:$D$2001,"STOP")+COUNTIFS(LOG!$C$2:$C$2001,F585,LOG!$D$2:$D$2001,"WRONG_NUMBER")&gt;0,1,IF(ISNUMBER(SEARCH("STOP",AT585)),1,0)),0)</f>
        <v>0</v>
      </c>
      <c r="P585" s="28">
        <f>IF(L585=1,IF(IFERROR(INDEX(PARTNERS!$D$2:$D$88,MATCH(B585,PARTNERS!$A$2:$A$88,0)),"")="NO SLOTS",1,IF(AND(IFERROR(INDEX(PARTNERS!$D$2:$D$88,MATCH(B585,PARTNERS!$A$2:$A$88,0)),"")&lt;&gt;"REOPENED",COUNTIFS(LOG!$E$2:$E$2001,B585,LOG!$D$2:$D$2001,"NO_SLOTS")&gt;0),1,0)),0)</f>
        <v>0</v>
      </c>
      <c r="Q585" s="28">
        <f>IF(L585=1,COUNTIFS(LOG!$C$2:$C$2001,F585,LOG!$H$2:$H$2001,1),0)</f>
        <v>0</v>
      </c>
      <c r="R585" s="46">
        <f>IF(Q585&gt;0,_xlfn.MAXIFS(LOG!$G$2:$G$2001,LOG!$C$2:$C$2001,F585,LOG!$H$2:$H$2001,1),0)</f>
        <v>0</v>
      </c>
      <c r="S585" s="28" t="str">
        <f>IF(Q585&gt;0,IFERROR(INDEX(LOG!$D$2:$D$2001,MATCH(F585&amp;"|"&amp;Q585,LOG!$I$2:$I$2001,0)),""),"")</f>
        <v/>
      </c>
      <c r="T585" s="28">
        <f>IF(S585="",0,IFERROR(VLOOKUP(S585,LISTS!$A$2:$E$10,4,FALSE),0))</f>
        <v>0</v>
      </c>
      <c r="U585" s="46">
        <f t="shared" si="101"/>
        <v>0</v>
      </c>
      <c r="V585" s="46" t="str">
        <f>IF(L585=1,H585+SETTINGS!$B$5/24,"")</f>
        <v/>
      </c>
      <c r="W585" s="28" t="str">
        <f>IF(L585=1,(V585-SETTINGS!$B$4)*24,"")</f>
        <v/>
      </c>
      <c r="X585" s="28">
        <f ca="1">IF(AND(L585=1,K585="OK",M585=0,N585=0,O585=0,P585=0,SETTINGS!$B$4&lt;V585,Q585&lt;SETTINGS!$B$6),1,0)</f>
        <v>0</v>
      </c>
      <c r="Y585" s="28">
        <f ca="1">IF(AND(X585=1,SETTINGS!$B$4&gt;=H585,SETTINGS!$B$4&gt;=U585,ROUND(MOD(SETTINGS!$B$4,1)*1440,0)&gt;=ROUND(SETTINGS!$B$7*1440,0),ROUND(MOD(SETTINGS!$B$4,1)*1440,0)&lt;ROUND(SETTINGS!$B$8*1440,0)),1,0)</f>
        <v>0</v>
      </c>
      <c r="Z585" s="28" t="str">
        <f>IF(B585="","",IF(ROUND(MOD(SETTINGS!$B$4,1)*1440,0)&lt;ROUND(SETTINGS!$B$11*1440,0),"Ram",IF(ROUND(MOD(SETTINGS!$B$4,1)*1440,0)&gt;=ROUND(SETTINGS!$B$10*1440,0),"Shyam",IF(MOD(IFERROR(VALUE(RIGHT(F585,2)),0),2)=0,"Ram","Shyam"))))</f>
        <v/>
      </c>
      <c r="AA585" s="28">
        <f t="shared" ca="1" si="102"/>
        <v>0</v>
      </c>
      <c r="AB585" s="28">
        <f ca="1">IF(X585=1,COUNTIFS($F$2:F585,F585,$X$2:X585,1),0)</f>
        <v>0</v>
      </c>
      <c r="AC585" s="28" t="str">
        <f>IF(L585=1,IF(IFERROR(INDEX(PARTNERS!$C$2:$C$88,MATCH(B585,PARTNERS!$A$2:$A$88,0)),"")="YES","YES","NO"),"")</f>
        <v/>
      </c>
      <c r="AD585" s="28" t="str">
        <f>IF(L585=1,IFERROR(INDEX(PARTNERS!$B$2:$B$88,MATCH(B585,PARTNERS!$A$2:$A$88,0)),""),"")</f>
        <v/>
      </c>
      <c r="AE585" s="28">
        <f ca="1">IF(X585=1,IFERROR(INDEX(SETTINGS!$B$34:$D$36,MATCH(I585,SETTINGS!$A$34:$A$36,0),MIN(Q585,2)+1),SETTINGS!$B$36),0)</f>
        <v>0</v>
      </c>
      <c r="AF585" s="28">
        <f t="shared" si="103"/>
        <v>0</v>
      </c>
      <c r="AG585" s="28">
        <f ca="1">IF(AND(Y585=1,AB585=1),ROUND(AA585*AE585*IF(AF585&gt;1,SETTINGS!$B$16,1)*IF(W585&lt;=SETTINGS!$B$14,SETTINGS!$B$15,1)*IF(AU585=1,SETTINGS!$B$21,1),6),0)</f>
        <v>0</v>
      </c>
      <c r="AH585" s="28" t="str">
        <f ca="1">IF(AG585&gt;0,COUNTIFS($Z$2:$Z$601,Z585,$AG$2:$AG$601,"&gt;"&amp;AG585)+COUNTIFS($Z$2:Z585,Z585,$AG$2:AG585,AG585),"")</f>
        <v/>
      </c>
      <c r="AI585" s="28" t="str">
        <f t="shared" ca="1" si="104"/>
        <v/>
      </c>
      <c r="AJ585" s="28" t="str">
        <f t="shared" ca="1" si="105"/>
        <v/>
      </c>
      <c r="AK585" s="28">
        <f>IF(L585=1,IF(COUNTIFS($F$2:F585,F585,$L$2:L585,1)=1,1,0),0)</f>
        <v>0</v>
      </c>
      <c r="AL585" s="28" t="str">
        <f>IF(B585="","",IF(K585="DUPLICATE","Duplicate (removed)",IF(AO585=1,"Scheduled within 24h",IF(M585=1,"Scheduled late",IF(K585="BAD CONTACT","Bad contact details",IF(O585=1,"Stopped / wrong number",IF(N585=1,"Not interested",IF(P585=1,"Partner has no slots",IF(SETTINGS!$B$4&gt;=V585,IF(Q585=0,"Missed deadline: never tried","Missed deadline: tried, not booked"),IF(Q585&gt;=SETTINGS!$B$6,"No reply after max tries","Open"))))))))))</f>
        <v/>
      </c>
      <c r="AM585" s="46" t="str">
        <f>IF(M585=1,IF(_xlfn.MINIFS(LOG!$G$2:$G$2001,LOG!$C$2:$C$2001,F585,LOG!$E$2:$E$2001,B585,LOG!$D$2:$D$2001,"*BOOKED")=0,_xlfn.MINIFS(LOG!$G$2:$G$2001,LOG!$C$2:$C$2001,F585,LOG!$E$2:$E$2001,"",LOG!$D$2:$D$2001,"*BOOKED"),IF(_xlfn.MINIFS(LOG!$G$2:$G$2001,LOG!$C$2:$C$2001,F585,LOG!$E$2:$E$2001,"",LOG!$D$2:$D$2001,"*BOOKED")=0,_xlfn.MINIFS(LOG!$G$2:$G$2001,LOG!$C$2:$C$2001,F585,LOG!$E$2:$E$2001,B585,LOG!$D$2:$D$2001,"*BOOKED"),MIN(_xlfn.MINIFS(LOG!$G$2:$G$2001,LOG!$C$2:$C$2001,F585,LOG!$E$2:$E$2001,B585,LOG!$D$2:$D$2001,"*BOOKED"),_xlfn.MINIFS(LOG!$G$2:$G$2001,LOG!$C$2:$C$2001,F585,LOG!$E$2:$E$2001,"",LOG!$D$2:$D$2001,"*BOOKED")))),"")</f>
        <v/>
      </c>
      <c r="AN585" s="28" t="str">
        <f t="shared" si="106"/>
        <v/>
      </c>
      <c r="AO585" s="28">
        <f>IF(AND(M585=1,AN585&lt;&gt;""),IF(AN585&lt;=SETTINGS!$B$5,1,0),0)</f>
        <v>0</v>
      </c>
      <c r="AP585" s="28">
        <f>IF(M585=1,IF(COUNTIFS(LOG!$C$2:$C$2001,F585,LOG!$E$2:$E$2001,B585,LOG!$D$2:$D$2001,"BOOKED")+COUNTIFS(LOG!$C$2:$C$2001,F585,LOG!$E$2:$E$2001,"",LOG!$D$2:$D$2001,"BOOKED")&gt;0,1,0),0)</f>
        <v>0</v>
      </c>
      <c r="AQ585" s="28" t="str">
        <f t="shared" si="107"/>
        <v/>
      </c>
      <c r="AR585" s="28" t="str">
        <f>IF(AND(AK585=1,K585="OK"),COUNTIFS($AK$2:AK585,1,$K$2:K585,"OK"),"")</f>
        <v/>
      </c>
      <c r="AS585" s="28" t="str">
        <f>IF(L585=1,IFERROR(INDEX(MESSAGES!$J$9:$J$1008,MATCH(F585,MESSAGES!$M$9:$M$1008,0))&amp;"",""),"")</f>
        <v/>
      </c>
      <c r="AT585" s="28" t="str">
        <f>IF(L585=1,IFERROR(INDEX(MESSAGES!$K$9:$K$1008,MATCH(F585,MESSAGES!$M$9:$M$1008,0))&amp;"",""),"")</f>
        <v/>
      </c>
      <c r="AU585" s="28">
        <f t="shared" ca="1" si="108"/>
        <v>0</v>
      </c>
      <c r="AV585" s="28" t="str">
        <f t="shared" si="109"/>
        <v/>
      </c>
    </row>
    <row r="586" spans="1:48" x14ac:dyDescent="0.35">
      <c r="A586" s="28">
        <v>585</v>
      </c>
      <c r="B586" s="28" t="str">
        <f>IF(INPUT!A586="","",TRIM(INPUT!A586))</f>
        <v/>
      </c>
      <c r="C586" s="28" t="str">
        <f>IF(B586="","",INPUT!C586)</f>
        <v/>
      </c>
      <c r="D586" s="28" t="str">
        <f>IF(B586="","",INPUT!D586)</f>
        <v/>
      </c>
      <c r="E586" s="28" t="str">
        <f>IF(B586="","",INPUT!E586)</f>
        <v/>
      </c>
      <c r="F586" s="43" t="str">
        <f>IF(B586="","",TRIM(INPUT!F586&amp;""))</f>
        <v/>
      </c>
      <c r="G586" s="28" t="str">
        <f>IF(B586="","",INPUT!H586)</f>
        <v/>
      </c>
      <c r="H586" s="46" t="str">
        <f>IF(B586="","",INPUT!I586)</f>
        <v/>
      </c>
      <c r="I586" s="28" t="str">
        <f>IF(B586="","",IF(INPUT!J586="","None",INPUT!J586))</f>
        <v/>
      </c>
      <c r="J586" s="28" t="str">
        <f t="shared" si="99"/>
        <v/>
      </c>
      <c r="K586" s="28" t="str">
        <f>IF(B586="","",IF(SUMPRODUCT(($J$2:$J$601=J586)*($H$2:$H$601&lt;H586))+SUMPRODUCT(($J$2:J586=J586)*($H$2:H586=H586))-1&gt;0,"DUPLICATE",IF(AND(ISNUMBER(SEARCH("@",E586)),ISNUMBER(SEARCH(".",E586)),LEN(F586)=10,ISNUMBER(VALUE(F586))),"OK","BAD CONTACT")))</f>
        <v/>
      </c>
      <c r="L586" s="28">
        <f t="shared" si="100"/>
        <v>0</v>
      </c>
      <c r="M586" s="28">
        <f>IF(L586=1,IF(COUNTIFS(LOG!$C$2:$C$2001,F586,LOG!$E$2:$E$2001,B586,LOG!$D$2:$D$2001,"*BOOKED")+COUNTIFS(LOG!$C$2:$C$2001,F586,LOG!$E$2:$E$2001,"",LOG!$D$2:$D$2001,"*BOOKED")&gt;0,1,0),0)</f>
        <v>0</v>
      </c>
      <c r="N586" s="28">
        <f>IF(L586=1,IF(COUNTIFS(LOG!$C$2:$C$2001,F586,LOG!$E$2:$E$2001,B586,LOG!$D$2:$D$2001,"NOT_INTERESTED")+COUNTIFS(LOG!$C$2:$C$2001,F586,LOG!$E$2:$E$2001,"",LOG!$D$2:$D$2001,"NOT_INTERESTED")&gt;0,1,0),0)</f>
        <v>0</v>
      </c>
      <c r="O586" s="28">
        <f>IF(L586=1,IF(COUNTIFS(LOG!$C$2:$C$2001,F586,LOG!$D$2:$D$2001,"STOP")+COUNTIFS(LOG!$C$2:$C$2001,F586,LOG!$D$2:$D$2001,"WRONG_NUMBER")&gt;0,1,IF(ISNUMBER(SEARCH("STOP",AT586)),1,0)),0)</f>
        <v>0</v>
      </c>
      <c r="P586" s="28">
        <f>IF(L586=1,IF(IFERROR(INDEX(PARTNERS!$D$2:$D$88,MATCH(B586,PARTNERS!$A$2:$A$88,0)),"")="NO SLOTS",1,IF(AND(IFERROR(INDEX(PARTNERS!$D$2:$D$88,MATCH(B586,PARTNERS!$A$2:$A$88,0)),"")&lt;&gt;"REOPENED",COUNTIFS(LOG!$E$2:$E$2001,B586,LOG!$D$2:$D$2001,"NO_SLOTS")&gt;0),1,0)),0)</f>
        <v>0</v>
      </c>
      <c r="Q586" s="28">
        <f>IF(L586=1,COUNTIFS(LOG!$C$2:$C$2001,F586,LOG!$H$2:$H$2001,1),0)</f>
        <v>0</v>
      </c>
      <c r="R586" s="46">
        <f>IF(Q586&gt;0,_xlfn.MAXIFS(LOG!$G$2:$G$2001,LOG!$C$2:$C$2001,F586,LOG!$H$2:$H$2001,1),0)</f>
        <v>0</v>
      </c>
      <c r="S586" s="28" t="str">
        <f>IF(Q586&gt;0,IFERROR(INDEX(LOG!$D$2:$D$2001,MATCH(F586&amp;"|"&amp;Q586,LOG!$I$2:$I$2001,0)),""),"")</f>
        <v/>
      </c>
      <c r="T586" s="28">
        <f>IF(S586="",0,IFERROR(VLOOKUP(S586,LISTS!$A$2:$E$10,4,FALSE),0))</f>
        <v>0</v>
      </c>
      <c r="U586" s="46">
        <f t="shared" si="101"/>
        <v>0</v>
      </c>
      <c r="V586" s="46" t="str">
        <f>IF(L586=1,H586+SETTINGS!$B$5/24,"")</f>
        <v/>
      </c>
      <c r="W586" s="28" t="str">
        <f>IF(L586=1,(V586-SETTINGS!$B$4)*24,"")</f>
        <v/>
      </c>
      <c r="X586" s="28">
        <f ca="1">IF(AND(L586=1,K586="OK",M586=0,N586=0,O586=0,P586=0,SETTINGS!$B$4&lt;V586,Q586&lt;SETTINGS!$B$6),1,0)</f>
        <v>0</v>
      </c>
      <c r="Y586" s="28">
        <f ca="1">IF(AND(X586=1,SETTINGS!$B$4&gt;=H586,SETTINGS!$B$4&gt;=U586,ROUND(MOD(SETTINGS!$B$4,1)*1440,0)&gt;=ROUND(SETTINGS!$B$7*1440,0),ROUND(MOD(SETTINGS!$B$4,1)*1440,0)&lt;ROUND(SETTINGS!$B$8*1440,0)),1,0)</f>
        <v>0</v>
      </c>
      <c r="Z586" s="28" t="str">
        <f>IF(B586="","",IF(ROUND(MOD(SETTINGS!$B$4,1)*1440,0)&lt;ROUND(SETTINGS!$B$11*1440,0),"Ram",IF(ROUND(MOD(SETTINGS!$B$4,1)*1440,0)&gt;=ROUND(SETTINGS!$B$10*1440,0),"Shyam",IF(MOD(IFERROR(VALUE(RIGHT(F586,2)),0),2)=0,"Ram","Shyam"))))</f>
        <v/>
      </c>
      <c r="AA586" s="28">
        <f t="shared" ca="1" si="102"/>
        <v>0</v>
      </c>
      <c r="AB586" s="28">
        <f ca="1">IF(X586=1,COUNTIFS($F$2:F586,F586,$X$2:X586,1),0)</f>
        <v>0</v>
      </c>
      <c r="AC586" s="28" t="str">
        <f>IF(L586=1,IF(IFERROR(INDEX(PARTNERS!$C$2:$C$88,MATCH(B586,PARTNERS!$A$2:$A$88,0)),"")="YES","YES","NO"),"")</f>
        <v/>
      </c>
      <c r="AD586" s="28" t="str">
        <f>IF(L586=1,IFERROR(INDEX(PARTNERS!$B$2:$B$88,MATCH(B586,PARTNERS!$A$2:$A$88,0)),""),"")</f>
        <v/>
      </c>
      <c r="AE586" s="28">
        <f ca="1">IF(X586=1,IFERROR(INDEX(SETTINGS!$B$34:$D$36,MATCH(I586,SETTINGS!$A$34:$A$36,0),MIN(Q586,2)+1),SETTINGS!$B$36),0)</f>
        <v>0</v>
      </c>
      <c r="AF586" s="28">
        <f t="shared" si="103"/>
        <v>0</v>
      </c>
      <c r="AG586" s="28">
        <f ca="1">IF(AND(Y586=1,AB586=1),ROUND(AA586*AE586*IF(AF586&gt;1,SETTINGS!$B$16,1)*IF(W586&lt;=SETTINGS!$B$14,SETTINGS!$B$15,1)*IF(AU586=1,SETTINGS!$B$21,1),6),0)</f>
        <v>0</v>
      </c>
      <c r="AH586" s="28" t="str">
        <f ca="1">IF(AG586&gt;0,COUNTIFS($Z$2:$Z$601,Z586,$AG$2:$AG$601,"&gt;"&amp;AG586)+COUNTIFS($Z$2:Z586,Z586,$AG$2:AG586,AG586),"")</f>
        <v/>
      </c>
      <c r="AI586" s="28" t="str">
        <f t="shared" ca="1" si="104"/>
        <v/>
      </c>
      <c r="AJ586" s="28" t="str">
        <f t="shared" ca="1" si="105"/>
        <v/>
      </c>
      <c r="AK586" s="28">
        <f>IF(L586=1,IF(COUNTIFS($F$2:F586,F586,$L$2:L586,1)=1,1,0),0)</f>
        <v>0</v>
      </c>
      <c r="AL586" s="28" t="str">
        <f>IF(B586="","",IF(K586="DUPLICATE","Duplicate (removed)",IF(AO586=1,"Scheduled within 24h",IF(M586=1,"Scheduled late",IF(K586="BAD CONTACT","Bad contact details",IF(O586=1,"Stopped / wrong number",IF(N586=1,"Not interested",IF(P586=1,"Partner has no slots",IF(SETTINGS!$B$4&gt;=V586,IF(Q586=0,"Missed deadline: never tried","Missed deadline: tried, not booked"),IF(Q586&gt;=SETTINGS!$B$6,"No reply after max tries","Open"))))))))))</f>
        <v/>
      </c>
      <c r="AM586" s="46" t="str">
        <f>IF(M586=1,IF(_xlfn.MINIFS(LOG!$G$2:$G$2001,LOG!$C$2:$C$2001,F586,LOG!$E$2:$E$2001,B586,LOG!$D$2:$D$2001,"*BOOKED")=0,_xlfn.MINIFS(LOG!$G$2:$G$2001,LOG!$C$2:$C$2001,F586,LOG!$E$2:$E$2001,"",LOG!$D$2:$D$2001,"*BOOKED"),IF(_xlfn.MINIFS(LOG!$G$2:$G$2001,LOG!$C$2:$C$2001,F586,LOG!$E$2:$E$2001,"",LOG!$D$2:$D$2001,"*BOOKED")=0,_xlfn.MINIFS(LOG!$G$2:$G$2001,LOG!$C$2:$C$2001,F586,LOG!$E$2:$E$2001,B586,LOG!$D$2:$D$2001,"*BOOKED"),MIN(_xlfn.MINIFS(LOG!$G$2:$G$2001,LOG!$C$2:$C$2001,F586,LOG!$E$2:$E$2001,B586,LOG!$D$2:$D$2001,"*BOOKED"),_xlfn.MINIFS(LOG!$G$2:$G$2001,LOG!$C$2:$C$2001,F586,LOG!$E$2:$E$2001,"",LOG!$D$2:$D$2001,"*BOOKED")))),"")</f>
        <v/>
      </c>
      <c r="AN586" s="28" t="str">
        <f t="shared" si="106"/>
        <v/>
      </c>
      <c r="AO586" s="28">
        <f>IF(AND(M586=1,AN586&lt;&gt;""),IF(AN586&lt;=SETTINGS!$B$5,1,0),0)</f>
        <v>0</v>
      </c>
      <c r="AP586" s="28">
        <f>IF(M586=1,IF(COUNTIFS(LOG!$C$2:$C$2001,F586,LOG!$E$2:$E$2001,B586,LOG!$D$2:$D$2001,"BOOKED")+COUNTIFS(LOG!$C$2:$C$2001,F586,LOG!$E$2:$E$2001,"",LOG!$D$2:$D$2001,"BOOKED")&gt;0,1,0),0)</f>
        <v>0</v>
      </c>
      <c r="AQ586" s="28" t="str">
        <f t="shared" si="107"/>
        <v/>
      </c>
      <c r="AR586" s="28" t="str">
        <f>IF(AND(AK586=1,K586="OK"),COUNTIFS($AK$2:AK586,1,$K$2:K586,"OK"),"")</f>
        <v/>
      </c>
      <c r="AS586" s="28" t="str">
        <f>IF(L586=1,IFERROR(INDEX(MESSAGES!$J$9:$J$1008,MATCH(F586,MESSAGES!$M$9:$M$1008,0))&amp;"",""),"")</f>
        <v/>
      </c>
      <c r="AT586" s="28" t="str">
        <f>IF(L586=1,IFERROR(INDEX(MESSAGES!$K$9:$K$1008,MATCH(F586,MESSAGES!$M$9:$M$1008,0))&amp;"",""),"")</f>
        <v/>
      </c>
      <c r="AU586" s="28">
        <f t="shared" ca="1" si="108"/>
        <v>0</v>
      </c>
      <c r="AV586" s="28" t="str">
        <f t="shared" si="109"/>
        <v/>
      </c>
    </row>
    <row r="587" spans="1:48" x14ac:dyDescent="0.35">
      <c r="A587" s="28">
        <v>586</v>
      </c>
      <c r="B587" s="28" t="str">
        <f>IF(INPUT!A587="","",TRIM(INPUT!A587))</f>
        <v/>
      </c>
      <c r="C587" s="28" t="str">
        <f>IF(B587="","",INPUT!C587)</f>
        <v/>
      </c>
      <c r="D587" s="28" t="str">
        <f>IF(B587="","",INPUT!D587)</f>
        <v/>
      </c>
      <c r="E587" s="28" t="str">
        <f>IF(B587="","",INPUT!E587)</f>
        <v/>
      </c>
      <c r="F587" s="43" t="str">
        <f>IF(B587="","",TRIM(INPUT!F587&amp;""))</f>
        <v/>
      </c>
      <c r="G587" s="28" t="str">
        <f>IF(B587="","",INPUT!H587)</f>
        <v/>
      </c>
      <c r="H587" s="46" t="str">
        <f>IF(B587="","",INPUT!I587)</f>
        <v/>
      </c>
      <c r="I587" s="28" t="str">
        <f>IF(B587="","",IF(INPUT!J587="","None",INPUT!J587))</f>
        <v/>
      </c>
      <c r="J587" s="28" t="str">
        <f t="shared" si="99"/>
        <v/>
      </c>
      <c r="K587" s="28" t="str">
        <f>IF(B587="","",IF(SUMPRODUCT(($J$2:$J$601=J587)*($H$2:$H$601&lt;H587))+SUMPRODUCT(($J$2:J587=J587)*($H$2:H587=H587))-1&gt;0,"DUPLICATE",IF(AND(ISNUMBER(SEARCH("@",E587)),ISNUMBER(SEARCH(".",E587)),LEN(F587)=10,ISNUMBER(VALUE(F587))),"OK","BAD CONTACT")))</f>
        <v/>
      </c>
      <c r="L587" s="28">
        <f t="shared" si="100"/>
        <v>0</v>
      </c>
      <c r="M587" s="28">
        <f>IF(L587=1,IF(COUNTIFS(LOG!$C$2:$C$2001,F587,LOG!$E$2:$E$2001,B587,LOG!$D$2:$D$2001,"*BOOKED")+COUNTIFS(LOG!$C$2:$C$2001,F587,LOG!$E$2:$E$2001,"",LOG!$D$2:$D$2001,"*BOOKED")&gt;0,1,0),0)</f>
        <v>0</v>
      </c>
      <c r="N587" s="28">
        <f>IF(L587=1,IF(COUNTIFS(LOG!$C$2:$C$2001,F587,LOG!$E$2:$E$2001,B587,LOG!$D$2:$D$2001,"NOT_INTERESTED")+COUNTIFS(LOG!$C$2:$C$2001,F587,LOG!$E$2:$E$2001,"",LOG!$D$2:$D$2001,"NOT_INTERESTED")&gt;0,1,0),0)</f>
        <v>0</v>
      </c>
      <c r="O587" s="28">
        <f>IF(L587=1,IF(COUNTIFS(LOG!$C$2:$C$2001,F587,LOG!$D$2:$D$2001,"STOP")+COUNTIFS(LOG!$C$2:$C$2001,F587,LOG!$D$2:$D$2001,"WRONG_NUMBER")&gt;0,1,IF(ISNUMBER(SEARCH("STOP",AT587)),1,0)),0)</f>
        <v>0</v>
      </c>
      <c r="P587" s="28">
        <f>IF(L587=1,IF(IFERROR(INDEX(PARTNERS!$D$2:$D$88,MATCH(B587,PARTNERS!$A$2:$A$88,0)),"")="NO SLOTS",1,IF(AND(IFERROR(INDEX(PARTNERS!$D$2:$D$88,MATCH(B587,PARTNERS!$A$2:$A$88,0)),"")&lt;&gt;"REOPENED",COUNTIFS(LOG!$E$2:$E$2001,B587,LOG!$D$2:$D$2001,"NO_SLOTS")&gt;0),1,0)),0)</f>
        <v>0</v>
      </c>
      <c r="Q587" s="28">
        <f>IF(L587=1,COUNTIFS(LOG!$C$2:$C$2001,F587,LOG!$H$2:$H$2001,1),0)</f>
        <v>0</v>
      </c>
      <c r="R587" s="46">
        <f>IF(Q587&gt;0,_xlfn.MAXIFS(LOG!$G$2:$G$2001,LOG!$C$2:$C$2001,F587,LOG!$H$2:$H$2001,1),0)</f>
        <v>0</v>
      </c>
      <c r="S587" s="28" t="str">
        <f>IF(Q587&gt;0,IFERROR(INDEX(LOG!$D$2:$D$2001,MATCH(F587&amp;"|"&amp;Q587,LOG!$I$2:$I$2001,0)),""),"")</f>
        <v/>
      </c>
      <c r="T587" s="28">
        <f>IF(S587="",0,IFERROR(VLOOKUP(S587,LISTS!$A$2:$E$10,4,FALSE),0))</f>
        <v>0</v>
      </c>
      <c r="U587" s="46">
        <f t="shared" si="101"/>
        <v>0</v>
      </c>
      <c r="V587" s="46" t="str">
        <f>IF(L587=1,H587+SETTINGS!$B$5/24,"")</f>
        <v/>
      </c>
      <c r="W587" s="28" t="str">
        <f>IF(L587=1,(V587-SETTINGS!$B$4)*24,"")</f>
        <v/>
      </c>
      <c r="X587" s="28">
        <f ca="1">IF(AND(L587=1,K587="OK",M587=0,N587=0,O587=0,P587=0,SETTINGS!$B$4&lt;V587,Q587&lt;SETTINGS!$B$6),1,0)</f>
        <v>0</v>
      </c>
      <c r="Y587" s="28">
        <f ca="1">IF(AND(X587=1,SETTINGS!$B$4&gt;=H587,SETTINGS!$B$4&gt;=U587,ROUND(MOD(SETTINGS!$B$4,1)*1440,0)&gt;=ROUND(SETTINGS!$B$7*1440,0),ROUND(MOD(SETTINGS!$B$4,1)*1440,0)&lt;ROUND(SETTINGS!$B$8*1440,0)),1,0)</f>
        <v>0</v>
      </c>
      <c r="Z587" s="28" t="str">
        <f>IF(B587="","",IF(ROUND(MOD(SETTINGS!$B$4,1)*1440,0)&lt;ROUND(SETTINGS!$B$11*1440,0),"Ram",IF(ROUND(MOD(SETTINGS!$B$4,1)*1440,0)&gt;=ROUND(SETTINGS!$B$10*1440,0),"Shyam",IF(MOD(IFERROR(VALUE(RIGHT(F587,2)),0),2)=0,"Ram","Shyam"))))</f>
        <v/>
      </c>
      <c r="AA587" s="28">
        <f t="shared" ca="1" si="102"/>
        <v>0</v>
      </c>
      <c r="AB587" s="28">
        <f ca="1">IF(X587=1,COUNTIFS($F$2:F587,F587,$X$2:X587,1),0)</f>
        <v>0</v>
      </c>
      <c r="AC587" s="28" t="str">
        <f>IF(L587=1,IF(IFERROR(INDEX(PARTNERS!$C$2:$C$88,MATCH(B587,PARTNERS!$A$2:$A$88,0)),"")="YES","YES","NO"),"")</f>
        <v/>
      </c>
      <c r="AD587" s="28" t="str">
        <f>IF(L587=1,IFERROR(INDEX(PARTNERS!$B$2:$B$88,MATCH(B587,PARTNERS!$A$2:$A$88,0)),""),"")</f>
        <v/>
      </c>
      <c r="AE587" s="28">
        <f ca="1">IF(X587=1,IFERROR(INDEX(SETTINGS!$B$34:$D$36,MATCH(I587,SETTINGS!$A$34:$A$36,0),MIN(Q587,2)+1),SETTINGS!$B$36),0)</f>
        <v>0</v>
      </c>
      <c r="AF587" s="28">
        <f t="shared" si="103"/>
        <v>0</v>
      </c>
      <c r="AG587" s="28">
        <f ca="1">IF(AND(Y587=1,AB587=1),ROUND(AA587*AE587*IF(AF587&gt;1,SETTINGS!$B$16,1)*IF(W587&lt;=SETTINGS!$B$14,SETTINGS!$B$15,1)*IF(AU587=1,SETTINGS!$B$21,1),6),0)</f>
        <v>0</v>
      </c>
      <c r="AH587" s="28" t="str">
        <f ca="1">IF(AG587&gt;0,COUNTIFS($Z$2:$Z$601,Z587,$AG$2:$AG$601,"&gt;"&amp;AG587)+COUNTIFS($Z$2:Z587,Z587,$AG$2:AG587,AG587),"")</f>
        <v/>
      </c>
      <c r="AI587" s="28" t="str">
        <f t="shared" ca="1" si="104"/>
        <v/>
      </c>
      <c r="AJ587" s="28" t="str">
        <f t="shared" ca="1" si="105"/>
        <v/>
      </c>
      <c r="AK587" s="28">
        <f>IF(L587=1,IF(COUNTIFS($F$2:F587,F587,$L$2:L587,1)=1,1,0),0)</f>
        <v>0</v>
      </c>
      <c r="AL587" s="28" t="str">
        <f>IF(B587="","",IF(K587="DUPLICATE","Duplicate (removed)",IF(AO587=1,"Scheduled within 24h",IF(M587=1,"Scheduled late",IF(K587="BAD CONTACT","Bad contact details",IF(O587=1,"Stopped / wrong number",IF(N587=1,"Not interested",IF(P587=1,"Partner has no slots",IF(SETTINGS!$B$4&gt;=V587,IF(Q587=0,"Missed deadline: never tried","Missed deadline: tried, not booked"),IF(Q587&gt;=SETTINGS!$B$6,"No reply after max tries","Open"))))))))))</f>
        <v/>
      </c>
      <c r="AM587" s="46" t="str">
        <f>IF(M587=1,IF(_xlfn.MINIFS(LOG!$G$2:$G$2001,LOG!$C$2:$C$2001,F587,LOG!$E$2:$E$2001,B587,LOG!$D$2:$D$2001,"*BOOKED")=0,_xlfn.MINIFS(LOG!$G$2:$G$2001,LOG!$C$2:$C$2001,F587,LOG!$E$2:$E$2001,"",LOG!$D$2:$D$2001,"*BOOKED"),IF(_xlfn.MINIFS(LOG!$G$2:$G$2001,LOG!$C$2:$C$2001,F587,LOG!$E$2:$E$2001,"",LOG!$D$2:$D$2001,"*BOOKED")=0,_xlfn.MINIFS(LOG!$G$2:$G$2001,LOG!$C$2:$C$2001,F587,LOG!$E$2:$E$2001,B587,LOG!$D$2:$D$2001,"*BOOKED"),MIN(_xlfn.MINIFS(LOG!$G$2:$G$2001,LOG!$C$2:$C$2001,F587,LOG!$E$2:$E$2001,B587,LOG!$D$2:$D$2001,"*BOOKED"),_xlfn.MINIFS(LOG!$G$2:$G$2001,LOG!$C$2:$C$2001,F587,LOG!$E$2:$E$2001,"",LOG!$D$2:$D$2001,"*BOOKED")))),"")</f>
        <v/>
      </c>
      <c r="AN587" s="28" t="str">
        <f t="shared" si="106"/>
        <v/>
      </c>
      <c r="AO587" s="28">
        <f>IF(AND(M587=1,AN587&lt;&gt;""),IF(AN587&lt;=SETTINGS!$B$5,1,0),0)</f>
        <v>0</v>
      </c>
      <c r="AP587" s="28">
        <f>IF(M587=1,IF(COUNTIFS(LOG!$C$2:$C$2001,F587,LOG!$E$2:$E$2001,B587,LOG!$D$2:$D$2001,"BOOKED")+COUNTIFS(LOG!$C$2:$C$2001,F587,LOG!$E$2:$E$2001,"",LOG!$D$2:$D$2001,"BOOKED")&gt;0,1,0),0)</f>
        <v>0</v>
      </c>
      <c r="AQ587" s="28" t="str">
        <f t="shared" si="107"/>
        <v/>
      </c>
      <c r="AR587" s="28" t="str">
        <f>IF(AND(AK587=1,K587="OK"),COUNTIFS($AK$2:AK587,1,$K$2:K587,"OK"),"")</f>
        <v/>
      </c>
      <c r="AS587" s="28" t="str">
        <f>IF(L587=1,IFERROR(INDEX(MESSAGES!$J$9:$J$1008,MATCH(F587,MESSAGES!$M$9:$M$1008,0))&amp;"",""),"")</f>
        <v/>
      </c>
      <c r="AT587" s="28" t="str">
        <f>IF(L587=1,IFERROR(INDEX(MESSAGES!$K$9:$K$1008,MATCH(F587,MESSAGES!$M$9:$M$1008,0))&amp;"",""),"")</f>
        <v/>
      </c>
      <c r="AU587" s="28">
        <f t="shared" ca="1" si="108"/>
        <v>0</v>
      </c>
      <c r="AV587" s="28" t="str">
        <f t="shared" si="109"/>
        <v/>
      </c>
    </row>
    <row r="588" spans="1:48" x14ac:dyDescent="0.35">
      <c r="A588" s="28">
        <v>587</v>
      </c>
      <c r="B588" s="28" t="str">
        <f>IF(INPUT!A588="","",TRIM(INPUT!A588))</f>
        <v/>
      </c>
      <c r="C588" s="28" t="str">
        <f>IF(B588="","",INPUT!C588)</f>
        <v/>
      </c>
      <c r="D588" s="28" t="str">
        <f>IF(B588="","",INPUT!D588)</f>
        <v/>
      </c>
      <c r="E588" s="28" t="str">
        <f>IF(B588="","",INPUT!E588)</f>
        <v/>
      </c>
      <c r="F588" s="43" t="str">
        <f>IF(B588="","",TRIM(INPUT!F588&amp;""))</f>
        <v/>
      </c>
      <c r="G588" s="28" t="str">
        <f>IF(B588="","",INPUT!H588)</f>
        <v/>
      </c>
      <c r="H588" s="46" t="str">
        <f>IF(B588="","",INPUT!I588)</f>
        <v/>
      </c>
      <c r="I588" s="28" t="str">
        <f>IF(B588="","",IF(INPUT!J588="","None",INPUT!J588))</f>
        <v/>
      </c>
      <c r="J588" s="28" t="str">
        <f t="shared" si="99"/>
        <v/>
      </c>
      <c r="K588" s="28" t="str">
        <f>IF(B588="","",IF(SUMPRODUCT(($J$2:$J$601=J588)*($H$2:$H$601&lt;H588))+SUMPRODUCT(($J$2:J588=J588)*($H$2:H588=H588))-1&gt;0,"DUPLICATE",IF(AND(ISNUMBER(SEARCH("@",E588)),ISNUMBER(SEARCH(".",E588)),LEN(F588)=10,ISNUMBER(VALUE(F588))),"OK","BAD CONTACT")))</f>
        <v/>
      </c>
      <c r="L588" s="28">
        <f t="shared" si="100"/>
        <v>0</v>
      </c>
      <c r="M588" s="28">
        <f>IF(L588=1,IF(COUNTIFS(LOG!$C$2:$C$2001,F588,LOG!$E$2:$E$2001,B588,LOG!$D$2:$D$2001,"*BOOKED")+COUNTIFS(LOG!$C$2:$C$2001,F588,LOG!$E$2:$E$2001,"",LOG!$D$2:$D$2001,"*BOOKED")&gt;0,1,0),0)</f>
        <v>0</v>
      </c>
      <c r="N588" s="28">
        <f>IF(L588=1,IF(COUNTIFS(LOG!$C$2:$C$2001,F588,LOG!$E$2:$E$2001,B588,LOG!$D$2:$D$2001,"NOT_INTERESTED")+COUNTIFS(LOG!$C$2:$C$2001,F588,LOG!$E$2:$E$2001,"",LOG!$D$2:$D$2001,"NOT_INTERESTED")&gt;0,1,0),0)</f>
        <v>0</v>
      </c>
      <c r="O588" s="28">
        <f>IF(L588=1,IF(COUNTIFS(LOG!$C$2:$C$2001,F588,LOG!$D$2:$D$2001,"STOP")+COUNTIFS(LOG!$C$2:$C$2001,F588,LOG!$D$2:$D$2001,"WRONG_NUMBER")&gt;0,1,IF(ISNUMBER(SEARCH("STOP",AT588)),1,0)),0)</f>
        <v>0</v>
      </c>
      <c r="P588" s="28">
        <f>IF(L588=1,IF(IFERROR(INDEX(PARTNERS!$D$2:$D$88,MATCH(B588,PARTNERS!$A$2:$A$88,0)),"")="NO SLOTS",1,IF(AND(IFERROR(INDEX(PARTNERS!$D$2:$D$88,MATCH(B588,PARTNERS!$A$2:$A$88,0)),"")&lt;&gt;"REOPENED",COUNTIFS(LOG!$E$2:$E$2001,B588,LOG!$D$2:$D$2001,"NO_SLOTS")&gt;0),1,0)),0)</f>
        <v>0</v>
      </c>
      <c r="Q588" s="28">
        <f>IF(L588=1,COUNTIFS(LOG!$C$2:$C$2001,F588,LOG!$H$2:$H$2001,1),0)</f>
        <v>0</v>
      </c>
      <c r="R588" s="46">
        <f>IF(Q588&gt;0,_xlfn.MAXIFS(LOG!$G$2:$G$2001,LOG!$C$2:$C$2001,F588,LOG!$H$2:$H$2001,1),0)</f>
        <v>0</v>
      </c>
      <c r="S588" s="28" t="str">
        <f>IF(Q588&gt;0,IFERROR(INDEX(LOG!$D$2:$D$2001,MATCH(F588&amp;"|"&amp;Q588,LOG!$I$2:$I$2001,0)),""),"")</f>
        <v/>
      </c>
      <c r="T588" s="28">
        <f>IF(S588="",0,IFERROR(VLOOKUP(S588,LISTS!$A$2:$E$10,4,FALSE),0))</f>
        <v>0</v>
      </c>
      <c r="U588" s="46">
        <f t="shared" si="101"/>
        <v>0</v>
      </c>
      <c r="V588" s="46" t="str">
        <f>IF(L588=1,H588+SETTINGS!$B$5/24,"")</f>
        <v/>
      </c>
      <c r="W588" s="28" t="str">
        <f>IF(L588=1,(V588-SETTINGS!$B$4)*24,"")</f>
        <v/>
      </c>
      <c r="X588" s="28">
        <f ca="1">IF(AND(L588=1,K588="OK",M588=0,N588=0,O588=0,P588=0,SETTINGS!$B$4&lt;V588,Q588&lt;SETTINGS!$B$6),1,0)</f>
        <v>0</v>
      </c>
      <c r="Y588" s="28">
        <f ca="1">IF(AND(X588=1,SETTINGS!$B$4&gt;=H588,SETTINGS!$B$4&gt;=U588,ROUND(MOD(SETTINGS!$B$4,1)*1440,0)&gt;=ROUND(SETTINGS!$B$7*1440,0),ROUND(MOD(SETTINGS!$B$4,1)*1440,0)&lt;ROUND(SETTINGS!$B$8*1440,0)),1,0)</f>
        <v>0</v>
      </c>
      <c r="Z588" s="28" t="str">
        <f>IF(B588="","",IF(ROUND(MOD(SETTINGS!$B$4,1)*1440,0)&lt;ROUND(SETTINGS!$B$11*1440,0),"Ram",IF(ROUND(MOD(SETTINGS!$B$4,1)*1440,0)&gt;=ROUND(SETTINGS!$B$10*1440,0),"Shyam",IF(MOD(IFERROR(VALUE(RIGHT(F588,2)),0),2)=0,"Ram","Shyam"))))</f>
        <v/>
      </c>
      <c r="AA588" s="28">
        <f t="shared" ca="1" si="102"/>
        <v>0</v>
      </c>
      <c r="AB588" s="28">
        <f ca="1">IF(X588=1,COUNTIFS($F$2:F588,F588,$X$2:X588,1),0)</f>
        <v>0</v>
      </c>
      <c r="AC588" s="28" t="str">
        <f>IF(L588=1,IF(IFERROR(INDEX(PARTNERS!$C$2:$C$88,MATCH(B588,PARTNERS!$A$2:$A$88,0)),"")="YES","YES","NO"),"")</f>
        <v/>
      </c>
      <c r="AD588" s="28" t="str">
        <f>IF(L588=1,IFERROR(INDEX(PARTNERS!$B$2:$B$88,MATCH(B588,PARTNERS!$A$2:$A$88,0)),""),"")</f>
        <v/>
      </c>
      <c r="AE588" s="28">
        <f ca="1">IF(X588=1,IFERROR(INDEX(SETTINGS!$B$34:$D$36,MATCH(I588,SETTINGS!$A$34:$A$36,0),MIN(Q588,2)+1),SETTINGS!$B$36),0)</f>
        <v>0</v>
      </c>
      <c r="AF588" s="28">
        <f t="shared" si="103"/>
        <v>0</v>
      </c>
      <c r="AG588" s="28">
        <f ca="1">IF(AND(Y588=1,AB588=1),ROUND(AA588*AE588*IF(AF588&gt;1,SETTINGS!$B$16,1)*IF(W588&lt;=SETTINGS!$B$14,SETTINGS!$B$15,1)*IF(AU588=1,SETTINGS!$B$21,1),6),0)</f>
        <v>0</v>
      </c>
      <c r="AH588" s="28" t="str">
        <f ca="1">IF(AG588&gt;0,COUNTIFS($Z$2:$Z$601,Z588,$AG$2:$AG$601,"&gt;"&amp;AG588)+COUNTIFS($Z$2:Z588,Z588,$AG$2:AG588,AG588),"")</f>
        <v/>
      </c>
      <c r="AI588" s="28" t="str">
        <f t="shared" ca="1" si="104"/>
        <v/>
      </c>
      <c r="AJ588" s="28" t="str">
        <f t="shared" ca="1" si="105"/>
        <v/>
      </c>
      <c r="AK588" s="28">
        <f>IF(L588=1,IF(COUNTIFS($F$2:F588,F588,$L$2:L588,1)=1,1,0),0)</f>
        <v>0</v>
      </c>
      <c r="AL588" s="28" t="str">
        <f>IF(B588="","",IF(K588="DUPLICATE","Duplicate (removed)",IF(AO588=1,"Scheduled within 24h",IF(M588=1,"Scheduled late",IF(K588="BAD CONTACT","Bad contact details",IF(O588=1,"Stopped / wrong number",IF(N588=1,"Not interested",IF(P588=1,"Partner has no slots",IF(SETTINGS!$B$4&gt;=V588,IF(Q588=0,"Missed deadline: never tried","Missed deadline: tried, not booked"),IF(Q588&gt;=SETTINGS!$B$6,"No reply after max tries","Open"))))))))))</f>
        <v/>
      </c>
      <c r="AM588" s="46" t="str">
        <f>IF(M588=1,IF(_xlfn.MINIFS(LOG!$G$2:$G$2001,LOG!$C$2:$C$2001,F588,LOG!$E$2:$E$2001,B588,LOG!$D$2:$D$2001,"*BOOKED")=0,_xlfn.MINIFS(LOG!$G$2:$G$2001,LOG!$C$2:$C$2001,F588,LOG!$E$2:$E$2001,"",LOG!$D$2:$D$2001,"*BOOKED"),IF(_xlfn.MINIFS(LOG!$G$2:$G$2001,LOG!$C$2:$C$2001,F588,LOG!$E$2:$E$2001,"",LOG!$D$2:$D$2001,"*BOOKED")=0,_xlfn.MINIFS(LOG!$G$2:$G$2001,LOG!$C$2:$C$2001,F588,LOG!$E$2:$E$2001,B588,LOG!$D$2:$D$2001,"*BOOKED"),MIN(_xlfn.MINIFS(LOG!$G$2:$G$2001,LOG!$C$2:$C$2001,F588,LOG!$E$2:$E$2001,B588,LOG!$D$2:$D$2001,"*BOOKED"),_xlfn.MINIFS(LOG!$G$2:$G$2001,LOG!$C$2:$C$2001,F588,LOG!$E$2:$E$2001,"",LOG!$D$2:$D$2001,"*BOOKED")))),"")</f>
        <v/>
      </c>
      <c r="AN588" s="28" t="str">
        <f t="shared" si="106"/>
        <v/>
      </c>
      <c r="AO588" s="28">
        <f>IF(AND(M588=1,AN588&lt;&gt;""),IF(AN588&lt;=SETTINGS!$B$5,1,0),0)</f>
        <v>0</v>
      </c>
      <c r="AP588" s="28">
        <f>IF(M588=1,IF(COUNTIFS(LOG!$C$2:$C$2001,F588,LOG!$E$2:$E$2001,B588,LOG!$D$2:$D$2001,"BOOKED")+COUNTIFS(LOG!$C$2:$C$2001,F588,LOG!$E$2:$E$2001,"",LOG!$D$2:$D$2001,"BOOKED")&gt;0,1,0),0)</f>
        <v>0</v>
      </c>
      <c r="AQ588" s="28" t="str">
        <f t="shared" si="107"/>
        <v/>
      </c>
      <c r="AR588" s="28" t="str">
        <f>IF(AND(AK588=1,K588="OK"),COUNTIFS($AK$2:AK588,1,$K$2:K588,"OK"),"")</f>
        <v/>
      </c>
      <c r="AS588" s="28" t="str">
        <f>IF(L588=1,IFERROR(INDEX(MESSAGES!$J$9:$J$1008,MATCH(F588,MESSAGES!$M$9:$M$1008,0))&amp;"",""),"")</f>
        <v/>
      </c>
      <c r="AT588" s="28" t="str">
        <f>IF(L588=1,IFERROR(INDEX(MESSAGES!$K$9:$K$1008,MATCH(F588,MESSAGES!$M$9:$M$1008,0))&amp;"",""),"")</f>
        <v/>
      </c>
      <c r="AU588" s="28">
        <f t="shared" ca="1" si="108"/>
        <v>0</v>
      </c>
      <c r="AV588" s="28" t="str">
        <f t="shared" si="109"/>
        <v/>
      </c>
    </row>
    <row r="589" spans="1:48" x14ac:dyDescent="0.35">
      <c r="A589" s="28">
        <v>588</v>
      </c>
      <c r="B589" s="28" t="str">
        <f>IF(INPUT!A589="","",TRIM(INPUT!A589))</f>
        <v/>
      </c>
      <c r="C589" s="28" t="str">
        <f>IF(B589="","",INPUT!C589)</f>
        <v/>
      </c>
      <c r="D589" s="28" t="str">
        <f>IF(B589="","",INPUT!D589)</f>
        <v/>
      </c>
      <c r="E589" s="28" t="str">
        <f>IF(B589="","",INPUT!E589)</f>
        <v/>
      </c>
      <c r="F589" s="43" t="str">
        <f>IF(B589="","",TRIM(INPUT!F589&amp;""))</f>
        <v/>
      </c>
      <c r="G589" s="28" t="str">
        <f>IF(B589="","",INPUT!H589)</f>
        <v/>
      </c>
      <c r="H589" s="46" t="str">
        <f>IF(B589="","",INPUT!I589)</f>
        <v/>
      </c>
      <c r="I589" s="28" t="str">
        <f>IF(B589="","",IF(INPUT!J589="","None",INPUT!J589))</f>
        <v/>
      </c>
      <c r="J589" s="28" t="str">
        <f t="shared" si="99"/>
        <v/>
      </c>
      <c r="K589" s="28" t="str">
        <f>IF(B589="","",IF(SUMPRODUCT(($J$2:$J$601=J589)*($H$2:$H$601&lt;H589))+SUMPRODUCT(($J$2:J589=J589)*($H$2:H589=H589))-1&gt;0,"DUPLICATE",IF(AND(ISNUMBER(SEARCH("@",E589)),ISNUMBER(SEARCH(".",E589)),LEN(F589)=10,ISNUMBER(VALUE(F589))),"OK","BAD CONTACT")))</f>
        <v/>
      </c>
      <c r="L589" s="28">
        <f t="shared" si="100"/>
        <v>0</v>
      </c>
      <c r="M589" s="28">
        <f>IF(L589=1,IF(COUNTIFS(LOG!$C$2:$C$2001,F589,LOG!$E$2:$E$2001,B589,LOG!$D$2:$D$2001,"*BOOKED")+COUNTIFS(LOG!$C$2:$C$2001,F589,LOG!$E$2:$E$2001,"",LOG!$D$2:$D$2001,"*BOOKED")&gt;0,1,0),0)</f>
        <v>0</v>
      </c>
      <c r="N589" s="28">
        <f>IF(L589=1,IF(COUNTIFS(LOG!$C$2:$C$2001,F589,LOG!$E$2:$E$2001,B589,LOG!$D$2:$D$2001,"NOT_INTERESTED")+COUNTIFS(LOG!$C$2:$C$2001,F589,LOG!$E$2:$E$2001,"",LOG!$D$2:$D$2001,"NOT_INTERESTED")&gt;0,1,0),0)</f>
        <v>0</v>
      </c>
      <c r="O589" s="28">
        <f>IF(L589=1,IF(COUNTIFS(LOG!$C$2:$C$2001,F589,LOG!$D$2:$D$2001,"STOP")+COUNTIFS(LOG!$C$2:$C$2001,F589,LOG!$D$2:$D$2001,"WRONG_NUMBER")&gt;0,1,IF(ISNUMBER(SEARCH("STOP",AT589)),1,0)),0)</f>
        <v>0</v>
      </c>
      <c r="P589" s="28">
        <f>IF(L589=1,IF(IFERROR(INDEX(PARTNERS!$D$2:$D$88,MATCH(B589,PARTNERS!$A$2:$A$88,0)),"")="NO SLOTS",1,IF(AND(IFERROR(INDEX(PARTNERS!$D$2:$D$88,MATCH(B589,PARTNERS!$A$2:$A$88,0)),"")&lt;&gt;"REOPENED",COUNTIFS(LOG!$E$2:$E$2001,B589,LOG!$D$2:$D$2001,"NO_SLOTS")&gt;0),1,0)),0)</f>
        <v>0</v>
      </c>
      <c r="Q589" s="28">
        <f>IF(L589=1,COUNTIFS(LOG!$C$2:$C$2001,F589,LOG!$H$2:$H$2001,1),0)</f>
        <v>0</v>
      </c>
      <c r="R589" s="46">
        <f>IF(Q589&gt;0,_xlfn.MAXIFS(LOG!$G$2:$G$2001,LOG!$C$2:$C$2001,F589,LOG!$H$2:$H$2001,1),0)</f>
        <v>0</v>
      </c>
      <c r="S589" s="28" t="str">
        <f>IF(Q589&gt;0,IFERROR(INDEX(LOG!$D$2:$D$2001,MATCH(F589&amp;"|"&amp;Q589,LOG!$I$2:$I$2001,0)),""),"")</f>
        <v/>
      </c>
      <c r="T589" s="28">
        <f>IF(S589="",0,IFERROR(VLOOKUP(S589,LISTS!$A$2:$E$10,4,FALSE),0))</f>
        <v>0</v>
      </c>
      <c r="U589" s="46">
        <f t="shared" si="101"/>
        <v>0</v>
      </c>
      <c r="V589" s="46" t="str">
        <f>IF(L589=1,H589+SETTINGS!$B$5/24,"")</f>
        <v/>
      </c>
      <c r="W589" s="28" t="str">
        <f>IF(L589=1,(V589-SETTINGS!$B$4)*24,"")</f>
        <v/>
      </c>
      <c r="X589" s="28">
        <f ca="1">IF(AND(L589=1,K589="OK",M589=0,N589=0,O589=0,P589=0,SETTINGS!$B$4&lt;V589,Q589&lt;SETTINGS!$B$6),1,0)</f>
        <v>0</v>
      </c>
      <c r="Y589" s="28">
        <f ca="1">IF(AND(X589=1,SETTINGS!$B$4&gt;=H589,SETTINGS!$B$4&gt;=U589,ROUND(MOD(SETTINGS!$B$4,1)*1440,0)&gt;=ROUND(SETTINGS!$B$7*1440,0),ROUND(MOD(SETTINGS!$B$4,1)*1440,0)&lt;ROUND(SETTINGS!$B$8*1440,0)),1,0)</f>
        <v>0</v>
      </c>
      <c r="Z589" s="28" t="str">
        <f>IF(B589="","",IF(ROUND(MOD(SETTINGS!$B$4,1)*1440,0)&lt;ROUND(SETTINGS!$B$11*1440,0),"Ram",IF(ROUND(MOD(SETTINGS!$B$4,1)*1440,0)&gt;=ROUND(SETTINGS!$B$10*1440,0),"Shyam",IF(MOD(IFERROR(VALUE(RIGHT(F589,2)),0),2)=0,"Ram","Shyam"))))</f>
        <v/>
      </c>
      <c r="AA589" s="28">
        <f t="shared" ca="1" si="102"/>
        <v>0</v>
      </c>
      <c r="AB589" s="28">
        <f ca="1">IF(X589=1,COUNTIFS($F$2:F589,F589,$X$2:X589,1),0)</f>
        <v>0</v>
      </c>
      <c r="AC589" s="28" t="str">
        <f>IF(L589=1,IF(IFERROR(INDEX(PARTNERS!$C$2:$C$88,MATCH(B589,PARTNERS!$A$2:$A$88,0)),"")="YES","YES","NO"),"")</f>
        <v/>
      </c>
      <c r="AD589" s="28" t="str">
        <f>IF(L589=1,IFERROR(INDEX(PARTNERS!$B$2:$B$88,MATCH(B589,PARTNERS!$A$2:$A$88,0)),""),"")</f>
        <v/>
      </c>
      <c r="AE589" s="28">
        <f ca="1">IF(X589=1,IFERROR(INDEX(SETTINGS!$B$34:$D$36,MATCH(I589,SETTINGS!$A$34:$A$36,0),MIN(Q589,2)+1),SETTINGS!$B$36),0)</f>
        <v>0</v>
      </c>
      <c r="AF589" s="28">
        <f t="shared" si="103"/>
        <v>0</v>
      </c>
      <c r="AG589" s="28">
        <f ca="1">IF(AND(Y589=1,AB589=1),ROUND(AA589*AE589*IF(AF589&gt;1,SETTINGS!$B$16,1)*IF(W589&lt;=SETTINGS!$B$14,SETTINGS!$B$15,1)*IF(AU589=1,SETTINGS!$B$21,1),6),0)</f>
        <v>0</v>
      </c>
      <c r="AH589" s="28" t="str">
        <f ca="1">IF(AG589&gt;0,COUNTIFS($Z$2:$Z$601,Z589,$AG$2:$AG$601,"&gt;"&amp;AG589)+COUNTIFS($Z$2:Z589,Z589,$AG$2:AG589,AG589),"")</f>
        <v/>
      </c>
      <c r="AI589" s="28" t="str">
        <f t="shared" ca="1" si="104"/>
        <v/>
      </c>
      <c r="AJ589" s="28" t="str">
        <f t="shared" ca="1" si="105"/>
        <v/>
      </c>
      <c r="AK589" s="28">
        <f>IF(L589=1,IF(COUNTIFS($F$2:F589,F589,$L$2:L589,1)=1,1,0),0)</f>
        <v>0</v>
      </c>
      <c r="AL589" s="28" t="str">
        <f>IF(B589="","",IF(K589="DUPLICATE","Duplicate (removed)",IF(AO589=1,"Scheduled within 24h",IF(M589=1,"Scheduled late",IF(K589="BAD CONTACT","Bad contact details",IF(O589=1,"Stopped / wrong number",IF(N589=1,"Not interested",IF(P589=1,"Partner has no slots",IF(SETTINGS!$B$4&gt;=V589,IF(Q589=0,"Missed deadline: never tried","Missed deadline: tried, not booked"),IF(Q589&gt;=SETTINGS!$B$6,"No reply after max tries","Open"))))))))))</f>
        <v/>
      </c>
      <c r="AM589" s="46" t="str">
        <f>IF(M589=1,IF(_xlfn.MINIFS(LOG!$G$2:$G$2001,LOG!$C$2:$C$2001,F589,LOG!$E$2:$E$2001,B589,LOG!$D$2:$D$2001,"*BOOKED")=0,_xlfn.MINIFS(LOG!$G$2:$G$2001,LOG!$C$2:$C$2001,F589,LOG!$E$2:$E$2001,"",LOG!$D$2:$D$2001,"*BOOKED"),IF(_xlfn.MINIFS(LOG!$G$2:$G$2001,LOG!$C$2:$C$2001,F589,LOG!$E$2:$E$2001,"",LOG!$D$2:$D$2001,"*BOOKED")=0,_xlfn.MINIFS(LOG!$G$2:$G$2001,LOG!$C$2:$C$2001,F589,LOG!$E$2:$E$2001,B589,LOG!$D$2:$D$2001,"*BOOKED"),MIN(_xlfn.MINIFS(LOG!$G$2:$G$2001,LOG!$C$2:$C$2001,F589,LOG!$E$2:$E$2001,B589,LOG!$D$2:$D$2001,"*BOOKED"),_xlfn.MINIFS(LOG!$G$2:$G$2001,LOG!$C$2:$C$2001,F589,LOG!$E$2:$E$2001,"",LOG!$D$2:$D$2001,"*BOOKED")))),"")</f>
        <v/>
      </c>
      <c r="AN589" s="28" t="str">
        <f t="shared" si="106"/>
        <v/>
      </c>
      <c r="AO589" s="28">
        <f>IF(AND(M589=1,AN589&lt;&gt;""),IF(AN589&lt;=SETTINGS!$B$5,1,0),0)</f>
        <v>0</v>
      </c>
      <c r="AP589" s="28">
        <f>IF(M589=1,IF(COUNTIFS(LOG!$C$2:$C$2001,F589,LOG!$E$2:$E$2001,B589,LOG!$D$2:$D$2001,"BOOKED")+COUNTIFS(LOG!$C$2:$C$2001,F589,LOG!$E$2:$E$2001,"",LOG!$D$2:$D$2001,"BOOKED")&gt;0,1,0),0)</f>
        <v>0</v>
      </c>
      <c r="AQ589" s="28" t="str">
        <f t="shared" si="107"/>
        <v/>
      </c>
      <c r="AR589" s="28" t="str">
        <f>IF(AND(AK589=1,K589="OK"),COUNTIFS($AK$2:AK589,1,$K$2:K589,"OK"),"")</f>
        <v/>
      </c>
      <c r="AS589" s="28" t="str">
        <f>IF(L589=1,IFERROR(INDEX(MESSAGES!$J$9:$J$1008,MATCH(F589,MESSAGES!$M$9:$M$1008,0))&amp;"",""),"")</f>
        <v/>
      </c>
      <c r="AT589" s="28" t="str">
        <f>IF(L589=1,IFERROR(INDEX(MESSAGES!$K$9:$K$1008,MATCH(F589,MESSAGES!$M$9:$M$1008,0))&amp;"",""),"")</f>
        <v/>
      </c>
      <c r="AU589" s="28">
        <f t="shared" ca="1" si="108"/>
        <v>0</v>
      </c>
      <c r="AV589" s="28" t="str">
        <f t="shared" si="109"/>
        <v/>
      </c>
    </row>
    <row r="590" spans="1:48" x14ac:dyDescent="0.35">
      <c r="A590" s="28">
        <v>589</v>
      </c>
      <c r="B590" s="28" t="str">
        <f>IF(INPUT!A590="","",TRIM(INPUT!A590))</f>
        <v/>
      </c>
      <c r="C590" s="28" t="str">
        <f>IF(B590="","",INPUT!C590)</f>
        <v/>
      </c>
      <c r="D590" s="28" t="str">
        <f>IF(B590="","",INPUT!D590)</f>
        <v/>
      </c>
      <c r="E590" s="28" t="str">
        <f>IF(B590="","",INPUT!E590)</f>
        <v/>
      </c>
      <c r="F590" s="43" t="str">
        <f>IF(B590="","",TRIM(INPUT!F590&amp;""))</f>
        <v/>
      </c>
      <c r="G590" s="28" t="str">
        <f>IF(B590="","",INPUT!H590)</f>
        <v/>
      </c>
      <c r="H590" s="46" t="str">
        <f>IF(B590="","",INPUT!I590)</f>
        <v/>
      </c>
      <c r="I590" s="28" t="str">
        <f>IF(B590="","",IF(INPUT!J590="","None",INPUT!J590))</f>
        <v/>
      </c>
      <c r="J590" s="28" t="str">
        <f t="shared" si="99"/>
        <v/>
      </c>
      <c r="K590" s="28" t="str">
        <f>IF(B590="","",IF(SUMPRODUCT(($J$2:$J$601=J590)*($H$2:$H$601&lt;H590))+SUMPRODUCT(($J$2:J590=J590)*($H$2:H590=H590))-1&gt;0,"DUPLICATE",IF(AND(ISNUMBER(SEARCH("@",E590)),ISNUMBER(SEARCH(".",E590)),LEN(F590)=10,ISNUMBER(VALUE(F590))),"OK","BAD CONTACT")))</f>
        <v/>
      </c>
      <c r="L590" s="28">
        <f t="shared" si="100"/>
        <v>0</v>
      </c>
      <c r="M590" s="28">
        <f>IF(L590=1,IF(COUNTIFS(LOG!$C$2:$C$2001,F590,LOG!$E$2:$E$2001,B590,LOG!$D$2:$D$2001,"*BOOKED")+COUNTIFS(LOG!$C$2:$C$2001,F590,LOG!$E$2:$E$2001,"",LOG!$D$2:$D$2001,"*BOOKED")&gt;0,1,0),0)</f>
        <v>0</v>
      </c>
      <c r="N590" s="28">
        <f>IF(L590=1,IF(COUNTIFS(LOG!$C$2:$C$2001,F590,LOG!$E$2:$E$2001,B590,LOG!$D$2:$D$2001,"NOT_INTERESTED")+COUNTIFS(LOG!$C$2:$C$2001,F590,LOG!$E$2:$E$2001,"",LOG!$D$2:$D$2001,"NOT_INTERESTED")&gt;0,1,0),0)</f>
        <v>0</v>
      </c>
      <c r="O590" s="28">
        <f>IF(L590=1,IF(COUNTIFS(LOG!$C$2:$C$2001,F590,LOG!$D$2:$D$2001,"STOP")+COUNTIFS(LOG!$C$2:$C$2001,F590,LOG!$D$2:$D$2001,"WRONG_NUMBER")&gt;0,1,IF(ISNUMBER(SEARCH("STOP",AT590)),1,0)),0)</f>
        <v>0</v>
      </c>
      <c r="P590" s="28">
        <f>IF(L590=1,IF(IFERROR(INDEX(PARTNERS!$D$2:$D$88,MATCH(B590,PARTNERS!$A$2:$A$88,0)),"")="NO SLOTS",1,IF(AND(IFERROR(INDEX(PARTNERS!$D$2:$D$88,MATCH(B590,PARTNERS!$A$2:$A$88,0)),"")&lt;&gt;"REOPENED",COUNTIFS(LOG!$E$2:$E$2001,B590,LOG!$D$2:$D$2001,"NO_SLOTS")&gt;0),1,0)),0)</f>
        <v>0</v>
      </c>
      <c r="Q590" s="28">
        <f>IF(L590=1,COUNTIFS(LOG!$C$2:$C$2001,F590,LOG!$H$2:$H$2001,1),0)</f>
        <v>0</v>
      </c>
      <c r="R590" s="46">
        <f>IF(Q590&gt;0,_xlfn.MAXIFS(LOG!$G$2:$G$2001,LOG!$C$2:$C$2001,F590,LOG!$H$2:$H$2001,1),0)</f>
        <v>0</v>
      </c>
      <c r="S590" s="28" t="str">
        <f>IF(Q590&gt;0,IFERROR(INDEX(LOG!$D$2:$D$2001,MATCH(F590&amp;"|"&amp;Q590,LOG!$I$2:$I$2001,0)),""),"")</f>
        <v/>
      </c>
      <c r="T590" s="28">
        <f>IF(S590="",0,IFERROR(VLOOKUP(S590,LISTS!$A$2:$E$10,4,FALSE),0))</f>
        <v>0</v>
      </c>
      <c r="U590" s="46">
        <f t="shared" si="101"/>
        <v>0</v>
      </c>
      <c r="V590" s="46" t="str">
        <f>IF(L590=1,H590+SETTINGS!$B$5/24,"")</f>
        <v/>
      </c>
      <c r="W590" s="28" t="str">
        <f>IF(L590=1,(V590-SETTINGS!$B$4)*24,"")</f>
        <v/>
      </c>
      <c r="X590" s="28">
        <f ca="1">IF(AND(L590=1,K590="OK",M590=0,N590=0,O590=0,P590=0,SETTINGS!$B$4&lt;V590,Q590&lt;SETTINGS!$B$6),1,0)</f>
        <v>0</v>
      </c>
      <c r="Y590" s="28">
        <f ca="1">IF(AND(X590=1,SETTINGS!$B$4&gt;=H590,SETTINGS!$B$4&gt;=U590,ROUND(MOD(SETTINGS!$B$4,1)*1440,0)&gt;=ROUND(SETTINGS!$B$7*1440,0),ROUND(MOD(SETTINGS!$B$4,1)*1440,0)&lt;ROUND(SETTINGS!$B$8*1440,0)),1,0)</f>
        <v>0</v>
      </c>
      <c r="Z590" s="28" t="str">
        <f>IF(B590="","",IF(ROUND(MOD(SETTINGS!$B$4,1)*1440,0)&lt;ROUND(SETTINGS!$B$11*1440,0),"Ram",IF(ROUND(MOD(SETTINGS!$B$4,1)*1440,0)&gt;=ROUND(SETTINGS!$B$10*1440,0),"Shyam",IF(MOD(IFERROR(VALUE(RIGHT(F590,2)),0),2)=0,"Ram","Shyam"))))</f>
        <v/>
      </c>
      <c r="AA590" s="28">
        <f t="shared" ca="1" si="102"/>
        <v>0</v>
      </c>
      <c r="AB590" s="28">
        <f ca="1">IF(X590=1,COUNTIFS($F$2:F590,F590,$X$2:X590,1),0)</f>
        <v>0</v>
      </c>
      <c r="AC590" s="28" t="str">
        <f>IF(L590=1,IF(IFERROR(INDEX(PARTNERS!$C$2:$C$88,MATCH(B590,PARTNERS!$A$2:$A$88,0)),"")="YES","YES","NO"),"")</f>
        <v/>
      </c>
      <c r="AD590" s="28" t="str">
        <f>IF(L590=1,IFERROR(INDEX(PARTNERS!$B$2:$B$88,MATCH(B590,PARTNERS!$A$2:$A$88,0)),""),"")</f>
        <v/>
      </c>
      <c r="AE590" s="28">
        <f ca="1">IF(X590=1,IFERROR(INDEX(SETTINGS!$B$34:$D$36,MATCH(I590,SETTINGS!$A$34:$A$36,0),MIN(Q590,2)+1),SETTINGS!$B$36),0)</f>
        <v>0</v>
      </c>
      <c r="AF590" s="28">
        <f t="shared" si="103"/>
        <v>0</v>
      </c>
      <c r="AG590" s="28">
        <f ca="1">IF(AND(Y590=1,AB590=1),ROUND(AA590*AE590*IF(AF590&gt;1,SETTINGS!$B$16,1)*IF(W590&lt;=SETTINGS!$B$14,SETTINGS!$B$15,1)*IF(AU590=1,SETTINGS!$B$21,1),6),0)</f>
        <v>0</v>
      </c>
      <c r="AH590" s="28" t="str">
        <f ca="1">IF(AG590&gt;0,COUNTIFS($Z$2:$Z$601,Z590,$AG$2:$AG$601,"&gt;"&amp;AG590)+COUNTIFS($Z$2:Z590,Z590,$AG$2:AG590,AG590),"")</f>
        <v/>
      </c>
      <c r="AI590" s="28" t="str">
        <f t="shared" ca="1" si="104"/>
        <v/>
      </c>
      <c r="AJ590" s="28" t="str">
        <f t="shared" ca="1" si="105"/>
        <v/>
      </c>
      <c r="AK590" s="28">
        <f>IF(L590=1,IF(COUNTIFS($F$2:F590,F590,$L$2:L590,1)=1,1,0),0)</f>
        <v>0</v>
      </c>
      <c r="AL590" s="28" t="str">
        <f>IF(B590="","",IF(K590="DUPLICATE","Duplicate (removed)",IF(AO590=1,"Scheduled within 24h",IF(M590=1,"Scheduled late",IF(K590="BAD CONTACT","Bad contact details",IF(O590=1,"Stopped / wrong number",IF(N590=1,"Not interested",IF(P590=1,"Partner has no slots",IF(SETTINGS!$B$4&gt;=V590,IF(Q590=0,"Missed deadline: never tried","Missed deadline: tried, not booked"),IF(Q590&gt;=SETTINGS!$B$6,"No reply after max tries","Open"))))))))))</f>
        <v/>
      </c>
      <c r="AM590" s="46" t="str">
        <f>IF(M590=1,IF(_xlfn.MINIFS(LOG!$G$2:$G$2001,LOG!$C$2:$C$2001,F590,LOG!$E$2:$E$2001,B590,LOG!$D$2:$D$2001,"*BOOKED")=0,_xlfn.MINIFS(LOG!$G$2:$G$2001,LOG!$C$2:$C$2001,F590,LOG!$E$2:$E$2001,"",LOG!$D$2:$D$2001,"*BOOKED"),IF(_xlfn.MINIFS(LOG!$G$2:$G$2001,LOG!$C$2:$C$2001,F590,LOG!$E$2:$E$2001,"",LOG!$D$2:$D$2001,"*BOOKED")=0,_xlfn.MINIFS(LOG!$G$2:$G$2001,LOG!$C$2:$C$2001,F590,LOG!$E$2:$E$2001,B590,LOG!$D$2:$D$2001,"*BOOKED"),MIN(_xlfn.MINIFS(LOG!$G$2:$G$2001,LOG!$C$2:$C$2001,F590,LOG!$E$2:$E$2001,B590,LOG!$D$2:$D$2001,"*BOOKED"),_xlfn.MINIFS(LOG!$G$2:$G$2001,LOG!$C$2:$C$2001,F590,LOG!$E$2:$E$2001,"",LOG!$D$2:$D$2001,"*BOOKED")))),"")</f>
        <v/>
      </c>
      <c r="AN590" s="28" t="str">
        <f t="shared" si="106"/>
        <v/>
      </c>
      <c r="AO590" s="28">
        <f>IF(AND(M590=1,AN590&lt;&gt;""),IF(AN590&lt;=SETTINGS!$B$5,1,0),0)</f>
        <v>0</v>
      </c>
      <c r="AP590" s="28">
        <f>IF(M590=1,IF(COUNTIFS(LOG!$C$2:$C$2001,F590,LOG!$E$2:$E$2001,B590,LOG!$D$2:$D$2001,"BOOKED")+COUNTIFS(LOG!$C$2:$C$2001,F590,LOG!$E$2:$E$2001,"",LOG!$D$2:$D$2001,"BOOKED")&gt;0,1,0),0)</f>
        <v>0</v>
      </c>
      <c r="AQ590" s="28" t="str">
        <f t="shared" si="107"/>
        <v/>
      </c>
      <c r="AR590" s="28" t="str">
        <f>IF(AND(AK590=1,K590="OK"),COUNTIFS($AK$2:AK590,1,$K$2:K590,"OK"),"")</f>
        <v/>
      </c>
      <c r="AS590" s="28" t="str">
        <f>IF(L590=1,IFERROR(INDEX(MESSAGES!$J$9:$J$1008,MATCH(F590,MESSAGES!$M$9:$M$1008,0))&amp;"",""),"")</f>
        <v/>
      </c>
      <c r="AT590" s="28" t="str">
        <f>IF(L590=1,IFERROR(INDEX(MESSAGES!$K$9:$K$1008,MATCH(F590,MESSAGES!$M$9:$M$1008,0))&amp;"",""),"")</f>
        <v/>
      </c>
      <c r="AU590" s="28">
        <f t="shared" ca="1" si="108"/>
        <v>0</v>
      </c>
      <c r="AV590" s="28" t="str">
        <f t="shared" si="109"/>
        <v/>
      </c>
    </row>
    <row r="591" spans="1:48" x14ac:dyDescent="0.35">
      <c r="A591" s="28">
        <v>590</v>
      </c>
      <c r="B591" s="28" t="str">
        <f>IF(INPUT!A591="","",TRIM(INPUT!A591))</f>
        <v/>
      </c>
      <c r="C591" s="28" t="str">
        <f>IF(B591="","",INPUT!C591)</f>
        <v/>
      </c>
      <c r="D591" s="28" t="str">
        <f>IF(B591="","",INPUT!D591)</f>
        <v/>
      </c>
      <c r="E591" s="28" t="str">
        <f>IF(B591="","",INPUT!E591)</f>
        <v/>
      </c>
      <c r="F591" s="43" t="str">
        <f>IF(B591="","",TRIM(INPUT!F591&amp;""))</f>
        <v/>
      </c>
      <c r="G591" s="28" t="str">
        <f>IF(B591="","",INPUT!H591)</f>
        <v/>
      </c>
      <c r="H591" s="46" t="str">
        <f>IF(B591="","",INPUT!I591)</f>
        <v/>
      </c>
      <c r="I591" s="28" t="str">
        <f>IF(B591="","",IF(INPUT!J591="","None",INPUT!J591))</f>
        <v/>
      </c>
      <c r="J591" s="28" t="str">
        <f t="shared" si="99"/>
        <v/>
      </c>
      <c r="K591" s="28" t="str">
        <f>IF(B591="","",IF(SUMPRODUCT(($J$2:$J$601=J591)*($H$2:$H$601&lt;H591))+SUMPRODUCT(($J$2:J591=J591)*($H$2:H591=H591))-1&gt;0,"DUPLICATE",IF(AND(ISNUMBER(SEARCH("@",E591)),ISNUMBER(SEARCH(".",E591)),LEN(F591)=10,ISNUMBER(VALUE(F591))),"OK","BAD CONTACT")))</f>
        <v/>
      </c>
      <c r="L591" s="28">
        <f t="shared" si="100"/>
        <v>0</v>
      </c>
      <c r="M591" s="28">
        <f>IF(L591=1,IF(COUNTIFS(LOG!$C$2:$C$2001,F591,LOG!$E$2:$E$2001,B591,LOG!$D$2:$D$2001,"*BOOKED")+COUNTIFS(LOG!$C$2:$C$2001,F591,LOG!$E$2:$E$2001,"",LOG!$D$2:$D$2001,"*BOOKED")&gt;0,1,0),0)</f>
        <v>0</v>
      </c>
      <c r="N591" s="28">
        <f>IF(L591=1,IF(COUNTIFS(LOG!$C$2:$C$2001,F591,LOG!$E$2:$E$2001,B591,LOG!$D$2:$D$2001,"NOT_INTERESTED")+COUNTIFS(LOG!$C$2:$C$2001,F591,LOG!$E$2:$E$2001,"",LOG!$D$2:$D$2001,"NOT_INTERESTED")&gt;0,1,0),0)</f>
        <v>0</v>
      </c>
      <c r="O591" s="28">
        <f>IF(L591=1,IF(COUNTIFS(LOG!$C$2:$C$2001,F591,LOG!$D$2:$D$2001,"STOP")+COUNTIFS(LOG!$C$2:$C$2001,F591,LOG!$D$2:$D$2001,"WRONG_NUMBER")&gt;0,1,IF(ISNUMBER(SEARCH("STOP",AT591)),1,0)),0)</f>
        <v>0</v>
      </c>
      <c r="P591" s="28">
        <f>IF(L591=1,IF(IFERROR(INDEX(PARTNERS!$D$2:$D$88,MATCH(B591,PARTNERS!$A$2:$A$88,0)),"")="NO SLOTS",1,IF(AND(IFERROR(INDEX(PARTNERS!$D$2:$D$88,MATCH(B591,PARTNERS!$A$2:$A$88,0)),"")&lt;&gt;"REOPENED",COUNTIFS(LOG!$E$2:$E$2001,B591,LOG!$D$2:$D$2001,"NO_SLOTS")&gt;0),1,0)),0)</f>
        <v>0</v>
      </c>
      <c r="Q591" s="28">
        <f>IF(L591=1,COUNTIFS(LOG!$C$2:$C$2001,F591,LOG!$H$2:$H$2001,1),0)</f>
        <v>0</v>
      </c>
      <c r="R591" s="46">
        <f>IF(Q591&gt;0,_xlfn.MAXIFS(LOG!$G$2:$G$2001,LOG!$C$2:$C$2001,F591,LOG!$H$2:$H$2001,1),0)</f>
        <v>0</v>
      </c>
      <c r="S591" s="28" t="str">
        <f>IF(Q591&gt;0,IFERROR(INDEX(LOG!$D$2:$D$2001,MATCH(F591&amp;"|"&amp;Q591,LOG!$I$2:$I$2001,0)),""),"")</f>
        <v/>
      </c>
      <c r="T591" s="28">
        <f>IF(S591="",0,IFERROR(VLOOKUP(S591,LISTS!$A$2:$E$10,4,FALSE),0))</f>
        <v>0</v>
      </c>
      <c r="U591" s="46">
        <f t="shared" si="101"/>
        <v>0</v>
      </c>
      <c r="V591" s="46" t="str">
        <f>IF(L591=1,H591+SETTINGS!$B$5/24,"")</f>
        <v/>
      </c>
      <c r="W591" s="28" t="str">
        <f>IF(L591=1,(V591-SETTINGS!$B$4)*24,"")</f>
        <v/>
      </c>
      <c r="X591" s="28">
        <f ca="1">IF(AND(L591=1,K591="OK",M591=0,N591=0,O591=0,P591=0,SETTINGS!$B$4&lt;V591,Q591&lt;SETTINGS!$B$6),1,0)</f>
        <v>0</v>
      </c>
      <c r="Y591" s="28">
        <f ca="1">IF(AND(X591=1,SETTINGS!$B$4&gt;=H591,SETTINGS!$B$4&gt;=U591,ROUND(MOD(SETTINGS!$B$4,1)*1440,0)&gt;=ROUND(SETTINGS!$B$7*1440,0),ROUND(MOD(SETTINGS!$B$4,1)*1440,0)&lt;ROUND(SETTINGS!$B$8*1440,0)),1,0)</f>
        <v>0</v>
      </c>
      <c r="Z591" s="28" t="str">
        <f>IF(B591="","",IF(ROUND(MOD(SETTINGS!$B$4,1)*1440,0)&lt;ROUND(SETTINGS!$B$11*1440,0),"Ram",IF(ROUND(MOD(SETTINGS!$B$4,1)*1440,0)&gt;=ROUND(SETTINGS!$B$10*1440,0),"Shyam",IF(MOD(IFERROR(VALUE(RIGHT(F591,2)),0),2)=0,"Ram","Shyam"))))</f>
        <v/>
      </c>
      <c r="AA591" s="28">
        <f t="shared" ca="1" si="102"/>
        <v>0</v>
      </c>
      <c r="AB591" s="28">
        <f ca="1">IF(X591=1,COUNTIFS($F$2:F591,F591,$X$2:X591,1),0)</f>
        <v>0</v>
      </c>
      <c r="AC591" s="28" t="str">
        <f>IF(L591=1,IF(IFERROR(INDEX(PARTNERS!$C$2:$C$88,MATCH(B591,PARTNERS!$A$2:$A$88,0)),"")="YES","YES","NO"),"")</f>
        <v/>
      </c>
      <c r="AD591" s="28" t="str">
        <f>IF(L591=1,IFERROR(INDEX(PARTNERS!$B$2:$B$88,MATCH(B591,PARTNERS!$A$2:$A$88,0)),""),"")</f>
        <v/>
      </c>
      <c r="AE591" s="28">
        <f ca="1">IF(X591=1,IFERROR(INDEX(SETTINGS!$B$34:$D$36,MATCH(I591,SETTINGS!$A$34:$A$36,0),MIN(Q591,2)+1),SETTINGS!$B$36),0)</f>
        <v>0</v>
      </c>
      <c r="AF591" s="28">
        <f t="shared" si="103"/>
        <v>0</v>
      </c>
      <c r="AG591" s="28">
        <f ca="1">IF(AND(Y591=1,AB591=1),ROUND(AA591*AE591*IF(AF591&gt;1,SETTINGS!$B$16,1)*IF(W591&lt;=SETTINGS!$B$14,SETTINGS!$B$15,1)*IF(AU591=1,SETTINGS!$B$21,1),6),0)</f>
        <v>0</v>
      </c>
      <c r="AH591" s="28" t="str">
        <f ca="1">IF(AG591&gt;0,COUNTIFS($Z$2:$Z$601,Z591,$AG$2:$AG$601,"&gt;"&amp;AG591)+COUNTIFS($Z$2:Z591,Z591,$AG$2:AG591,AG591),"")</f>
        <v/>
      </c>
      <c r="AI591" s="28" t="str">
        <f t="shared" ca="1" si="104"/>
        <v/>
      </c>
      <c r="AJ591" s="28" t="str">
        <f t="shared" ca="1" si="105"/>
        <v/>
      </c>
      <c r="AK591" s="28">
        <f>IF(L591=1,IF(COUNTIFS($F$2:F591,F591,$L$2:L591,1)=1,1,0),0)</f>
        <v>0</v>
      </c>
      <c r="AL591" s="28" t="str">
        <f>IF(B591="","",IF(K591="DUPLICATE","Duplicate (removed)",IF(AO591=1,"Scheduled within 24h",IF(M591=1,"Scheduled late",IF(K591="BAD CONTACT","Bad contact details",IF(O591=1,"Stopped / wrong number",IF(N591=1,"Not interested",IF(P591=1,"Partner has no slots",IF(SETTINGS!$B$4&gt;=V591,IF(Q591=0,"Missed deadline: never tried","Missed deadline: tried, not booked"),IF(Q591&gt;=SETTINGS!$B$6,"No reply after max tries","Open"))))))))))</f>
        <v/>
      </c>
      <c r="AM591" s="46" t="str">
        <f>IF(M591=1,IF(_xlfn.MINIFS(LOG!$G$2:$G$2001,LOG!$C$2:$C$2001,F591,LOG!$E$2:$E$2001,B591,LOG!$D$2:$D$2001,"*BOOKED")=0,_xlfn.MINIFS(LOG!$G$2:$G$2001,LOG!$C$2:$C$2001,F591,LOG!$E$2:$E$2001,"",LOG!$D$2:$D$2001,"*BOOKED"),IF(_xlfn.MINIFS(LOG!$G$2:$G$2001,LOG!$C$2:$C$2001,F591,LOG!$E$2:$E$2001,"",LOG!$D$2:$D$2001,"*BOOKED")=0,_xlfn.MINIFS(LOG!$G$2:$G$2001,LOG!$C$2:$C$2001,F591,LOG!$E$2:$E$2001,B591,LOG!$D$2:$D$2001,"*BOOKED"),MIN(_xlfn.MINIFS(LOG!$G$2:$G$2001,LOG!$C$2:$C$2001,F591,LOG!$E$2:$E$2001,B591,LOG!$D$2:$D$2001,"*BOOKED"),_xlfn.MINIFS(LOG!$G$2:$G$2001,LOG!$C$2:$C$2001,F591,LOG!$E$2:$E$2001,"",LOG!$D$2:$D$2001,"*BOOKED")))),"")</f>
        <v/>
      </c>
      <c r="AN591" s="28" t="str">
        <f t="shared" si="106"/>
        <v/>
      </c>
      <c r="AO591" s="28">
        <f>IF(AND(M591=1,AN591&lt;&gt;""),IF(AN591&lt;=SETTINGS!$B$5,1,0),0)</f>
        <v>0</v>
      </c>
      <c r="AP591" s="28">
        <f>IF(M591=1,IF(COUNTIFS(LOG!$C$2:$C$2001,F591,LOG!$E$2:$E$2001,B591,LOG!$D$2:$D$2001,"BOOKED")+COUNTIFS(LOG!$C$2:$C$2001,F591,LOG!$E$2:$E$2001,"",LOG!$D$2:$D$2001,"BOOKED")&gt;0,1,0),0)</f>
        <v>0</v>
      </c>
      <c r="AQ591" s="28" t="str">
        <f t="shared" si="107"/>
        <v/>
      </c>
      <c r="AR591" s="28" t="str">
        <f>IF(AND(AK591=1,K591="OK"),COUNTIFS($AK$2:AK591,1,$K$2:K591,"OK"),"")</f>
        <v/>
      </c>
      <c r="AS591" s="28" t="str">
        <f>IF(L591=1,IFERROR(INDEX(MESSAGES!$J$9:$J$1008,MATCH(F591,MESSAGES!$M$9:$M$1008,0))&amp;"",""),"")</f>
        <v/>
      </c>
      <c r="AT591" s="28" t="str">
        <f>IF(L591=1,IFERROR(INDEX(MESSAGES!$K$9:$K$1008,MATCH(F591,MESSAGES!$M$9:$M$1008,0))&amp;"",""),"")</f>
        <v/>
      </c>
      <c r="AU591" s="28">
        <f t="shared" ca="1" si="108"/>
        <v>0</v>
      </c>
      <c r="AV591" s="28" t="str">
        <f t="shared" si="109"/>
        <v/>
      </c>
    </row>
    <row r="592" spans="1:48" x14ac:dyDescent="0.35">
      <c r="A592" s="28">
        <v>591</v>
      </c>
      <c r="B592" s="28" t="str">
        <f>IF(INPUT!A592="","",TRIM(INPUT!A592))</f>
        <v/>
      </c>
      <c r="C592" s="28" t="str">
        <f>IF(B592="","",INPUT!C592)</f>
        <v/>
      </c>
      <c r="D592" s="28" t="str">
        <f>IF(B592="","",INPUT!D592)</f>
        <v/>
      </c>
      <c r="E592" s="28" t="str">
        <f>IF(B592="","",INPUT!E592)</f>
        <v/>
      </c>
      <c r="F592" s="43" t="str">
        <f>IF(B592="","",TRIM(INPUT!F592&amp;""))</f>
        <v/>
      </c>
      <c r="G592" s="28" t="str">
        <f>IF(B592="","",INPUT!H592)</f>
        <v/>
      </c>
      <c r="H592" s="46" t="str">
        <f>IF(B592="","",INPUT!I592)</f>
        <v/>
      </c>
      <c r="I592" s="28" t="str">
        <f>IF(B592="","",IF(INPUT!J592="","None",INPUT!J592))</f>
        <v/>
      </c>
      <c r="J592" s="28" t="str">
        <f t="shared" si="99"/>
        <v/>
      </c>
      <c r="K592" s="28" t="str">
        <f>IF(B592="","",IF(SUMPRODUCT(($J$2:$J$601=J592)*($H$2:$H$601&lt;H592))+SUMPRODUCT(($J$2:J592=J592)*($H$2:H592=H592))-1&gt;0,"DUPLICATE",IF(AND(ISNUMBER(SEARCH("@",E592)),ISNUMBER(SEARCH(".",E592)),LEN(F592)=10,ISNUMBER(VALUE(F592))),"OK","BAD CONTACT")))</f>
        <v/>
      </c>
      <c r="L592" s="28">
        <f t="shared" si="100"/>
        <v>0</v>
      </c>
      <c r="M592" s="28">
        <f>IF(L592=1,IF(COUNTIFS(LOG!$C$2:$C$2001,F592,LOG!$E$2:$E$2001,B592,LOG!$D$2:$D$2001,"*BOOKED")+COUNTIFS(LOG!$C$2:$C$2001,F592,LOG!$E$2:$E$2001,"",LOG!$D$2:$D$2001,"*BOOKED")&gt;0,1,0),0)</f>
        <v>0</v>
      </c>
      <c r="N592" s="28">
        <f>IF(L592=1,IF(COUNTIFS(LOG!$C$2:$C$2001,F592,LOG!$E$2:$E$2001,B592,LOG!$D$2:$D$2001,"NOT_INTERESTED")+COUNTIFS(LOG!$C$2:$C$2001,F592,LOG!$E$2:$E$2001,"",LOG!$D$2:$D$2001,"NOT_INTERESTED")&gt;0,1,0),0)</f>
        <v>0</v>
      </c>
      <c r="O592" s="28">
        <f>IF(L592=1,IF(COUNTIFS(LOG!$C$2:$C$2001,F592,LOG!$D$2:$D$2001,"STOP")+COUNTIFS(LOG!$C$2:$C$2001,F592,LOG!$D$2:$D$2001,"WRONG_NUMBER")&gt;0,1,IF(ISNUMBER(SEARCH("STOP",AT592)),1,0)),0)</f>
        <v>0</v>
      </c>
      <c r="P592" s="28">
        <f>IF(L592=1,IF(IFERROR(INDEX(PARTNERS!$D$2:$D$88,MATCH(B592,PARTNERS!$A$2:$A$88,0)),"")="NO SLOTS",1,IF(AND(IFERROR(INDEX(PARTNERS!$D$2:$D$88,MATCH(B592,PARTNERS!$A$2:$A$88,0)),"")&lt;&gt;"REOPENED",COUNTIFS(LOG!$E$2:$E$2001,B592,LOG!$D$2:$D$2001,"NO_SLOTS")&gt;0),1,0)),0)</f>
        <v>0</v>
      </c>
      <c r="Q592" s="28">
        <f>IF(L592=1,COUNTIFS(LOG!$C$2:$C$2001,F592,LOG!$H$2:$H$2001,1),0)</f>
        <v>0</v>
      </c>
      <c r="R592" s="46">
        <f>IF(Q592&gt;0,_xlfn.MAXIFS(LOG!$G$2:$G$2001,LOG!$C$2:$C$2001,F592,LOG!$H$2:$H$2001,1),0)</f>
        <v>0</v>
      </c>
      <c r="S592" s="28" t="str">
        <f>IF(Q592&gt;0,IFERROR(INDEX(LOG!$D$2:$D$2001,MATCH(F592&amp;"|"&amp;Q592,LOG!$I$2:$I$2001,0)),""),"")</f>
        <v/>
      </c>
      <c r="T592" s="28">
        <f>IF(S592="",0,IFERROR(VLOOKUP(S592,LISTS!$A$2:$E$10,4,FALSE),0))</f>
        <v>0</v>
      </c>
      <c r="U592" s="46">
        <f t="shared" si="101"/>
        <v>0</v>
      </c>
      <c r="V592" s="46" t="str">
        <f>IF(L592=1,H592+SETTINGS!$B$5/24,"")</f>
        <v/>
      </c>
      <c r="W592" s="28" t="str">
        <f>IF(L592=1,(V592-SETTINGS!$B$4)*24,"")</f>
        <v/>
      </c>
      <c r="X592" s="28">
        <f ca="1">IF(AND(L592=1,K592="OK",M592=0,N592=0,O592=0,P592=0,SETTINGS!$B$4&lt;V592,Q592&lt;SETTINGS!$B$6),1,0)</f>
        <v>0</v>
      </c>
      <c r="Y592" s="28">
        <f ca="1">IF(AND(X592=1,SETTINGS!$B$4&gt;=H592,SETTINGS!$B$4&gt;=U592,ROUND(MOD(SETTINGS!$B$4,1)*1440,0)&gt;=ROUND(SETTINGS!$B$7*1440,0),ROUND(MOD(SETTINGS!$B$4,1)*1440,0)&lt;ROUND(SETTINGS!$B$8*1440,0)),1,0)</f>
        <v>0</v>
      </c>
      <c r="Z592" s="28" t="str">
        <f>IF(B592="","",IF(ROUND(MOD(SETTINGS!$B$4,1)*1440,0)&lt;ROUND(SETTINGS!$B$11*1440,0),"Ram",IF(ROUND(MOD(SETTINGS!$B$4,1)*1440,0)&gt;=ROUND(SETTINGS!$B$10*1440,0),"Shyam",IF(MOD(IFERROR(VALUE(RIGHT(F592,2)),0),2)=0,"Ram","Shyam"))))</f>
        <v/>
      </c>
      <c r="AA592" s="28">
        <f t="shared" ca="1" si="102"/>
        <v>0</v>
      </c>
      <c r="AB592" s="28">
        <f ca="1">IF(X592=1,COUNTIFS($F$2:F592,F592,$X$2:X592,1),0)</f>
        <v>0</v>
      </c>
      <c r="AC592" s="28" t="str">
        <f>IF(L592=1,IF(IFERROR(INDEX(PARTNERS!$C$2:$C$88,MATCH(B592,PARTNERS!$A$2:$A$88,0)),"")="YES","YES","NO"),"")</f>
        <v/>
      </c>
      <c r="AD592" s="28" t="str">
        <f>IF(L592=1,IFERROR(INDEX(PARTNERS!$B$2:$B$88,MATCH(B592,PARTNERS!$A$2:$A$88,0)),""),"")</f>
        <v/>
      </c>
      <c r="AE592" s="28">
        <f ca="1">IF(X592=1,IFERROR(INDEX(SETTINGS!$B$34:$D$36,MATCH(I592,SETTINGS!$A$34:$A$36,0),MIN(Q592,2)+1),SETTINGS!$B$36),0)</f>
        <v>0</v>
      </c>
      <c r="AF592" s="28">
        <f t="shared" si="103"/>
        <v>0</v>
      </c>
      <c r="AG592" s="28">
        <f ca="1">IF(AND(Y592=1,AB592=1),ROUND(AA592*AE592*IF(AF592&gt;1,SETTINGS!$B$16,1)*IF(W592&lt;=SETTINGS!$B$14,SETTINGS!$B$15,1)*IF(AU592=1,SETTINGS!$B$21,1),6),0)</f>
        <v>0</v>
      </c>
      <c r="AH592" s="28" t="str">
        <f ca="1">IF(AG592&gt;0,COUNTIFS($Z$2:$Z$601,Z592,$AG$2:$AG$601,"&gt;"&amp;AG592)+COUNTIFS($Z$2:Z592,Z592,$AG$2:AG592,AG592),"")</f>
        <v/>
      </c>
      <c r="AI592" s="28" t="str">
        <f t="shared" ca="1" si="104"/>
        <v/>
      </c>
      <c r="AJ592" s="28" t="str">
        <f t="shared" ca="1" si="105"/>
        <v/>
      </c>
      <c r="AK592" s="28">
        <f>IF(L592=1,IF(COUNTIFS($F$2:F592,F592,$L$2:L592,1)=1,1,0),0)</f>
        <v>0</v>
      </c>
      <c r="AL592" s="28" t="str">
        <f>IF(B592="","",IF(K592="DUPLICATE","Duplicate (removed)",IF(AO592=1,"Scheduled within 24h",IF(M592=1,"Scheduled late",IF(K592="BAD CONTACT","Bad contact details",IF(O592=1,"Stopped / wrong number",IF(N592=1,"Not interested",IF(P592=1,"Partner has no slots",IF(SETTINGS!$B$4&gt;=V592,IF(Q592=0,"Missed deadline: never tried","Missed deadline: tried, not booked"),IF(Q592&gt;=SETTINGS!$B$6,"No reply after max tries","Open"))))))))))</f>
        <v/>
      </c>
      <c r="AM592" s="46" t="str">
        <f>IF(M592=1,IF(_xlfn.MINIFS(LOG!$G$2:$G$2001,LOG!$C$2:$C$2001,F592,LOG!$E$2:$E$2001,B592,LOG!$D$2:$D$2001,"*BOOKED")=0,_xlfn.MINIFS(LOG!$G$2:$G$2001,LOG!$C$2:$C$2001,F592,LOG!$E$2:$E$2001,"",LOG!$D$2:$D$2001,"*BOOKED"),IF(_xlfn.MINIFS(LOG!$G$2:$G$2001,LOG!$C$2:$C$2001,F592,LOG!$E$2:$E$2001,"",LOG!$D$2:$D$2001,"*BOOKED")=0,_xlfn.MINIFS(LOG!$G$2:$G$2001,LOG!$C$2:$C$2001,F592,LOG!$E$2:$E$2001,B592,LOG!$D$2:$D$2001,"*BOOKED"),MIN(_xlfn.MINIFS(LOG!$G$2:$G$2001,LOG!$C$2:$C$2001,F592,LOG!$E$2:$E$2001,B592,LOG!$D$2:$D$2001,"*BOOKED"),_xlfn.MINIFS(LOG!$G$2:$G$2001,LOG!$C$2:$C$2001,F592,LOG!$E$2:$E$2001,"",LOG!$D$2:$D$2001,"*BOOKED")))),"")</f>
        <v/>
      </c>
      <c r="AN592" s="28" t="str">
        <f t="shared" si="106"/>
        <v/>
      </c>
      <c r="AO592" s="28">
        <f>IF(AND(M592=1,AN592&lt;&gt;""),IF(AN592&lt;=SETTINGS!$B$5,1,0),0)</f>
        <v>0</v>
      </c>
      <c r="AP592" s="28">
        <f>IF(M592=1,IF(COUNTIFS(LOG!$C$2:$C$2001,F592,LOG!$E$2:$E$2001,B592,LOG!$D$2:$D$2001,"BOOKED")+COUNTIFS(LOG!$C$2:$C$2001,F592,LOG!$E$2:$E$2001,"",LOG!$D$2:$D$2001,"BOOKED")&gt;0,1,0),0)</f>
        <v>0</v>
      </c>
      <c r="AQ592" s="28" t="str">
        <f t="shared" si="107"/>
        <v/>
      </c>
      <c r="AR592" s="28" t="str">
        <f>IF(AND(AK592=1,K592="OK"),COUNTIFS($AK$2:AK592,1,$K$2:K592,"OK"),"")</f>
        <v/>
      </c>
      <c r="AS592" s="28" t="str">
        <f>IF(L592=1,IFERROR(INDEX(MESSAGES!$J$9:$J$1008,MATCH(F592,MESSAGES!$M$9:$M$1008,0))&amp;"",""),"")</f>
        <v/>
      </c>
      <c r="AT592" s="28" t="str">
        <f>IF(L592=1,IFERROR(INDEX(MESSAGES!$K$9:$K$1008,MATCH(F592,MESSAGES!$M$9:$M$1008,0))&amp;"",""),"")</f>
        <v/>
      </c>
      <c r="AU592" s="28">
        <f t="shared" ca="1" si="108"/>
        <v>0</v>
      </c>
      <c r="AV592" s="28" t="str">
        <f t="shared" si="109"/>
        <v/>
      </c>
    </row>
    <row r="593" spans="1:48" x14ac:dyDescent="0.35">
      <c r="A593" s="28">
        <v>592</v>
      </c>
      <c r="B593" s="28" t="str">
        <f>IF(INPUT!A593="","",TRIM(INPUT!A593))</f>
        <v/>
      </c>
      <c r="C593" s="28" t="str">
        <f>IF(B593="","",INPUT!C593)</f>
        <v/>
      </c>
      <c r="D593" s="28" t="str">
        <f>IF(B593="","",INPUT!D593)</f>
        <v/>
      </c>
      <c r="E593" s="28" t="str">
        <f>IF(B593="","",INPUT!E593)</f>
        <v/>
      </c>
      <c r="F593" s="43" t="str">
        <f>IF(B593="","",TRIM(INPUT!F593&amp;""))</f>
        <v/>
      </c>
      <c r="G593" s="28" t="str">
        <f>IF(B593="","",INPUT!H593)</f>
        <v/>
      </c>
      <c r="H593" s="46" t="str">
        <f>IF(B593="","",INPUT!I593)</f>
        <v/>
      </c>
      <c r="I593" s="28" t="str">
        <f>IF(B593="","",IF(INPUT!J593="","None",INPUT!J593))</f>
        <v/>
      </c>
      <c r="J593" s="28" t="str">
        <f t="shared" si="99"/>
        <v/>
      </c>
      <c r="K593" s="28" t="str">
        <f>IF(B593="","",IF(SUMPRODUCT(($J$2:$J$601=J593)*($H$2:$H$601&lt;H593))+SUMPRODUCT(($J$2:J593=J593)*($H$2:H593=H593))-1&gt;0,"DUPLICATE",IF(AND(ISNUMBER(SEARCH("@",E593)),ISNUMBER(SEARCH(".",E593)),LEN(F593)=10,ISNUMBER(VALUE(F593))),"OK","BAD CONTACT")))</f>
        <v/>
      </c>
      <c r="L593" s="28">
        <f t="shared" si="100"/>
        <v>0</v>
      </c>
      <c r="M593" s="28">
        <f>IF(L593=1,IF(COUNTIFS(LOG!$C$2:$C$2001,F593,LOG!$E$2:$E$2001,B593,LOG!$D$2:$D$2001,"*BOOKED")+COUNTIFS(LOG!$C$2:$C$2001,F593,LOG!$E$2:$E$2001,"",LOG!$D$2:$D$2001,"*BOOKED")&gt;0,1,0),0)</f>
        <v>0</v>
      </c>
      <c r="N593" s="28">
        <f>IF(L593=1,IF(COUNTIFS(LOG!$C$2:$C$2001,F593,LOG!$E$2:$E$2001,B593,LOG!$D$2:$D$2001,"NOT_INTERESTED")+COUNTIFS(LOG!$C$2:$C$2001,F593,LOG!$E$2:$E$2001,"",LOG!$D$2:$D$2001,"NOT_INTERESTED")&gt;0,1,0),0)</f>
        <v>0</v>
      </c>
      <c r="O593" s="28">
        <f>IF(L593=1,IF(COUNTIFS(LOG!$C$2:$C$2001,F593,LOG!$D$2:$D$2001,"STOP")+COUNTIFS(LOG!$C$2:$C$2001,F593,LOG!$D$2:$D$2001,"WRONG_NUMBER")&gt;0,1,IF(ISNUMBER(SEARCH("STOP",AT593)),1,0)),0)</f>
        <v>0</v>
      </c>
      <c r="P593" s="28">
        <f>IF(L593=1,IF(IFERROR(INDEX(PARTNERS!$D$2:$D$88,MATCH(B593,PARTNERS!$A$2:$A$88,0)),"")="NO SLOTS",1,IF(AND(IFERROR(INDEX(PARTNERS!$D$2:$D$88,MATCH(B593,PARTNERS!$A$2:$A$88,0)),"")&lt;&gt;"REOPENED",COUNTIFS(LOG!$E$2:$E$2001,B593,LOG!$D$2:$D$2001,"NO_SLOTS")&gt;0),1,0)),0)</f>
        <v>0</v>
      </c>
      <c r="Q593" s="28">
        <f>IF(L593=1,COUNTIFS(LOG!$C$2:$C$2001,F593,LOG!$H$2:$H$2001,1),0)</f>
        <v>0</v>
      </c>
      <c r="R593" s="46">
        <f>IF(Q593&gt;0,_xlfn.MAXIFS(LOG!$G$2:$G$2001,LOG!$C$2:$C$2001,F593,LOG!$H$2:$H$2001,1),0)</f>
        <v>0</v>
      </c>
      <c r="S593" s="28" t="str">
        <f>IF(Q593&gt;0,IFERROR(INDEX(LOG!$D$2:$D$2001,MATCH(F593&amp;"|"&amp;Q593,LOG!$I$2:$I$2001,0)),""),"")</f>
        <v/>
      </c>
      <c r="T593" s="28">
        <f>IF(S593="",0,IFERROR(VLOOKUP(S593,LISTS!$A$2:$E$10,4,FALSE),0))</f>
        <v>0</v>
      </c>
      <c r="U593" s="46">
        <f t="shared" si="101"/>
        <v>0</v>
      </c>
      <c r="V593" s="46" t="str">
        <f>IF(L593=1,H593+SETTINGS!$B$5/24,"")</f>
        <v/>
      </c>
      <c r="W593" s="28" t="str">
        <f>IF(L593=1,(V593-SETTINGS!$B$4)*24,"")</f>
        <v/>
      </c>
      <c r="X593" s="28">
        <f ca="1">IF(AND(L593=1,K593="OK",M593=0,N593=0,O593=0,P593=0,SETTINGS!$B$4&lt;V593,Q593&lt;SETTINGS!$B$6),1,0)</f>
        <v>0</v>
      </c>
      <c r="Y593" s="28">
        <f ca="1">IF(AND(X593=1,SETTINGS!$B$4&gt;=H593,SETTINGS!$B$4&gt;=U593,ROUND(MOD(SETTINGS!$B$4,1)*1440,0)&gt;=ROUND(SETTINGS!$B$7*1440,0),ROUND(MOD(SETTINGS!$B$4,1)*1440,0)&lt;ROUND(SETTINGS!$B$8*1440,0)),1,0)</f>
        <v>0</v>
      </c>
      <c r="Z593" s="28" t="str">
        <f>IF(B593="","",IF(ROUND(MOD(SETTINGS!$B$4,1)*1440,0)&lt;ROUND(SETTINGS!$B$11*1440,0),"Ram",IF(ROUND(MOD(SETTINGS!$B$4,1)*1440,0)&gt;=ROUND(SETTINGS!$B$10*1440,0),"Shyam",IF(MOD(IFERROR(VALUE(RIGHT(F593,2)),0),2)=0,"Ram","Shyam"))))</f>
        <v/>
      </c>
      <c r="AA593" s="28">
        <f t="shared" ca="1" si="102"/>
        <v>0</v>
      </c>
      <c r="AB593" s="28">
        <f ca="1">IF(X593=1,COUNTIFS($F$2:F593,F593,$X$2:X593,1),0)</f>
        <v>0</v>
      </c>
      <c r="AC593" s="28" t="str">
        <f>IF(L593=1,IF(IFERROR(INDEX(PARTNERS!$C$2:$C$88,MATCH(B593,PARTNERS!$A$2:$A$88,0)),"")="YES","YES","NO"),"")</f>
        <v/>
      </c>
      <c r="AD593" s="28" t="str">
        <f>IF(L593=1,IFERROR(INDEX(PARTNERS!$B$2:$B$88,MATCH(B593,PARTNERS!$A$2:$A$88,0)),""),"")</f>
        <v/>
      </c>
      <c r="AE593" s="28">
        <f ca="1">IF(X593=1,IFERROR(INDEX(SETTINGS!$B$34:$D$36,MATCH(I593,SETTINGS!$A$34:$A$36,0),MIN(Q593,2)+1),SETTINGS!$B$36),0)</f>
        <v>0</v>
      </c>
      <c r="AF593" s="28">
        <f t="shared" si="103"/>
        <v>0</v>
      </c>
      <c r="AG593" s="28">
        <f ca="1">IF(AND(Y593=1,AB593=1),ROUND(AA593*AE593*IF(AF593&gt;1,SETTINGS!$B$16,1)*IF(W593&lt;=SETTINGS!$B$14,SETTINGS!$B$15,1)*IF(AU593=1,SETTINGS!$B$21,1),6),0)</f>
        <v>0</v>
      </c>
      <c r="AH593" s="28" t="str">
        <f ca="1">IF(AG593&gt;0,COUNTIFS($Z$2:$Z$601,Z593,$AG$2:$AG$601,"&gt;"&amp;AG593)+COUNTIFS($Z$2:Z593,Z593,$AG$2:AG593,AG593),"")</f>
        <v/>
      </c>
      <c r="AI593" s="28" t="str">
        <f t="shared" ca="1" si="104"/>
        <v/>
      </c>
      <c r="AJ593" s="28" t="str">
        <f t="shared" ca="1" si="105"/>
        <v/>
      </c>
      <c r="AK593" s="28">
        <f>IF(L593=1,IF(COUNTIFS($F$2:F593,F593,$L$2:L593,1)=1,1,0),0)</f>
        <v>0</v>
      </c>
      <c r="AL593" s="28" t="str">
        <f>IF(B593="","",IF(K593="DUPLICATE","Duplicate (removed)",IF(AO593=1,"Scheduled within 24h",IF(M593=1,"Scheduled late",IF(K593="BAD CONTACT","Bad contact details",IF(O593=1,"Stopped / wrong number",IF(N593=1,"Not interested",IF(P593=1,"Partner has no slots",IF(SETTINGS!$B$4&gt;=V593,IF(Q593=0,"Missed deadline: never tried","Missed deadline: tried, not booked"),IF(Q593&gt;=SETTINGS!$B$6,"No reply after max tries","Open"))))))))))</f>
        <v/>
      </c>
      <c r="AM593" s="46" t="str">
        <f>IF(M593=1,IF(_xlfn.MINIFS(LOG!$G$2:$G$2001,LOG!$C$2:$C$2001,F593,LOG!$E$2:$E$2001,B593,LOG!$D$2:$D$2001,"*BOOKED")=0,_xlfn.MINIFS(LOG!$G$2:$G$2001,LOG!$C$2:$C$2001,F593,LOG!$E$2:$E$2001,"",LOG!$D$2:$D$2001,"*BOOKED"),IF(_xlfn.MINIFS(LOG!$G$2:$G$2001,LOG!$C$2:$C$2001,F593,LOG!$E$2:$E$2001,"",LOG!$D$2:$D$2001,"*BOOKED")=0,_xlfn.MINIFS(LOG!$G$2:$G$2001,LOG!$C$2:$C$2001,F593,LOG!$E$2:$E$2001,B593,LOG!$D$2:$D$2001,"*BOOKED"),MIN(_xlfn.MINIFS(LOG!$G$2:$G$2001,LOG!$C$2:$C$2001,F593,LOG!$E$2:$E$2001,B593,LOG!$D$2:$D$2001,"*BOOKED"),_xlfn.MINIFS(LOG!$G$2:$G$2001,LOG!$C$2:$C$2001,F593,LOG!$E$2:$E$2001,"",LOG!$D$2:$D$2001,"*BOOKED")))),"")</f>
        <v/>
      </c>
      <c r="AN593" s="28" t="str">
        <f t="shared" si="106"/>
        <v/>
      </c>
      <c r="AO593" s="28">
        <f>IF(AND(M593=1,AN593&lt;&gt;""),IF(AN593&lt;=SETTINGS!$B$5,1,0),0)</f>
        <v>0</v>
      </c>
      <c r="AP593" s="28">
        <f>IF(M593=1,IF(COUNTIFS(LOG!$C$2:$C$2001,F593,LOG!$E$2:$E$2001,B593,LOG!$D$2:$D$2001,"BOOKED")+COUNTIFS(LOG!$C$2:$C$2001,F593,LOG!$E$2:$E$2001,"",LOG!$D$2:$D$2001,"BOOKED")&gt;0,1,0),0)</f>
        <v>0</v>
      </c>
      <c r="AQ593" s="28" t="str">
        <f t="shared" si="107"/>
        <v/>
      </c>
      <c r="AR593" s="28" t="str">
        <f>IF(AND(AK593=1,K593="OK"),COUNTIFS($AK$2:AK593,1,$K$2:K593,"OK"),"")</f>
        <v/>
      </c>
      <c r="AS593" s="28" t="str">
        <f>IF(L593=1,IFERROR(INDEX(MESSAGES!$J$9:$J$1008,MATCH(F593,MESSAGES!$M$9:$M$1008,0))&amp;"",""),"")</f>
        <v/>
      </c>
      <c r="AT593" s="28" t="str">
        <f>IF(L593=1,IFERROR(INDEX(MESSAGES!$K$9:$K$1008,MATCH(F593,MESSAGES!$M$9:$M$1008,0))&amp;"",""),"")</f>
        <v/>
      </c>
      <c r="AU593" s="28">
        <f t="shared" ca="1" si="108"/>
        <v>0</v>
      </c>
      <c r="AV593" s="28" t="str">
        <f t="shared" si="109"/>
        <v/>
      </c>
    </row>
    <row r="594" spans="1:48" x14ac:dyDescent="0.35">
      <c r="A594" s="28">
        <v>593</v>
      </c>
      <c r="B594" s="28" t="str">
        <f>IF(INPUT!A594="","",TRIM(INPUT!A594))</f>
        <v/>
      </c>
      <c r="C594" s="28" t="str">
        <f>IF(B594="","",INPUT!C594)</f>
        <v/>
      </c>
      <c r="D594" s="28" t="str">
        <f>IF(B594="","",INPUT!D594)</f>
        <v/>
      </c>
      <c r="E594" s="28" t="str">
        <f>IF(B594="","",INPUT!E594)</f>
        <v/>
      </c>
      <c r="F594" s="43" t="str">
        <f>IF(B594="","",TRIM(INPUT!F594&amp;""))</f>
        <v/>
      </c>
      <c r="G594" s="28" t="str">
        <f>IF(B594="","",INPUT!H594)</f>
        <v/>
      </c>
      <c r="H594" s="46" t="str">
        <f>IF(B594="","",INPUT!I594)</f>
        <v/>
      </c>
      <c r="I594" s="28" t="str">
        <f>IF(B594="","",IF(INPUT!J594="","None",INPUT!J594))</f>
        <v/>
      </c>
      <c r="J594" s="28" t="str">
        <f t="shared" si="99"/>
        <v/>
      </c>
      <c r="K594" s="28" t="str">
        <f>IF(B594="","",IF(SUMPRODUCT(($J$2:$J$601=J594)*($H$2:$H$601&lt;H594))+SUMPRODUCT(($J$2:J594=J594)*($H$2:H594=H594))-1&gt;0,"DUPLICATE",IF(AND(ISNUMBER(SEARCH("@",E594)),ISNUMBER(SEARCH(".",E594)),LEN(F594)=10,ISNUMBER(VALUE(F594))),"OK","BAD CONTACT")))</f>
        <v/>
      </c>
      <c r="L594" s="28">
        <f t="shared" si="100"/>
        <v>0</v>
      </c>
      <c r="M594" s="28">
        <f>IF(L594=1,IF(COUNTIFS(LOG!$C$2:$C$2001,F594,LOG!$E$2:$E$2001,B594,LOG!$D$2:$D$2001,"*BOOKED")+COUNTIFS(LOG!$C$2:$C$2001,F594,LOG!$E$2:$E$2001,"",LOG!$D$2:$D$2001,"*BOOKED")&gt;0,1,0),0)</f>
        <v>0</v>
      </c>
      <c r="N594" s="28">
        <f>IF(L594=1,IF(COUNTIFS(LOG!$C$2:$C$2001,F594,LOG!$E$2:$E$2001,B594,LOG!$D$2:$D$2001,"NOT_INTERESTED")+COUNTIFS(LOG!$C$2:$C$2001,F594,LOG!$E$2:$E$2001,"",LOG!$D$2:$D$2001,"NOT_INTERESTED")&gt;0,1,0),0)</f>
        <v>0</v>
      </c>
      <c r="O594" s="28">
        <f>IF(L594=1,IF(COUNTIFS(LOG!$C$2:$C$2001,F594,LOG!$D$2:$D$2001,"STOP")+COUNTIFS(LOG!$C$2:$C$2001,F594,LOG!$D$2:$D$2001,"WRONG_NUMBER")&gt;0,1,IF(ISNUMBER(SEARCH("STOP",AT594)),1,0)),0)</f>
        <v>0</v>
      </c>
      <c r="P594" s="28">
        <f>IF(L594=1,IF(IFERROR(INDEX(PARTNERS!$D$2:$D$88,MATCH(B594,PARTNERS!$A$2:$A$88,0)),"")="NO SLOTS",1,IF(AND(IFERROR(INDEX(PARTNERS!$D$2:$D$88,MATCH(B594,PARTNERS!$A$2:$A$88,0)),"")&lt;&gt;"REOPENED",COUNTIFS(LOG!$E$2:$E$2001,B594,LOG!$D$2:$D$2001,"NO_SLOTS")&gt;0),1,0)),0)</f>
        <v>0</v>
      </c>
      <c r="Q594" s="28">
        <f>IF(L594=1,COUNTIFS(LOG!$C$2:$C$2001,F594,LOG!$H$2:$H$2001,1),0)</f>
        <v>0</v>
      </c>
      <c r="R594" s="46">
        <f>IF(Q594&gt;0,_xlfn.MAXIFS(LOG!$G$2:$G$2001,LOG!$C$2:$C$2001,F594,LOG!$H$2:$H$2001,1),0)</f>
        <v>0</v>
      </c>
      <c r="S594" s="28" t="str">
        <f>IF(Q594&gt;0,IFERROR(INDEX(LOG!$D$2:$D$2001,MATCH(F594&amp;"|"&amp;Q594,LOG!$I$2:$I$2001,0)),""),"")</f>
        <v/>
      </c>
      <c r="T594" s="28">
        <f>IF(S594="",0,IFERROR(VLOOKUP(S594,LISTS!$A$2:$E$10,4,FALSE),0))</f>
        <v>0</v>
      </c>
      <c r="U594" s="46">
        <f t="shared" si="101"/>
        <v>0</v>
      </c>
      <c r="V594" s="46" t="str">
        <f>IF(L594=1,H594+SETTINGS!$B$5/24,"")</f>
        <v/>
      </c>
      <c r="W594" s="28" t="str">
        <f>IF(L594=1,(V594-SETTINGS!$B$4)*24,"")</f>
        <v/>
      </c>
      <c r="X594" s="28">
        <f ca="1">IF(AND(L594=1,K594="OK",M594=0,N594=0,O594=0,P594=0,SETTINGS!$B$4&lt;V594,Q594&lt;SETTINGS!$B$6),1,0)</f>
        <v>0</v>
      </c>
      <c r="Y594" s="28">
        <f ca="1">IF(AND(X594=1,SETTINGS!$B$4&gt;=H594,SETTINGS!$B$4&gt;=U594,ROUND(MOD(SETTINGS!$B$4,1)*1440,0)&gt;=ROUND(SETTINGS!$B$7*1440,0),ROUND(MOD(SETTINGS!$B$4,1)*1440,0)&lt;ROUND(SETTINGS!$B$8*1440,0)),1,0)</f>
        <v>0</v>
      </c>
      <c r="Z594" s="28" t="str">
        <f>IF(B594="","",IF(ROUND(MOD(SETTINGS!$B$4,1)*1440,0)&lt;ROUND(SETTINGS!$B$11*1440,0),"Ram",IF(ROUND(MOD(SETTINGS!$B$4,1)*1440,0)&gt;=ROUND(SETTINGS!$B$10*1440,0),"Shyam",IF(MOD(IFERROR(VALUE(RIGHT(F594,2)),0),2)=0,"Ram","Shyam"))))</f>
        <v/>
      </c>
      <c r="AA594" s="28">
        <f t="shared" ca="1" si="102"/>
        <v>0</v>
      </c>
      <c r="AB594" s="28">
        <f ca="1">IF(X594=1,COUNTIFS($F$2:F594,F594,$X$2:X594,1),0)</f>
        <v>0</v>
      </c>
      <c r="AC594" s="28" t="str">
        <f>IF(L594=1,IF(IFERROR(INDEX(PARTNERS!$C$2:$C$88,MATCH(B594,PARTNERS!$A$2:$A$88,0)),"")="YES","YES","NO"),"")</f>
        <v/>
      </c>
      <c r="AD594" s="28" t="str">
        <f>IF(L594=1,IFERROR(INDEX(PARTNERS!$B$2:$B$88,MATCH(B594,PARTNERS!$A$2:$A$88,0)),""),"")</f>
        <v/>
      </c>
      <c r="AE594" s="28">
        <f ca="1">IF(X594=1,IFERROR(INDEX(SETTINGS!$B$34:$D$36,MATCH(I594,SETTINGS!$A$34:$A$36,0),MIN(Q594,2)+1),SETTINGS!$B$36),0)</f>
        <v>0</v>
      </c>
      <c r="AF594" s="28">
        <f t="shared" si="103"/>
        <v>0</v>
      </c>
      <c r="AG594" s="28">
        <f ca="1">IF(AND(Y594=1,AB594=1),ROUND(AA594*AE594*IF(AF594&gt;1,SETTINGS!$B$16,1)*IF(W594&lt;=SETTINGS!$B$14,SETTINGS!$B$15,1)*IF(AU594=1,SETTINGS!$B$21,1),6),0)</f>
        <v>0</v>
      </c>
      <c r="AH594" s="28" t="str">
        <f ca="1">IF(AG594&gt;0,COUNTIFS($Z$2:$Z$601,Z594,$AG$2:$AG$601,"&gt;"&amp;AG594)+COUNTIFS($Z$2:Z594,Z594,$AG$2:AG594,AG594),"")</f>
        <v/>
      </c>
      <c r="AI594" s="28" t="str">
        <f t="shared" ca="1" si="104"/>
        <v/>
      </c>
      <c r="AJ594" s="28" t="str">
        <f t="shared" ca="1" si="105"/>
        <v/>
      </c>
      <c r="AK594" s="28">
        <f>IF(L594=1,IF(COUNTIFS($F$2:F594,F594,$L$2:L594,1)=1,1,0),0)</f>
        <v>0</v>
      </c>
      <c r="AL594" s="28" t="str">
        <f>IF(B594="","",IF(K594="DUPLICATE","Duplicate (removed)",IF(AO594=1,"Scheduled within 24h",IF(M594=1,"Scheduled late",IF(K594="BAD CONTACT","Bad contact details",IF(O594=1,"Stopped / wrong number",IF(N594=1,"Not interested",IF(P594=1,"Partner has no slots",IF(SETTINGS!$B$4&gt;=V594,IF(Q594=0,"Missed deadline: never tried","Missed deadline: tried, not booked"),IF(Q594&gt;=SETTINGS!$B$6,"No reply after max tries","Open"))))))))))</f>
        <v/>
      </c>
      <c r="AM594" s="46" t="str">
        <f>IF(M594=1,IF(_xlfn.MINIFS(LOG!$G$2:$G$2001,LOG!$C$2:$C$2001,F594,LOG!$E$2:$E$2001,B594,LOG!$D$2:$D$2001,"*BOOKED")=0,_xlfn.MINIFS(LOG!$G$2:$G$2001,LOG!$C$2:$C$2001,F594,LOG!$E$2:$E$2001,"",LOG!$D$2:$D$2001,"*BOOKED"),IF(_xlfn.MINIFS(LOG!$G$2:$G$2001,LOG!$C$2:$C$2001,F594,LOG!$E$2:$E$2001,"",LOG!$D$2:$D$2001,"*BOOKED")=0,_xlfn.MINIFS(LOG!$G$2:$G$2001,LOG!$C$2:$C$2001,F594,LOG!$E$2:$E$2001,B594,LOG!$D$2:$D$2001,"*BOOKED"),MIN(_xlfn.MINIFS(LOG!$G$2:$G$2001,LOG!$C$2:$C$2001,F594,LOG!$E$2:$E$2001,B594,LOG!$D$2:$D$2001,"*BOOKED"),_xlfn.MINIFS(LOG!$G$2:$G$2001,LOG!$C$2:$C$2001,F594,LOG!$E$2:$E$2001,"",LOG!$D$2:$D$2001,"*BOOKED")))),"")</f>
        <v/>
      </c>
      <c r="AN594" s="28" t="str">
        <f t="shared" si="106"/>
        <v/>
      </c>
      <c r="AO594" s="28">
        <f>IF(AND(M594=1,AN594&lt;&gt;""),IF(AN594&lt;=SETTINGS!$B$5,1,0),0)</f>
        <v>0</v>
      </c>
      <c r="AP594" s="28">
        <f>IF(M594=1,IF(COUNTIFS(LOG!$C$2:$C$2001,F594,LOG!$E$2:$E$2001,B594,LOG!$D$2:$D$2001,"BOOKED")+COUNTIFS(LOG!$C$2:$C$2001,F594,LOG!$E$2:$E$2001,"",LOG!$D$2:$D$2001,"BOOKED")&gt;0,1,0),0)</f>
        <v>0</v>
      </c>
      <c r="AQ594" s="28" t="str">
        <f t="shared" si="107"/>
        <v/>
      </c>
      <c r="AR594" s="28" t="str">
        <f>IF(AND(AK594=1,K594="OK"),COUNTIFS($AK$2:AK594,1,$K$2:K594,"OK"),"")</f>
        <v/>
      </c>
      <c r="AS594" s="28" t="str">
        <f>IF(L594=1,IFERROR(INDEX(MESSAGES!$J$9:$J$1008,MATCH(F594,MESSAGES!$M$9:$M$1008,0))&amp;"",""),"")</f>
        <v/>
      </c>
      <c r="AT594" s="28" t="str">
        <f>IF(L594=1,IFERROR(INDEX(MESSAGES!$K$9:$K$1008,MATCH(F594,MESSAGES!$M$9:$M$1008,0))&amp;"",""),"")</f>
        <v/>
      </c>
      <c r="AU594" s="28">
        <f t="shared" ca="1" si="108"/>
        <v>0</v>
      </c>
      <c r="AV594" s="28" t="str">
        <f t="shared" si="109"/>
        <v/>
      </c>
    </row>
    <row r="595" spans="1:48" x14ac:dyDescent="0.35">
      <c r="A595" s="28">
        <v>594</v>
      </c>
      <c r="B595" s="28" t="str">
        <f>IF(INPUT!A595="","",TRIM(INPUT!A595))</f>
        <v/>
      </c>
      <c r="C595" s="28" t="str">
        <f>IF(B595="","",INPUT!C595)</f>
        <v/>
      </c>
      <c r="D595" s="28" t="str">
        <f>IF(B595="","",INPUT!D595)</f>
        <v/>
      </c>
      <c r="E595" s="28" t="str">
        <f>IF(B595="","",INPUT!E595)</f>
        <v/>
      </c>
      <c r="F595" s="43" t="str">
        <f>IF(B595="","",TRIM(INPUT!F595&amp;""))</f>
        <v/>
      </c>
      <c r="G595" s="28" t="str">
        <f>IF(B595="","",INPUT!H595)</f>
        <v/>
      </c>
      <c r="H595" s="46" t="str">
        <f>IF(B595="","",INPUT!I595)</f>
        <v/>
      </c>
      <c r="I595" s="28" t="str">
        <f>IF(B595="","",IF(INPUT!J595="","None",INPUT!J595))</f>
        <v/>
      </c>
      <c r="J595" s="28" t="str">
        <f t="shared" si="99"/>
        <v/>
      </c>
      <c r="K595" s="28" t="str">
        <f>IF(B595="","",IF(SUMPRODUCT(($J$2:$J$601=J595)*($H$2:$H$601&lt;H595))+SUMPRODUCT(($J$2:J595=J595)*($H$2:H595=H595))-1&gt;0,"DUPLICATE",IF(AND(ISNUMBER(SEARCH("@",E595)),ISNUMBER(SEARCH(".",E595)),LEN(F595)=10,ISNUMBER(VALUE(F595))),"OK","BAD CONTACT")))</f>
        <v/>
      </c>
      <c r="L595" s="28">
        <f t="shared" si="100"/>
        <v>0</v>
      </c>
      <c r="M595" s="28">
        <f>IF(L595=1,IF(COUNTIFS(LOG!$C$2:$C$2001,F595,LOG!$E$2:$E$2001,B595,LOG!$D$2:$D$2001,"*BOOKED")+COUNTIFS(LOG!$C$2:$C$2001,F595,LOG!$E$2:$E$2001,"",LOG!$D$2:$D$2001,"*BOOKED")&gt;0,1,0),0)</f>
        <v>0</v>
      </c>
      <c r="N595" s="28">
        <f>IF(L595=1,IF(COUNTIFS(LOG!$C$2:$C$2001,F595,LOG!$E$2:$E$2001,B595,LOG!$D$2:$D$2001,"NOT_INTERESTED")+COUNTIFS(LOG!$C$2:$C$2001,F595,LOG!$E$2:$E$2001,"",LOG!$D$2:$D$2001,"NOT_INTERESTED")&gt;0,1,0),0)</f>
        <v>0</v>
      </c>
      <c r="O595" s="28">
        <f>IF(L595=1,IF(COUNTIFS(LOG!$C$2:$C$2001,F595,LOG!$D$2:$D$2001,"STOP")+COUNTIFS(LOG!$C$2:$C$2001,F595,LOG!$D$2:$D$2001,"WRONG_NUMBER")&gt;0,1,IF(ISNUMBER(SEARCH("STOP",AT595)),1,0)),0)</f>
        <v>0</v>
      </c>
      <c r="P595" s="28">
        <f>IF(L595=1,IF(IFERROR(INDEX(PARTNERS!$D$2:$D$88,MATCH(B595,PARTNERS!$A$2:$A$88,0)),"")="NO SLOTS",1,IF(AND(IFERROR(INDEX(PARTNERS!$D$2:$D$88,MATCH(B595,PARTNERS!$A$2:$A$88,0)),"")&lt;&gt;"REOPENED",COUNTIFS(LOG!$E$2:$E$2001,B595,LOG!$D$2:$D$2001,"NO_SLOTS")&gt;0),1,0)),0)</f>
        <v>0</v>
      </c>
      <c r="Q595" s="28">
        <f>IF(L595=1,COUNTIFS(LOG!$C$2:$C$2001,F595,LOG!$H$2:$H$2001,1),0)</f>
        <v>0</v>
      </c>
      <c r="R595" s="46">
        <f>IF(Q595&gt;0,_xlfn.MAXIFS(LOG!$G$2:$G$2001,LOG!$C$2:$C$2001,F595,LOG!$H$2:$H$2001,1),0)</f>
        <v>0</v>
      </c>
      <c r="S595" s="28" t="str">
        <f>IF(Q595&gt;0,IFERROR(INDEX(LOG!$D$2:$D$2001,MATCH(F595&amp;"|"&amp;Q595,LOG!$I$2:$I$2001,0)),""),"")</f>
        <v/>
      </c>
      <c r="T595" s="28">
        <f>IF(S595="",0,IFERROR(VLOOKUP(S595,LISTS!$A$2:$E$10,4,FALSE),0))</f>
        <v>0</v>
      </c>
      <c r="U595" s="46">
        <f t="shared" si="101"/>
        <v>0</v>
      </c>
      <c r="V595" s="46" t="str">
        <f>IF(L595=1,H595+SETTINGS!$B$5/24,"")</f>
        <v/>
      </c>
      <c r="W595" s="28" t="str">
        <f>IF(L595=1,(V595-SETTINGS!$B$4)*24,"")</f>
        <v/>
      </c>
      <c r="X595" s="28">
        <f ca="1">IF(AND(L595=1,K595="OK",M595=0,N595=0,O595=0,P595=0,SETTINGS!$B$4&lt;V595,Q595&lt;SETTINGS!$B$6),1,0)</f>
        <v>0</v>
      </c>
      <c r="Y595" s="28">
        <f ca="1">IF(AND(X595=1,SETTINGS!$B$4&gt;=H595,SETTINGS!$B$4&gt;=U595,ROUND(MOD(SETTINGS!$B$4,1)*1440,0)&gt;=ROUND(SETTINGS!$B$7*1440,0),ROUND(MOD(SETTINGS!$B$4,1)*1440,0)&lt;ROUND(SETTINGS!$B$8*1440,0)),1,0)</f>
        <v>0</v>
      </c>
      <c r="Z595" s="28" t="str">
        <f>IF(B595="","",IF(ROUND(MOD(SETTINGS!$B$4,1)*1440,0)&lt;ROUND(SETTINGS!$B$11*1440,0),"Ram",IF(ROUND(MOD(SETTINGS!$B$4,1)*1440,0)&gt;=ROUND(SETTINGS!$B$10*1440,0),"Shyam",IF(MOD(IFERROR(VALUE(RIGHT(F595,2)),0),2)=0,"Ram","Shyam"))))</f>
        <v/>
      </c>
      <c r="AA595" s="28">
        <f t="shared" ca="1" si="102"/>
        <v>0</v>
      </c>
      <c r="AB595" s="28">
        <f ca="1">IF(X595=1,COUNTIFS($F$2:F595,F595,$X$2:X595,1),0)</f>
        <v>0</v>
      </c>
      <c r="AC595" s="28" t="str">
        <f>IF(L595=1,IF(IFERROR(INDEX(PARTNERS!$C$2:$C$88,MATCH(B595,PARTNERS!$A$2:$A$88,0)),"")="YES","YES","NO"),"")</f>
        <v/>
      </c>
      <c r="AD595" s="28" t="str">
        <f>IF(L595=1,IFERROR(INDEX(PARTNERS!$B$2:$B$88,MATCH(B595,PARTNERS!$A$2:$A$88,0)),""),"")</f>
        <v/>
      </c>
      <c r="AE595" s="28">
        <f ca="1">IF(X595=1,IFERROR(INDEX(SETTINGS!$B$34:$D$36,MATCH(I595,SETTINGS!$A$34:$A$36,0),MIN(Q595,2)+1),SETTINGS!$B$36),0)</f>
        <v>0</v>
      </c>
      <c r="AF595" s="28">
        <f t="shared" si="103"/>
        <v>0</v>
      </c>
      <c r="AG595" s="28">
        <f ca="1">IF(AND(Y595=1,AB595=1),ROUND(AA595*AE595*IF(AF595&gt;1,SETTINGS!$B$16,1)*IF(W595&lt;=SETTINGS!$B$14,SETTINGS!$B$15,1)*IF(AU595=1,SETTINGS!$B$21,1),6),0)</f>
        <v>0</v>
      </c>
      <c r="AH595" s="28" t="str">
        <f ca="1">IF(AG595&gt;0,COUNTIFS($Z$2:$Z$601,Z595,$AG$2:$AG$601,"&gt;"&amp;AG595)+COUNTIFS($Z$2:Z595,Z595,$AG$2:AG595,AG595),"")</f>
        <v/>
      </c>
      <c r="AI595" s="28" t="str">
        <f t="shared" ca="1" si="104"/>
        <v/>
      </c>
      <c r="AJ595" s="28" t="str">
        <f t="shared" ca="1" si="105"/>
        <v/>
      </c>
      <c r="AK595" s="28">
        <f>IF(L595=1,IF(COUNTIFS($F$2:F595,F595,$L$2:L595,1)=1,1,0),0)</f>
        <v>0</v>
      </c>
      <c r="AL595" s="28" t="str">
        <f>IF(B595="","",IF(K595="DUPLICATE","Duplicate (removed)",IF(AO595=1,"Scheduled within 24h",IF(M595=1,"Scheduled late",IF(K595="BAD CONTACT","Bad contact details",IF(O595=1,"Stopped / wrong number",IF(N595=1,"Not interested",IF(P595=1,"Partner has no slots",IF(SETTINGS!$B$4&gt;=V595,IF(Q595=0,"Missed deadline: never tried","Missed deadline: tried, not booked"),IF(Q595&gt;=SETTINGS!$B$6,"No reply after max tries","Open"))))))))))</f>
        <v/>
      </c>
      <c r="AM595" s="46" t="str">
        <f>IF(M595=1,IF(_xlfn.MINIFS(LOG!$G$2:$G$2001,LOG!$C$2:$C$2001,F595,LOG!$E$2:$E$2001,B595,LOG!$D$2:$D$2001,"*BOOKED")=0,_xlfn.MINIFS(LOG!$G$2:$G$2001,LOG!$C$2:$C$2001,F595,LOG!$E$2:$E$2001,"",LOG!$D$2:$D$2001,"*BOOKED"),IF(_xlfn.MINIFS(LOG!$G$2:$G$2001,LOG!$C$2:$C$2001,F595,LOG!$E$2:$E$2001,"",LOG!$D$2:$D$2001,"*BOOKED")=0,_xlfn.MINIFS(LOG!$G$2:$G$2001,LOG!$C$2:$C$2001,F595,LOG!$E$2:$E$2001,B595,LOG!$D$2:$D$2001,"*BOOKED"),MIN(_xlfn.MINIFS(LOG!$G$2:$G$2001,LOG!$C$2:$C$2001,F595,LOG!$E$2:$E$2001,B595,LOG!$D$2:$D$2001,"*BOOKED"),_xlfn.MINIFS(LOG!$G$2:$G$2001,LOG!$C$2:$C$2001,F595,LOG!$E$2:$E$2001,"",LOG!$D$2:$D$2001,"*BOOKED")))),"")</f>
        <v/>
      </c>
      <c r="AN595" s="28" t="str">
        <f t="shared" si="106"/>
        <v/>
      </c>
      <c r="AO595" s="28">
        <f>IF(AND(M595=1,AN595&lt;&gt;""),IF(AN595&lt;=SETTINGS!$B$5,1,0),0)</f>
        <v>0</v>
      </c>
      <c r="AP595" s="28">
        <f>IF(M595=1,IF(COUNTIFS(LOG!$C$2:$C$2001,F595,LOG!$E$2:$E$2001,B595,LOG!$D$2:$D$2001,"BOOKED")+COUNTIFS(LOG!$C$2:$C$2001,F595,LOG!$E$2:$E$2001,"",LOG!$D$2:$D$2001,"BOOKED")&gt;0,1,0),0)</f>
        <v>0</v>
      </c>
      <c r="AQ595" s="28" t="str">
        <f t="shared" si="107"/>
        <v/>
      </c>
      <c r="AR595" s="28" t="str">
        <f>IF(AND(AK595=1,K595="OK"),COUNTIFS($AK$2:AK595,1,$K$2:K595,"OK"),"")</f>
        <v/>
      </c>
      <c r="AS595" s="28" t="str">
        <f>IF(L595=1,IFERROR(INDEX(MESSAGES!$J$9:$J$1008,MATCH(F595,MESSAGES!$M$9:$M$1008,0))&amp;"",""),"")</f>
        <v/>
      </c>
      <c r="AT595" s="28" t="str">
        <f>IF(L595=1,IFERROR(INDEX(MESSAGES!$K$9:$K$1008,MATCH(F595,MESSAGES!$M$9:$M$1008,0))&amp;"",""),"")</f>
        <v/>
      </c>
      <c r="AU595" s="28">
        <f t="shared" ca="1" si="108"/>
        <v>0</v>
      </c>
      <c r="AV595" s="28" t="str">
        <f t="shared" si="109"/>
        <v/>
      </c>
    </row>
    <row r="596" spans="1:48" x14ac:dyDescent="0.35">
      <c r="A596" s="28">
        <v>595</v>
      </c>
      <c r="B596" s="28" t="str">
        <f>IF(INPUT!A596="","",TRIM(INPUT!A596))</f>
        <v/>
      </c>
      <c r="C596" s="28" t="str">
        <f>IF(B596="","",INPUT!C596)</f>
        <v/>
      </c>
      <c r="D596" s="28" t="str">
        <f>IF(B596="","",INPUT!D596)</f>
        <v/>
      </c>
      <c r="E596" s="28" t="str">
        <f>IF(B596="","",INPUT!E596)</f>
        <v/>
      </c>
      <c r="F596" s="43" t="str">
        <f>IF(B596="","",TRIM(INPUT!F596&amp;""))</f>
        <v/>
      </c>
      <c r="G596" s="28" t="str">
        <f>IF(B596="","",INPUT!H596)</f>
        <v/>
      </c>
      <c r="H596" s="46" t="str">
        <f>IF(B596="","",INPUT!I596)</f>
        <v/>
      </c>
      <c r="I596" s="28" t="str">
        <f>IF(B596="","",IF(INPUT!J596="","None",INPUT!J596))</f>
        <v/>
      </c>
      <c r="J596" s="28" t="str">
        <f t="shared" si="99"/>
        <v/>
      </c>
      <c r="K596" s="28" t="str">
        <f>IF(B596="","",IF(SUMPRODUCT(($J$2:$J$601=J596)*($H$2:$H$601&lt;H596))+SUMPRODUCT(($J$2:J596=J596)*($H$2:H596=H596))-1&gt;0,"DUPLICATE",IF(AND(ISNUMBER(SEARCH("@",E596)),ISNUMBER(SEARCH(".",E596)),LEN(F596)=10,ISNUMBER(VALUE(F596))),"OK","BAD CONTACT")))</f>
        <v/>
      </c>
      <c r="L596" s="28">
        <f t="shared" si="100"/>
        <v>0</v>
      </c>
      <c r="M596" s="28">
        <f>IF(L596=1,IF(COUNTIFS(LOG!$C$2:$C$2001,F596,LOG!$E$2:$E$2001,B596,LOG!$D$2:$D$2001,"*BOOKED")+COUNTIFS(LOG!$C$2:$C$2001,F596,LOG!$E$2:$E$2001,"",LOG!$D$2:$D$2001,"*BOOKED")&gt;0,1,0),0)</f>
        <v>0</v>
      </c>
      <c r="N596" s="28">
        <f>IF(L596=1,IF(COUNTIFS(LOG!$C$2:$C$2001,F596,LOG!$E$2:$E$2001,B596,LOG!$D$2:$D$2001,"NOT_INTERESTED")+COUNTIFS(LOG!$C$2:$C$2001,F596,LOG!$E$2:$E$2001,"",LOG!$D$2:$D$2001,"NOT_INTERESTED")&gt;0,1,0),0)</f>
        <v>0</v>
      </c>
      <c r="O596" s="28">
        <f>IF(L596=1,IF(COUNTIFS(LOG!$C$2:$C$2001,F596,LOG!$D$2:$D$2001,"STOP")+COUNTIFS(LOG!$C$2:$C$2001,F596,LOG!$D$2:$D$2001,"WRONG_NUMBER")&gt;0,1,IF(ISNUMBER(SEARCH("STOP",AT596)),1,0)),0)</f>
        <v>0</v>
      </c>
      <c r="P596" s="28">
        <f>IF(L596=1,IF(IFERROR(INDEX(PARTNERS!$D$2:$D$88,MATCH(B596,PARTNERS!$A$2:$A$88,0)),"")="NO SLOTS",1,IF(AND(IFERROR(INDEX(PARTNERS!$D$2:$D$88,MATCH(B596,PARTNERS!$A$2:$A$88,0)),"")&lt;&gt;"REOPENED",COUNTIFS(LOG!$E$2:$E$2001,B596,LOG!$D$2:$D$2001,"NO_SLOTS")&gt;0),1,0)),0)</f>
        <v>0</v>
      </c>
      <c r="Q596" s="28">
        <f>IF(L596=1,COUNTIFS(LOG!$C$2:$C$2001,F596,LOG!$H$2:$H$2001,1),0)</f>
        <v>0</v>
      </c>
      <c r="R596" s="46">
        <f>IF(Q596&gt;0,_xlfn.MAXIFS(LOG!$G$2:$G$2001,LOG!$C$2:$C$2001,F596,LOG!$H$2:$H$2001,1),0)</f>
        <v>0</v>
      </c>
      <c r="S596" s="28" t="str">
        <f>IF(Q596&gt;0,IFERROR(INDEX(LOG!$D$2:$D$2001,MATCH(F596&amp;"|"&amp;Q596,LOG!$I$2:$I$2001,0)),""),"")</f>
        <v/>
      </c>
      <c r="T596" s="28">
        <f>IF(S596="",0,IFERROR(VLOOKUP(S596,LISTS!$A$2:$E$10,4,FALSE),0))</f>
        <v>0</v>
      </c>
      <c r="U596" s="46">
        <f t="shared" si="101"/>
        <v>0</v>
      </c>
      <c r="V596" s="46" t="str">
        <f>IF(L596=1,H596+SETTINGS!$B$5/24,"")</f>
        <v/>
      </c>
      <c r="W596" s="28" t="str">
        <f>IF(L596=1,(V596-SETTINGS!$B$4)*24,"")</f>
        <v/>
      </c>
      <c r="X596" s="28">
        <f ca="1">IF(AND(L596=1,K596="OK",M596=0,N596=0,O596=0,P596=0,SETTINGS!$B$4&lt;V596,Q596&lt;SETTINGS!$B$6),1,0)</f>
        <v>0</v>
      </c>
      <c r="Y596" s="28">
        <f ca="1">IF(AND(X596=1,SETTINGS!$B$4&gt;=H596,SETTINGS!$B$4&gt;=U596,ROUND(MOD(SETTINGS!$B$4,1)*1440,0)&gt;=ROUND(SETTINGS!$B$7*1440,0),ROUND(MOD(SETTINGS!$B$4,1)*1440,0)&lt;ROUND(SETTINGS!$B$8*1440,0)),1,0)</f>
        <v>0</v>
      </c>
      <c r="Z596" s="28" t="str">
        <f>IF(B596="","",IF(ROUND(MOD(SETTINGS!$B$4,1)*1440,0)&lt;ROUND(SETTINGS!$B$11*1440,0),"Ram",IF(ROUND(MOD(SETTINGS!$B$4,1)*1440,0)&gt;=ROUND(SETTINGS!$B$10*1440,0),"Shyam",IF(MOD(IFERROR(VALUE(RIGHT(F596,2)),0),2)=0,"Ram","Shyam"))))</f>
        <v/>
      </c>
      <c r="AA596" s="28">
        <f t="shared" ca="1" si="102"/>
        <v>0</v>
      </c>
      <c r="AB596" s="28">
        <f ca="1">IF(X596=1,COUNTIFS($F$2:F596,F596,$X$2:X596,1),0)</f>
        <v>0</v>
      </c>
      <c r="AC596" s="28" t="str">
        <f>IF(L596=1,IF(IFERROR(INDEX(PARTNERS!$C$2:$C$88,MATCH(B596,PARTNERS!$A$2:$A$88,0)),"")="YES","YES","NO"),"")</f>
        <v/>
      </c>
      <c r="AD596" s="28" t="str">
        <f>IF(L596=1,IFERROR(INDEX(PARTNERS!$B$2:$B$88,MATCH(B596,PARTNERS!$A$2:$A$88,0)),""),"")</f>
        <v/>
      </c>
      <c r="AE596" s="28">
        <f ca="1">IF(X596=1,IFERROR(INDEX(SETTINGS!$B$34:$D$36,MATCH(I596,SETTINGS!$A$34:$A$36,0),MIN(Q596,2)+1),SETTINGS!$B$36),0)</f>
        <v>0</v>
      </c>
      <c r="AF596" s="28">
        <f t="shared" si="103"/>
        <v>0</v>
      </c>
      <c r="AG596" s="28">
        <f ca="1">IF(AND(Y596=1,AB596=1),ROUND(AA596*AE596*IF(AF596&gt;1,SETTINGS!$B$16,1)*IF(W596&lt;=SETTINGS!$B$14,SETTINGS!$B$15,1)*IF(AU596=1,SETTINGS!$B$21,1),6),0)</f>
        <v>0</v>
      </c>
      <c r="AH596" s="28" t="str">
        <f ca="1">IF(AG596&gt;0,COUNTIFS($Z$2:$Z$601,Z596,$AG$2:$AG$601,"&gt;"&amp;AG596)+COUNTIFS($Z$2:Z596,Z596,$AG$2:AG596,AG596),"")</f>
        <v/>
      </c>
      <c r="AI596" s="28" t="str">
        <f t="shared" ca="1" si="104"/>
        <v/>
      </c>
      <c r="AJ596" s="28" t="str">
        <f t="shared" ca="1" si="105"/>
        <v/>
      </c>
      <c r="AK596" s="28">
        <f>IF(L596=1,IF(COUNTIFS($F$2:F596,F596,$L$2:L596,1)=1,1,0),0)</f>
        <v>0</v>
      </c>
      <c r="AL596" s="28" t="str">
        <f>IF(B596="","",IF(K596="DUPLICATE","Duplicate (removed)",IF(AO596=1,"Scheduled within 24h",IF(M596=1,"Scheduled late",IF(K596="BAD CONTACT","Bad contact details",IF(O596=1,"Stopped / wrong number",IF(N596=1,"Not interested",IF(P596=1,"Partner has no slots",IF(SETTINGS!$B$4&gt;=V596,IF(Q596=0,"Missed deadline: never tried","Missed deadline: tried, not booked"),IF(Q596&gt;=SETTINGS!$B$6,"No reply after max tries","Open"))))))))))</f>
        <v/>
      </c>
      <c r="AM596" s="46" t="str">
        <f>IF(M596=1,IF(_xlfn.MINIFS(LOG!$G$2:$G$2001,LOG!$C$2:$C$2001,F596,LOG!$E$2:$E$2001,B596,LOG!$D$2:$D$2001,"*BOOKED")=0,_xlfn.MINIFS(LOG!$G$2:$G$2001,LOG!$C$2:$C$2001,F596,LOG!$E$2:$E$2001,"",LOG!$D$2:$D$2001,"*BOOKED"),IF(_xlfn.MINIFS(LOG!$G$2:$G$2001,LOG!$C$2:$C$2001,F596,LOG!$E$2:$E$2001,"",LOG!$D$2:$D$2001,"*BOOKED")=0,_xlfn.MINIFS(LOG!$G$2:$G$2001,LOG!$C$2:$C$2001,F596,LOG!$E$2:$E$2001,B596,LOG!$D$2:$D$2001,"*BOOKED"),MIN(_xlfn.MINIFS(LOG!$G$2:$G$2001,LOG!$C$2:$C$2001,F596,LOG!$E$2:$E$2001,B596,LOG!$D$2:$D$2001,"*BOOKED"),_xlfn.MINIFS(LOG!$G$2:$G$2001,LOG!$C$2:$C$2001,F596,LOG!$E$2:$E$2001,"",LOG!$D$2:$D$2001,"*BOOKED")))),"")</f>
        <v/>
      </c>
      <c r="AN596" s="28" t="str">
        <f t="shared" si="106"/>
        <v/>
      </c>
      <c r="AO596" s="28">
        <f>IF(AND(M596=1,AN596&lt;&gt;""),IF(AN596&lt;=SETTINGS!$B$5,1,0),0)</f>
        <v>0</v>
      </c>
      <c r="AP596" s="28">
        <f>IF(M596=1,IF(COUNTIFS(LOG!$C$2:$C$2001,F596,LOG!$E$2:$E$2001,B596,LOG!$D$2:$D$2001,"BOOKED")+COUNTIFS(LOG!$C$2:$C$2001,F596,LOG!$E$2:$E$2001,"",LOG!$D$2:$D$2001,"BOOKED")&gt;0,1,0),0)</f>
        <v>0</v>
      </c>
      <c r="AQ596" s="28" t="str">
        <f t="shared" si="107"/>
        <v/>
      </c>
      <c r="AR596" s="28" t="str">
        <f>IF(AND(AK596=1,K596="OK"),COUNTIFS($AK$2:AK596,1,$K$2:K596,"OK"),"")</f>
        <v/>
      </c>
      <c r="AS596" s="28" t="str">
        <f>IF(L596=1,IFERROR(INDEX(MESSAGES!$J$9:$J$1008,MATCH(F596,MESSAGES!$M$9:$M$1008,0))&amp;"",""),"")</f>
        <v/>
      </c>
      <c r="AT596" s="28" t="str">
        <f>IF(L596=1,IFERROR(INDEX(MESSAGES!$K$9:$K$1008,MATCH(F596,MESSAGES!$M$9:$M$1008,0))&amp;"",""),"")</f>
        <v/>
      </c>
      <c r="AU596" s="28">
        <f t="shared" ca="1" si="108"/>
        <v>0</v>
      </c>
      <c r="AV596" s="28" t="str">
        <f t="shared" si="109"/>
        <v/>
      </c>
    </row>
    <row r="597" spans="1:48" x14ac:dyDescent="0.35">
      <c r="A597" s="28">
        <v>596</v>
      </c>
      <c r="B597" s="28" t="str">
        <f>IF(INPUT!A597="","",TRIM(INPUT!A597))</f>
        <v/>
      </c>
      <c r="C597" s="28" t="str">
        <f>IF(B597="","",INPUT!C597)</f>
        <v/>
      </c>
      <c r="D597" s="28" t="str">
        <f>IF(B597="","",INPUT!D597)</f>
        <v/>
      </c>
      <c r="E597" s="28" t="str">
        <f>IF(B597="","",INPUT!E597)</f>
        <v/>
      </c>
      <c r="F597" s="43" t="str">
        <f>IF(B597="","",TRIM(INPUT!F597&amp;""))</f>
        <v/>
      </c>
      <c r="G597" s="28" t="str">
        <f>IF(B597="","",INPUT!H597)</f>
        <v/>
      </c>
      <c r="H597" s="46" t="str">
        <f>IF(B597="","",INPUT!I597)</f>
        <v/>
      </c>
      <c r="I597" s="28" t="str">
        <f>IF(B597="","",IF(INPUT!J597="","None",INPUT!J597))</f>
        <v/>
      </c>
      <c r="J597" s="28" t="str">
        <f t="shared" si="99"/>
        <v/>
      </c>
      <c r="K597" s="28" t="str">
        <f>IF(B597="","",IF(SUMPRODUCT(($J$2:$J$601=J597)*($H$2:$H$601&lt;H597))+SUMPRODUCT(($J$2:J597=J597)*($H$2:H597=H597))-1&gt;0,"DUPLICATE",IF(AND(ISNUMBER(SEARCH("@",E597)),ISNUMBER(SEARCH(".",E597)),LEN(F597)=10,ISNUMBER(VALUE(F597))),"OK","BAD CONTACT")))</f>
        <v/>
      </c>
      <c r="L597" s="28">
        <f t="shared" si="100"/>
        <v>0</v>
      </c>
      <c r="M597" s="28">
        <f>IF(L597=1,IF(COUNTIFS(LOG!$C$2:$C$2001,F597,LOG!$E$2:$E$2001,B597,LOG!$D$2:$D$2001,"*BOOKED")+COUNTIFS(LOG!$C$2:$C$2001,F597,LOG!$E$2:$E$2001,"",LOG!$D$2:$D$2001,"*BOOKED")&gt;0,1,0),0)</f>
        <v>0</v>
      </c>
      <c r="N597" s="28">
        <f>IF(L597=1,IF(COUNTIFS(LOG!$C$2:$C$2001,F597,LOG!$E$2:$E$2001,B597,LOG!$D$2:$D$2001,"NOT_INTERESTED")+COUNTIFS(LOG!$C$2:$C$2001,F597,LOG!$E$2:$E$2001,"",LOG!$D$2:$D$2001,"NOT_INTERESTED")&gt;0,1,0),0)</f>
        <v>0</v>
      </c>
      <c r="O597" s="28">
        <f>IF(L597=1,IF(COUNTIFS(LOG!$C$2:$C$2001,F597,LOG!$D$2:$D$2001,"STOP")+COUNTIFS(LOG!$C$2:$C$2001,F597,LOG!$D$2:$D$2001,"WRONG_NUMBER")&gt;0,1,IF(ISNUMBER(SEARCH("STOP",AT597)),1,0)),0)</f>
        <v>0</v>
      </c>
      <c r="P597" s="28">
        <f>IF(L597=1,IF(IFERROR(INDEX(PARTNERS!$D$2:$D$88,MATCH(B597,PARTNERS!$A$2:$A$88,0)),"")="NO SLOTS",1,IF(AND(IFERROR(INDEX(PARTNERS!$D$2:$D$88,MATCH(B597,PARTNERS!$A$2:$A$88,0)),"")&lt;&gt;"REOPENED",COUNTIFS(LOG!$E$2:$E$2001,B597,LOG!$D$2:$D$2001,"NO_SLOTS")&gt;0),1,0)),0)</f>
        <v>0</v>
      </c>
      <c r="Q597" s="28">
        <f>IF(L597=1,COUNTIFS(LOG!$C$2:$C$2001,F597,LOG!$H$2:$H$2001,1),0)</f>
        <v>0</v>
      </c>
      <c r="R597" s="46">
        <f>IF(Q597&gt;0,_xlfn.MAXIFS(LOG!$G$2:$G$2001,LOG!$C$2:$C$2001,F597,LOG!$H$2:$H$2001,1),0)</f>
        <v>0</v>
      </c>
      <c r="S597" s="28" t="str">
        <f>IF(Q597&gt;0,IFERROR(INDEX(LOG!$D$2:$D$2001,MATCH(F597&amp;"|"&amp;Q597,LOG!$I$2:$I$2001,0)),""),"")</f>
        <v/>
      </c>
      <c r="T597" s="28">
        <f>IF(S597="",0,IFERROR(VLOOKUP(S597,LISTS!$A$2:$E$10,4,FALSE),0))</f>
        <v>0</v>
      </c>
      <c r="U597" s="46">
        <f t="shared" si="101"/>
        <v>0</v>
      </c>
      <c r="V597" s="46" t="str">
        <f>IF(L597=1,H597+SETTINGS!$B$5/24,"")</f>
        <v/>
      </c>
      <c r="W597" s="28" t="str">
        <f>IF(L597=1,(V597-SETTINGS!$B$4)*24,"")</f>
        <v/>
      </c>
      <c r="X597" s="28">
        <f ca="1">IF(AND(L597=1,K597="OK",M597=0,N597=0,O597=0,P597=0,SETTINGS!$B$4&lt;V597,Q597&lt;SETTINGS!$B$6),1,0)</f>
        <v>0</v>
      </c>
      <c r="Y597" s="28">
        <f ca="1">IF(AND(X597=1,SETTINGS!$B$4&gt;=H597,SETTINGS!$B$4&gt;=U597,ROUND(MOD(SETTINGS!$B$4,1)*1440,0)&gt;=ROUND(SETTINGS!$B$7*1440,0),ROUND(MOD(SETTINGS!$B$4,1)*1440,0)&lt;ROUND(SETTINGS!$B$8*1440,0)),1,0)</f>
        <v>0</v>
      </c>
      <c r="Z597" s="28" t="str">
        <f>IF(B597="","",IF(ROUND(MOD(SETTINGS!$B$4,1)*1440,0)&lt;ROUND(SETTINGS!$B$11*1440,0),"Ram",IF(ROUND(MOD(SETTINGS!$B$4,1)*1440,0)&gt;=ROUND(SETTINGS!$B$10*1440,0),"Shyam",IF(MOD(IFERROR(VALUE(RIGHT(F597,2)),0),2)=0,"Ram","Shyam"))))</f>
        <v/>
      </c>
      <c r="AA597" s="28">
        <f t="shared" ca="1" si="102"/>
        <v>0</v>
      </c>
      <c r="AB597" s="28">
        <f ca="1">IF(X597=1,COUNTIFS($F$2:F597,F597,$X$2:X597,1),0)</f>
        <v>0</v>
      </c>
      <c r="AC597" s="28" t="str">
        <f>IF(L597=1,IF(IFERROR(INDEX(PARTNERS!$C$2:$C$88,MATCH(B597,PARTNERS!$A$2:$A$88,0)),"")="YES","YES","NO"),"")</f>
        <v/>
      </c>
      <c r="AD597" s="28" t="str">
        <f>IF(L597=1,IFERROR(INDEX(PARTNERS!$B$2:$B$88,MATCH(B597,PARTNERS!$A$2:$A$88,0)),""),"")</f>
        <v/>
      </c>
      <c r="AE597" s="28">
        <f ca="1">IF(X597=1,IFERROR(INDEX(SETTINGS!$B$34:$D$36,MATCH(I597,SETTINGS!$A$34:$A$36,0),MIN(Q597,2)+1),SETTINGS!$B$36),0)</f>
        <v>0</v>
      </c>
      <c r="AF597" s="28">
        <f t="shared" si="103"/>
        <v>0</v>
      </c>
      <c r="AG597" s="28">
        <f ca="1">IF(AND(Y597=1,AB597=1),ROUND(AA597*AE597*IF(AF597&gt;1,SETTINGS!$B$16,1)*IF(W597&lt;=SETTINGS!$B$14,SETTINGS!$B$15,1)*IF(AU597=1,SETTINGS!$B$21,1),6),0)</f>
        <v>0</v>
      </c>
      <c r="AH597" s="28" t="str">
        <f ca="1">IF(AG597&gt;0,COUNTIFS($Z$2:$Z$601,Z597,$AG$2:$AG$601,"&gt;"&amp;AG597)+COUNTIFS($Z$2:Z597,Z597,$AG$2:AG597,AG597),"")</f>
        <v/>
      </c>
      <c r="AI597" s="28" t="str">
        <f t="shared" ca="1" si="104"/>
        <v/>
      </c>
      <c r="AJ597" s="28" t="str">
        <f t="shared" ca="1" si="105"/>
        <v/>
      </c>
      <c r="AK597" s="28">
        <f>IF(L597=1,IF(COUNTIFS($F$2:F597,F597,$L$2:L597,1)=1,1,0),0)</f>
        <v>0</v>
      </c>
      <c r="AL597" s="28" t="str">
        <f>IF(B597="","",IF(K597="DUPLICATE","Duplicate (removed)",IF(AO597=1,"Scheduled within 24h",IF(M597=1,"Scheduled late",IF(K597="BAD CONTACT","Bad contact details",IF(O597=1,"Stopped / wrong number",IF(N597=1,"Not interested",IF(P597=1,"Partner has no slots",IF(SETTINGS!$B$4&gt;=V597,IF(Q597=0,"Missed deadline: never tried","Missed deadline: tried, not booked"),IF(Q597&gt;=SETTINGS!$B$6,"No reply after max tries","Open"))))))))))</f>
        <v/>
      </c>
      <c r="AM597" s="46" t="str">
        <f>IF(M597=1,IF(_xlfn.MINIFS(LOG!$G$2:$G$2001,LOG!$C$2:$C$2001,F597,LOG!$E$2:$E$2001,B597,LOG!$D$2:$D$2001,"*BOOKED")=0,_xlfn.MINIFS(LOG!$G$2:$G$2001,LOG!$C$2:$C$2001,F597,LOG!$E$2:$E$2001,"",LOG!$D$2:$D$2001,"*BOOKED"),IF(_xlfn.MINIFS(LOG!$G$2:$G$2001,LOG!$C$2:$C$2001,F597,LOG!$E$2:$E$2001,"",LOG!$D$2:$D$2001,"*BOOKED")=0,_xlfn.MINIFS(LOG!$G$2:$G$2001,LOG!$C$2:$C$2001,F597,LOG!$E$2:$E$2001,B597,LOG!$D$2:$D$2001,"*BOOKED"),MIN(_xlfn.MINIFS(LOG!$G$2:$G$2001,LOG!$C$2:$C$2001,F597,LOG!$E$2:$E$2001,B597,LOG!$D$2:$D$2001,"*BOOKED"),_xlfn.MINIFS(LOG!$G$2:$G$2001,LOG!$C$2:$C$2001,F597,LOG!$E$2:$E$2001,"",LOG!$D$2:$D$2001,"*BOOKED")))),"")</f>
        <v/>
      </c>
      <c r="AN597" s="28" t="str">
        <f t="shared" si="106"/>
        <v/>
      </c>
      <c r="AO597" s="28">
        <f>IF(AND(M597=1,AN597&lt;&gt;""),IF(AN597&lt;=SETTINGS!$B$5,1,0),0)</f>
        <v>0</v>
      </c>
      <c r="AP597" s="28">
        <f>IF(M597=1,IF(COUNTIFS(LOG!$C$2:$C$2001,F597,LOG!$E$2:$E$2001,B597,LOG!$D$2:$D$2001,"BOOKED")+COUNTIFS(LOG!$C$2:$C$2001,F597,LOG!$E$2:$E$2001,"",LOG!$D$2:$D$2001,"BOOKED")&gt;0,1,0),0)</f>
        <v>0</v>
      </c>
      <c r="AQ597" s="28" t="str">
        <f t="shared" si="107"/>
        <v/>
      </c>
      <c r="AR597" s="28" t="str">
        <f>IF(AND(AK597=1,K597="OK"),COUNTIFS($AK$2:AK597,1,$K$2:K597,"OK"),"")</f>
        <v/>
      </c>
      <c r="AS597" s="28" t="str">
        <f>IF(L597=1,IFERROR(INDEX(MESSAGES!$J$9:$J$1008,MATCH(F597,MESSAGES!$M$9:$M$1008,0))&amp;"",""),"")</f>
        <v/>
      </c>
      <c r="AT597" s="28" t="str">
        <f>IF(L597=1,IFERROR(INDEX(MESSAGES!$K$9:$K$1008,MATCH(F597,MESSAGES!$M$9:$M$1008,0))&amp;"",""),"")</f>
        <v/>
      </c>
      <c r="AU597" s="28">
        <f t="shared" ca="1" si="108"/>
        <v>0</v>
      </c>
      <c r="AV597" s="28" t="str">
        <f t="shared" si="109"/>
        <v/>
      </c>
    </row>
    <row r="598" spans="1:48" x14ac:dyDescent="0.35">
      <c r="A598" s="28">
        <v>597</v>
      </c>
      <c r="B598" s="28" t="str">
        <f>IF(INPUT!A598="","",TRIM(INPUT!A598))</f>
        <v/>
      </c>
      <c r="C598" s="28" t="str">
        <f>IF(B598="","",INPUT!C598)</f>
        <v/>
      </c>
      <c r="D598" s="28" t="str">
        <f>IF(B598="","",INPUT!D598)</f>
        <v/>
      </c>
      <c r="E598" s="28" t="str">
        <f>IF(B598="","",INPUT!E598)</f>
        <v/>
      </c>
      <c r="F598" s="43" t="str">
        <f>IF(B598="","",TRIM(INPUT!F598&amp;""))</f>
        <v/>
      </c>
      <c r="G598" s="28" t="str">
        <f>IF(B598="","",INPUT!H598)</f>
        <v/>
      </c>
      <c r="H598" s="46" t="str">
        <f>IF(B598="","",INPUT!I598)</f>
        <v/>
      </c>
      <c r="I598" s="28" t="str">
        <f>IF(B598="","",IF(INPUT!J598="","None",INPUT!J598))</f>
        <v/>
      </c>
      <c r="J598" s="28" t="str">
        <f t="shared" si="99"/>
        <v/>
      </c>
      <c r="K598" s="28" t="str">
        <f>IF(B598="","",IF(SUMPRODUCT(($J$2:$J$601=J598)*($H$2:$H$601&lt;H598))+SUMPRODUCT(($J$2:J598=J598)*($H$2:H598=H598))-1&gt;0,"DUPLICATE",IF(AND(ISNUMBER(SEARCH("@",E598)),ISNUMBER(SEARCH(".",E598)),LEN(F598)=10,ISNUMBER(VALUE(F598))),"OK","BAD CONTACT")))</f>
        <v/>
      </c>
      <c r="L598" s="28">
        <f t="shared" si="100"/>
        <v>0</v>
      </c>
      <c r="M598" s="28">
        <f>IF(L598=1,IF(COUNTIFS(LOG!$C$2:$C$2001,F598,LOG!$E$2:$E$2001,B598,LOG!$D$2:$D$2001,"*BOOKED")+COUNTIFS(LOG!$C$2:$C$2001,F598,LOG!$E$2:$E$2001,"",LOG!$D$2:$D$2001,"*BOOKED")&gt;0,1,0),0)</f>
        <v>0</v>
      </c>
      <c r="N598" s="28">
        <f>IF(L598=1,IF(COUNTIFS(LOG!$C$2:$C$2001,F598,LOG!$E$2:$E$2001,B598,LOG!$D$2:$D$2001,"NOT_INTERESTED")+COUNTIFS(LOG!$C$2:$C$2001,F598,LOG!$E$2:$E$2001,"",LOG!$D$2:$D$2001,"NOT_INTERESTED")&gt;0,1,0),0)</f>
        <v>0</v>
      </c>
      <c r="O598" s="28">
        <f>IF(L598=1,IF(COUNTIFS(LOG!$C$2:$C$2001,F598,LOG!$D$2:$D$2001,"STOP")+COUNTIFS(LOG!$C$2:$C$2001,F598,LOG!$D$2:$D$2001,"WRONG_NUMBER")&gt;0,1,IF(ISNUMBER(SEARCH("STOP",AT598)),1,0)),0)</f>
        <v>0</v>
      </c>
      <c r="P598" s="28">
        <f>IF(L598=1,IF(IFERROR(INDEX(PARTNERS!$D$2:$D$88,MATCH(B598,PARTNERS!$A$2:$A$88,0)),"")="NO SLOTS",1,IF(AND(IFERROR(INDEX(PARTNERS!$D$2:$D$88,MATCH(B598,PARTNERS!$A$2:$A$88,0)),"")&lt;&gt;"REOPENED",COUNTIFS(LOG!$E$2:$E$2001,B598,LOG!$D$2:$D$2001,"NO_SLOTS")&gt;0),1,0)),0)</f>
        <v>0</v>
      </c>
      <c r="Q598" s="28">
        <f>IF(L598=1,COUNTIFS(LOG!$C$2:$C$2001,F598,LOG!$H$2:$H$2001,1),0)</f>
        <v>0</v>
      </c>
      <c r="R598" s="46">
        <f>IF(Q598&gt;0,_xlfn.MAXIFS(LOG!$G$2:$G$2001,LOG!$C$2:$C$2001,F598,LOG!$H$2:$H$2001,1),0)</f>
        <v>0</v>
      </c>
      <c r="S598" s="28" t="str">
        <f>IF(Q598&gt;0,IFERROR(INDEX(LOG!$D$2:$D$2001,MATCH(F598&amp;"|"&amp;Q598,LOG!$I$2:$I$2001,0)),""),"")</f>
        <v/>
      </c>
      <c r="T598" s="28">
        <f>IF(S598="",0,IFERROR(VLOOKUP(S598,LISTS!$A$2:$E$10,4,FALSE),0))</f>
        <v>0</v>
      </c>
      <c r="U598" s="46">
        <f t="shared" si="101"/>
        <v>0</v>
      </c>
      <c r="V598" s="46" t="str">
        <f>IF(L598=1,H598+SETTINGS!$B$5/24,"")</f>
        <v/>
      </c>
      <c r="W598" s="28" t="str">
        <f>IF(L598=1,(V598-SETTINGS!$B$4)*24,"")</f>
        <v/>
      </c>
      <c r="X598" s="28">
        <f ca="1">IF(AND(L598=1,K598="OK",M598=0,N598=0,O598=0,P598=0,SETTINGS!$B$4&lt;V598,Q598&lt;SETTINGS!$B$6),1,0)</f>
        <v>0</v>
      </c>
      <c r="Y598" s="28">
        <f ca="1">IF(AND(X598=1,SETTINGS!$B$4&gt;=H598,SETTINGS!$B$4&gt;=U598,ROUND(MOD(SETTINGS!$B$4,1)*1440,0)&gt;=ROUND(SETTINGS!$B$7*1440,0),ROUND(MOD(SETTINGS!$B$4,1)*1440,0)&lt;ROUND(SETTINGS!$B$8*1440,0)),1,0)</f>
        <v>0</v>
      </c>
      <c r="Z598" s="28" t="str">
        <f>IF(B598="","",IF(ROUND(MOD(SETTINGS!$B$4,1)*1440,0)&lt;ROUND(SETTINGS!$B$11*1440,0),"Ram",IF(ROUND(MOD(SETTINGS!$B$4,1)*1440,0)&gt;=ROUND(SETTINGS!$B$10*1440,0),"Shyam",IF(MOD(IFERROR(VALUE(RIGHT(F598,2)),0),2)=0,"Ram","Shyam"))))</f>
        <v/>
      </c>
      <c r="AA598" s="28">
        <f t="shared" ca="1" si="102"/>
        <v>0</v>
      </c>
      <c r="AB598" s="28">
        <f ca="1">IF(X598=1,COUNTIFS($F$2:F598,F598,$X$2:X598,1),0)</f>
        <v>0</v>
      </c>
      <c r="AC598" s="28" t="str">
        <f>IF(L598=1,IF(IFERROR(INDEX(PARTNERS!$C$2:$C$88,MATCH(B598,PARTNERS!$A$2:$A$88,0)),"")="YES","YES","NO"),"")</f>
        <v/>
      </c>
      <c r="AD598" s="28" t="str">
        <f>IF(L598=1,IFERROR(INDEX(PARTNERS!$B$2:$B$88,MATCH(B598,PARTNERS!$A$2:$A$88,0)),""),"")</f>
        <v/>
      </c>
      <c r="AE598" s="28">
        <f ca="1">IF(X598=1,IFERROR(INDEX(SETTINGS!$B$34:$D$36,MATCH(I598,SETTINGS!$A$34:$A$36,0),MIN(Q598,2)+1),SETTINGS!$B$36),0)</f>
        <v>0</v>
      </c>
      <c r="AF598" s="28">
        <f t="shared" si="103"/>
        <v>0</v>
      </c>
      <c r="AG598" s="28">
        <f ca="1">IF(AND(Y598=1,AB598=1),ROUND(AA598*AE598*IF(AF598&gt;1,SETTINGS!$B$16,1)*IF(W598&lt;=SETTINGS!$B$14,SETTINGS!$B$15,1)*IF(AU598=1,SETTINGS!$B$21,1),6),0)</f>
        <v>0</v>
      </c>
      <c r="AH598" s="28" t="str">
        <f ca="1">IF(AG598&gt;0,COUNTIFS($Z$2:$Z$601,Z598,$AG$2:$AG$601,"&gt;"&amp;AG598)+COUNTIFS($Z$2:Z598,Z598,$AG$2:AG598,AG598),"")</f>
        <v/>
      </c>
      <c r="AI598" s="28" t="str">
        <f t="shared" ca="1" si="104"/>
        <v/>
      </c>
      <c r="AJ598" s="28" t="str">
        <f t="shared" ca="1" si="105"/>
        <v/>
      </c>
      <c r="AK598" s="28">
        <f>IF(L598=1,IF(COUNTIFS($F$2:F598,F598,$L$2:L598,1)=1,1,0),0)</f>
        <v>0</v>
      </c>
      <c r="AL598" s="28" t="str">
        <f>IF(B598="","",IF(K598="DUPLICATE","Duplicate (removed)",IF(AO598=1,"Scheduled within 24h",IF(M598=1,"Scheduled late",IF(K598="BAD CONTACT","Bad contact details",IF(O598=1,"Stopped / wrong number",IF(N598=1,"Not interested",IF(P598=1,"Partner has no slots",IF(SETTINGS!$B$4&gt;=V598,IF(Q598=0,"Missed deadline: never tried","Missed deadline: tried, not booked"),IF(Q598&gt;=SETTINGS!$B$6,"No reply after max tries","Open"))))))))))</f>
        <v/>
      </c>
      <c r="AM598" s="46" t="str">
        <f>IF(M598=1,IF(_xlfn.MINIFS(LOG!$G$2:$G$2001,LOG!$C$2:$C$2001,F598,LOG!$E$2:$E$2001,B598,LOG!$D$2:$D$2001,"*BOOKED")=0,_xlfn.MINIFS(LOG!$G$2:$G$2001,LOG!$C$2:$C$2001,F598,LOG!$E$2:$E$2001,"",LOG!$D$2:$D$2001,"*BOOKED"),IF(_xlfn.MINIFS(LOG!$G$2:$G$2001,LOG!$C$2:$C$2001,F598,LOG!$E$2:$E$2001,"",LOG!$D$2:$D$2001,"*BOOKED")=0,_xlfn.MINIFS(LOG!$G$2:$G$2001,LOG!$C$2:$C$2001,F598,LOG!$E$2:$E$2001,B598,LOG!$D$2:$D$2001,"*BOOKED"),MIN(_xlfn.MINIFS(LOG!$G$2:$G$2001,LOG!$C$2:$C$2001,F598,LOG!$E$2:$E$2001,B598,LOG!$D$2:$D$2001,"*BOOKED"),_xlfn.MINIFS(LOG!$G$2:$G$2001,LOG!$C$2:$C$2001,F598,LOG!$E$2:$E$2001,"",LOG!$D$2:$D$2001,"*BOOKED")))),"")</f>
        <v/>
      </c>
      <c r="AN598" s="28" t="str">
        <f t="shared" si="106"/>
        <v/>
      </c>
      <c r="AO598" s="28">
        <f>IF(AND(M598=1,AN598&lt;&gt;""),IF(AN598&lt;=SETTINGS!$B$5,1,0),0)</f>
        <v>0</v>
      </c>
      <c r="AP598" s="28">
        <f>IF(M598=1,IF(COUNTIFS(LOG!$C$2:$C$2001,F598,LOG!$E$2:$E$2001,B598,LOG!$D$2:$D$2001,"BOOKED")+COUNTIFS(LOG!$C$2:$C$2001,F598,LOG!$E$2:$E$2001,"",LOG!$D$2:$D$2001,"BOOKED")&gt;0,1,0),0)</f>
        <v>0</v>
      </c>
      <c r="AQ598" s="28" t="str">
        <f t="shared" si="107"/>
        <v/>
      </c>
      <c r="AR598" s="28" t="str">
        <f>IF(AND(AK598=1,K598="OK"),COUNTIFS($AK$2:AK598,1,$K$2:K598,"OK"),"")</f>
        <v/>
      </c>
      <c r="AS598" s="28" t="str">
        <f>IF(L598=1,IFERROR(INDEX(MESSAGES!$J$9:$J$1008,MATCH(F598,MESSAGES!$M$9:$M$1008,0))&amp;"",""),"")</f>
        <v/>
      </c>
      <c r="AT598" s="28" t="str">
        <f>IF(L598=1,IFERROR(INDEX(MESSAGES!$K$9:$K$1008,MATCH(F598,MESSAGES!$M$9:$M$1008,0))&amp;"",""),"")</f>
        <v/>
      </c>
      <c r="AU598" s="28">
        <f t="shared" ca="1" si="108"/>
        <v>0</v>
      </c>
      <c r="AV598" s="28" t="str">
        <f t="shared" si="109"/>
        <v/>
      </c>
    </row>
    <row r="599" spans="1:48" x14ac:dyDescent="0.35">
      <c r="A599" s="28">
        <v>598</v>
      </c>
      <c r="B599" s="28" t="str">
        <f>IF(INPUT!A599="","",TRIM(INPUT!A599))</f>
        <v/>
      </c>
      <c r="C599" s="28" t="str">
        <f>IF(B599="","",INPUT!C599)</f>
        <v/>
      </c>
      <c r="D599" s="28" t="str">
        <f>IF(B599="","",INPUT!D599)</f>
        <v/>
      </c>
      <c r="E599" s="28" t="str">
        <f>IF(B599="","",INPUT!E599)</f>
        <v/>
      </c>
      <c r="F599" s="43" t="str">
        <f>IF(B599="","",TRIM(INPUT!F599&amp;""))</f>
        <v/>
      </c>
      <c r="G599" s="28" t="str">
        <f>IF(B599="","",INPUT!H599)</f>
        <v/>
      </c>
      <c r="H599" s="46" t="str">
        <f>IF(B599="","",INPUT!I599)</f>
        <v/>
      </c>
      <c r="I599" s="28" t="str">
        <f>IF(B599="","",IF(INPUT!J599="","None",INPUT!J599))</f>
        <v/>
      </c>
      <c r="J599" s="28" t="str">
        <f t="shared" si="99"/>
        <v/>
      </c>
      <c r="K599" s="28" t="str">
        <f>IF(B599="","",IF(SUMPRODUCT(($J$2:$J$601=J599)*($H$2:$H$601&lt;H599))+SUMPRODUCT(($J$2:J599=J599)*($H$2:H599=H599))-1&gt;0,"DUPLICATE",IF(AND(ISNUMBER(SEARCH("@",E599)),ISNUMBER(SEARCH(".",E599)),LEN(F599)=10,ISNUMBER(VALUE(F599))),"OK","BAD CONTACT")))</f>
        <v/>
      </c>
      <c r="L599" s="28">
        <f t="shared" si="100"/>
        <v>0</v>
      </c>
      <c r="M599" s="28">
        <f>IF(L599=1,IF(COUNTIFS(LOG!$C$2:$C$2001,F599,LOG!$E$2:$E$2001,B599,LOG!$D$2:$D$2001,"*BOOKED")+COUNTIFS(LOG!$C$2:$C$2001,F599,LOG!$E$2:$E$2001,"",LOG!$D$2:$D$2001,"*BOOKED")&gt;0,1,0),0)</f>
        <v>0</v>
      </c>
      <c r="N599" s="28">
        <f>IF(L599=1,IF(COUNTIFS(LOG!$C$2:$C$2001,F599,LOG!$E$2:$E$2001,B599,LOG!$D$2:$D$2001,"NOT_INTERESTED")+COUNTIFS(LOG!$C$2:$C$2001,F599,LOG!$E$2:$E$2001,"",LOG!$D$2:$D$2001,"NOT_INTERESTED")&gt;0,1,0),0)</f>
        <v>0</v>
      </c>
      <c r="O599" s="28">
        <f>IF(L599=1,IF(COUNTIFS(LOG!$C$2:$C$2001,F599,LOG!$D$2:$D$2001,"STOP")+COUNTIFS(LOG!$C$2:$C$2001,F599,LOG!$D$2:$D$2001,"WRONG_NUMBER")&gt;0,1,IF(ISNUMBER(SEARCH("STOP",AT599)),1,0)),0)</f>
        <v>0</v>
      </c>
      <c r="P599" s="28">
        <f>IF(L599=1,IF(IFERROR(INDEX(PARTNERS!$D$2:$D$88,MATCH(B599,PARTNERS!$A$2:$A$88,0)),"")="NO SLOTS",1,IF(AND(IFERROR(INDEX(PARTNERS!$D$2:$D$88,MATCH(B599,PARTNERS!$A$2:$A$88,0)),"")&lt;&gt;"REOPENED",COUNTIFS(LOG!$E$2:$E$2001,B599,LOG!$D$2:$D$2001,"NO_SLOTS")&gt;0),1,0)),0)</f>
        <v>0</v>
      </c>
      <c r="Q599" s="28">
        <f>IF(L599=1,COUNTIFS(LOG!$C$2:$C$2001,F599,LOG!$H$2:$H$2001,1),0)</f>
        <v>0</v>
      </c>
      <c r="R599" s="46">
        <f>IF(Q599&gt;0,_xlfn.MAXIFS(LOG!$G$2:$G$2001,LOG!$C$2:$C$2001,F599,LOG!$H$2:$H$2001,1),0)</f>
        <v>0</v>
      </c>
      <c r="S599" s="28" t="str">
        <f>IF(Q599&gt;0,IFERROR(INDEX(LOG!$D$2:$D$2001,MATCH(F599&amp;"|"&amp;Q599,LOG!$I$2:$I$2001,0)),""),"")</f>
        <v/>
      </c>
      <c r="T599" s="28">
        <f>IF(S599="",0,IFERROR(VLOOKUP(S599,LISTS!$A$2:$E$10,4,FALSE),0))</f>
        <v>0</v>
      </c>
      <c r="U599" s="46">
        <f t="shared" si="101"/>
        <v>0</v>
      </c>
      <c r="V599" s="46" t="str">
        <f>IF(L599=1,H599+SETTINGS!$B$5/24,"")</f>
        <v/>
      </c>
      <c r="W599" s="28" t="str">
        <f>IF(L599=1,(V599-SETTINGS!$B$4)*24,"")</f>
        <v/>
      </c>
      <c r="X599" s="28">
        <f ca="1">IF(AND(L599=1,K599="OK",M599=0,N599=0,O599=0,P599=0,SETTINGS!$B$4&lt;V599,Q599&lt;SETTINGS!$B$6),1,0)</f>
        <v>0</v>
      </c>
      <c r="Y599" s="28">
        <f ca="1">IF(AND(X599=1,SETTINGS!$B$4&gt;=H599,SETTINGS!$B$4&gt;=U599,ROUND(MOD(SETTINGS!$B$4,1)*1440,0)&gt;=ROUND(SETTINGS!$B$7*1440,0),ROUND(MOD(SETTINGS!$B$4,1)*1440,0)&lt;ROUND(SETTINGS!$B$8*1440,0)),1,0)</f>
        <v>0</v>
      </c>
      <c r="Z599" s="28" t="str">
        <f>IF(B599="","",IF(ROUND(MOD(SETTINGS!$B$4,1)*1440,0)&lt;ROUND(SETTINGS!$B$11*1440,0),"Ram",IF(ROUND(MOD(SETTINGS!$B$4,1)*1440,0)&gt;=ROUND(SETTINGS!$B$10*1440,0),"Shyam",IF(MOD(IFERROR(VALUE(RIGHT(F599,2)),0),2)=0,"Ram","Shyam"))))</f>
        <v/>
      </c>
      <c r="AA599" s="28">
        <f t="shared" ca="1" si="102"/>
        <v>0</v>
      </c>
      <c r="AB599" s="28">
        <f ca="1">IF(X599=1,COUNTIFS($F$2:F599,F599,$X$2:X599,1),0)</f>
        <v>0</v>
      </c>
      <c r="AC599" s="28" t="str">
        <f>IF(L599=1,IF(IFERROR(INDEX(PARTNERS!$C$2:$C$88,MATCH(B599,PARTNERS!$A$2:$A$88,0)),"")="YES","YES","NO"),"")</f>
        <v/>
      </c>
      <c r="AD599" s="28" t="str">
        <f>IF(L599=1,IFERROR(INDEX(PARTNERS!$B$2:$B$88,MATCH(B599,PARTNERS!$A$2:$A$88,0)),""),"")</f>
        <v/>
      </c>
      <c r="AE599" s="28">
        <f ca="1">IF(X599=1,IFERROR(INDEX(SETTINGS!$B$34:$D$36,MATCH(I599,SETTINGS!$A$34:$A$36,0),MIN(Q599,2)+1),SETTINGS!$B$36),0)</f>
        <v>0</v>
      </c>
      <c r="AF599" s="28">
        <f t="shared" si="103"/>
        <v>0</v>
      </c>
      <c r="AG599" s="28">
        <f ca="1">IF(AND(Y599=1,AB599=1),ROUND(AA599*AE599*IF(AF599&gt;1,SETTINGS!$B$16,1)*IF(W599&lt;=SETTINGS!$B$14,SETTINGS!$B$15,1)*IF(AU599=1,SETTINGS!$B$21,1),6),0)</f>
        <v>0</v>
      </c>
      <c r="AH599" s="28" t="str">
        <f ca="1">IF(AG599&gt;0,COUNTIFS($Z$2:$Z$601,Z599,$AG$2:$AG$601,"&gt;"&amp;AG599)+COUNTIFS($Z$2:Z599,Z599,$AG$2:AG599,AG599),"")</f>
        <v/>
      </c>
      <c r="AI599" s="28" t="str">
        <f t="shared" ca="1" si="104"/>
        <v/>
      </c>
      <c r="AJ599" s="28" t="str">
        <f t="shared" ca="1" si="105"/>
        <v/>
      </c>
      <c r="AK599" s="28">
        <f>IF(L599=1,IF(COUNTIFS($F$2:F599,F599,$L$2:L599,1)=1,1,0),0)</f>
        <v>0</v>
      </c>
      <c r="AL599" s="28" t="str">
        <f>IF(B599="","",IF(K599="DUPLICATE","Duplicate (removed)",IF(AO599=1,"Scheduled within 24h",IF(M599=1,"Scheduled late",IF(K599="BAD CONTACT","Bad contact details",IF(O599=1,"Stopped / wrong number",IF(N599=1,"Not interested",IF(P599=1,"Partner has no slots",IF(SETTINGS!$B$4&gt;=V599,IF(Q599=0,"Missed deadline: never tried","Missed deadline: tried, not booked"),IF(Q599&gt;=SETTINGS!$B$6,"No reply after max tries","Open"))))))))))</f>
        <v/>
      </c>
      <c r="AM599" s="46" t="str">
        <f>IF(M599=1,IF(_xlfn.MINIFS(LOG!$G$2:$G$2001,LOG!$C$2:$C$2001,F599,LOG!$E$2:$E$2001,B599,LOG!$D$2:$D$2001,"*BOOKED")=0,_xlfn.MINIFS(LOG!$G$2:$G$2001,LOG!$C$2:$C$2001,F599,LOG!$E$2:$E$2001,"",LOG!$D$2:$D$2001,"*BOOKED"),IF(_xlfn.MINIFS(LOG!$G$2:$G$2001,LOG!$C$2:$C$2001,F599,LOG!$E$2:$E$2001,"",LOG!$D$2:$D$2001,"*BOOKED")=0,_xlfn.MINIFS(LOG!$G$2:$G$2001,LOG!$C$2:$C$2001,F599,LOG!$E$2:$E$2001,B599,LOG!$D$2:$D$2001,"*BOOKED"),MIN(_xlfn.MINIFS(LOG!$G$2:$G$2001,LOG!$C$2:$C$2001,F599,LOG!$E$2:$E$2001,B599,LOG!$D$2:$D$2001,"*BOOKED"),_xlfn.MINIFS(LOG!$G$2:$G$2001,LOG!$C$2:$C$2001,F599,LOG!$E$2:$E$2001,"",LOG!$D$2:$D$2001,"*BOOKED")))),"")</f>
        <v/>
      </c>
      <c r="AN599" s="28" t="str">
        <f t="shared" si="106"/>
        <v/>
      </c>
      <c r="AO599" s="28">
        <f>IF(AND(M599=1,AN599&lt;&gt;""),IF(AN599&lt;=SETTINGS!$B$5,1,0),0)</f>
        <v>0</v>
      </c>
      <c r="AP599" s="28">
        <f>IF(M599=1,IF(COUNTIFS(LOG!$C$2:$C$2001,F599,LOG!$E$2:$E$2001,B599,LOG!$D$2:$D$2001,"BOOKED")+COUNTIFS(LOG!$C$2:$C$2001,F599,LOG!$E$2:$E$2001,"",LOG!$D$2:$D$2001,"BOOKED")&gt;0,1,0),0)</f>
        <v>0</v>
      </c>
      <c r="AQ599" s="28" t="str">
        <f t="shared" si="107"/>
        <v/>
      </c>
      <c r="AR599" s="28" t="str">
        <f>IF(AND(AK599=1,K599="OK"),COUNTIFS($AK$2:AK599,1,$K$2:K599,"OK"),"")</f>
        <v/>
      </c>
      <c r="AS599" s="28" t="str">
        <f>IF(L599=1,IFERROR(INDEX(MESSAGES!$J$9:$J$1008,MATCH(F599,MESSAGES!$M$9:$M$1008,0))&amp;"",""),"")</f>
        <v/>
      </c>
      <c r="AT599" s="28" t="str">
        <f>IF(L599=1,IFERROR(INDEX(MESSAGES!$K$9:$K$1008,MATCH(F599,MESSAGES!$M$9:$M$1008,0))&amp;"",""),"")</f>
        <v/>
      </c>
      <c r="AU599" s="28">
        <f t="shared" ca="1" si="108"/>
        <v>0</v>
      </c>
      <c r="AV599" s="28" t="str">
        <f t="shared" si="109"/>
        <v/>
      </c>
    </row>
    <row r="600" spans="1:48" x14ac:dyDescent="0.35">
      <c r="A600" s="28">
        <v>599</v>
      </c>
      <c r="B600" s="28" t="str">
        <f>IF(INPUT!A600="","",TRIM(INPUT!A600))</f>
        <v/>
      </c>
      <c r="C600" s="28" t="str">
        <f>IF(B600="","",INPUT!C600)</f>
        <v/>
      </c>
      <c r="D600" s="28" t="str">
        <f>IF(B600="","",INPUT!D600)</f>
        <v/>
      </c>
      <c r="E600" s="28" t="str">
        <f>IF(B600="","",INPUT!E600)</f>
        <v/>
      </c>
      <c r="F600" s="43" t="str">
        <f>IF(B600="","",TRIM(INPUT!F600&amp;""))</f>
        <v/>
      </c>
      <c r="G600" s="28" t="str">
        <f>IF(B600="","",INPUT!H600)</f>
        <v/>
      </c>
      <c r="H600" s="46" t="str">
        <f>IF(B600="","",INPUT!I600)</f>
        <v/>
      </c>
      <c r="I600" s="28" t="str">
        <f>IF(B600="","",IF(INPUT!J600="","None",INPUT!J600))</f>
        <v/>
      </c>
      <c r="J600" s="28" t="str">
        <f t="shared" si="99"/>
        <v/>
      </c>
      <c r="K600" s="28" t="str">
        <f>IF(B600="","",IF(SUMPRODUCT(($J$2:$J$601=J600)*($H$2:$H$601&lt;H600))+SUMPRODUCT(($J$2:J600=J600)*($H$2:H600=H600))-1&gt;0,"DUPLICATE",IF(AND(ISNUMBER(SEARCH("@",E600)),ISNUMBER(SEARCH(".",E600)),LEN(F600)=10,ISNUMBER(VALUE(F600))),"OK","BAD CONTACT")))</f>
        <v/>
      </c>
      <c r="L600" s="28">
        <f t="shared" si="100"/>
        <v>0</v>
      </c>
      <c r="M600" s="28">
        <f>IF(L600=1,IF(COUNTIFS(LOG!$C$2:$C$2001,F600,LOG!$E$2:$E$2001,B600,LOG!$D$2:$D$2001,"*BOOKED")+COUNTIFS(LOG!$C$2:$C$2001,F600,LOG!$E$2:$E$2001,"",LOG!$D$2:$D$2001,"*BOOKED")&gt;0,1,0),0)</f>
        <v>0</v>
      </c>
      <c r="N600" s="28">
        <f>IF(L600=1,IF(COUNTIFS(LOG!$C$2:$C$2001,F600,LOG!$E$2:$E$2001,B600,LOG!$D$2:$D$2001,"NOT_INTERESTED")+COUNTIFS(LOG!$C$2:$C$2001,F600,LOG!$E$2:$E$2001,"",LOG!$D$2:$D$2001,"NOT_INTERESTED")&gt;0,1,0),0)</f>
        <v>0</v>
      </c>
      <c r="O600" s="28">
        <f>IF(L600=1,IF(COUNTIFS(LOG!$C$2:$C$2001,F600,LOG!$D$2:$D$2001,"STOP")+COUNTIFS(LOG!$C$2:$C$2001,F600,LOG!$D$2:$D$2001,"WRONG_NUMBER")&gt;0,1,IF(ISNUMBER(SEARCH("STOP",AT600)),1,0)),0)</f>
        <v>0</v>
      </c>
      <c r="P600" s="28">
        <f>IF(L600=1,IF(IFERROR(INDEX(PARTNERS!$D$2:$D$88,MATCH(B600,PARTNERS!$A$2:$A$88,0)),"")="NO SLOTS",1,IF(AND(IFERROR(INDEX(PARTNERS!$D$2:$D$88,MATCH(B600,PARTNERS!$A$2:$A$88,0)),"")&lt;&gt;"REOPENED",COUNTIFS(LOG!$E$2:$E$2001,B600,LOG!$D$2:$D$2001,"NO_SLOTS")&gt;0),1,0)),0)</f>
        <v>0</v>
      </c>
      <c r="Q600" s="28">
        <f>IF(L600=1,COUNTIFS(LOG!$C$2:$C$2001,F600,LOG!$H$2:$H$2001,1),0)</f>
        <v>0</v>
      </c>
      <c r="R600" s="46">
        <f>IF(Q600&gt;0,_xlfn.MAXIFS(LOG!$G$2:$G$2001,LOG!$C$2:$C$2001,F600,LOG!$H$2:$H$2001,1),0)</f>
        <v>0</v>
      </c>
      <c r="S600" s="28" t="str">
        <f>IF(Q600&gt;0,IFERROR(INDEX(LOG!$D$2:$D$2001,MATCH(F600&amp;"|"&amp;Q600,LOG!$I$2:$I$2001,0)),""),"")</f>
        <v/>
      </c>
      <c r="T600" s="28">
        <f>IF(S600="",0,IFERROR(VLOOKUP(S600,LISTS!$A$2:$E$10,4,FALSE),0))</f>
        <v>0</v>
      </c>
      <c r="U600" s="46">
        <f t="shared" si="101"/>
        <v>0</v>
      </c>
      <c r="V600" s="46" t="str">
        <f>IF(L600=1,H600+SETTINGS!$B$5/24,"")</f>
        <v/>
      </c>
      <c r="W600" s="28" t="str">
        <f>IF(L600=1,(V600-SETTINGS!$B$4)*24,"")</f>
        <v/>
      </c>
      <c r="X600" s="28">
        <f ca="1">IF(AND(L600=1,K600="OK",M600=0,N600=0,O600=0,P600=0,SETTINGS!$B$4&lt;V600,Q600&lt;SETTINGS!$B$6),1,0)</f>
        <v>0</v>
      </c>
      <c r="Y600" s="28">
        <f ca="1">IF(AND(X600=1,SETTINGS!$B$4&gt;=H600,SETTINGS!$B$4&gt;=U600,ROUND(MOD(SETTINGS!$B$4,1)*1440,0)&gt;=ROUND(SETTINGS!$B$7*1440,0),ROUND(MOD(SETTINGS!$B$4,1)*1440,0)&lt;ROUND(SETTINGS!$B$8*1440,0)),1,0)</f>
        <v>0</v>
      </c>
      <c r="Z600" s="28" t="str">
        <f>IF(B600="","",IF(ROUND(MOD(SETTINGS!$B$4,1)*1440,0)&lt;ROUND(SETTINGS!$B$11*1440,0),"Ram",IF(ROUND(MOD(SETTINGS!$B$4,1)*1440,0)&gt;=ROUND(SETTINGS!$B$10*1440,0),"Shyam",IF(MOD(IFERROR(VALUE(RIGHT(F600,2)),0),2)=0,"Ram","Shyam"))))</f>
        <v/>
      </c>
      <c r="AA600" s="28">
        <f t="shared" ca="1" si="102"/>
        <v>0</v>
      </c>
      <c r="AB600" s="28">
        <f ca="1">IF(X600=1,COUNTIFS($F$2:F600,F600,$X$2:X600,1),0)</f>
        <v>0</v>
      </c>
      <c r="AC600" s="28" t="str">
        <f>IF(L600=1,IF(IFERROR(INDEX(PARTNERS!$C$2:$C$88,MATCH(B600,PARTNERS!$A$2:$A$88,0)),"")="YES","YES","NO"),"")</f>
        <v/>
      </c>
      <c r="AD600" s="28" t="str">
        <f>IF(L600=1,IFERROR(INDEX(PARTNERS!$B$2:$B$88,MATCH(B600,PARTNERS!$A$2:$A$88,0)),""),"")</f>
        <v/>
      </c>
      <c r="AE600" s="28">
        <f ca="1">IF(X600=1,IFERROR(INDEX(SETTINGS!$B$34:$D$36,MATCH(I600,SETTINGS!$A$34:$A$36,0),MIN(Q600,2)+1),SETTINGS!$B$36),0)</f>
        <v>0</v>
      </c>
      <c r="AF600" s="28">
        <f t="shared" si="103"/>
        <v>0</v>
      </c>
      <c r="AG600" s="28">
        <f ca="1">IF(AND(Y600=1,AB600=1),ROUND(AA600*AE600*IF(AF600&gt;1,SETTINGS!$B$16,1)*IF(W600&lt;=SETTINGS!$B$14,SETTINGS!$B$15,1)*IF(AU600=1,SETTINGS!$B$21,1),6),0)</f>
        <v>0</v>
      </c>
      <c r="AH600" s="28" t="str">
        <f ca="1">IF(AG600&gt;0,COUNTIFS($Z$2:$Z$601,Z600,$AG$2:$AG$601,"&gt;"&amp;AG600)+COUNTIFS($Z$2:Z600,Z600,$AG$2:AG600,AG600),"")</f>
        <v/>
      </c>
      <c r="AI600" s="28" t="str">
        <f t="shared" ca="1" si="104"/>
        <v/>
      </c>
      <c r="AJ600" s="28" t="str">
        <f t="shared" ca="1" si="105"/>
        <v/>
      </c>
      <c r="AK600" s="28">
        <f>IF(L600=1,IF(COUNTIFS($F$2:F600,F600,$L$2:L600,1)=1,1,0),0)</f>
        <v>0</v>
      </c>
      <c r="AL600" s="28" t="str">
        <f>IF(B600="","",IF(K600="DUPLICATE","Duplicate (removed)",IF(AO600=1,"Scheduled within 24h",IF(M600=1,"Scheduled late",IF(K600="BAD CONTACT","Bad contact details",IF(O600=1,"Stopped / wrong number",IF(N600=1,"Not interested",IF(P600=1,"Partner has no slots",IF(SETTINGS!$B$4&gt;=V600,IF(Q600=0,"Missed deadline: never tried","Missed deadline: tried, not booked"),IF(Q600&gt;=SETTINGS!$B$6,"No reply after max tries","Open"))))))))))</f>
        <v/>
      </c>
      <c r="AM600" s="46" t="str">
        <f>IF(M600=1,IF(_xlfn.MINIFS(LOG!$G$2:$G$2001,LOG!$C$2:$C$2001,F600,LOG!$E$2:$E$2001,B600,LOG!$D$2:$D$2001,"*BOOKED")=0,_xlfn.MINIFS(LOG!$G$2:$G$2001,LOG!$C$2:$C$2001,F600,LOG!$E$2:$E$2001,"",LOG!$D$2:$D$2001,"*BOOKED"),IF(_xlfn.MINIFS(LOG!$G$2:$G$2001,LOG!$C$2:$C$2001,F600,LOG!$E$2:$E$2001,"",LOG!$D$2:$D$2001,"*BOOKED")=0,_xlfn.MINIFS(LOG!$G$2:$G$2001,LOG!$C$2:$C$2001,F600,LOG!$E$2:$E$2001,B600,LOG!$D$2:$D$2001,"*BOOKED"),MIN(_xlfn.MINIFS(LOG!$G$2:$G$2001,LOG!$C$2:$C$2001,F600,LOG!$E$2:$E$2001,B600,LOG!$D$2:$D$2001,"*BOOKED"),_xlfn.MINIFS(LOG!$G$2:$G$2001,LOG!$C$2:$C$2001,F600,LOG!$E$2:$E$2001,"",LOG!$D$2:$D$2001,"*BOOKED")))),"")</f>
        <v/>
      </c>
      <c r="AN600" s="28" t="str">
        <f t="shared" si="106"/>
        <v/>
      </c>
      <c r="AO600" s="28">
        <f>IF(AND(M600=1,AN600&lt;&gt;""),IF(AN600&lt;=SETTINGS!$B$5,1,0),0)</f>
        <v>0</v>
      </c>
      <c r="AP600" s="28">
        <f>IF(M600=1,IF(COUNTIFS(LOG!$C$2:$C$2001,F600,LOG!$E$2:$E$2001,B600,LOG!$D$2:$D$2001,"BOOKED")+COUNTIFS(LOG!$C$2:$C$2001,F600,LOG!$E$2:$E$2001,"",LOG!$D$2:$D$2001,"BOOKED")&gt;0,1,0),0)</f>
        <v>0</v>
      </c>
      <c r="AQ600" s="28" t="str">
        <f t="shared" si="107"/>
        <v/>
      </c>
      <c r="AR600" s="28" t="str">
        <f>IF(AND(AK600=1,K600="OK"),COUNTIFS($AK$2:AK600,1,$K$2:K600,"OK"),"")</f>
        <v/>
      </c>
      <c r="AS600" s="28" t="str">
        <f>IF(L600=1,IFERROR(INDEX(MESSAGES!$J$9:$J$1008,MATCH(F600,MESSAGES!$M$9:$M$1008,0))&amp;"",""),"")</f>
        <v/>
      </c>
      <c r="AT600" s="28" t="str">
        <f>IF(L600=1,IFERROR(INDEX(MESSAGES!$K$9:$K$1008,MATCH(F600,MESSAGES!$M$9:$M$1008,0))&amp;"",""),"")</f>
        <v/>
      </c>
      <c r="AU600" s="28">
        <f t="shared" ca="1" si="108"/>
        <v>0</v>
      </c>
      <c r="AV600" s="28" t="str">
        <f t="shared" si="109"/>
        <v/>
      </c>
    </row>
    <row r="601" spans="1:48" x14ac:dyDescent="0.35">
      <c r="A601" s="28">
        <v>600</v>
      </c>
      <c r="B601" s="28" t="str">
        <f>IF(INPUT!A601="","",TRIM(INPUT!A601))</f>
        <v/>
      </c>
      <c r="C601" s="28" t="str">
        <f>IF(B601="","",INPUT!C601)</f>
        <v/>
      </c>
      <c r="D601" s="28" t="str">
        <f>IF(B601="","",INPUT!D601)</f>
        <v/>
      </c>
      <c r="E601" s="28" t="str">
        <f>IF(B601="","",INPUT!E601)</f>
        <v/>
      </c>
      <c r="F601" s="43" t="str">
        <f>IF(B601="","",TRIM(INPUT!F601&amp;""))</f>
        <v/>
      </c>
      <c r="G601" s="28" t="str">
        <f>IF(B601="","",INPUT!H601)</f>
        <v/>
      </c>
      <c r="H601" s="46" t="str">
        <f>IF(B601="","",INPUT!I601)</f>
        <v/>
      </c>
      <c r="I601" s="28" t="str">
        <f>IF(B601="","",IF(INPUT!J601="","None",INPUT!J601))</f>
        <v/>
      </c>
      <c r="J601" s="28" t="str">
        <f t="shared" si="99"/>
        <v/>
      </c>
      <c r="K601" s="28" t="str">
        <f>IF(B601="","",IF(SUMPRODUCT(($J$2:$J$601=J601)*($H$2:$H$601&lt;H601))+SUMPRODUCT(($J$2:J601=J601)*($H$2:H601=H601))-1&gt;0,"DUPLICATE",IF(AND(ISNUMBER(SEARCH("@",E601)),ISNUMBER(SEARCH(".",E601)),LEN(F601)=10,ISNUMBER(VALUE(F601))),"OK","BAD CONTACT")))</f>
        <v/>
      </c>
      <c r="L601" s="28">
        <f t="shared" si="100"/>
        <v>0</v>
      </c>
      <c r="M601" s="28">
        <f>IF(L601=1,IF(COUNTIFS(LOG!$C$2:$C$2001,F601,LOG!$E$2:$E$2001,B601,LOG!$D$2:$D$2001,"*BOOKED")+COUNTIFS(LOG!$C$2:$C$2001,F601,LOG!$E$2:$E$2001,"",LOG!$D$2:$D$2001,"*BOOKED")&gt;0,1,0),0)</f>
        <v>0</v>
      </c>
      <c r="N601" s="28">
        <f>IF(L601=1,IF(COUNTIFS(LOG!$C$2:$C$2001,F601,LOG!$E$2:$E$2001,B601,LOG!$D$2:$D$2001,"NOT_INTERESTED")+COUNTIFS(LOG!$C$2:$C$2001,F601,LOG!$E$2:$E$2001,"",LOG!$D$2:$D$2001,"NOT_INTERESTED")&gt;0,1,0),0)</f>
        <v>0</v>
      </c>
      <c r="O601" s="28">
        <f>IF(L601=1,IF(COUNTIFS(LOG!$C$2:$C$2001,F601,LOG!$D$2:$D$2001,"STOP")+COUNTIFS(LOG!$C$2:$C$2001,F601,LOG!$D$2:$D$2001,"WRONG_NUMBER")&gt;0,1,IF(ISNUMBER(SEARCH("STOP",AT601)),1,0)),0)</f>
        <v>0</v>
      </c>
      <c r="P601" s="28">
        <f>IF(L601=1,IF(IFERROR(INDEX(PARTNERS!$D$2:$D$88,MATCH(B601,PARTNERS!$A$2:$A$88,0)),"")="NO SLOTS",1,IF(AND(IFERROR(INDEX(PARTNERS!$D$2:$D$88,MATCH(B601,PARTNERS!$A$2:$A$88,0)),"")&lt;&gt;"REOPENED",COUNTIFS(LOG!$E$2:$E$2001,B601,LOG!$D$2:$D$2001,"NO_SLOTS")&gt;0),1,0)),0)</f>
        <v>0</v>
      </c>
      <c r="Q601" s="28">
        <f>IF(L601=1,COUNTIFS(LOG!$C$2:$C$2001,F601,LOG!$H$2:$H$2001,1),0)</f>
        <v>0</v>
      </c>
      <c r="R601" s="46">
        <f>IF(Q601&gt;0,_xlfn.MAXIFS(LOG!$G$2:$G$2001,LOG!$C$2:$C$2001,F601,LOG!$H$2:$H$2001,1),0)</f>
        <v>0</v>
      </c>
      <c r="S601" s="28" t="str">
        <f>IF(Q601&gt;0,IFERROR(INDEX(LOG!$D$2:$D$2001,MATCH(F601&amp;"|"&amp;Q601,LOG!$I$2:$I$2001,0)),""),"")</f>
        <v/>
      </c>
      <c r="T601" s="28">
        <f>IF(S601="",0,IFERROR(VLOOKUP(S601,LISTS!$A$2:$E$10,4,FALSE),0))</f>
        <v>0</v>
      </c>
      <c r="U601" s="46">
        <f t="shared" si="101"/>
        <v>0</v>
      </c>
      <c r="V601" s="46" t="str">
        <f>IF(L601=1,H601+SETTINGS!$B$5/24,"")</f>
        <v/>
      </c>
      <c r="W601" s="28" t="str">
        <f>IF(L601=1,(V601-SETTINGS!$B$4)*24,"")</f>
        <v/>
      </c>
      <c r="X601" s="28">
        <f ca="1">IF(AND(L601=1,K601="OK",M601=0,N601=0,O601=0,P601=0,SETTINGS!$B$4&lt;V601,Q601&lt;SETTINGS!$B$6),1,0)</f>
        <v>0</v>
      </c>
      <c r="Y601" s="28">
        <f ca="1">IF(AND(X601=1,SETTINGS!$B$4&gt;=H601,SETTINGS!$B$4&gt;=U601,ROUND(MOD(SETTINGS!$B$4,1)*1440,0)&gt;=ROUND(SETTINGS!$B$7*1440,0),ROUND(MOD(SETTINGS!$B$4,1)*1440,0)&lt;ROUND(SETTINGS!$B$8*1440,0)),1,0)</f>
        <v>0</v>
      </c>
      <c r="Z601" s="28" t="str">
        <f>IF(B601="","",IF(ROUND(MOD(SETTINGS!$B$4,1)*1440,0)&lt;ROUND(SETTINGS!$B$11*1440,0),"Ram",IF(ROUND(MOD(SETTINGS!$B$4,1)*1440,0)&gt;=ROUND(SETTINGS!$B$10*1440,0),"Shyam",IF(MOD(IFERROR(VALUE(RIGHT(F601,2)),0),2)=0,"Ram","Shyam"))))</f>
        <v/>
      </c>
      <c r="AA601" s="28">
        <f t="shared" ca="1" si="102"/>
        <v>0</v>
      </c>
      <c r="AB601" s="28">
        <f ca="1">IF(X601=1,COUNTIFS($F$2:F601,F601,$X$2:X601,1),0)</f>
        <v>0</v>
      </c>
      <c r="AC601" s="28" t="str">
        <f>IF(L601=1,IF(IFERROR(INDEX(PARTNERS!$C$2:$C$88,MATCH(B601,PARTNERS!$A$2:$A$88,0)),"")="YES","YES","NO"),"")</f>
        <v/>
      </c>
      <c r="AD601" s="28" t="str">
        <f>IF(L601=1,IFERROR(INDEX(PARTNERS!$B$2:$B$88,MATCH(B601,PARTNERS!$A$2:$A$88,0)),""),"")</f>
        <v/>
      </c>
      <c r="AE601" s="28">
        <f ca="1">IF(X601=1,IFERROR(INDEX(SETTINGS!$B$34:$D$36,MATCH(I601,SETTINGS!$A$34:$A$36,0),MIN(Q601,2)+1),SETTINGS!$B$36),0)</f>
        <v>0</v>
      </c>
      <c r="AF601" s="28">
        <f t="shared" si="103"/>
        <v>0</v>
      </c>
      <c r="AG601" s="28">
        <f ca="1">IF(AND(Y601=1,AB601=1),ROUND(AA601*AE601*IF(AF601&gt;1,SETTINGS!$B$16,1)*IF(W601&lt;=SETTINGS!$B$14,SETTINGS!$B$15,1)*IF(AU601=1,SETTINGS!$B$21,1),6),0)</f>
        <v>0</v>
      </c>
      <c r="AH601" s="28" t="str">
        <f ca="1">IF(AG601&gt;0,COUNTIFS($Z$2:$Z$601,Z601,$AG$2:$AG$601,"&gt;"&amp;AG601)+COUNTIFS($Z$2:Z601,Z601,$AG$2:AG601,AG601),"")</f>
        <v/>
      </c>
      <c r="AI601" s="28" t="str">
        <f t="shared" ca="1" si="104"/>
        <v/>
      </c>
      <c r="AJ601" s="28" t="str">
        <f t="shared" ca="1" si="105"/>
        <v/>
      </c>
      <c r="AK601" s="28">
        <f>IF(L601=1,IF(COUNTIFS($F$2:F601,F601,$L$2:L601,1)=1,1,0),0)</f>
        <v>0</v>
      </c>
      <c r="AL601" s="28" t="str">
        <f>IF(B601="","",IF(K601="DUPLICATE","Duplicate (removed)",IF(AO601=1,"Scheduled within 24h",IF(M601=1,"Scheduled late",IF(K601="BAD CONTACT","Bad contact details",IF(O601=1,"Stopped / wrong number",IF(N601=1,"Not interested",IF(P601=1,"Partner has no slots",IF(SETTINGS!$B$4&gt;=V601,IF(Q601=0,"Missed deadline: never tried","Missed deadline: tried, not booked"),IF(Q601&gt;=SETTINGS!$B$6,"No reply after max tries","Open"))))))))))</f>
        <v/>
      </c>
      <c r="AM601" s="46" t="str">
        <f>IF(M601=1,IF(_xlfn.MINIFS(LOG!$G$2:$G$2001,LOG!$C$2:$C$2001,F601,LOG!$E$2:$E$2001,B601,LOG!$D$2:$D$2001,"*BOOKED")=0,_xlfn.MINIFS(LOG!$G$2:$G$2001,LOG!$C$2:$C$2001,F601,LOG!$E$2:$E$2001,"",LOG!$D$2:$D$2001,"*BOOKED"),IF(_xlfn.MINIFS(LOG!$G$2:$G$2001,LOG!$C$2:$C$2001,F601,LOG!$E$2:$E$2001,"",LOG!$D$2:$D$2001,"*BOOKED")=0,_xlfn.MINIFS(LOG!$G$2:$G$2001,LOG!$C$2:$C$2001,F601,LOG!$E$2:$E$2001,B601,LOG!$D$2:$D$2001,"*BOOKED"),MIN(_xlfn.MINIFS(LOG!$G$2:$G$2001,LOG!$C$2:$C$2001,F601,LOG!$E$2:$E$2001,B601,LOG!$D$2:$D$2001,"*BOOKED"),_xlfn.MINIFS(LOG!$G$2:$G$2001,LOG!$C$2:$C$2001,F601,LOG!$E$2:$E$2001,"",LOG!$D$2:$D$2001,"*BOOKED")))),"")</f>
        <v/>
      </c>
      <c r="AN601" s="28" t="str">
        <f t="shared" si="106"/>
        <v/>
      </c>
      <c r="AO601" s="28">
        <f>IF(AND(M601=1,AN601&lt;&gt;""),IF(AN601&lt;=SETTINGS!$B$5,1,0),0)</f>
        <v>0</v>
      </c>
      <c r="AP601" s="28">
        <f>IF(M601=1,IF(COUNTIFS(LOG!$C$2:$C$2001,F601,LOG!$E$2:$E$2001,B601,LOG!$D$2:$D$2001,"BOOKED")+COUNTIFS(LOG!$C$2:$C$2001,F601,LOG!$E$2:$E$2001,"",LOG!$D$2:$D$2001,"BOOKED")&gt;0,1,0),0)</f>
        <v>0</v>
      </c>
      <c r="AQ601" s="28" t="str">
        <f t="shared" si="107"/>
        <v/>
      </c>
      <c r="AR601" s="28" t="str">
        <f>IF(AND(AK601=1,K601="OK"),COUNTIFS($AK$2:AK601,1,$K$2:K601,"OK"),"")</f>
        <v/>
      </c>
      <c r="AS601" s="28" t="str">
        <f>IF(L601=1,IFERROR(INDEX(MESSAGES!$J$9:$J$1008,MATCH(F601,MESSAGES!$M$9:$M$1008,0))&amp;"",""),"")</f>
        <v/>
      </c>
      <c r="AT601" s="28" t="str">
        <f>IF(L601=1,IFERROR(INDEX(MESSAGES!$K$9:$K$1008,MATCH(F601,MESSAGES!$M$9:$M$1008,0))&amp;"",""),"")</f>
        <v/>
      </c>
      <c r="AU601" s="28">
        <f t="shared" ca="1" si="108"/>
        <v>0</v>
      </c>
      <c r="AV601" s="28" t="str">
        <f t="shared" si="109"/>
        <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5" t="s">
        <v>14</v>
      </c>
      <c r="B1" s="5" t="s">
        <v>2109</v>
      </c>
      <c r="C1" s="5" t="s">
        <v>2110</v>
      </c>
      <c r="D1" s="5" t="s">
        <v>2111</v>
      </c>
      <c r="E1" s="5" t="s">
        <v>2112</v>
      </c>
    </row>
    <row r="2" spans="1:5" x14ac:dyDescent="0.35">
      <c r="A2" s="55" t="s">
        <v>16</v>
      </c>
      <c r="B2" s="55" t="s">
        <v>17</v>
      </c>
      <c r="C2" s="55">
        <v>1</v>
      </c>
      <c r="D2" s="55">
        <v>120</v>
      </c>
      <c r="E2" s="55" t="s">
        <v>2113</v>
      </c>
    </row>
    <row r="3" spans="1:5" x14ac:dyDescent="0.35">
      <c r="A3" s="55" t="s">
        <v>18</v>
      </c>
      <c r="B3" s="55" t="s">
        <v>19</v>
      </c>
      <c r="C3" s="55">
        <v>1</v>
      </c>
      <c r="D3" s="55">
        <v>120</v>
      </c>
      <c r="E3" s="55" t="s">
        <v>2113</v>
      </c>
    </row>
    <row r="4" spans="1:5" x14ac:dyDescent="0.35">
      <c r="A4" s="55" t="s">
        <v>20</v>
      </c>
      <c r="B4" s="55" t="s">
        <v>21</v>
      </c>
      <c r="C4" s="55">
        <v>1</v>
      </c>
      <c r="D4" s="55">
        <v>0</v>
      </c>
      <c r="E4" s="55" t="s">
        <v>2114</v>
      </c>
    </row>
    <row r="5" spans="1:5" x14ac:dyDescent="0.35">
      <c r="A5" s="55" t="s">
        <v>22</v>
      </c>
      <c r="B5" s="55" t="s">
        <v>23</v>
      </c>
      <c r="C5" s="55">
        <v>1</v>
      </c>
      <c r="D5" s="55">
        <v>180</v>
      </c>
      <c r="E5" s="55" t="s">
        <v>2113</v>
      </c>
    </row>
    <row r="6" spans="1:5" x14ac:dyDescent="0.35">
      <c r="A6" s="55" t="s">
        <v>24</v>
      </c>
      <c r="B6" s="55" t="s">
        <v>25</v>
      </c>
      <c r="C6" s="55">
        <v>1</v>
      </c>
      <c r="D6" s="55">
        <v>0</v>
      </c>
      <c r="E6" s="55" t="s">
        <v>2114</v>
      </c>
    </row>
    <row r="7" spans="1:5" x14ac:dyDescent="0.35">
      <c r="A7" s="55" t="s">
        <v>26</v>
      </c>
      <c r="B7" s="55" t="s">
        <v>27</v>
      </c>
      <c r="C7" s="55">
        <v>1</v>
      </c>
      <c r="D7" s="55">
        <v>0</v>
      </c>
      <c r="E7" s="55" t="s">
        <v>2113</v>
      </c>
    </row>
    <row r="8" spans="1:5" x14ac:dyDescent="0.35">
      <c r="A8" s="55" t="s">
        <v>28</v>
      </c>
      <c r="B8" s="55" t="s">
        <v>29</v>
      </c>
      <c r="C8" s="55">
        <v>1</v>
      </c>
      <c r="D8" s="55">
        <v>0</v>
      </c>
      <c r="E8" s="55" t="s">
        <v>2113</v>
      </c>
    </row>
    <row r="9" spans="1:5" x14ac:dyDescent="0.35">
      <c r="A9" s="55" t="s">
        <v>30</v>
      </c>
      <c r="B9" s="55" t="s">
        <v>31</v>
      </c>
      <c r="C9" s="55">
        <v>0</v>
      </c>
      <c r="D9" s="55">
        <v>0</v>
      </c>
      <c r="E9" s="55" t="s">
        <v>2114</v>
      </c>
    </row>
    <row r="10" spans="1:5" x14ac:dyDescent="0.35">
      <c r="A10" s="55" t="s">
        <v>32</v>
      </c>
      <c r="B10" s="55" t="s">
        <v>33</v>
      </c>
      <c r="C10" s="55">
        <v>0</v>
      </c>
      <c r="D10" s="55">
        <v>0</v>
      </c>
      <c r="E10" s="55" t="s">
        <v>181</v>
      </c>
    </row>
    <row r="13" spans="1:5" x14ac:dyDescent="0.35">
      <c r="A13" s="5" t="s">
        <v>2115</v>
      </c>
      <c r="B13" s="5" t="s">
        <v>2116</v>
      </c>
    </row>
    <row r="14" spans="1:5" x14ac:dyDescent="0.35">
      <c r="A14" s="10" t="s">
        <v>2117</v>
      </c>
      <c r="B14" s="28" t="s">
        <v>2118</v>
      </c>
    </row>
    <row r="15" spans="1:5" x14ac:dyDescent="0.35">
      <c r="A15" s="10" t="s">
        <v>2119</v>
      </c>
      <c r="B15" s="28" t="s">
        <v>2120</v>
      </c>
    </row>
    <row r="16" spans="1:5" x14ac:dyDescent="0.35">
      <c r="A16" s="10" t="s">
        <v>2121</v>
      </c>
      <c r="B16" s="28" t="s">
        <v>2122</v>
      </c>
    </row>
    <row r="17" spans="1:2" x14ac:dyDescent="0.35">
      <c r="A17" s="10" t="s">
        <v>2123</v>
      </c>
      <c r="B17" s="28" t="s">
        <v>2124</v>
      </c>
    </row>
    <row r="18" spans="1:2" x14ac:dyDescent="0.35">
      <c r="A18" s="10" t="s">
        <v>199</v>
      </c>
      <c r="B18" s="28" t="s">
        <v>2125</v>
      </c>
    </row>
    <row r="19" spans="1:2" x14ac:dyDescent="0.35">
      <c r="A19" s="10" t="s">
        <v>191</v>
      </c>
      <c r="B19" s="28" t="s">
        <v>2126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RAM</vt:lpstr>
      <vt:lpstr>SHYAM</vt:lpstr>
      <vt:lpstr>LOG</vt:lpstr>
      <vt:lpstr>DASHBOARD</vt:lpstr>
      <vt:lpstr>MESSAGES</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2026-10-14T11:46:17Z</dcterms:created>
  <dcterms:modified xsi:type="dcterms:W3CDTF">2026-10-14T11:46:55Z</dcterms:modified>
</cp:coreProperties>
</file>