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activeTab="4"/>
  </bookViews>
  <sheets>
    <sheet name="DashBoard" sheetId="7" r:id="rId1"/>
    <sheet name="DashBoardAux" sheetId="8" r:id="rId2"/>
    <sheet name="ReCarteira" sheetId="6" r:id="rId3"/>
    <sheet name="ReProventos" sheetId="5" r:id="rId4"/>
    <sheet name="ReAportes" sheetId="9" r:id="rId5"/>
    <sheet name="TbAportes" sheetId="2" r:id="rId6"/>
    <sheet name="TbProventos" sheetId="3" r:id="rId7"/>
    <sheet name="TbAtivos" sheetId="1" r:id="rId8"/>
  </sheets>
  <definedNames>
    <definedName name="pubhtml" localSheetId="7">TbAtivos!$A$1:$D$13</definedName>
  </definedNames>
  <calcPr calcId="152511"/>
  <pivotCaches>
    <pivotCache cacheId="17" r:id="rId9"/>
    <pivotCache cacheId="22" r:id="rId10"/>
  </pivotCaches>
</workbook>
</file>

<file path=xl/calcChain.xml><?xml version="1.0" encoding="utf-8"?>
<calcChain xmlns="http://schemas.openxmlformats.org/spreadsheetml/2006/main">
  <c r="C9" i="8" l="1"/>
  <c r="H1" i="7"/>
  <c r="E2" i="6"/>
  <c r="E3" i="6"/>
  <c r="G3" i="6" s="1"/>
  <c r="E4" i="6"/>
  <c r="E5" i="6"/>
  <c r="E6" i="6"/>
  <c r="E7" i="6"/>
  <c r="G7" i="6" s="1"/>
  <c r="E8" i="6"/>
  <c r="E9" i="6"/>
  <c r="E10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B2" i="6"/>
  <c r="B3" i="6"/>
  <c r="B4" i="6"/>
  <c r="B5" i="6"/>
  <c r="B6" i="6"/>
  <c r="B7" i="6"/>
  <c r="B8" i="6"/>
  <c r="B9" i="6"/>
  <c r="B10" i="6"/>
  <c r="I5" i="8" l="1"/>
  <c r="H5" i="8"/>
  <c r="G5" i="8"/>
  <c r="D11" i="6"/>
  <c r="I7" i="6"/>
  <c r="I3" i="6"/>
  <c r="F9" i="6"/>
  <c r="F5" i="6"/>
  <c r="G10" i="6"/>
  <c r="H10" i="6" s="1"/>
  <c r="G6" i="6"/>
  <c r="G2" i="6"/>
  <c r="G9" i="6"/>
  <c r="I9" i="6" s="1"/>
  <c r="G5" i="6"/>
  <c r="I5" i="6" s="1"/>
  <c r="H7" i="6"/>
  <c r="G8" i="6"/>
  <c r="I8" i="6" s="1"/>
  <c r="G4" i="6"/>
  <c r="I4" i="6" s="1"/>
  <c r="H5" i="6"/>
  <c r="H3" i="6"/>
  <c r="F10" i="6"/>
  <c r="F8" i="6"/>
  <c r="F4" i="6"/>
  <c r="F6" i="6"/>
  <c r="F2" i="6"/>
  <c r="F7" i="6"/>
  <c r="F3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J2" i="2"/>
  <c r="C12" i="8" l="1"/>
  <c r="B8" i="7" s="1"/>
  <c r="H6" i="6"/>
  <c r="I6" i="8"/>
  <c r="H6" i="8"/>
  <c r="H2" i="6"/>
  <c r="G6" i="8"/>
  <c r="G8" i="8" s="1"/>
  <c r="I2" i="6"/>
  <c r="I6" i="6"/>
  <c r="G11" i="6"/>
  <c r="H8" i="6"/>
  <c r="I10" i="6"/>
  <c r="H4" i="6"/>
  <c r="H9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C13" i="8" l="1"/>
  <c r="B5" i="7" s="1"/>
  <c r="I7" i="8"/>
  <c r="I8" i="8"/>
  <c r="H7" i="8"/>
  <c r="H8" i="8"/>
  <c r="G7" i="8"/>
  <c r="H11" i="6"/>
  <c r="C15" i="8" l="1"/>
  <c r="B14" i="7" s="1"/>
  <c r="C14" i="8"/>
  <c r="B11" i="7" s="1"/>
</calcChain>
</file>

<file path=xl/comments1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<sst xmlns="http://schemas.openxmlformats.org/spreadsheetml/2006/main" count="245" uniqueCount="70">
  <si>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</si>
  <si>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</si>
  <si>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</si>
  <si>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</si>
  <si>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</si>
  <si>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</si>
  <si>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</si>
  <si>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</si>
  <si>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</si>
  <si>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</si>
  <si>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</si>
  <si>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</si>
  <si>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</si>
  <si>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</si>
  <si>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</si>
  <si>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</si>
  <si>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</si>
  <si>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</si>
  <si>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</si>
  <si>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</si>
  <si>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</si>
  <si>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</si>
  <si>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</si>
  <si>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</si>
  <si>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</si>
  <si>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</si>
  <si>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</si>
  <si>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</si>
  <si>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</si>
  <si>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</si>
  <si>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</si>
  <si>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</si>
  <si>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</si>
  <si>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</si>
  <si>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</si>
  <si>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</si>
  <si>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</si>
  <si>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</si>
  <si>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</si>
  <si>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</si>
  <si>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</si>
  <si>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</si>
  <si>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</si>
  <si>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</si>
  <si>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</si>
  <si>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</si>
  <si>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</si>
  <si>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</si>
  <si>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</si>
  <si>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</si>
  <si>
    <t>Cotação</t>
  </si>
  <si>
    <t>Total aportado</t>
  </si>
  <si>
    <t>Total qte</t>
  </si>
  <si>
    <t>PM</t>
  </si>
  <si>
    <t>Total atual</t>
  </si>
  <si>
    <t>Valorização</t>
  </si>
  <si>
    <t>Valorização %</t>
  </si>
  <si>
    <t>Até qual data?</t>
  </si>
  <si>
    <t>Carteira atual</t>
  </si>
  <si>
    <t>Caixa:</t>
  </si>
  <si>
    <t>Até</t>
  </si>
  <si>
    <t>Valores para caixa de combinaçao</t>
  </si>
  <si>
    <t>Tudo</t>
  </si>
  <si>
    <t>Ações</t>
  </si>
  <si>
    <t>Fundos Imobiliários</t>
  </si>
  <si>
    <t>Entradas do usuário</t>
  </si>
  <si>
    <t>Caixa de combinação</t>
  </si>
  <si>
    <t>Valor em caixa</t>
  </si>
  <si>
    <t>Matriz auxiliar: somatório por tipo de ativo</t>
  </si>
  <si>
    <t>Indicadores-chave de desempenho (KPI)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</si>
</sst>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4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3" fillId="2" borderId="1" xfId="0" applyFont="1" applyFill="1" applyBorder="1"/>
    <xf numFmtId="14" fontId="0" fillId="3" borderId="1" xfId="0" applyNumberFormat="1" applyFont="1" applyFill="1" applyBorder="1"/>
    <xf numFmtId="44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4" borderId="0" xfId="0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14" fontId="7" fillId="4" borderId="0" xfId="0" applyNumberFormat="1" applyFont="1" applyFill="1" applyAlignment="1">
      <alignment horizontal="right" vertical="center"/>
    </xf>
    <xf numFmtId="164" fontId="7" fillId="4" borderId="2" xfId="0" applyNumberFormat="1" applyFont="1" applyFill="1" applyBorder="1" applyAlignment="1">
      <alignment horizontal="center" vertical="center"/>
    </xf>
    <xf numFmtId="0" fontId="9" fillId="0" borderId="0" xfId="0" applyFont="1"/>
    <xf numFmtId="0" fontId="0" fillId="6" borderId="0" xfId="0" applyFill="1"/>
    <xf numFmtId="0" fontId="0" fillId="7" borderId="0" xfId="0" applyFill="1"/>
    <xf numFmtId="0" fontId="4" fillId="8" borderId="0" xfId="0" applyFont="1" applyFill="1"/>
    <xf numFmtId="2" fontId="0" fillId="6" borderId="0" xfId="0" applyNumberFormat="1" applyFill="1"/>
    <xf numFmtId="44" fontId="0" fillId="5" borderId="4" xfId="0" applyNumberFormat="1" applyFill="1" applyBorder="1" applyAlignment="1">
      <alignment vertical="center"/>
    </xf>
    <xf numFmtId="44" fontId="0" fillId="6" borderId="0" xfId="0" applyNumberFormat="1" applyFill="1"/>
    <xf numFmtId="164" fontId="0" fillId="6" borderId="0" xfId="0" applyNumberFormat="1" applyFill="1"/>
    <xf numFmtId="0" fontId="4" fillId="7" borderId="0" xfId="0" applyFont="1" applyFill="1"/>
    <xf numFmtId="0" fontId="8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7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6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fmlaLink="DashBoardAux!$C$8" fmlaRange="DashBoardAux!$C$3:$C$5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1</xdr:row>
          <xdr:rowOff>9525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09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69.424174884261" createdVersion="5" refreshedVersion="5" minRefreshableVersion="3" recordCount="28">
  <cacheSource type="worksheet">
    <worksheetSource name="Tb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44">
      <sharedItems containsSemiMixedTypes="0" containsString="0" containsNumber="1" minValue="7.51" maxValue="194.23"/>
    </cacheField>
    <cacheField name="Custo" numFmtId="44">
      <sharedItems containsSemiMixedTypes="0" containsString="0" containsNumber="1" containsInteger="1" minValue="0" maxValue="10"/>
    </cacheField>
    <cacheField name="Total" numFmtId="4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69.424175115739" createdVersion="5" refreshedVersion="5" minRefreshableVersion="3" recordCount="71">
  <cacheSource type="worksheet">
    <worksheetSource name="TbProventos" r:id="rId2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44">
      <sharedItems containsSemiMixedTypes="0" containsString="0" containsNumber="1" minValue="0" maxValue="180.6"/>
    </cacheField>
    <cacheField name="IR" numFmtId="44">
      <sharedItems containsSemiMixedTypes="0" containsString="0" containsNumber="1" minValue="0" maxValue="6"/>
    </cacheField>
    <cacheField name="Valor Líquido" numFmtId="4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44" showAll="0"/>
    <pivotField numFmtId="44" showAll="0"/>
    <pivotField dataField="1" numFmtId="4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1" baseItem="6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bCarteira" displayName="TbCarteira" ref="A1:I11" totalsRowCount="1">
  <autoFilter ref="A1:I10"/>
  <tableColumns count="9">
    <tableColumn id="1" name="Ativo" totalsRowLabel="Total"/>
    <tableColumn id="2" name="Tipo" dataDxfId="31">
      <calculatedColumnFormula>VLOOKUP(TbCarteira[[#This Row],[Ativo]],TbAtivos!$B$4:$D$500,2,FALSE)</calculatedColumnFormula>
    </tableColumn>
    <tableColumn id="3" name="Cotação" dataDxfId="30">
      <calculatedColumnFormula>VLOOKUP(TbCarteira[[#This Row],[Ativo]],TbAtivos!$B$4:$D$500,3,FALSE)</calculatedColumnFormula>
    </tableColumn>
    <tableColumn id="4" name="Total aportado" totalsRowFunction="sum" dataDxfId="29">
      <calculatedColumnFormula>SUMIFS(TbAportes[Total],TbAportes[Ativo],TbCarteira[[#This Row],[Ativo]],TbAportes[Data],"&lt;="&amp;IF($L$1="",TODAY(),$L$1))</calculatedColumnFormula>
    </tableColumn>
    <tableColumn id="5" name="Total qte" dataDxfId="28">
      <calculatedColumnFormula>SUMIFS(TbAportes[Qte],TbAportes[Ativo],TbCarteira[[#This Row],[Ativo]],TbAportes[Data],"&lt;="&amp;IF($L$1="",TODAY(),$L$1))</calculatedColumnFormula>
    </tableColumn>
    <tableColumn id="6" name="PM" dataDxfId="27">
      <calculatedColumnFormula>TbCarteira[[#This Row],[Total aportado]]/TbCarteira[[#This Row],[Total qte]]</calculatedColumnFormula>
    </tableColumn>
    <tableColumn id="7" name="Total atual" totalsRowFunction="sum" dataDxfId="26">
      <calculatedColumnFormula>TbCarteira[[#This Row],[Total qte]]*TbCarteira[[#This Row],[Cotação]]</calculatedColumnFormula>
    </tableColumn>
    <tableColumn id="8" name="Valorização" totalsRowFunction="sum" dataDxfId="25">
      <calculatedColumnFormula>TbCarteira[[#This Row],[Total atual]]-TbCarteira[[#This Row],[Total aportado]]</calculatedColumnFormula>
    </tableColumn>
    <tableColumn id="9" name="Valorização %" dataDxfId="24" totalsRowDxfId="23">
      <calculatedColumnFormula>TbCarteira[[#This Row],[Total atual]]/TbCarteira[[#This Row],[Total aportado]]-1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Aportes" displayName="TbAportes" ref="A1:J29" totalsRowShown="0" headerRowDxfId="22" dataDxfId="21">
  <autoFilter ref="A1:J29"/>
  <tableColumns count="10">
    <tableColumn id="1" name="Data" dataDxfId="20"/>
    <tableColumn id="2" name="Ativo" dataDxfId="19"/>
    <tableColumn id="3" name="Qte" dataDxfId="18"/>
    <tableColumn id="4" name="Valor unitário" dataDxfId="17"/>
    <tableColumn id="5" name="Custo" dataDxfId="16"/>
    <tableColumn id="6" name="Total" dataDxfId="15">
      <calculatedColumnFormula>TbAportes[[#This Row],[Valor unitário]]*TbAportes[[#This Row],[Qte]]+TbAportes[[#This Row],[Custo]]</calculatedColumnFormula>
    </tableColumn>
    <tableColumn id="7" name="Tipo" dataDxfId="14">
      <calculatedColumnFormula>VLOOKUP(TbAportes[[#This Row],[Ativo]],TbAtivos!$B$4:$D$500,2,FALSE)</calculatedColumnFormula>
    </tableColumn>
    <tableColumn id="8" name="Ano" dataDxfId="13">
      <calculatedColumnFormula>YEAR(TbAportes[[#This Row],[Data]])</calculatedColumnFormula>
    </tableColumn>
    <tableColumn id="9" name="Mês" dataDxfId="12">
      <calculatedColumnFormula>MONTH(TbAportes[[#This Row],[Data]])</calculatedColumnFormula>
    </tableColumn>
    <tableColumn id="10" name="Ano/Mês" dataDxfId="11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bProventos" displayName="TbProventos" ref="A1:I72" totalsRowShown="0" headerRowDxfId="10" dataDxfId="9">
  <autoFilter ref="A1:I72"/>
  <tableColumns count="9">
    <tableColumn id="1" name="Cod" dataDxfId="8"/>
    <tableColumn id="2" name="Ativo" dataDxfId="7"/>
    <tableColumn id="3" name="Qte" dataDxfId="6"/>
    <tableColumn id="4" name="Valor Bruto" dataDxfId="5"/>
    <tableColumn id="5" name="IR" dataDxfId="4"/>
    <tableColumn id="6" name="Valor Líquido" dataDxfId="3"/>
    <tableColumn id="7" name="Data" dataDxfId="2"/>
    <tableColumn id="8" name="Ano/Mês" dataDxfId="1">
      <calculatedColumnFormula>CONCATENATE(YEAR(TbProventos[[#This Row],[Data]]),"/",IF(MONTH(TbProventos[[#This Row],[Data]])&lt;10,"0",""),MONTH(TbProventos[[#This Row],[Data]]))</calculatedColumnFormula>
    </tableColumn>
    <tableColumn id="9" name="Tipo" dataDxfId="0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showGridLines="0" workbookViewId="0"/>
  </sheetViews>
  <sheetFormatPr defaultRowHeight="15" x14ac:dyDescent="0.25"/>
  <cols>
    <col min="1" max="1" width="2.7109375" customWidth="1"/>
    <col min="2" max="2" width="33.28515625" customWidth="1"/>
    <col min="3" max="3" width="2.140625" customWidth="1"/>
    <col min="4" max="4" width="17.5703125" customWidth="1"/>
    <col min="5" max="5" width="24" customWidth="1"/>
    <col min="6" max="6" width="50.7109375" customWidth="1"/>
    <col min="7" max="7" width="19.42578125" customWidth="1"/>
    <col min="8" max="8" width="29.5703125" customWidth="1"/>
  </cols>
  <sheetData>
    <row r="1" spans="1:8" ht="27" customHeight="1" x14ac:dyDescent="0.25">
      <c r="A1" s="14"/>
      <c r="B1" s="14"/>
      <c r="C1" s="14"/>
      <c r="D1" s="16" t="s">
        <v>59</v>
      </c>
      <c r="E1" s="25">
        <v>15000</v>
      </c>
      <c r="F1" s="14"/>
      <c r="G1" s="17" t="s">
        <v>60</v>
      </c>
      <c r="H1" s="18">
        <f ca="1">IF(ReCarteira!L1="",TODAY(),ReCarteira!L1)</f>
        <v>43969</v>
      </c>
    </row>
    <row r="2" spans="1:8" ht="12.75" customHeight="1" thickBot="1" x14ac:dyDescent="0.3">
      <c r="A2" s="15"/>
      <c r="B2" s="15"/>
      <c r="C2" s="15"/>
      <c r="D2" s="15"/>
      <c r="E2" s="15"/>
      <c r="F2" s="15"/>
      <c r="G2" s="15"/>
      <c r="H2" s="15"/>
    </row>
    <row r="4" spans="1:8" ht="15.75" thickBot="1" x14ac:dyDescent="0.3">
      <c r="B4" s="20" t="s">
        <v>58</v>
      </c>
    </row>
    <row r="5" spans="1:8" ht="37.5" customHeight="1" thickBot="1" x14ac:dyDescent="0.3">
      <c r="B5" s="31">
        <f ca="1">DashBoardAux!C13</f>
        <v>27838.05</v>
      </c>
    </row>
    <row r="7" spans="1:8" ht="15.75" thickBot="1" x14ac:dyDescent="0.3">
      <c r="B7" s="20" t="s">
        <v>51</v>
      </c>
    </row>
    <row r="8" spans="1:8" ht="37.5" customHeight="1" thickBot="1" x14ac:dyDescent="0.3">
      <c r="B8" s="31">
        <f ca="1">DashBoardAux!C12</f>
        <v>26791.03</v>
      </c>
    </row>
    <row r="10" spans="1:8" ht="15.75" thickBot="1" x14ac:dyDescent="0.3">
      <c r="B10" s="20" t="s">
        <v>55</v>
      </c>
    </row>
    <row r="11" spans="1:8" ht="37.5" customHeight="1" thickBot="1" x14ac:dyDescent="0.3">
      <c r="B11" s="31">
        <f ca="1">DashBoardAux!C14</f>
        <v>1047.0199999999991</v>
      </c>
    </row>
    <row r="13" spans="1:8" ht="15.75" thickBot="1" x14ac:dyDescent="0.3">
      <c r="B13" s="20" t="s">
        <v>56</v>
      </c>
    </row>
    <row r="14" spans="1:8" ht="37.5" customHeight="1" thickBot="1" x14ac:dyDescent="0.3">
      <c r="B14" s="19">
        <f ca="1">DashBoardAux!C15</f>
        <v>3.9080990913749947E-2</v>
      </c>
    </row>
  </sheetData>
  <conditionalFormatting sqref="B11 B14">
    <cfRule type="cellIs" dxfId="35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9525</xdr:rowOff>
                  </from>
                  <to>
                    <xdr:col>2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Normal="100" workbookViewId="0"/>
  </sheetViews>
  <sheetFormatPr defaultRowHeight="15" x14ac:dyDescent="0.25"/>
  <cols>
    <col min="1" max="1" width="2.28515625" customWidth="1"/>
    <col min="2" max="2" width="19.7109375" customWidth="1"/>
    <col min="3" max="3" width="18.7109375" customWidth="1"/>
    <col min="4" max="4" width="2.85546875" customWidth="1"/>
    <col min="6" max="6" width="15.140625" customWidth="1"/>
    <col min="7" max="7" width="15" customWidth="1"/>
    <col min="8" max="8" width="15.140625" customWidth="1"/>
    <col min="9" max="9" width="13.85546875" customWidth="1"/>
  </cols>
  <sheetData>
    <row r="2" spans="2:9" x14ac:dyDescent="0.25">
      <c r="B2" s="23" t="s">
        <v>61</v>
      </c>
      <c r="C2" s="23"/>
      <c r="E2" s="23" t="s">
        <v>68</v>
      </c>
      <c r="F2" s="23"/>
      <c r="G2" s="23"/>
      <c r="H2" s="23"/>
      <c r="I2" s="23"/>
    </row>
    <row r="3" spans="2:9" x14ac:dyDescent="0.25">
      <c r="B3" s="22">
        <v>1</v>
      </c>
      <c r="C3" s="21" t="s">
        <v>62</v>
      </c>
      <c r="E3" s="28"/>
      <c r="F3" s="28"/>
      <c r="G3" s="29">
        <v>1</v>
      </c>
      <c r="H3" s="29">
        <v>2</v>
      </c>
      <c r="I3" s="29">
        <v>3</v>
      </c>
    </row>
    <row r="4" spans="2:9" x14ac:dyDescent="0.25">
      <c r="B4" s="22">
        <v>2</v>
      </c>
      <c r="C4" s="21" t="s">
        <v>63</v>
      </c>
      <c r="E4" s="22"/>
      <c r="F4" s="22"/>
      <c r="G4" s="30" t="s">
        <v>62</v>
      </c>
      <c r="H4" s="30" t="s">
        <v>63</v>
      </c>
      <c r="I4" s="30" t="s">
        <v>10</v>
      </c>
    </row>
    <row r="5" spans="2:9" x14ac:dyDescent="0.25">
      <c r="B5" s="22">
        <v>3</v>
      </c>
      <c r="C5" s="21" t="s">
        <v>64</v>
      </c>
      <c r="E5" s="22">
        <v>1</v>
      </c>
      <c r="F5" s="22" t="s">
        <v>51</v>
      </c>
      <c r="G5" s="26">
        <f ca="1">SUM(TbCarteira[Total aportado])</f>
        <v>26791.03</v>
      </c>
      <c r="H5" s="26">
        <f ca="1">SUMIF(TbCarteira[Tipo],"EMPRESA",TbCarteira[Total aportado])</f>
        <v>17598</v>
      </c>
      <c r="I5" s="26">
        <f ca="1">SUMIF(TbCarteira[Tipo],"FII",TbCarteira[Total aportado])</f>
        <v>9193.0299999999988</v>
      </c>
    </row>
    <row r="6" spans="2:9" x14ac:dyDescent="0.25">
      <c r="E6" s="22">
        <v>2</v>
      </c>
      <c r="F6" s="22" t="s">
        <v>58</v>
      </c>
      <c r="G6" s="26">
        <f ca="1">SUM(TbCarteira[Total atual])</f>
        <v>27838.05</v>
      </c>
      <c r="H6" s="26">
        <f ca="1">SUMIF(TbCarteira[Tipo],"EMPRESA",TbCarteira[Total atual])</f>
        <v>17506</v>
      </c>
      <c r="I6" s="26">
        <f ca="1">SUMIF(TbCarteira[Tipo],"FII",TbCarteira[Total atual])</f>
        <v>10332.049999999999</v>
      </c>
    </row>
    <row r="7" spans="2:9" x14ac:dyDescent="0.25">
      <c r="B7" s="23" t="s">
        <v>65</v>
      </c>
      <c r="C7" s="23"/>
      <c r="E7" s="22">
        <v>3</v>
      </c>
      <c r="F7" s="22" t="s">
        <v>55</v>
      </c>
      <c r="G7" s="26">
        <f ca="1">SUM(TbCarteira[Valorização])</f>
        <v>1047.0199999999991</v>
      </c>
      <c r="H7" s="26">
        <f ca="1">H6-H5</f>
        <v>-92</v>
      </c>
      <c r="I7" s="26">
        <f ca="1">I6-I5</f>
        <v>1139.0200000000004</v>
      </c>
    </row>
    <row r="8" spans="2:9" x14ac:dyDescent="0.25">
      <c r="B8" s="22" t="s">
        <v>66</v>
      </c>
      <c r="C8" s="21">
        <v>1</v>
      </c>
      <c r="E8" s="22">
        <v>4</v>
      </c>
      <c r="F8" s="22" t="s">
        <v>56</v>
      </c>
      <c r="G8" s="27">
        <f ca="1">G6/G5-1</f>
        <v>3.9080990913749947E-2</v>
      </c>
      <c r="H8" s="27">
        <f ca="1">H6/H5-1</f>
        <v>-5.2278668030457665E-3</v>
      </c>
      <c r="I8" s="27">
        <f ca="1">I6/I5-1</f>
        <v>0.12390038975180118</v>
      </c>
    </row>
    <row r="9" spans="2:9" x14ac:dyDescent="0.25">
      <c r="B9" s="22" t="s">
        <v>67</v>
      </c>
      <c r="C9" s="24">
        <f>DashBoard!E1</f>
        <v>15000</v>
      </c>
    </row>
    <row r="11" spans="2:9" x14ac:dyDescent="0.25">
      <c r="B11" s="23" t="s">
        <v>69</v>
      </c>
      <c r="C11" s="23"/>
    </row>
    <row r="12" spans="2:9" x14ac:dyDescent="0.25">
      <c r="B12" s="22" t="s">
        <v>51</v>
      </c>
      <c r="C12" s="26">
        <f ca="1">INDEX($G$5:$I$8,E5,$C$8)</f>
        <v>26791.03</v>
      </c>
    </row>
    <row r="13" spans="2:9" x14ac:dyDescent="0.25">
      <c r="B13" s="22" t="s">
        <v>58</v>
      </c>
      <c r="C13" s="26">
        <f t="shared" ref="C13:C15" ca="1" si="0">INDEX($G$5:$I$8,E6,$C$8)</f>
        <v>27838.05</v>
      </c>
    </row>
    <row r="14" spans="2:9" x14ac:dyDescent="0.25">
      <c r="B14" s="22" t="s">
        <v>55</v>
      </c>
      <c r="C14" s="26">
        <f t="shared" ca="1" si="0"/>
        <v>1047.0199999999991</v>
      </c>
    </row>
    <row r="15" spans="2:9" x14ac:dyDescent="0.25">
      <c r="B15" s="22" t="s">
        <v>56</v>
      </c>
      <c r="C15" s="27">
        <f t="shared" ca="1" si="0"/>
        <v>3.9080990913749947E-2</v>
      </c>
    </row>
  </sheetData>
  <conditionalFormatting sqref="G7:I8">
    <cfRule type="cellIs" dxfId="3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I2" sqref="I2"/>
    </sheetView>
  </sheetViews>
  <sheetFormatPr defaultRowHeight="15" x14ac:dyDescent="0.25"/>
  <cols>
    <col min="3" max="3" width="10.140625" customWidth="1"/>
    <col min="4" max="4" width="16" style="12" customWidth="1"/>
    <col min="5" max="5" width="11" customWidth="1"/>
    <col min="6" max="6" width="13.7109375" style="12" customWidth="1"/>
    <col min="7" max="7" width="14.42578125" style="12" customWidth="1"/>
    <col min="8" max="8" width="13.28515625" style="12" customWidth="1"/>
    <col min="9" max="9" width="15.42578125" style="13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2" t="s">
        <v>51</v>
      </c>
      <c r="E1" t="s">
        <v>52</v>
      </c>
      <c r="F1" s="12" t="s">
        <v>53</v>
      </c>
      <c r="G1" s="12" t="s">
        <v>54</v>
      </c>
      <c r="H1" s="12" t="s">
        <v>55</v>
      </c>
      <c r="I1" s="13" t="s">
        <v>56</v>
      </c>
      <c r="K1" s="10" t="s">
        <v>57</v>
      </c>
      <c r="L1" s="11"/>
    </row>
    <row r="2" spans="1:12" x14ac:dyDescent="0.25">
      <c r="A2" t="s">
        <v>4</v>
      </c>
      <c r="B2" t="str">
        <f>VLOOKUP(TbCarteira[[#This Row],[Ativo]],TbAtivos!$B$4:$D$500,2,FALSE)</f>
        <v>EMPRESA</v>
      </c>
      <c r="C2">
        <f>VLOOKUP(TbCarteira[[#This Row],[Ativo]],TbAtivos!$B$4:$D$500,3,FALSE)</f>
        <v>7.88</v>
      </c>
      <c r="D2" s="12">
        <f ca="1">SUMIFS(TbAportes[Total],TbAportes[Ativo],TbCarteira[[#This Row],[Ativo]],TbAportes[Data],"&lt;="&amp;IF($L$1="",TODAY(),$L$1))</f>
        <v>2810</v>
      </c>
      <c r="E2">
        <f ca="1">SUMIFS(TbAportes[Qte],TbAportes[Ativo],TbCarteira[[#This Row],[Ativo]],TbAportes[Data],"&lt;="&amp;IF($L$1="",TODAY(),$L$1))</f>
        <v>300</v>
      </c>
      <c r="F2" s="12">
        <f ca="1">TbCarteira[[#This Row],[Total aportado]]/TbCarteira[[#This Row],[Total qte]]</f>
        <v>9.3666666666666671</v>
      </c>
      <c r="G2" s="12">
        <f ca="1">TbCarteira[[#This Row],[Total qte]]*TbCarteira[[#This Row],[Cotação]]</f>
        <v>2364</v>
      </c>
      <c r="H2" s="12">
        <f ca="1">TbCarteira[[#This Row],[Total atual]]-TbCarteira[[#This Row],[Total aportado]]</f>
        <v>-446</v>
      </c>
      <c r="I2" s="13">
        <f ca="1">TbCarteira[[#This Row],[Total atual]]/TbCarteira[[#This Row],[Total aportado]]-1</f>
        <v>-0.15871886120996437</v>
      </c>
    </row>
    <row r="3" spans="1:12" x14ac:dyDescent="0.25">
      <c r="A3" t="s">
        <v>6</v>
      </c>
      <c r="B3" t="str">
        <f>VLOOKUP(TbCarteira[[#This Row],[Ativo]],TbAtivos!$B$4:$D$500,2,FALSE)</f>
        <v>EMPRESA</v>
      </c>
      <c r="C3">
        <f>VLOOKUP(TbCarteira[[#This Row],[Ativo]],TbAtivos!$B$4:$D$500,3,FALSE)</f>
        <v>20.149999999999999</v>
      </c>
      <c r="D3" s="12">
        <f ca="1">SUMIFS(TbAportes[Total],TbAportes[Ativo],TbCarteira[[#This Row],[Ativo]],TbAportes[Data],"&lt;="&amp;IF($L$1="",TODAY(),$L$1))</f>
        <v>4027</v>
      </c>
      <c r="E3">
        <f ca="1">SUMIFS(TbAportes[Qte],TbAportes[Ativo],TbCarteira[[#This Row],[Ativo]],TbAportes[Data],"&lt;="&amp;IF($L$1="",TODAY(),$L$1))</f>
        <v>200</v>
      </c>
      <c r="F3" s="12">
        <f ca="1">TbCarteira[[#This Row],[Total aportado]]/TbCarteira[[#This Row],[Total qte]]</f>
        <v>20.135000000000002</v>
      </c>
      <c r="G3" s="12">
        <f ca="1">TbCarteira[[#This Row],[Total qte]]*TbCarteira[[#This Row],[Cotação]]</f>
        <v>4029.9999999999995</v>
      </c>
      <c r="H3" s="12">
        <f ca="1">TbCarteira[[#This Row],[Total atual]]-TbCarteira[[#This Row],[Total aportado]]</f>
        <v>2.9999999999995453</v>
      </c>
      <c r="I3" s="13">
        <f ca="1">TbCarteira[[#This Row],[Total atual]]/TbCarteira[[#This Row],[Total aportado]]-1</f>
        <v>7.4497144276119975E-4</v>
      </c>
    </row>
    <row r="4" spans="1:12" x14ac:dyDescent="0.25">
      <c r="A4" t="s">
        <v>7</v>
      </c>
      <c r="B4" t="str">
        <f>VLOOKUP(TbCarteira[[#This Row],[Ativo]],TbAtivos!$B$4:$D$500,2,FALSE)</f>
        <v>EMPRESA</v>
      </c>
      <c r="C4">
        <f>VLOOKUP(TbCarteira[[#This Row],[Ativo]],TbAtivos!$B$4:$D$500,3,FALSE)</f>
        <v>8.14</v>
      </c>
      <c r="D4" s="12">
        <f ca="1">SUMIFS(TbAportes[Total],TbAportes[Ativo],TbCarteira[[#This Row],[Ativo]],TbAportes[Data],"&lt;="&amp;IF($L$1="",TODAY(),$L$1))</f>
        <v>2512</v>
      </c>
      <c r="E4">
        <f ca="1">SUMIFS(TbAportes[Qte],TbAportes[Ativo],TbCarteira[[#This Row],[Ativo]],TbAportes[Data],"&lt;="&amp;IF($L$1="",TODAY(),$L$1))</f>
        <v>300</v>
      </c>
      <c r="F4" s="12">
        <f ca="1">TbCarteira[[#This Row],[Total aportado]]/TbCarteira[[#This Row],[Total qte]]</f>
        <v>8.3733333333333331</v>
      </c>
      <c r="G4" s="12">
        <f ca="1">TbCarteira[[#This Row],[Total qte]]*TbCarteira[[#This Row],[Cotação]]</f>
        <v>2442</v>
      </c>
      <c r="H4" s="12">
        <f ca="1">TbCarteira[[#This Row],[Total atual]]-TbCarteira[[#This Row],[Total aportado]]</f>
        <v>-70</v>
      </c>
      <c r="I4" s="13">
        <f ca="1">TbCarteira[[#This Row],[Total atual]]/TbCarteira[[#This Row],[Total aportado]]-1</f>
        <v>-2.7866242038216527E-2</v>
      </c>
    </row>
    <row r="5" spans="1:12" x14ac:dyDescent="0.25">
      <c r="A5" t="s">
        <v>8</v>
      </c>
      <c r="B5" t="str">
        <f>VLOOKUP(TbCarteira[[#This Row],[Ativo]],TbAtivos!$B$4:$D$500,2,FALSE)</f>
        <v>EMPRESA</v>
      </c>
      <c r="C5">
        <f>VLOOKUP(TbCarteira[[#This Row],[Ativo]],TbAtivos!$B$4:$D$500,3,FALSE)</f>
        <v>17.149999999999999</v>
      </c>
      <c r="D5" s="12">
        <f ca="1">SUMIFS(TbAportes[Total],TbAportes[Ativo],TbCarteira[[#This Row],[Ativo]],TbAportes[Data],"&lt;="&amp;IF($L$1="",TODAY(),$L$1))</f>
        <v>6614</v>
      </c>
      <c r="E5">
        <f ca="1">SUMIFS(TbAportes[Qte],TbAportes[Ativo],TbCarteira[[#This Row],[Ativo]],TbAportes[Data],"&lt;="&amp;IF($L$1="",TODAY(),$L$1))</f>
        <v>400</v>
      </c>
      <c r="F5" s="12">
        <f ca="1">TbCarteira[[#This Row],[Total aportado]]/TbCarteira[[#This Row],[Total qte]]</f>
        <v>16.535</v>
      </c>
      <c r="G5" s="12">
        <f ca="1">TbCarteira[[#This Row],[Total qte]]*TbCarteira[[#This Row],[Cotação]]</f>
        <v>6859.9999999999991</v>
      </c>
      <c r="H5" s="12">
        <f ca="1">TbCarteira[[#This Row],[Total atual]]-TbCarteira[[#This Row],[Total aportado]]</f>
        <v>245.99999999999909</v>
      </c>
      <c r="I5" s="13">
        <f ca="1">TbCarteira[[#This Row],[Total atual]]/TbCarteira[[#This Row],[Total aportado]]-1</f>
        <v>3.7193831267009259E-2</v>
      </c>
    </row>
    <row r="6" spans="1:12" x14ac:dyDescent="0.25">
      <c r="A6" t="s">
        <v>9</v>
      </c>
      <c r="B6" t="str">
        <f>VLOOKUP(TbCarteira[[#This Row],[Ativo]],TbAtivos!$B$4:$D$500,2,FALSE)</f>
        <v>FII</v>
      </c>
      <c r="C6">
        <f>VLOOKUP(TbCarteira[[#This Row],[Ativo]],TbAtivos!$B$4:$D$500,3,FALSE)</f>
        <v>194.98</v>
      </c>
      <c r="D6" s="12">
        <f ca="1">SUMIFS(TbAportes[Total],TbAportes[Ativo],TbCarteira[[#This Row],[Ativo]],TbAportes[Data],"&lt;="&amp;IF($L$1="",TODAY(),$L$1))</f>
        <v>1714.35</v>
      </c>
      <c r="E6">
        <f ca="1">SUMIFS(TbAportes[Qte],TbAportes[Ativo],TbCarteira[[#This Row],[Ativo]],TbAportes[Data],"&lt;="&amp;IF($L$1="",TODAY(),$L$1))</f>
        <v>9</v>
      </c>
      <c r="F6" s="12">
        <f ca="1">TbCarteira[[#This Row],[Total aportado]]/TbCarteira[[#This Row],[Total qte]]</f>
        <v>190.48333333333332</v>
      </c>
      <c r="G6" s="12">
        <f ca="1">TbCarteira[[#This Row],[Total qte]]*TbCarteira[[#This Row],[Cotação]]</f>
        <v>1754.82</v>
      </c>
      <c r="H6" s="12">
        <f ca="1">TbCarteira[[#This Row],[Total atual]]-TbCarteira[[#This Row],[Total aportado]]</f>
        <v>40.470000000000027</v>
      </c>
      <c r="I6" s="13">
        <f ca="1">TbCarteira[[#This Row],[Total atual]]/TbCarteira[[#This Row],[Total aportado]]-1</f>
        <v>2.3606614751946919E-2</v>
      </c>
    </row>
    <row r="7" spans="1:12" x14ac:dyDescent="0.25">
      <c r="A7" t="s">
        <v>11</v>
      </c>
      <c r="B7" t="str">
        <f>VLOOKUP(TbCarteira[[#This Row],[Ativo]],TbAtivos!$B$4:$D$500,2,FALSE)</f>
        <v>FII</v>
      </c>
      <c r="C7">
        <f>VLOOKUP(TbCarteira[[#This Row],[Ativo]],TbAtivos!$B$4:$D$500,3,FALSE)</f>
        <v>174.47</v>
      </c>
      <c r="D7" s="12">
        <f ca="1">SUMIFS(TbAportes[Total],TbAportes[Ativo],TbCarteira[[#This Row],[Ativo]],TbAportes[Data],"&lt;="&amp;IF($L$1="",TODAY(),$L$1))</f>
        <v>2350.81</v>
      </c>
      <c r="E7">
        <f ca="1">SUMIFS(TbAportes[Qte],TbAportes[Ativo],TbCarteira[[#This Row],[Ativo]],TbAportes[Data],"&lt;="&amp;IF($L$1="",TODAY(),$L$1))</f>
        <v>17</v>
      </c>
      <c r="F7" s="12">
        <f ca="1">TbCarteira[[#This Row],[Total aportado]]/TbCarteira[[#This Row],[Total qte]]</f>
        <v>138.28294117647059</v>
      </c>
      <c r="G7" s="12">
        <f ca="1">TbCarteira[[#This Row],[Total qte]]*TbCarteira[[#This Row],[Cotação]]</f>
        <v>2965.99</v>
      </c>
      <c r="H7" s="12">
        <f ca="1">TbCarteira[[#This Row],[Total atual]]-TbCarteira[[#This Row],[Total aportado]]</f>
        <v>615.17999999999984</v>
      </c>
      <c r="I7" s="13">
        <f ca="1">TbCarteira[[#This Row],[Total atual]]/TbCarteira[[#This Row],[Total aportado]]-1</f>
        <v>0.26168852438095791</v>
      </c>
    </row>
    <row r="8" spans="1:12" x14ac:dyDescent="0.25">
      <c r="A8" t="s">
        <v>12</v>
      </c>
      <c r="B8" t="str">
        <f>VLOOKUP(TbCarteira[[#This Row],[Ativo]],TbAtivos!$B$4:$D$500,2,FALSE)</f>
        <v>FII</v>
      </c>
      <c r="C8">
        <f>VLOOKUP(TbCarteira[[#This Row],[Ativo]],TbAtivos!$B$4:$D$500,3,FALSE)</f>
        <v>141.94</v>
      </c>
      <c r="D8" s="12">
        <f ca="1">SUMIFS(TbAportes[Total],TbAportes[Ativo],TbCarteira[[#This Row],[Ativo]],TbAportes[Data],"&lt;="&amp;IF($L$1="",TODAY(),$L$1))</f>
        <v>2492.5699999999997</v>
      </c>
      <c r="E8">
        <f ca="1">SUMIFS(TbAportes[Qte],TbAportes[Ativo],TbCarteira[[#This Row],[Ativo]],TbAportes[Data],"&lt;="&amp;IF($L$1="",TODAY(),$L$1))</f>
        <v>19</v>
      </c>
      <c r="F8" s="12">
        <f ca="1">TbCarteira[[#This Row],[Total aportado]]/TbCarteira[[#This Row],[Total qte]]</f>
        <v>131.18789473684208</v>
      </c>
      <c r="G8" s="12">
        <f ca="1">TbCarteira[[#This Row],[Total qte]]*TbCarteira[[#This Row],[Cotação]]</f>
        <v>2696.86</v>
      </c>
      <c r="H8" s="12">
        <f ca="1">TbCarteira[[#This Row],[Total atual]]-TbCarteira[[#This Row],[Total aportado]]</f>
        <v>204.29000000000042</v>
      </c>
      <c r="I8" s="13">
        <f ca="1">TbCarteira[[#This Row],[Total atual]]/TbCarteira[[#This Row],[Total aportado]]-1</f>
        <v>8.1959583883301379E-2</v>
      </c>
    </row>
    <row r="9" spans="1:12" x14ac:dyDescent="0.25">
      <c r="A9" t="s">
        <v>13</v>
      </c>
      <c r="B9" t="str">
        <f>VLOOKUP(TbCarteira[[#This Row],[Ativo]],TbAtivos!$B$4:$D$500,2,FALSE)</f>
        <v>FII</v>
      </c>
      <c r="C9">
        <f>VLOOKUP(TbCarteira[[#This Row],[Ativo]],TbAtivos!$B$4:$D$500,3,FALSE)</f>
        <v>161.91</v>
      </c>
      <c r="D9" s="12">
        <f ca="1">SUMIFS(TbAportes[Total],TbAportes[Ativo],TbCarteira[[#This Row],[Ativo]],TbAportes[Data],"&lt;="&amp;IF($L$1="",TODAY(),$L$1))</f>
        <v>2635.3</v>
      </c>
      <c r="E9">
        <f ca="1">SUMIFS(TbAportes[Qte],TbAportes[Ativo],TbCarteira[[#This Row],[Ativo]],TbAportes[Data],"&lt;="&amp;IF($L$1="",TODAY(),$L$1))</f>
        <v>18</v>
      </c>
      <c r="F9" s="12">
        <f ca="1">TbCarteira[[#This Row],[Total aportado]]/TbCarteira[[#This Row],[Total qte]]</f>
        <v>146.40555555555557</v>
      </c>
      <c r="G9" s="12">
        <f ca="1">TbCarteira[[#This Row],[Total qte]]*TbCarteira[[#This Row],[Cotação]]</f>
        <v>2914.38</v>
      </c>
      <c r="H9" s="12">
        <f ca="1">TbCarteira[[#This Row],[Total atual]]-TbCarteira[[#This Row],[Total aportado]]</f>
        <v>279.07999999999993</v>
      </c>
      <c r="I9" s="13">
        <f ca="1">TbCarteira[[#This Row],[Total atual]]/TbCarteira[[#This Row],[Total aportado]]-1</f>
        <v>0.10590065647174884</v>
      </c>
    </row>
    <row r="10" spans="1:12" x14ac:dyDescent="0.25">
      <c r="A10" t="s">
        <v>15</v>
      </c>
      <c r="B10" t="str">
        <f>VLOOKUP(TbCarteira[[#This Row],[Ativo]],TbAtivos!$B$4:$D$500,2,FALSE)</f>
        <v>EMPRESA</v>
      </c>
      <c r="C10">
        <f>VLOOKUP(TbCarteira[[#This Row],[Ativo]],TbAtivos!$B$4:$D$500,3,FALSE)</f>
        <v>9.0500000000000007</v>
      </c>
      <c r="D10" s="12">
        <f ca="1">SUMIFS(TbAportes[Total],TbAportes[Ativo],TbCarteira[[#This Row],[Ativo]],TbAportes[Data],"&lt;="&amp;IF($L$1="",TODAY(),$L$1))</f>
        <v>1635</v>
      </c>
      <c r="E10">
        <f ca="1">SUMIFS(TbAportes[Qte],TbAportes[Ativo],TbCarteira[[#This Row],[Ativo]],TbAportes[Data],"&lt;="&amp;IF($L$1="",TODAY(),$L$1))</f>
        <v>200</v>
      </c>
      <c r="F10" s="12">
        <f ca="1">TbCarteira[[#This Row],[Total aportado]]/TbCarteira[[#This Row],[Total qte]]</f>
        <v>8.1750000000000007</v>
      </c>
      <c r="G10" s="12">
        <f ca="1">TbCarteira[[#This Row],[Total qte]]*TbCarteira[[#This Row],[Cotação]]</f>
        <v>1810.0000000000002</v>
      </c>
      <c r="H10" s="12">
        <f ca="1">TbCarteira[[#This Row],[Total atual]]-TbCarteira[[#This Row],[Total aportado]]</f>
        <v>175.00000000000023</v>
      </c>
      <c r="I10" s="13">
        <f ca="1">TbCarteira[[#This Row],[Total atual]]/TbCarteira[[#This Row],[Total aportado]]-1</f>
        <v>0.10703363914373099</v>
      </c>
    </row>
    <row r="11" spans="1:12" x14ac:dyDescent="0.25">
      <c r="A11" t="s">
        <v>21</v>
      </c>
      <c r="D11" s="12">
        <f ca="1">SUBTOTAL(109,TbCarteira[Total aportado])</f>
        <v>26791.03</v>
      </c>
      <c r="F11"/>
      <c r="G11" s="12">
        <f ca="1">SUBTOTAL(109,TbCarteira[Total atual])</f>
        <v>27838.05</v>
      </c>
      <c r="H11" s="12">
        <f ca="1">SUBTOTAL(109,TbCarteira[Valorização])</f>
        <v>1047.0199999999991</v>
      </c>
    </row>
  </sheetData>
  <conditionalFormatting sqref="H2:H10">
    <cfRule type="cellIs" dxfId="33" priority="2" operator="lessThan">
      <formula>0</formula>
    </cfRule>
  </conditionalFormatting>
  <conditionalFormatting sqref="I2:I10">
    <cfRule type="cellIs" dxfId="3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21" bestFit="1" customWidth="1"/>
    <col min="2" max="2" width="19.5703125" bestFit="1" customWidth="1"/>
    <col min="3" max="13" width="7.85546875" customWidth="1"/>
    <col min="14" max="14" width="10.7109375" bestFit="1" customWidth="1"/>
  </cols>
  <sheetData>
    <row r="3" spans="1:14" x14ac:dyDescent="0.25">
      <c r="A3" s="6" t="s">
        <v>49</v>
      </c>
      <c r="B3" s="6" t="s">
        <v>33</v>
      </c>
    </row>
    <row r="4" spans="1:14" x14ac:dyDescent="0.25">
      <c r="A4" s="6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7" t="s">
        <v>5</v>
      </c>
      <c r="B5" s="9">
        <v>39.479999999999997</v>
      </c>
      <c r="C5" s="9">
        <v>61</v>
      </c>
      <c r="D5" s="9">
        <v>65.430000000000007</v>
      </c>
      <c r="E5" s="9">
        <v>163.66</v>
      </c>
      <c r="F5" s="9">
        <v>162.75</v>
      </c>
      <c r="G5" s="9">
        <v>156.13999999999999</v>
      </c>
      <c r="H5" s="9">
        <v>166</v>
      </c>
      <c r="I5" s="9">
        <v>162.75</v>
      </c>
      <c r="J5" s="9">
        <v>156.13999999999999</v>
      </c>
      <c r="K5" s="9">
        <v>166</v>
      </c>
      <c r="L5" s="9">
        <v>484.89</v>
      </c>
      <c r="M5" s="9">
        <v>162.75</v>
      </c>
      <c r="N5" s="9">
        <v>1946.99</v>
      </c>
    </row>
    <row r="6" spans="1:14" x14ac:dyDescent="0.25">
      <c r="A6" s="8" t="s">
        <v>4</v>
      </c>
      <c r="B6" s="9"/>
      <c r="C6" s="9"/>
      <c r="D6" s="9"/>
      <c r="E6" s="9"/>
      <c r="F6" s="9"/>
      <c r="G6" s="9"/>
      <c r="H6" s="9"/>
      <c r="I6" s="9"/>
      <c r="J6" s="9"/>
      <c r="K6" s="9">
        <v>166</v>
      </c>
      <c r="L6" s="9"/>
      <c r="M6" s="9"/>
      <c r="N6" s="9">
        <v>166</v>
      </c>
    </row>
    <row r="7" spans="1:14" x14ac:dyDescent="0.25">
      <c r="A7" s="8" t="s">
        <v>6</v>
      </c>
      <c r="B7" s="9"/>
      <c r="C7" s="9"/>
      <c r="D7" s="9"/>
      <c r="E7" s="9">
        <v>163.66</v>
      </c>
      <c r="F7" s="9"/>
      <c r="G7" s="9"/>
      <c r="H7" s="9"/>
      <c r="I7" s="9"/>
      <c r="J7" s="9">
        <v>156.13999999999999</v>
      </c>
      <c r="K7" s="9"/>
      <c r="L7" s="9"/>
      <c r="M7" s="9"/>
      <c r="N7" s="9">
        <v>319.79999999999995</v>
      </c>
    </row>
    <row r="8" spans="1:14" x14ac:dyDescent="0.25">
      <c r="A8" s="8" t="s">
        <v>7</v>
      </c>
      <c r="B8" s="9">
        <v>39.479999999999997</v>
      </c>
      <c r="C8" s="9"/>
      <c r="D8" s="9">
        <v>65.430000000000007</v>
      </c>
      <c r="E8" s="9"/>
      <c r="F8" s="9">
        <v>162.75</v>
      </c>
      <c r="G8" s="9"/>
      <c r="H8" s="9">
        <v>166</v>
      </c>
      <c r="I8" s="9"/>
      <c r="J8" s="9"/>
      <c r="K8" s="9"/>
      <c r="L8" s="9">
        <v>328.75</v>
      </c>
      <c r="M8" s="9"/>
      <c r="N8" s="9">
        <v>762.41</v>
      </c>
    </row>
    <row r="9" spans="1:14" x14ac:dyDescent="0.25">
      <c r="A9" s="8" t="s">
        <v>8</v>
      </c>
      <c r="B9" s="9"/>
      <c r="C9" s="9">
        <v>61</v>
      </c>
      <c r="D9" s="9"/>
      <c r="E9" s="9"/>
      <c r="F9" s="9"/>
      <c r="G9" s="9"/>
      <c r="H9" s="9"/>
      <c r="I9" s="9">
        <v>162.75</v>
      </c>
      <c r="J9" s="9"/>
      <c r="K9" s="9"/>
      <c r="L9" s="9"/>
      <c r="M9" s="9"/>
      <c r="N9" s="9">
        <v>223.75</v>
      </c>
    </row>
    <row r="10" spans="1:14" x14ac:dyDescent="0.25">
      <c r="A10" s="8" t="s">
        <v>15</v>
      </c>
      <c r="B10" s="9"/>
      <c r="C10" s="9"/>
      <c r="D10" s="9"/>
      <c r="E10" s="9"/>
      <c r="F10" s="9"/>
      <c r="G10" s="9">
        <v>156.13999999999999</v>
      </c>
      <c r="H10" s="9"/>
      <c r="I10" s="9"/>
      <c r="J10" s="9"/>
      <c r="K10" s="9"/>
      <c r="L10" s="9">
        <v>156.13999999999999</v>
      </c>
      <c r="M10" s="9">
        <v>162.75</v>
      </c>
      <c r="N10" s="9">
        <v>475.03</v>
      </c>
    </row>
    <row r="11" spans="1:14" x14ac:dyDescent="0.25">
      <c r="A11" s="7" t="s">
        <v>10</v>
      </c>
      <c r="B11" s="9">
        <v>217.66</v>
      </c>
      <c r="C11" s="9">
        <v>228.62</v>
      </c>
      <c r="D11" s="9">
        <v>358.32</v>
      </c>
      <c r="E11" s="9">
        <v>308.72000000000003</v>
      </c>
      <c r="F11" s="9">
        <v>433.18</v>
      </c>
      <c r="G11" s="9">
        <v>358.32</v>
      </c>
      <c r="H11" s="9">
        <v>308.72000000000003</v>
      </c>
      <c r="I11" s="9">
        <v>433.18</v>
      </c>
      <c r="J11" s="9">
        <v>357.29</v>
      </c>
      <c r="K11" s="9">
        <v>308.72000000000003</v>
      </c>
      <c r="L11" s="9">
        <v>1100.22</v>
      </c>
      <c r="M11" s="9">
        <v>433.18</v>
      </c>
      <c r="N11" s="9">
        <v>4846.1299999999992</v>
      </c>
    </row>
    <row r="12" spans="1:14" x14ac:dyDescent="0.25">
      <c r="A12" s="8" t="s">
        <v>9</v>
      </c>
      <c r="B12" s="9">
        <v>63</v>
      </c>
      <c r="C12" s="9">
        <v>75.709999999999994</v>
      </c>
      <c r="D12" s="9">
        <v>61</v>
      </c>
      <c r="E12" s="9">
        <v>37.44</v>
      </c>
      <c r="F12" s="9">
        <v>61</v>
      </c>
      <c r="G12" s="9">
        <v>61</v>
      </c>
      <c r="H12" s="9">
        <v>37.44</v>
      </c>
      <c r="I12" s="9">
        <v>61</v>
      </c>
      <c r="J12" s="9">
        <v>59.97</v>
      </c>
      <c r="K12" s="9">
        <v>37.44</v>
      </c>
      <c r="L12" s="9">
        <v>159.44</v>
      </c>
      <c r="M12" s="9">
        <v>61</v>
      </c>
      <c r="N12" s="9">
        <v>775.44</v>
      </c>
    </row>
    <row r="13" spans="1:14" x14ac:dyDescent="0.25">
      <c r="A13" s="8" t="s">
        <v>11</v>
      </c>
      <c r="B13" s="9">
        <v>81</v>
      </c>
      <c r="C13" s="9">
        <v>39.36</v>
      </c>
      <c r="D13" s="9">
        <v>99</v>
      </c>
      <c r="E13" s="9">
        <v>52.02</v>
      </c>
      <c r="F13" s="9">
        <v>180.6</v>
      </c>
      <c r="G13" s="9">
        <v>99</v>
      </c>
      <c r="H13" s="9">
        <v>52.02</v>
      </c>
      <c r="I13" s="9">
        <v>180.6</v>
      </c>
      <c r="J13" s="9">
        <v>99</v>
      </c>
      <c r="K13" s="9">
        <v>52.02</v>
      </c>
      <c r="L13" s="9">
        <v>331.62</v>
      </c>
      <c r="M13" s="9">
        <v>180.6</v>
      </c>
      <c r="N13" s="9">
        <v>1446.84</v>
      </c>
    </row>
    <row r="14" spans="1:14" x14ac:dyDescent="0.25">
      <c r="A14" s="8" t="s">
        <v>12</v>
      </c>
      <c r="B14" s="9">
        <v>38.89</v>
      </c>
      <c r="C14" s="9">
        <v>51.8</v>
      </c>
      <c r="D14" s="9">
        <v>99.9</v>
      </c>
      <c r="E14" s="9">
        <v>42.14</v>
      </c>
      <c r="F14" s="9">
        <v>38.4</v>
      </c>
      <c r="G14" s="9">
        <v>99.9</v>
      </c>
      <c r="H14" s="9">
        <v>42.14</v>
      </c>
      <c r="I14" s="9">
        <v>38.4</v>
      </c>
      <c r="J14" s="9">
        <v>99.9</v>
      </c>
      <c r="K14" s="9">
        <v>42.14</v>
      </c>
      <c r="L14" s="9">
        <v>180.44</v>
      </c>
      <c r="M14" s="9">
        <v>38.4</v>
      </c>
      <c r="N14" s="9">
        <v>812.44999999999993</v>
      </c>
    </row>
    <row r="15" spans="1:14" x14ac:dyDescent="0.25">
      <c r="A15" s="8" t="s">
        <v>13</v>
      </c>
      <c r="B15" s="9">
        <v>34.770000000000003</v>
      </c>
      <c r="C15" s="9">
        <v>61.75</v>
      </c>
      <c r="D15" s="9">
        <v>98.42</v>
      </c>
      <c r="E15" s="9">
        <v>177.12</v>
      </c>
      <c r="F15" s="9">
        <v>153.18</v>
      </c>
      <c r="G15" s="9">
        <v>98.42</v>
      </c>
      <c r="H15" s="9">
        <v>177.12</v>
      </c>
      <c r="I15" s="9">
        <v>153.18</v>
      </c>
      <c r="J15" s="9">
        <v>98.42</v>
      </c>
      <c r="K15" s="9">
        <v>177.12</v>
      </c>
      <c r="L15" s="9">
        <v>428.72</v>
      </c>
      <c r="M15" s="9">
        <v>153.18</v>
      </c>
      <c r="N15" s="9">
        <v>1811.4</v>
      </c>
    </row>
    <row r="16" spans="1:14" x14ac:dyDescent="0.25">
      <c r="A16" s="7" t="s">
        <v>32</v>
      </c>
      <c r="B16" s="9">
        <v>257.14</v>
      </c>
      <c r="C16" s="9">
        <v>289.62</v>
      </c>
      <c r="D16" s="9">
        <v>423.75000000000006</v>
      </c>
      <c r="E16" s="9">
        <v>472.38</v>
      </c>
      <c r="F16" s="9">
        <v>595.93000000000006</v>
      </c>
      <c r="G16" s="9">
        <v>514.45999999999992</v>
      </c>
      <c r="H16" s="9">
        <v>474.72</v>
      </c>
      <c r="I16" s="9">
        <v>595.93000000000006</v>
      </c>
      <c r="J16" s="9">
        <v>513.42999999999995</v>
      </c>
      <c r="K16" s="9">
        <v>474.72</v>
      </c>
      <c r="L16" s="9">
        <v>1585.11</v>
      </c>
      <c r="M16" s="9">
        <v>595.93000000000006</v>
      </c>
      <c r="N16" s="9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tabSelected="1" workbookViewId="0"/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6" t="s">
        <v>48</v>
      </c>
      <c r="B3" s="6" t="s">
        <v>33</v>
      </c>
    </row>
    <row r="4" spans="1:16" x14ac:dyDescent="0.25">
      <c r="A4" s="6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7" t="s">
        <v>5</v>
      </c>
      <c r="B5" s="9">
        <v>1594</v>
      </c>
      <c r="C5" s="9">
        <v>1644</v>
      </c>
      <c r="D5" s="9">
        <v>788</v>
      </c>
      <c r="E5" s="9">
        <v>1985</v>
      </c>
      <c r="F5" s="9"/>
      <c r="G5" s="9">
        <v>1721</v>
      </c>
      <c r="H5" s="9">
        <v>1591</v>
      </c>
      <c r="I5" s="9">
        <v>2042</v>
      </c>
      <c r="J5" s="9">
        <v>1765.9999999999998</v>
      </c>
      <c r="K5" s="9">
        <v>1021.9999999999999</v>
      </c>
      <c r="L5" s="9">
        <v>1613</v>
      </c>
      <c r="M5" s="9">
        <v>962.99999999999989</v>
      </c>
      <c r="N5" s="9">
        <v>869</v>
      </c>
      <c r="O5" s="9"/>
      <c r="P5" s="9">
        <v>17598</v>
      </c>
    </row>
    <row r="6" spans="1:16" x14ac:dyDescent="0.25">
      <c r="A6" s="8" t="s">
        <v>4</v>
      </c>
      <c r="B6" s="9">
        <v>833</v>
      </c>
      <c r="C6" s="9"/>
      <c r="D6" s="9"/>
      <c r="E6" s="9"/>
      <c r="F6" s="9"/>
      <c r="G6" s="9">
        <v>954.99999999999989</v>
      </c>
      <c r="H6" s="9"/>
      <c r="I6" s="9"/>
      <c r="J6" s="9"/>
      <c r="K6" s="9">
        <v>1021.9999999999999</v>
      </c>
      <c r="L6" s="9"/>
      <c r="M6" s="9"/>
      <c r="N6" s="9"/>
      <c r="O6" s="9"/>
      <c r="P6" s="9">
        <v>2810</v>
      </c>
    </row>
    <row r="7" spans="1:16" x14ac:dyDescent="0.25">
      <c r="A7" s="8" t="s">
        <v>6</v>
      </c>
      <c r="B7" s="9"/>
      <c r="C7" s="9"/>
      <c r="D7" s="9"/>
      <c r="E7" s="9">
        <v>1985</v>
      </c>
      <c r="F7" s="9"/>
      <c r="G7" s="9"/>
      <c r="H7" s="9"/>
      <c r="I7" s="9">
        <v>2042</v>
      </c>
      <c r="J7" s="9"/>
      <c r="K7" s="9"/>
      <c r="L7" s="9"/>
      <c r="M7" s="9"/>
      <c r="N7" s="9"/>
      <c r="O7" s="9"/>
      <c r="P7" s="9">
        <v>4027</v>
      </c>
    </row>
    <row r="8" spans="1:16" x14ac:dyDescent="0.25">
      <c r="A8" s="8" t="s">
        <v>7</v>
      </c>
      <c r="B8" s="9">
        <v>761</v>
      </c>
      <c r="C8" s="9"/>
      <c r="D8" s="9">
        <v>788</v>
      </c>
      <c r="E8" s="9"/>
      <c r="F8" s="9"/>
      <c r="G8" s="9"/>
      <c r="H8" s="9"/>
      <c r="I8" s="9"/>
      <c r="J8" s="9"/>
      <c r="K8" s="9"/>
      <c r="L8" s="9"/>
      <c r="M8" s="9">
        <v>962.99999999999989</v>
      </c>
      <c r="N8" s="9"/>
      <c r="O8" s="9"/>
      <c r="P8" s="9">
        <v>2512</v>
      </c>
    </row>
    <row r="9" spans="1:16" x14ac:dyDescent="0.25">
      <c r="A9" s="8" t="s">
        <v>8</v>
      </c>
      <c r="B9" s="9"/>
      <c r="C9" s="9">
        <v>1644</v>
      </c>
      <c r="D9" s="9"/>
      <c r="E9" s="9"/>
      <c r="F9" s="9"/>
      <c r="G9" s="9"/>
      <c r="H9" s="9">
        <v>1591</v>
      </c>
      <c r="I9" s="9"/>
      <c r="J9" s="9">
        <v>1765.9999999999998</v>
      </c>
      <c r="K9" s="9"/>
      <c r="L9" s="9">
        <v>1613</v>
      </c>
      <c r="M9" s="9"/>
      <c r="N9" s="9"/>
      <c r="O9" s="9"/>
      <c r="P9" s="9">
        <v>6614</v>
      </c>
    </row>
    <row r="10" spans="1:16" x14ac:dyDescent="0.25">
      <c r="A10" s="8" t="s">
        <v>15</v>
      </c>
      <c r="B10" s="9"/>
      <c r="C10" s="9"/>
      <c r="D10" s="9"/>
      <c r="E10" s="9"/>
      <c r="F10" s="9"/>
      <c r="G10" s="9">
        <v>766</v>
      </c>
      <c r="H10" s="9"/>
      <c r="I10" s="9"/>
      <c r="J10" s="9"/>
      <c r="K10" s="9"/>
      <c r="L10" s="9"/>
      <c r="M10" s="9"/>
      <c r="N10" s="9">
        <v>869</v>
      </c>
      <c r="O10" s="9"/>
      <c r="P10" s="9">
        <v>1635</v>
      </c>
    </row>
    <row r="11" spans="1:16" x14ac:dyDescent="0.25">
      <c r="A11" s="7" t="s">
        <v>10</v>
      </c>
      <c r="B11" s="9"/>
      <c r="C11" s="9">
        <v>704.9</v>
      </c>
      <c r="D11" s="9">
        <v>991.52</v>
      </c>
      <c r="E11" s="9">
        <v>551.46</v>
      </c>
      <c r="F11" s="9">
        <v>635.83000000000004</v>
      </c>
      <c r="G11" s="9"/>
      <c r="H11" s="9">
        <v>679.05</v>
      </c>
      <c r="I11" s="9">
        <v>191.74</v>
      </c>
      <c r="J11" s="9">
        <v>972.57999999999993</v>
      </c>
      <c r="K11" s="9">
        <v>268.2</v>
      </c>
      <c r="L11" s="9">
        <v>971.15</v>
      </c>
      <c r="M11" s="9">
        <v>430.65000000000003</v>
      </c>
      <c r="N11" s="9">
        <v>716.15</v>
      </c>
      <c r="O11" s="9">
        <v>2079.8000000000002</v>
      </c>
      <c r="P11" s="9">
        <v>9193.0299999999988</v>
      </c>
    </row>
    <row r="12" spans="1:16" x14ac:dyDescent="0.25">
      <c r="A12" s="8" t="s">
        <v>9</v>
      </c>
      <c r="B12" s="9"/>
      <c r="C12" s="9"/>
      <c r="D12" s="9"/>
      <c r="E12" s="9">
        <v>551.46</v>
      </c>
      <c r="F12" s="9"/>
      <c r="G12" s="9"/>
      <c r="H12" s="9"/>
      <c r="I12" s="9">
        <v>191.74</v>
      </c>
      <c r="J12" s="9"/>
      <c r="K12" s="9"/>
      <c r="L12" s="9">
        <v>971.15</v>
      </c>
      <c r="M12" s="9"/>
      <c r="N12" s="9"/>
      <c r="O12" s="9"/>
      <c r="P12" s="9">
        <v>1714.35</v>
      </c>
    </row>
    <row r="13" spans="1:16" x14ac:dyDescent="0.25">
      <c r="A13" s="8" t="s">
        <v>11</v>
      </c>
      <c r="B13" s="9"/>
      <c r="C13" s="9">
        <v>704.9</v>
      </c>
      <c r="D13" s="9"/>
      <c r="E13" s="9"/>
      <c r="F13" s="9">
        <v>242.68</v>
      </c>
      <c r="G13" s="9"/>
      <c r="H13" s="9"/>
      <c r="I13" s="9"/>
      <c r="J13" s="9">
        <v>972.57999999999993</v>
      </c>
      <c r="K13" s="9"/>
      <c r="L13" s="9"/>
      <c r="M13" s="9">
        <v>430.65000000000003</v>
      </c>
      <c r="N13" s="9"/>
      <c r="O13" s="9"/>
      <c r="P13" s="9">
        <v>2350.81</v>
      </c>
    </row>
    <row r="14" spans="1:16" x14ac:dyDescent="0.25">
      <c r="A14" s="8" t="s">
        <v>12</v>
      </c>
      <c r="B14" s="9"/>
      <c r="C14" s="9"/>
      <c r="D14" s="9">
        <v>991.52</v>
      </c>
      <c r="E14" s="9"/>
      <c r="F14" s="9"/>
      <c r="G14" s="9"/>
      <c r="H14" s="9">
        <v>679.05</v>
      </c>
      <c r="I14" s="9"/>
      <c r="J14" s="9"/>
      <c r="K14" s="9">
        <v>268.2</v>
      </c>
      <c r="L14" s="9"/>
      <c r="M14" s="9"/>
      <c r="N14" s="9"/>
      <c r="O14" s="9">
        <v>553.79999999999995</v>
      </c>
      <c r="P14" s="9">
        <v>2492.5699999999997</v>
      </c>
    </row>
    <row r="15" spans="1:16" x14ac:dyDescent="0.25">
      <c r="A15" s="8" t="s">
        <v>13</v>
      </c>
      <c r="B15" s="9"/>
      <c r="C15" s="9"/>
      <c r="D15" s="9"/>
      <c r="E15" s="9"/>
      <c r="F15" s="9">
        <v>393.15000000000003</v>
      </c>
      <c r="G15" s="9"/>
      <c r="H15" s="9"/>
      <c r="I15" s="9"/>
      <c r="J15" s="9"/>
      <c r="K15" s="9"/>
      <c r="L15" s="9"/>
      <c r="M15" s="9"/>
      <c r="N15" s="9">
        <v>716.15</v>
      </c>
      <c r="O15" s="9">
        <v>1526</v>
      </c>
      <c r="P15" s="9">
        <v>2635.3</v>
      </c>
    </row>
    <row r="16" spans="1:16" x14ac:dyDescent="0.25">
      <c r="A16" s="7" t="s">
        <v>32</v>
      </c>
      <c r="B16" s="9">
        <v>1594</v>
      </c>
      <c r="C16" s="9">
        <v>2348.9</v>
      </c>
      <c r="D16" s="9">
        <v>1779.52</v>
      </c>
      <c r="E16" s="9">
        <v>2536.46</v>
      </c>
      <c r="F16" s="9">
        <v>635.83000000000004</v>
      </c>
      <c r="G16" s="9">
        <v>1721</v>
      </c>
      <c r="H16" s="9">
        <v>2270.0500000000002</v>
      </c>
      <c r="I16" s="9">
        <v>2233.7399999999998</v>
      </c>
      <c r="J16" s="9">
        <v>2738.58</v>
      </c>
      <c r="K16" s="9">
        <v>1290.1999999999998</v>
      </c>
      <c r="L16" s="9">
        <v>2584.15</v>
      </c>
      <c r="M16" s="9">
        <v>1393.6499999999999</v>
      </c>
      <c r="N16" s="9">
        <v>1585.15</v>
      </c>
      <c r="O16" s="9">
        <v>2079.8000000000002</v>
      </c>
      <c r="P16" s="9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" zoomScaleNormal="100" workbookViewId="0">
      <selection activeCell="A2" sqref="A2"/>
    </sheetView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4">
        <f>TbAportes[[#This Row],[Valor unitário]]*TbAportes[[#This Row],[Qte]]+TbAportes[[#This Row],[Custo]]</f>
        <v>761</v>
      </c>
      <c r="G2" s="5" t="str">
        <f>VLOOKUP(TbAportes[[#This Row],[Ativo]],TbAtivos!$B$4:$D$500,2,FALSE)</f>
        <v>EMPRESA</v>
      </c>
      <c r="H2" s="5">
        <f>YEAR(TbAportes[[#This Row],[Data]])</f>
        <v>2018</v>
      </c>
      <c r="I2" s="5">
        <f>MONTH(TbAportes[[#This Row],[Data]])</f>
        <v>12</v>
      </c>
      <c r="J2" s="5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4">
        <f>TbAportes[[#This Row],[Valor unitário]]*TbAportes[[#This Row],[Qte]]+TbAportes[[#This Row],[Custo]]</f>
        <v>833</v>
      </c>
      <c r="G3" s="5" t="str">
        <f>VLOOKUP(TbAportes[[#This Row],[Ativo]],TbAtivos!$B$4:$D$500,2,FALSE)</f>
        <v>EMPRESA</v>
      </c>
      <c r="H3" s="5">
        <f>YEAR(TbAportes[[#This Row],[Data]])</f>
        <v>2018</v>
      </c>
      <c r="I3" s="5">
        <f>MONTH(TbAportes[[#This Row],[Data]])</f>
        <v>12</v>
      </c>
      <c r="J3" s="5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4">
        <f>TbAportes[[#This Row],[Valor unitário]]*TbAportes[[#This Row],[Qte]]+TbAportes[[#This Row],[Custo]]</f>
        <v>1644</v>
      </c>
      <c r="G4" s="5" t="str">
        <f>VLOOKUP(TbAportes[[#This Row],[Ativo]],TbAtivos!$B$4:$D$500,2,FALSE)</f>
        <v>EMPRESA</v>
      </c>
      <c r="H4" s="5">
        <f>YEAR(TbAportes[[#This Row],[Data]])</f>
        <v>2019</v>
      </c>
      <c r="I4" s="5">
        <f>MONTH(TbAportes[[#This Row],[Data]])</f>
        <v>1</v>
      </c>
      <c r="J4" s="5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4">
        <f>TbAportes[[#This Row],[Valor unitário]]*TbAportes[[#This Row],[Qte]]+TbAportes[[#This Row],[Custo]]</f>
        <v>704.9</v>
      </c>
      <c r="G5" s="5" t="str">
        <f>VLOOKUP(TbAportes[[#This Row],[Ativo]],TbAtivos!$B$4:$D$500,2,FALSE)</f>
        <v>FII</v>
      </c>
      <c r="H5" s="5">
        <f>YEAR(TbAportes[[#This Row],[Data]])</f>
        <v>2019</v>
      </c>
      <c r="I5" s="5">
        <f>MONTH(TbAportes[[#This Row],[Data]])</f>
        <v>1</v>
      </c>
      <c r="J5" s="5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4">
        <f>TbAportes[[#This Row],[Valor unitário]]*TbAportes[[#This Row],[Qte]]+TbAportes[[#This Row],[Custo]]</f>
        <v>788</v>
      </c>
      <c r="G6" s="5" t="str">
        <f>VLOOKUP(TbAportes[[#This Row],[Ativo]],TbAtivos!$B$4:$D$500,2,FALSE)</f>
        <v>EMPRESA</v>
      </c>
      <c r="H6" s="5">
        <f>YEAR(TbAportes[[#This Row],[Data]])</f>
        <v>2019</v>
      </c>
      <c r="I6" s="5">
        <f>MONTH(TbAportes[[#This Row],[Data]])</f>
        <v>2</v>
      </c>
      <c r="J6" s="5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4">
        <f>TbAportes[[#This Row],[Valor unitário]]*TbAportes[[#This Row],[Qte]]+TbAportes[[#This Row],[Custo]]</f>
        <v>991.52</v>
      </c>
      <c r="G7" s="5" t="str">
        <f>VLOOKUP(TbAportes[[#This Row],[Ativo]],TbAtivos!$B$4:$D$500,2,FALSE)</f>
        <v>FII</v>
      </c>
      <c r="H7" s="5">
        <f>YEAR(TbAportes[[#This Row],[Data]])</f>
        <v>2019</v>
      </c>
      <c r="I7" s="5">
        <f>MONTH(TbAportes[[#This Row],[Data]])</f>
        <v>2</v>
      </c>
      <c r="J7" s="5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4">
        <f>TbAportes[[#This Row],[Valor unitário]]*TbAportes[[#This Row],[Qte]]+TbAportes[[#This Row],[Custo]]</f>
        <v>1985</v>
      </c>
      <c r="G8" s="5" t="str">
        <f>VLOOKUP(TbAportes[[#This Row],[Ativo]],TbAtivos!$B$4:$D$500,2,FALSE)</f>
        <v>EMPRESA</v>
      </c>
      <c r="H8" s="5">
        <f>YEAR(TbAportes[[#This Row],[Data]])</f>
        <v>2019</v>
      </c>
      <c r="I8" s="5">
        <f>MONTH(TbAportes[[#This Row],[Data]])</f>
        <v>3</v>
      </c>
      <c r="J8" s="5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4">
        <f>TbAportes[[#This Row],[Valor unitário]]*TbAportes[[#This Row],[Qte]]+TbAportes[[#This Row],[Custo]]</f>
        <v>551.46</v>
      </c>
      <c r="G9" s="5" t="str">
        <f>VLOOKUP(TbAportes[[#This Row],[Ativo]],TbAtivos!$B$4:$D$500,2,FALSE)</f>
        <v>FII</v>
      </c>
      <c r="H9" s="5">
        <f>YEAR(TbAportes[[#This Row],[Data]])</f>
        <v>2019</v>
      </c>
      <c r="I9" s="5">
        <f>MONTH(TbAportes[[#This Row],[Data]])</f>
        <v>3</v>
      </c>
      <c r="J9" s="5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4">
        <f>TbAportes[[#This Row],[Valor unitário]]*TbAportes[[#This Row],[Qte]]+TbAportes[[#This Row],[Custo]]</f>
        <v>242.68</v>
      </c>
      <c r="G10" s="5" t="str">
        <f>VLOOKUP(TbAportes[[#This Row],[Ativo]],TbAtivos!$B$4:$D$500,2,FALSE)</f>
        <v>FII</v>
      </c>
      <c r="H10" s="5">
        <f>YEAR(TbAportes[[#This Row],[Data]])</f>
        <v>2019</v>
      </c>
      <c r="I10" s="5">
        <f>MONTH(TbAportes[[#This Row],[Data]])</f>
        <v>4</v>
      </c>
      <c r="J10" s="5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4">
        <f>TbAportes[[#This Row],[Valor unitário]]*TbAportes[[#This Row],[Qte]]+TbAportes[[#This Row],[Custo]]</f>
        <v>393.15000000000003</v>
      </c>
      <c r="G11" s="5" t="str">
        <f>VLOOKUP(TbAportes[[#This Row],[Ativo]],TbAtivos!$B$4:$D$500,2,FALSE)</f>
        <v>FII</v>
      </c>
      <c r="H11" s="5">
        <f>YEAR(TbAportes[[#This Row],[Data]])</f>
        <v>2019</v>
      </c>
      <c r="I11" s="5">
        <f>MONTH(TbAportes[[#This Row],[Data]])</f>
        <v>4</v>
      </c>
      <c r="J11" s="5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4">
        <f>TbAportes[[#This Row],[Valor unitário]]*TbAportes[[#This Row],[Qte]]+TbAportes[[#This Row],[Custo]]</f>
        <v>954.99999999999989</v>
      </c>
      <c r="G12" s="5" t="str">
        <f>VLOOKUP(TbAportes[[#This Row],[Ativo]],TbAtivos!$B$4:$D$500,2,FALSE)</f>
        <v>EMPRESA</v>
      </c>
      <c r="H12" s="5">
        <f>YEAR(TbAportes[[#This Row],[Data]])</f>
        <v>2019</v>
      </c>
      <c r="I12" s="5">
        <f>MONTH(TbAportes[[#This Row],[Data]])</f>
        <v>5</v>
      </c>
      <c r="J12" s="5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4">
        <f>TbAportes[[#This Row],[Valor unitário]]*TbAportes[[#This Row],[Qte]]+TbAportes[[#This Row],[Custo]]</f>
        <v>766</v>
      </c>
      <c r="G13" s="5" t="str">
        <f>VLOOKUP(TbAportes[[#This Row],[Ativo]],TbAtivos!$B$4:$D$500,2,FALSE)</f>
        <v>EMPRESA</v>
      </c>
      <c r="H13" s="5">
        <f>YEAR(TbAportes[[#This Row],[Data]])</f>
        <v>2019</v>
      </c>
      <c r="I13" s="5">
        <f>MONTH(TbAportes[[#This Row],[Data]])</f>
        <v>5</v>
      </c>
      <c r="J13" s="5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4">
        <f>TbAportes[[#This Row],[Valor unitário]]*TbAportes[[#This Row],[Qte]]+TbAportes[[#This Row],[Custo]]</f>
        <v>679.05</v>
      </c>
      <c r="G14" s="5" t="str">
        <f>VLOOKUP(TbAportes[[#This Row],[Ativo]],TbAtivos!$B$4:$D$500,2,FALSE)</f>
        <v>FII</v>
      </c>
      <c r="H14" s="5">
        <f>YEAR(TbAportes[[#This Row],[Data]])</f>
        <v>2019</v>
      </c>
      <c r="I14" s="5">
        <f>MONTH(TbAportes[[#This Row],[Data]])</f>
        <v>6</v>
      </c>
      <c r="J14" s="5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4">
        <f>TbAportes[[#This Row],[Valor unitário]]*TbAportes[[#This Row],[Qte]]+TbAportes[[#This Row],[Custo]]</f>
        <v>1591</v>
      </c>
      <c r="G15" s="5" t="str">
        <f>VLOOKUP(TbAportes[[#This Row],[Ativo]],TbAtivos!$B$4:$D$500,2,FALSE)</f>
        <v>EMPRESA</v>
      </c>
      <c r="H15" s="5">
        <f>YEAR(TbAportes[[#This Row],[Data]])</f>
        <v>2019</v>
      </c>
      <c r="I15" s="5">
        <f>MONTH(TbAportes[[#This Row],[Data]])</f>
        <v>6</v>
      </c>
      <c r="J15" s="5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4">
        <f>TbAportes[[#This Row],[Valor unitário]]*TbAportes[[#This Row],[Qte]]+TbAportes[[#This Row],[Custo]]</f>
        <v>2042</v>
      </c>
      <c r="G16" s="5" t="str">
        <f>VLOOKUP(TbAportes[[#This Row],[Ativo]],TbAtivos!$B$4:$D$500,2,FALSE)</f>
        <v>EMPRESA</v>
      </c>
      <c r="H16" s="5">
        <f>YEAR(TbAportes[[#This Row],[Data]])</f>
        <v>2019</v>
      </c>
      <c r="I16" s="5">
        <f>MONTH(TbAportes[[#This Row],[Data]])</f>
        <v>7</v>
      </c>
      <c r="J16" s="5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4">
        <f>TbAportes[[#This Row],[Valor unitário]]*TbAportes[[#This Row],[Qte]]+TbAportes[[#This Row],[Custo]]</f>
        <v>191.74</v>
      </c>
      <c r="G17" s="5" t="str">
        <f>VLOOKUP(TbAportes[[#This Row],[Ativo]],TbAtivos!$B$4:$D$500,2,FALSE)</f>
        <v>FII</v>
      </c>
      <c r="H17" s="5">
        <f>YEAR(TbAportes[[#This Row],[Data]])</f>
        <v>2019</v>
      </c>
      <c r="I17" s="5">
        <f>MONTH(TbAportes[[#This Row],[Data]])</f>
        <v>7</v>
      </c>
      <c r="J17" s="5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4">
        <f>TbAportes[[#This Row],[Valor unitário]]*TbAportes[[#This Row],[Qte]]+TbAportes[[#This Row],[Custo]]</f>
        <v>972.57999999999993</v>
      </c>
      <c r="G18" s="5" t="str">
        <f>VLOOKUP(TbAportes[[#This Row],[Ativo]],TbAtivos!$B$4:$D$500,2,FALSE)</f>
        <v>FII</v>
      </c>
      <c r="H18" s="5">
        <f>YEAR(TbAportes[[#This Row],[Data]])</f>
        <v>2019</v>
      </c>
      <c r="I18" s="5">
        <f>MONTH(TbAportes[[#This Row],[Data]])</f>
        <v>8</v>
      </c>
      <c r="J18" s="5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4">
        <f>TbAportes[[#This Row],[Valor unitário]]*TbAportes[[#This Row],[Qte]]+TbAportes[[#This Row],[Custo]]</f>
        <v>1765.9999999999998</v>
      </c>
      <c r="G19" s="5" t="str">
        <f>VLOOKUP(TbAportes[[#This Row],[Ativo]],TbAtivos!$B$4:$D$500,2,FALSE)</f>
        <v>EMPRESA</v>
      </c>
      <c r="H19" s="5">
        <f>YEAR(TbAportes[[#This Row],[Data]])</f>
        <v>2019</v>
      </c>
      <c r="I19" s="5">
        <f>MONTH(TbAportes[[#This Row],[Data]])</f>
        <v>8</v>
      </c>
      <c r="J19" s="5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4">
        <f>TbAportes[[#This Row],[Valor unitário]]*TbAportes[[#This Row],[Qte]]+TbAportes[[#This Row],[Custo]]</f>
        <v>1021.9999999999999</v>
      </c>
      <c r="G20" s="5" t="str">
        <f>VLOOKUP(TbAportes[[#This Row],[Ativo]],TbAtivos!$B$4:$D$500,2,FALSE)</f>
        <v>EMPRESA</v>
      </c>
      <c r="H20" s="5">
        <f>YEAR(TbAportes[[#This Row],[Data]])</f>
        <v>2019</v>
      </c>
      <c r="I20" s="5">
        <f>MONTH(TbAportes[[#This Row],[Data]])</f>
        <v>9</v>
      </c>
      <c r="J20" s="5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4">
        <f>TbAportes[[#This Row],[Valor unitário]]*TbAportes[[#This Row],[Qte]]+TbAportes[[#This Row],[Custo]]</f>
        <v>268.2</v>
      </c>
      <c r="G21" s="5" t="str">
        <f>VLOOKUP(TbAportes[[#This Row],[Ativo]],TbAtivos!$B$4:$D$500,2,FALSE)</f>
        <v>FII</v>
      </c>
      <c r="H21" s="5">
        <f>YEAR(TbAportes[[#This Row],[Data]])</f>
        <v>2019</v>
      </c>
      <c r="I21" s="5">
        <f>MONTH(TbAportes[[#This Row],[Data]])</f>
        <v>9</v>
      </c>
      <c r="J21" s="5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4">
        <f>TbAportes[[#This Row],[Valor unitário]]*TbAportes[[#This Row],[Qte]]+TbAportes[[#This Row],[Custo]]</f>
        <v>1613</v>
      </c>
      <c r="G22" s="5" t="str">
        <f>VLOOKUP(TbAportes[[#This Row],[Ativo]],TbAtivos!$B$4:$D$500,2,FALSE)</f>
        <v>EMPRESA</v>
      </c>
      <c r="H22" s="5">
        <f>YEAR(TbAportes[[#This Row],[Data]])</f>
        <v>2019</v>
      </c>
      <c r="I22" s="5">
        <f>MONTH(TbAportes[[#This Row],[Data]])</f>
        <v>10</v>
      </c>
      <c r="J22" s="5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4">
        <f>TbAportes[[#This Row],[Valor unitário]]*TbAportes[[#This Row],[Qte]]+TbAportes[[#This Row],[Custo]]</f>
        <v>971.15</v>
      </c>
      <c r="G23" s="5" t="str">
        <f>VLOOKUP(TbAportes[[#This Row],[Ativo]],TbAtivos!$B$4:$D$500,2,FALSE)</f>
        <v>FII</v>
      </c>
      <c r="H23" s="5">
        <f>YEAR(TbAportes[[#This Row],[Data]])</f>
        <v>2019</v>
      </c>
      <c r="I23" s="5">
        <f>MONTH(TbAportes[[#This Row],[Data]])</f>
        <v>10</v>
      </c>
      <c r="J23" s="5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4">
        <f>TbAportes[[#This Row],[Valor unitário]]*TbAportes[[#This Row],[Qte]]+TbAportes[[#This Row],[Custo]]</f>
        <v>962.99999999999989</v>
      </c>
      <c r="G24" s="5" t="str">
        <f>VLOOKUP(TbAportes[[#This Row],[Ativo]],TbAtivos!$B$4:$D$500,2,FALSE)</f>
        <v>EMPRESA</v>
      </c>
      <c r="H24" s="5">
        <f>YEAR(TbAportes[[#This Row],[Data]])</f>
        <v>2019</v>
      </c>
      <c r="I24" s="5">
        <f>MONTH(TbAportes[[#This Row],[Data]])</f>
        <v>11</v>
      </c>
      <c r="J24" s="5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4">
        <f>TbAportes[[#This Row],[Valor unitário]]*TbAportes[[#This Row],[Qte]]+TbAportes[[#This Row],[Custo]]</f>
        <v>430.65000000000003</v>
      </c>
      <c r="G25" s="5" t="str">
        <f>VLOOKUP(TbAportes[[#This Row],[Ativo]],TbAtivos!$B$4:$D$500,2,FALSE)</f>
        <v>FII</v>
      </c>
      <c r="H25" s="5">
        <f>YEAR(TbAportes[[#This Row],[Data]])</f>
        <v>2019</v>
      </c>
      <c r="I25" s="5">
        <f>MONTH(TbAportes[[#This Row],[Data]])</f>
        <v>11</v>
      </c>
      <c r="J25" s="5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4">
        <f>TbAportes[[#This Row],[Valor unitário]]*TbAportes[[#This Row],[Qte]]+TbAportes[[#This Row],[Custo]]</f>
        <v>716.15</v>
      </c>
      <c r="G26" s="5" t="str">
        <f>VLOOKUP(TbAportes[[#This Row],[Ativo]],TbAtivos!$B$4:$D$500,2,FALSE)</f>
        <v>FII</v>
      </c>
      <c r="H26" s="5">
        <f>YEAR(TbAportes[[#This Row],[Data]])</f>
        <v>2019</v>
      </c>
      <c r="I26" s="5">
        <f>MONTH(TbAportes[[#This Row],[Data]])</f>
        <v>12</v>
      </c>
      <c r="J26" s="5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4">
        <f>TbAportes[[#This Row],[Valor unitário]]*TbAportes[[#This Row],[Qte]]+TbAportes[[#This Row],[Custo]]</f>
        <v>869</v>
      </c>
      <c r="G27" s="5" t="str">
        <f>VLOOKUP(TbAportes[[#This Row],[Ativo]],TbAtivos!$B$4:$D$500,2,FALSE)</f>
        <v>EMPRESA</v>
      </c>
      <c r="H27" s="5">
        <f>YEAR(TbAportes[[#This Row],[Data]])</f>
        <v>2019</v>
      </c>
      <c r="I27" s="5">
        <f>MONTH(TbAportes[[#This Row],[Data]])</f>
        <v>12</v>
      </c>
      <c r="J27" s="5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4">
        <f>TbAportes[[#This Row],[Valor unitário]]*TbAportes[[#This Row],[Qte]]+TbAportes[[#This Row],[Custo]]</f>
        <v>1526</v>
      </c>
      <c r="G28" s="5" t="str">
        <f>VLOOKUP(TbAportes[[#This Row],[Ativo]],TbAtivos!$B$4:$D$500,2,FALSE)</f>
        <v>FII</v>
      </c>
      <c r="H28" s="5">
        <f>YEAR(TbAportes[[#This Row],[Data]])</f>
        <v>2020</v>
      </c>
      <c r="I28" s="5">
        <f>MONTH(TbAportes[[#This Row],[Data]])</f>
        <v>1</v>
      </c>
      <c r="J28" s="5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4">
        <f>TbAportes[[#This Row],[Valor unitário]]*TbAportes[[#This Row],[Qte]]+TbAportes[[#This Row],[Custo]]</f>
        <v>553.79999999999995</v>
      </c>
      <c r="G29" s="5" t="str">
        <f>VLOOKUP(TbAportes[[#This Row],[Ativo]],TbAtivos!$B$4:$D$500,2,FALSE)</f>
        <v>FII</v>
      </c>
      <c r="H29" s="5">
        <f>YEAR(TbAportes[[#This Row],[Data]])</f>
        <v>2020</v>
      </c>
      <c r="I29" s="5">
        <f>MONTH(TbAportes[[#This Row],[Data]])</f>
        <v>1</v>
      </c>
      <c r="J29" s="5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>
      <selection activeCell="A2" sqref="A2"/>
    </sheetView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2" t="str">
        <f>CONCATENATE(YEAR(TbProventos[[#This Row],[Data]]),"/",IF(MONTH(TbProventos[[#This Row],[Data]])&lt;10,"0",""),MONTH(TbProventos[[#This Row],[Data]]))</f>
        <v>2018/12</v>
      </c>
      <c r="I2" s="2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2" t="str">
        <f>CONCATENATE(YEAR(TbProventos[[#This Row],[Data]]),"/",IF(MONTH(TbProventos[[#This Row],[Data]])&lt;10,"0",""),MONTH(TbProventos[[#This Row],[Data]]))</f>
        <v>2018/12</v>
      </c>
      <c r="I3" s="2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2" t="str">
        <f>CONCATENATE(YEAR(TbProventos[[#This Row],[Data]]),"/",IF(MONTH(TbProventos[[#This Row],[Data]])&lt;10,"0",""),MONTH(TbProventos[[#This Row],[Data]]))</f>
        <v>2018/12</v>
      </c>
      <c r="I4" s="2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2" t="str">
        <f>CONCATENATE(YEAR(TbProventos[[#This Row],[Data]]),"/",IF(MONTH(TbProventos[[#This Row],[Data]])&lt;10,"0",""),MONTH(TbProventos[[#This Row],[Data]]))</f>
        <v>2018/12</v>
      </c>
      <c r="I5" s="2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2" t="str">
        <f>CONCATENATE(YEAR(TbProventos[[#This Row],[Data]]),"/",IF(MONTH(TbProventos[[#This Row],[Data]])&lt;10,"0",""),MONTH(TbProventos[[#This Row],[Data]]))</f>
        <v>2018/12</v>
      </c>
      <c r="I6" s="2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2" t="str">
        <f>CONCATENATE(YEAR(TbProventos[[#This Row],[Data]]),"/",IF(MONTH(TbProventos[[#This Row],[Data]])&lt;10,"0",""),MONTH(TbProventos[[#This Row],[Data]]))</f>
        <v>2019/01</v>
      </c>
      <c r="I7" s="2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2" t="str">
        <f>CONCATENATE(YEAR(TbProventos[[#This Row],[Data]]),"/",IF(MONTH(TbProventos[[#This Row],[Data]])&lt;10,"0",""),MONTH(TbProventos[[#This Row],[Data]]))</f>
        <v>2019/01</v>
      </c>
      <c r="I8" s="2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2" t="str">
        <f>CONCATENATE(YEAR(TbProventos[[#This Row],[Data]]),"/",IF(MONTH(TbProventos[[#This Row],[Data]])&lt;10,"0",""),MONTH(TbProventos[[#This Row],[Data]]))</f>
        <v>2019/01</v>
      </c>
      <c r="I9" s="2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2" t="str">
        <f>CONCATENATE(YEAR(TbProventos[[#This Row],[Data]]),"/",IF(MONTH(TbProventos[[#This Row],[Data]])&lt;10,"0",""),MONTH(TbProventos[[#This Row],[Data]]))</f>
        <v>2019/01</v>
      </c>
      <c r="I10" s="2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2" t="str">
        <f>CONCATENATE(YEAR(TbProventos[[#This Row],[Data]]),"/",IF(MONTH(TbProventos[[#This Row],[Data]])&lt;10,"0",""),MONTH(TbProventos[[#This Row],[Data]]))</f>
        <v>2019/01</v>
      </c>
      <c r="I11" s="2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2" t="str">
        <f>CONCATENATE(YEAR(TbProventos[[#This Row],[Data]]),"/",IF(MONTH(TbProventos[[#This Row],[Data]])&lt;10,"0",""),MONTH(TbProventos[[#This Row],[Data]]))</f>
        <v>2019/02</v>
      </c>
      <c r="I12" s="2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2" t="str">
        <f>CONCATENATE(YEAR(TbProventos[[#This Row],[Data]]),"/",IF(MONTH(TbProventos[[#This Row],[Data]])&lt;10,"0",""),MONTH(TbProventos[[#This Row],[Data]]))</f>
        <v>2019/02</v>
      </c>
      <c r="I13" s="2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2" t="str">
        <f>CONCATENATE(YEAR(TbProventos[[#This Row],[Data]]),"/",IF(MONTH(TbProventos[[#This Row],[Data]])&lt;10,"0",""),MONTH(TbProventos[[#This Row],[Data]]))</f>
        <v>2019/02</v>
      </c>
      <c r="I14" s="2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2" t="str">
        <f>CONCATENATE(YEAR(TbProventos[[#This Row],[Data]]),"/",IF(MONTH(TbProventos[[#This Row],[Data]])&lt;10,"0",""),MONTH(TbProventos[[#This Row],[Data]]))</f>
        <v>2019/02</v>
      </c>
      <c r="I15" s="2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2" t="str">
        <f>CONCATENATE(YEAR(TbProventos[[#This Row],[Data]]),"/",IF(MONTH(TbProventos[[#This Row],[Data]])&lt;10,"0",""),MONTH(TbProventos[[#This Row],[Data]]))</f>
        <v>2019/02</v>
      </c>
      <c r="I16" s="2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2" t="str">
        <f>CONCATENATE(YEAR(TbProventos[[#This Row],[Data]]),"/",IF(MONTH(TbProventos[[#This Row],[Data]])&lt;10,"0",""),MONTH(TbProventos[[#This Row],[Data]]))</f>
        <v>2019/02</v>
      </c>
      <c r="I17" s="2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2" t="str">
        <f>CONCATENATE(YEAR(TbProventos[[#This Row],[Data]]),"/",IF(MONTH(TbProventos[[#This Row],[Data]])&lt;10,"0",""),MONTH(TbProventos[[#This Row],[Data]]))</f>
        <v>2019/03</v>
      </c>
      <c r="I18" s="2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2" t="str">
        <f>CONCATENATE(YEAR(TbProventos[[#This Row],[Data]]),"/",IF(MONTH(TbProventos[[#This Row],[Data]])&lt;10,"0",""),MONTH(TbProventos[[#This Row],[Data]]))</f>
        <v>2019/03</v>
      </c>
      <c r="I19" s="2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2" t="str">
        <f>CONCATENATE(YEAR(TbProventos[[#This Row],[Data]]),"/",IF(MONTH(TbProventos[[#This Row],[Data]])&lt;10,"0",""),MONTH(TbProventos[[#This Row],[Data]]))</f>
        <v>2019/03</v>
      </c>
      <c r="I20" s="2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2" t="str">
        <f>CONCATENATE(YEAR(TbProventos[[#This Row],[Data]]),"/",IF(MONTH(TbProventos[[#This Row],[Data]])&lt;10,"0",""),MONTH(TbProventos[[#This Row],[Data]]))</f>
        <v>2019/03</v>
      </c>
      <c r="I21" s="2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2" t="str">
        <f>CONCATENATE(YEAR(TbProventos[[#This Row],[Data]]),"/",IF(MONTH(TbProventos[[#This Row],[Data]])&lt;10,"0",""),MONTH(TbProventos[[#This Row],[Data]]))</f>
        <v>2019/03</v>
      </c>
      <c r="I22" s="2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2" t="str">
        <f>CONCATENATE(YEAR(TbProventos[[#This Row],[Data]]),"/",IF(MONTH(TbProventos[[#This Row],[Data]])&lt;10,"0",""),MONTH(TbProventos[[#This Row],[Data]]))</f>
        <v>2019/04</v>
      </c>
      <c r="I23" s="2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2" t="str">
        <f>CONCATENATE(YEAR(TbProventos[[#This Row],[Data]]),"/",IF(MONTH(TbProventos[[#This Row],[Data]])&lt;10,"0",""),MONTH(TbProventos[[#This Row],[Data]]))</f>
        <v>2019/04</v>
      </c>
      <c r="I24" s="2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2" t="str">
        <f>CONCATENATE(YEAR(TbProventos[[#This Row],[Data]]),"/",IF(MONTH(TbProventos[[#This Row],[Data]])&lt;10,"0",""),MONTH(TbProventos[[#This Row],[Data]]))</f>
        <v>2019/04</v>
      </c>
      <c r="I25" s="2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2" t="str">
        <f>CONCATENATE(YEAR(TbProventos[[#This Row],[Data]]),"/",IF(MONTH(TbProventos[[#This Row],[Data]])&lt;10,"0",""),MONTH(TbProventos[[#This Row],[Data]]))</f>
        <v>2019/04</v>
      </c>
      <c r="I26" s="2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2" t="str">
        <f>CONCATENATE(YEAR(TbProventos[[#This Row],[Data]]),"/",IF(MONTH(TbProventos[[#This Row],[Data]])&lt;10,"0",""),MONTH(TbProventos[[#This Row],[Data]]))</f>
        <v>2019/04</v>
      </c>
      <c r="I27" s="2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2" t="str">
        <f>CONCATENATE(YEAR(TbProventos[[#This Row],[Data]]),"/",IF(MONTH(TbProventos[[#This Row],[Data]])&lt;10,"0",""),MONTH(TbProventos[[#This Row],[Data]]))</f>
        <v>2019/05</v>
      </c>
      <c r="I28" s="2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2" t="str">
        <f>CONCATENATE(YEAR(TbProventos[[#This Row],[Data]]),"/",IF(MONTH(TbProventos[[#This Row],[Data]])&lt;10,"0",""),MONTH(TbProventos[[#This Row],[Data]]))</f>
        <v>2019/05</v>
      </c>
      <c r="I29" s="2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2" t="str">
        <f>CONCATENATE(YEAR(TbProventos[[#This Row],[Data]]),"/",IF(MONTH(TbProventos[[#This Row],[Data]])&lt;10,"0",""),MONTH(TbProventos[[#This Row],[Data]]))</f>
        <v>2019/05</v>
      </c>
      <c r="I30" s="2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2" t="str">
        <f>CONCATENATE(YEAR(TbProventos[[#This Row],[Data]]),"/",IF(MONTH(TbProventos[[#This Row],[Data]])&lt;10,"0",""),MONTH(TbProventos[[#This Row],[Data]]))</f>
        <v>2019/05</v>
      </c>
      <c r="I31" s="2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2" t="str">
        <f>CONCATENATE(YEAR(TbProventos[[#This Row],[Data]]),"/",IF(MONTH(TbProventos[[#This Row],[Data]])&lt;10,"0",""),MONTH(TbProventos[[#This Row],[Data]]))</f>
        <v>2019/05</v>
      </c>
      <c r="I32" s="2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2" t="str">
        <f>CONCATENATE(YEAR(TbProventos[[#This Row],[Data]]),"/",IF(MONTH(TbProventos[[#This Row],[Data]])&lt;10,"0",""),MONTH(TbProventos[[#This Row],[Data]]))</f>
        <v>2019/06</v>
      </c>
      <c r="I33" s="2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2" t="str">
        <f>CONCATENATE(YEAR(TbProventos[[#This Row],[Data]]),"/",IF(MONTH(TbProventos[[#This Row],[Data]])&lt;10,"0",""),MONTH(TbProventos[[#This Row],[Data]]))</f>
        <v>2019/06</v>
      </c>
      <c r="I34" s="2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2" t="str">
        <f>CONCATENATE(YEAR(TbProventos[[#This Row],[Data]]),"/",IF(MONTH(TbProventos[[#This Row],[Data]])&lt;10,"0",""),MONTH(TbProventos[[#This Row],[Data]]))</f>
        <v>2019/06</v>
      </c>
      <c r="I35" s="2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2" t="str">
        <f>CONCATENATE(YEAR(TbProventos[[#This Row],[Data]]),"/",IF(MONTH(TbProventos[[#This Row],[Data]])&lt;10,"0",""),MONTH(TbProventos[[#This Row],[Data]]))</f>
        <v>2019/06</v>
      </c>
      <c r="I36" s="2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2" t="str">
        <f>CONCATENATE(YEAR(TbProventos[[#This Row],[Data]]),"/",IF(MONTH(TbProventos[[#This Row],[Data]])&lt;10,"0",""),MONTH(TbProventos[[#This Row],[Data]]))</f>
        <v>2019/06</v>
      </c>
      <c r="I37" s="2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2" t="str">
        <f>CONCATENATE(YEAR(TbProventos[[#This Row],[Data]]),"/",IF(MONTH(TbProventos[[#This Row],[Data]])&lt;10,"0",""),MONTH(TbProventos[[#This Row],[Data]]))</f>
        <v>2019/07</v>
      </c>
      <c r="I38" s="2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2" t="str">
        <f>CONCATENATE(YEAR(TbProventos[[#This Row],[Data]]),"/",IF(MONTH(TbProventos[[#This Row],[Data]])&lt;10,"0",""),MONTH(TbProventos[[#This Row],[Data]]))</f>
        <v>2019/07</v>
      </c>
      <c r="I39" s="2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2" t="str">
        <f>CONCATENATE(YEAR(TbProventos[[#This Row],[Data]]),"/",IF(MONTH(TbProventos[[#This Row],[Data]])&lt;10,"0",""),MONTH(TbProventos[[#This Row],[Data]]))</f>
        <v>2019/07</v>
      </c>
      <c r="I40" s="2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2" t="str">
        <f>CONCATENATE(YEAR(TbProventos[[#This Row],[Data]]),"/",IF(MONTH(TbProventos[[#This Row],[Data]])&lt;10,"0",""),MONTH(TbProventos[[#This Row],[Data]]))</f>
        <v>2019/07</v>
      </c>
      <c r="I41" s="2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2" t="str">
        <f>CONCATENATE(YEAR(TbProventos[[#This Row],[Data]]),"/",IF(MONTH(TbProventos[[#This Row],[Data]])&lt;10,"0",""),MONTH(TbProventos[[#This Row],[Data]]))</f>
        <v>2019/07</v>
      </c>
      <c r="I42" s="2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2" t="str">
        <f>CONCATENATE(YEAR(TbProventos[[#This Row],[Data]]),"/",IF(MONTH(TbProventos[[#This Row],[Data]])&lt;10,"0",""),MONTH(TbProventos[[#This Row],[Data]]))</f>
        <v>2019/08</v>
      </c>
      <c r="I43" s="2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2" t="str">
        <f>CONCATENATE(YEAR(TbProventos[[#This Row],[Data]]),"/",IF(MONTH(TbProventos[[#This Row],[Data]])&lt;10,"0",""),MONTH(TbProventos[[#This Row],[Data]]))</f>
        <v>2019/08</v>
      </c>
      <c r="I44" s="2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2" t="str">
        <f>CONCATENATE(YEAR(TbProventos[[#This Row],[Data]]),"/",IF(MONTH(TbProventos[[#This Row],[Data]])&lt;10,"0",""),MONTH(TbProventos[[#This Row],[Data]]))</f>
        <v>2019/08</v>
      </c>
      <c r="I45" s="2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2" t="str">
        <f>CONCATENATE(YEAR(TbProventos[[#This Row],[Data]]),"/",IF(MONTH(TbProventos[[#This Row],[Data]])&lt;10,"0",""),MONTH(TbProventos[[#This Row],[Data]]))</f>
        <v>2019/08</v>
      </c>
      <c r="I46" s="2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2" t="str">
        <f>CONCATENATE(YEAR(TbProventos[[#This Row],[Data]]),"/",IF(MONTH(TbProventos[[#This Row],[Data]])&lt;10,"0",""),MONTH(TbProventos[[#This Row],[Data]]))</f>
        <v>2019/08</v>
      </c>
      <c r="I47" s="2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2" t="str">
        <f>CONCATENATE(YEAR(TbProventos[[#This Row],[Data]]),"/",IF(MONTH(TbProventos[[#This Row],[Data]])&lt;10,"0",""),MONTH(TbProventos[[#This Row],[Data]]))</f>
        <v>2019/09</v>
      </c>
      <c r="I48" s="2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2" t="str">
        <f>CONCATENATE(YEAR(TbProventos[[#This Row],[Data]]),"/",IF(MONTH(TbProventos[[#This Row],[Data]])&lt;10,"0",""),MONTH(TbProventos[[#This Row],[Data]]))</f>
        <v>2019/09</v>
      </c>
      <c r="I49" s="2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2" t="str">
        <f>CONCATENATE(YEAR(TbProventos[[#This Row],[Data]]),"/",IF(MONTH(TbProventos[[#This Row],[Data]])&lt;10,"0",""),MONTH(TbProventos[[#This Row],[Data]]))</f>
        <v>2019/09</v>
      </c>
      <c r="I50" s="2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2" t="str">
        <f>CONCATENATE(YEAR(TbProventos[[#This Row],[Data]]),"/",IF(MONTH(TbProventos[[#This Row],[Data]])&lt;10,"0",""),MONTH(TbProventos[[#This Row],[Data]]))</f>
        <v>2019/09</v>
      </c>
      <c r="I51" s="2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2" t="str">
        <f>CONCATENATE(YEAR(TbProventos[[#This Row],[Data]]),"/",IF(MONTH(TbProventos[[#This Row],[Data]])&lt;10,"0",""),MONTH(TbProventos[[#This Row],[Data]]))</f>
        <v>2019/09</v>
      </c>
      <c r="I52" s="2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2" t="str">
        <f>CONCATENATE(YEAR(TbProventos[[#This Row],[Data]]),"/",IF(MONTH(TbProventos[[#This Row],[Data]])&lt;10,"0",""),MONTH(TbProventos[[#This Row],[Data]]))</f>
        <v>2019/10</v>
      </c>
      <c r="I53" s="2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2" t="str">
        <f>CONCATENATE(YEAR(TbProventos[[#This Row],[Data]]),"/",IF(MONTH(TbProventos[[#This Row],[Data]])&lt;10,"0",""),MONTH(TbProventos[[#This Row],[Data]]))</f>
        <v>2019/10</v>
      </c>
      <c r="I54" s="2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2" t="str">
        <f>CONCATENATE(YEAR(TbProventos[[#This Row],[Data]]),"/",IF(MONTH(TbProventos[[#This Row],[Data]])&lt;10,"0",""),MONTH(TbProventos[[#This Row],[Data]]))</f>
        <v>2019/10</v>
      </c>
      <c r="I55" s="2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2" t="str">
        <f>CONCATENATE(YEAR(TbProventos[[#This Row],[Data]]),"/",IF(MONTH(TbProventos[[#This Row],[Data]])&lt;10,"0",""),MONTH(TbProventos[[#This Row],[Data]]))</f>
        <v>2019/10</v>
      </c>
      <c r="I56" s="2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2" t="str">
        <f>CONCATENATE(YEAR(TbProventos[[#This Row],[Data]]),"/",IF(MONTH(TbProventos[[#This Row],[Data]])&lt;10,"0",""),MONTH(TbProventos[[#This Row],[Data]]))</f>
        <v>2019/10</v>
      </c>
      <c r="I57" s="2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2" t="str">
        <f>CONCATENATE(YEAR(TbProventos[[#This Row],[Data]]),"/",IF(MONTH(TbProventos[[#This Row],[Data]])&lt;10,"0",""),MONTH(TbProventos[[#This Row],[Data]]))</f>
        <v>2019/10</v>
      </c>
      <c r="I58" s="2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2" t="str">
        <f>CONCATENATE(YEAR(TbProventos[[#This Row],[Data]]),"/",IF(MONTH(TbProventos[[#This Row],[Data]])&lt;10,"0",""),MONTH(TbProventos[[#This Row],[Data]]))</f>
        <v>2019/10</v>
      </c>
      <c r="I59" s="2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2" t="str">
        <f>CONCATENATE(YEAR(TbProventos[[#This Row],[Data]]),"/",IF(MONTH(TbProventos[[#This Row],[Data]])&lt;10,"0",""),MONTH(TbProventos[[#This Row],[Data]]))</f>
        <v>2019/10</v>
      </c>
      <c r="I60" s="2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2" t="str">
        <f>CONCATENATE(YEAR(TbProventos[[#This Row],[Data]]),"/",IF(MONTH(TbProventos[[#This Row],[Data]])&lt;10,"0",""),MONTH(TbProventos[[#This Row],[Data]]))</f>
        <v>2019/10</v>
      </c>
      <c r="I61" s="2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2" t="str">
        <f>CONCATENATE(YEAR(TbProventos[[#This Row],[Data]]),"/",IF(MONTH(TbProventos[[#This Row],[Data]])&lt;10,"0",""),MONTH(TbProventos[[#This Row],[Data]]))</f>
        <v>2019/10</v>
      </c>
      <c r="I62" s="2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2" t="str">
        <f>CONCATENATE(YEAR(TbProventos[[#This Row],[Data]]),"/",IF(MONTH(TbProventos[[#This Row],[Data]])&lt;10,"0",""),MONTH(TbProventos[[#This Row],[Data]]))</f>
        <v>2019/10</v>
      </c>
      <c r="I63" s="2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2" t="str">
        <f>CONCATENATE(YEAR(TbProventos[[#This Row],[Data]]),"/",IF(MONTH(TbProventos[[#This Row],[Data]])&lt;10,"0",""),MONTH(TbProventos[[#This Row],[Data]]))</f>
        <v>2019/10</v>
      </c>
      <c r="I64" s="2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2" t="str">
        <f>CONCATENATE(YEAR(TbProventos[[#This Row],[Data]]),"/",IF(MONTH(TbProventos[[#This Row],[Data]])&lt;10,"0",""),MONTH(TbProventos[[#This Row],[Data]]))</f>
        <v>2019/10</v>
      </c>
      <c r="I65" s="2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2" t="str">
        <f>CONCATENATE(YEAR(TbProventos[[#This Row],[Data]]),"/",IF(MONTH(TbProventos[[#This Row],[Data]])&lt;10,"0",""),MONTH(TbProventos[[#This Row],[Data]]))</f>
        <v>2019/10</v>
      </c>
      <c r="I66" s="2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2" t="str">
        <f>CONCATENATE(YEAR(TbProventos[[#This Row],[Data]]),"/",IF(MONTH(TbProventos[[#This Row],[Data]])&lt;10,"0",""),MONTH(TbProventos[[#This Row],[Data]]))</f>
        <v>2019/10</v>
      </c>
      <c r="I67" s="2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2" t="str">
        <f>CONCATENATE(YEAR(TbProventos[[#This Row],[Data]]),"/",IF(MONTH(TbProventos[[#This Row],[Data]])&lt;10,"0",""),MONTH(TbProventos[[#This Row],[Data]]))</f>
        <v>2020/01</v>
      </c>
      <c r="I68" s="2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2" t="str">
        <f>CONCATENATE(YEAR(TbProventos[[#This Row],[Data]]),"/",IF(MONTH(TbProventos[[#This Row],[Data]])&lt;10,"0",""),MONTH(TbProventos[[#This Row],[Data]]))</f>
        <v>2020/01</v>
      </c>
      <c r="I69" s="2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2" t="str">
        <f>CONCATENATE(YEAR(TbProventos[[#This Row],[Data]]),"/",IF(MONTH(TbProventos[[#This Row],[Data]])&lt;10,"0",""),MONTH(TbProventos[[#This Row],[Data]]))</f>
        <v>2020/01</v>
      </c>
      <c r="I70" s="2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2" t="str">
        <f>CONCATENATE(YEAR(TbProventos[[#This Row],[Data]]),"/",IF(MONTH(TbProventos[[#This Row],[Data]])&lt;10,"0",""),MONTH(TbProventos[[#This Row],[Data]]))</f>
        <v>2020/01</v>
      </c>
      <c r="I71" s="2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2" t="str">
        <f>CONCATENATE(YEAR(TbProventos[[#This Row],[Data]]),"/",IF(MONTH(TbProventos[[#This Row],[Data]])&lt;10,"0",""),MONTH(TbProventos[[#This Row],[Data]]))</f>
        <v>2020/01</v>
      </c>
      <c r="I72" s="2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D4" sqref="D4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DashBoard</vt:lpstr>
      <vt:lpstr>DashBoardAux</vt:lpstr>
      <vt:lpstr>ReCarteira</vt:lpstr>
      <vt:lpstr>ReProventos</vt:lpstr>
      <vt:lpstr>ReAportes</vt:lpstr>
      <vt:lpstr>TbAportes</vt:lpstr>
      <vt:lpstr>TbProventos</vt:lpstr>
      <vt:lpstr>TbAtivos</vt:lpstr>
      <vt:lpstr>TbAtivos!pubhtml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2020-05-18T13:11:00Z</dcterms:modified>
</cp:coreProperties>
</file>