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24226"/>
  <bookViews>
    <workbookView xWindow="240" yWindow="105" windowWidth="14805" windowHeight="8010"/>
  </bookViews>
  <sheets>
    <sheet name="DashBoard" sheetId="7" r:id="rId1"/>
    <sheet name="DashBoardAux" sheetId="8" r:id="rId2"/>
    <sheet name="ReCarteira" sheetId="6" r:id="rId3"/>
    <sheet name="ReProventos" sheetId="5" r:id="rId4"/>
    <sheet name="ReAportes" sheetId="9" r:id="rId5"/>
    <sheet name="TbAportes" sheetId="2" r:id="rId6"/>
    <sheet name="TbProventos" sheetId="3" r:id="rId7"/>
    <sheet name="TbAtivos" sheetId="1" r:id="rId8"/>
  </sheets>
  <definedNames>
    <definedName name="pubhtml" localSheetId="7">TbAtivos!$A$1:$D$13</definedName>
  </definedNames>
  <calcPr calcId="152511"/>
  <pivotCaches>
    <pivotCache cacheId="17" r:id="rId9"/>
    <pivotCache cacheId="22" r:id="rId10"/>
  </pivotCaches>
</workbook>
</file>

<file path=xl/calcChain.xml><?xml version="1.0" encoding="utf-8"?>
<calcChain xmlns="http://schemas.openxmlformats.org/spreadsheetml/2006/main">
  <c r="L5" i="8" l="1"/>
  <c r="C9" i="8"/>
  <c r="H1" i="7"/>
  <c r="E2" i="6"/>
  <c r="E3" i="6"/>
  <c r="E4" i="6"/>
  <c r="E5" i="6"/>
  <c r="E6" i="6"/>
  <c r="E7" i="6"/>
  <c r="E8" i="6"/>
  <c r="E9" i="6"/>
  <c r="E10" i="6"/>
  <c r="D2" i="6"/>
  <c r="D3" i="6"/>
  <c r="D4" i="6"/>
  <c r="D5" i="6"/>
  <c r="D6" i="6"/>
  <c r="D7" i="6"/>
  <c r="D8" i="6"/>
  <c r="D9" i="6"/>
  <c r="D10" i="6"/>
  <c r="C2" i="6"/>
  <c r="C3" i="6"/>
  <c r="C4" i="6"/>
  <c r="C5" i="6"/>
  <c r="C6" i="6"/>
  <c r="C7" i="6"/>
  <c r="C8" i="6"/>
  <c r="C9" i="6"/>
  <c r="C10" i="6"/>
  <c r="B2" i="6"/>
  <c r="B3" i="6"/>
  <c r="B4" i="6"/>
  <c r="B5" i="6"/>
  <c r="B6" i="6"/>
  <c r="B7" i="6"/>
  <c r="B8" i="6"/>
  <c r="B9" i="6"/>
  <c r="B10" i="6"/>
  <c r="G7" i="6" l="1"/>
  <c r="G3" i="6"/>
  <c r="I5" i="8"/>
  <c r="H5" i="8"/>
  <c r="G5" i="8"/>
  <c r="D11" i="6"/>
  <c r="I7" i="6"/>
  <c r="I3" i="6"/>
  <c r="F9" i="6"/>
  <c r="F5" i="6"/>
  <c r="G10" i="6"/>
  <c r="H10" i="6" s="1"/>
  <c r="G6" i="6"/>
  <c r="G2" i="6"/>
  <c r="G9" i="6"/>
  <c r="I9" i="6" s="1"/>
  <c r="G5" i="6"/>
  <c r="I5" i="6" s="1"/>
  <c r="H7" i="6"/>
  <c r="G8" i="6"/>
  <c r="I8" i="6" s="1"/>
  <c r="G4" i="6"/>
  <c r="I4" i="6" s="1"/>
  <c r="H3" i="6"/>
  <c r="F10" i="6"/>
  <c r="F8" i="6"/>
  <c r="F4" i="6"/>
  <c r="F6" i="6"/>
  <c r="F2" i="6"/>
  <c r="F7" i="6"/>
  <c r="F3" i="6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G2" i="2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J2" i="2"/>
  <c r="H5" i="6" l="1"/>
  <c r="C12" i="8"/>
  <c r="B8" i="7" s="1"/>
  <c r="H6" i="6"/>
  <c r="I6" i="8"/>
  <c r="L4" i="8" s="1"/>
  <c r="H6" i="8"/>
  <c r="L3" i="8" s="1"/>
  <c r="H2" i="6"/>
  <c r="G6" i="8"/>
  <c r="G8" i="8" s="1"/>
  <c r="I2" i="6"/>
  <c r="I6" i="6"/>
  <c r="G11" i="6"/>
  <c r="H8" i="6"/>
  <c r="I10" i="6"/>
  <c r="H4" i="6"/>
  <c r="H9" i="6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H2" i="2"/>
  <c r="H3" i="2"/>
  <c r="J3" i="2" s="1"/>
  <c r="H4" i="2"/>
  <c r="J4" i="2" s="1"/>
  <c r="H5" i="2"/>
  <c r="J5" i="2" s="1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J13" i="2" s="1"/>
  <c r="H14" i="2"/>
  <c r="J14" i="2" s="1"/>
  <c r="H15" i="2"/>
  <c r="J15" i="2" s="1"/>
  <c r="H16" i="2"/>
  <c r="J16" i="2" s="1"/>
  <c r="H17" i="2"/>
  <c r="J17" i="2" s="1"/>
  <c r="H18" i="2"/>
  <c r="J18" i="2" s="1"/>
  <c r="H19" i="2"/>
  <c r="J19" i="2" s="1"/>
  <c r="H20" i="2"/>
  <c r="J20" i="2" s="1"/>
  <c r="H21" i="2"/>
  <c r="J21" i="2" s="1"/>
  <c r="H22" i="2"/>
  <c r="J22" i="2" s="1"/>
  <c r="H23" i="2"/>
  <c r="J23" i="2" s="1"/>
  <c r="H24" i="2"/>
  <c r="J24" i="2" s="1"/>
  <c r="H25" i="2"/>
  <c r="J25" i="2" s="1"/>
  <c r="H26" i="2"/>
  <c r="J26" i="2" s="1"/>
  <c r="H27" i="2"/>
  <c r="J27" i="2" s="1"/>
  <c r="H28" i="2"/>
  <c r="J28" i="2" s="1"/>
  <c r="H29" i="2"/>
  <c r="J29" i="2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C13" i="8" l="1"/>
  <c r="B5" i="7" s="1"/>
  <c r="I7" i="8"/>
  <c r="I8" i="8"/>
  <c r="H7" i="8"/>
  <c r="H8" i="8"/>
  <c r="G7" i="8"/>
  <c r="H11" i="6"/>
  <c r="C15" i="8" l="1"/>
  <c r="B14" i="7" s="1"/>
  <c r="C14" i="8"/>
  <c r="B11" i="7" s="1"/>
</calcChain>
</file>

<file path=xl/comments1.xml><?xml version="1.0" encoding="utf-8"?>
<comments xmlns="http://schemas.openxmlformats.org/spreadsheetml/2006/main">
  <authors>
    <author>Autor</author>
  </authors>
  <commentList>
    <comment ref="L1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Deixe em branco para data de hoje</t>
        </r>
      </text>
    </comment>
  </commentList>
</comments>
</file>

<file path=xl/connections.xml><?xml version="1.0" encoding="utf-8"?>
<connections xmlns="http://schemas.openxmlformats.org/spreadsheetml/2006/main">
  <connection id="1" name="Conexão" type="4" refreshedVersion="5" background="1" saveData="1">
    <webPr sourceData="1" parsePre="1" consecutive="1" xl2000="1" url="https://docs.google.com/spreadsheets/d/e/2PACX-1vSVEoAy9rMtNZwDoMyLKBga5jpMQV2N81TFhH31UERjWVjtp53MbfI5mQ4_mDSkJN-uQXkYQ7H6HitS/pubhtml"/>
  </connection>
</connections>
</file>

<file path=xl/sharedStrings.xml><?xml version="1.0" encoding="utf-8"?>
<sst xmlns="http://schemas.openxmlformats.org/spreadsheetml/2006/main" count="249" uniqueCount="72">
  <si>
    <t>Planilha sem tÃ­tulo : PÃ¡gina1</t>
  </si>
  <si>
    <t>ATIVO</t>
  </si>
  <si>
    <t>TIPO</t>
  </si>
  <si>
    <t>COTACAO</t>
  </si>
  <si>
    <t>CSNA3</t>
  </si>
  <si>
    <t>EMPRESA</t>
  </si>
  <si>
    <t>FLRY3</t>
  </si>
  <si>
    <t>ITSA4</t>
  </si>
  <si>
    <t>PETR4</t>
  </si>
  <si>
    <t>HGBS11</t>
  </si>
  <si>
    <t>FII</t>
  </si>
  <si>
    <t>HGLG11</t>
  </si>
  <si>
    <t>HGRE11</t>
  </si>
  <si>
    <t>KNRI11</t>
  </si>
  <si>
    <t>Published by Google Sheets–Denunciar abuso–5Atualizado automaticamente a cada minutos</t>
  </si>
  <si>
    <t>TAEE4</t>
  </si>
  <si>
    <t>Data</t>
  </si>
  <si>
    <t>Ativo</t>
  </si>
  <si>
    <t>Qte</t>
  </si>
  <si>
    <t>Valor unitário</t>
  </si>
  <si>
    <t>Custo</t>
  </si>
  <si>
    <t>Total</t>
  </si>
  <si>
    <t>Tipo</t>
  </si>
  <si>
    <t>Ano</t>
  </si>
  <si>
    <t>Mês</t>
  </si>
  <si>
    <t>Ano/Mês</t>
  </si>
  <si>
    <t>Cod</t>
  </si>
  <si>
    <t>Valor Bruto</t>
  </si>
  <si>
    <t>IR</t>
  </si>
  <si>
    <t>Valor Líquido</t>
  </si>
  <si>
    <t>HGBS12</t>
  </si>
  <si>
    <t>Rótulos de Linha</t>
  </si>
  <si>
    <t>Total Geral</t>
  </si>
  <si>
    <t>Rótulos de Coluna</t>
  </si>
  <si>
    <t>2018/12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</si>
  <si>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</si>
  <si>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</si>
  <si>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</si>
  <si>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</si>
  <si>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</si>
  <si>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</si>
  <si>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</si>
  <si>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</si>
  <si>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</si>
  <si>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</si>
  <si>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</si>
  <si>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</si>
  <si>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2020/01</t>
  </si>
  <si>
    <t>Soma de Total</t>
  </si>
  <si>
    <t>Soma de Valor Líquido</t>
  </si>
  <si>
    <t>Cotação</t>
  </si>
  <si>
    <t>Total aportado</t>
  </si>
  <si>
    <t>Total qte</t>
  </si>
  <si>
    <t>PM</t>
  </si>
  <si>
    <t>Total atual</t>
  </si>
  <si>
    <t>Valorização</t>
  </si>
  <si>
    <t>Valorização %</t>
  </si>
  <si>
    <t>Até qual data?</t>
  </si>
  <si>
    <t>Carteira atual</t>
  </si>
  <si>
    <t>Caixa:</t>
  </si>
  <si>
    <t>Até</t>
  </si>
  <si>
    <t>Valores para caixa de combinaçao</t>
  </si>
  <si>
    <t>Tudo</t>
  </si>
  <si>
    <t>Ações</t>
  </si>
  <si>
    <t>Fundos Imobiliários</t>
  </si>
  <si>
    <t>Entradas do usuário</t>
  </si>
  <si>
    <t>Caixa de combinação</t>
  </si>
  <si>
    <t>Valor em caixa</t>
  </si>
  <si>
    <t>Matriz auxiliar: somatório por tipo de ativo</t>
  </si>
  <si>
    <t>Indicadores-chave de desempenho (KPI)</t>
  </si>
  <si>
    <t>Gráfico: composição do patrimônio</t>
  </si>
  <si>
    <t>Caixa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</si>
</sst>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* #,##0.00_-;\-&quot;R$&quot;* #,##0.00_-;_-&quot;R$&quot;* &quot;-&quot;??_-;_-@_-"/>
    <numFmt numFmtId="164" formatCode="0.0%"/>
  </numFmts>
  <fonts count="10" x14ac:knownFonts="1">
    <font>
      <sz val="11"/>
      <color theme="1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26"/>
      <color theme="1" tint="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theme="3" tint="0.59996337778862885"/>
      </left>
      <right style="medium">
        <color theme="3" tint="0.59996337778862885"/>
      </right>
      <top style="medium">
        <color theme="3" tint="0.59996337778862885"/>
      </top>
      <bottom style="medium">
        <color theme="3" tint="0.59996337778862885"/>
      </bottom>
      <diagonal/>
    </border>
    <border>
      <left/>
      <right/>
      <top/>
      <bottom style="medium">
        <color theme="3" tint="0.59996337778862885"/>
      </bottom>
      <diagonal/>
    </border>
    <border>
      <left style="thin">
        <color theme="1" tint="0.14996795556505021"/>
      </left>
      <right style="thin">
        <color theme="1" tint="0.14996795556505021"/>
      </right>
      <top style="thin">
        <color theme="1" tint="0.14996795556505021"/>
      </top>
      <bottom style="thin">
        <color theme="1" tint="0.14996795556505021"/>
      </bottom>
      <diagonal/>
    </border>
  </borders>
  <cellStyleXfs count="1">
    <xf numFmtId="0" fontId="0" fillId="0" borderId="0"/>
  </cellStyleXfs>
  <cellXfs count="33">
    <xf numFmtId="0" fontId="0" fillId="0" borderId="0" xfId="0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44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0" fontId="2" fillId="2" borderId="1" xfId="0" applyFont="1" applyFill="1" applyBorder="1"/>
    <xf numFmtId="14" fontId="0" fillId="3" borderId="1" xfId="0" applyNumberFormat="1" applyFont="1" applyFill="1" applyBorder="1"/>
    <xf numFmtId="44" fontId="0" fillId="0" borderId="0" xfId="0" applyNumberFormat="1"/>
    <xf numFmtId="164" fontId="0" fillId="0" borderId="0" xfId="0" applyNumberFormat="1"/>
    <xf numFmtId="0" fontId="0" fillId="4" borderId="0" xfId="0" applyFill="1"/>
    <xf numFmtId="0" fontId="0" fillId="4" borderId="3" xfId="0" applyFill="1" applyBorder="1"/>
    <xf numFmtId="0" fontId="0" fillId="4" borderId="0" xfId="0" applyFill="1" applyAlignment="1">
      <alignment horizontal="right" vertical="center"/>
    </xf>
    <xf numFmtId="0" fontId="6" fillId="4" borderId="0" xfId="0" applyFont="1" applyFill="1" applyAlignment="1">
      <alignment horizontal="right" vertical="center"/>
    </xf>
    <xf numFmtId="14" fontId="6" fillId="4" borderId="0" xfId="0" applyNumberFormat="1" applyFont="1" applyFill="1" applyAlignment="1">
      <alignment horizontal="right" vertical="center"/>
    </xf>
    <xf numFmtId="164" fontId="6" fillId="4" borderId="2" xfId="0" applyNumberFormat="1" applyFont="1" applyFill="1" applyBorder="1" applyAlignment="1">
      <alignment horizontal="center" vertical="center"/>
    </xf>
    <xf numFmtId="0" fontId="8" fillId="0" borderId="0" xfId="0" applyFont="1"/>
    <xf numFmtId="0" fontId="0" fillId="6" borderId="0" xfId="0" applyFill="1"/>
    <xf numFmtId="0" fontId="0" fillId="7" borderId="0" xfId="0" applyFill="1"/>
    <xf numFmtId="0" fontId="3" fillId="8" borderId="0" xfId="0" applyFont="1" applyFill="1"/>
    <xf numFmtId="2" fontId="0" fillId="6" borderId="0" xfId="0" applyNumberFormat="1" applyFill="1"/>
    <xf numFmtId="44" fontId="0" fillId="5" borderId="4" xfId="0" applyNumberFormat="1" applyFill="1" applyBorder="1" applyAlignment="1">
      <alignment vertical="center"/>
    </xf>
    <xf numFmtId="44" fontId="0" fillId="6" borderId="0" xfId="0" applyNumberFormat="1" applyFill="1"/>
    <xf numFmtId="164" fontId="0" fillId="6" borderId="0" xfId="0" applyNumberFormat="1" applyFill="1"/>
    <xf numFmtId="0" fontId="3" fillId="7" borderId="0" xfId="0" applyFont="1" applyFill="1"/>
    <xf numFmtId="0" fontId="7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4" fontId="6" fillId="4" borderId="2" xfId="0" applyNumberFormat="1" applyFont="1" applyFill="1" applyBorder="1" applyAlignment="1">
      <alignment horizontal="center" vertical="center"/>
    </xf>
    <xf numFmtId="0" fontId="0" fillId="7" borderId="0" xfId="0" applyFill="1" applyAlignment="1">
      <alignment horizontal="left"/>
    </xf>
    <xf numFmtId="44" fontId="9" fillId="0" borderId="0" xfId="0" applyNumberFormat="1" applyFont="1" applyAlignment="1">
      <alignment vertical="center"/>
    </xf>
  </cellXfs>
  <cellStyles count="1">
    <cellStyle name="Normal" xfId="0" builtinId="0"/>
  </cellStyles>
  <dxfs count="36">
    <dxf>
      <font>
        <strike val="0"/>
        <outline val="0"/>
        <shadow val="0"/>
        <u val="none"/>
        <vertAlign val="baseline"/>
        <sz val="11"/>
        <color theme="4" tint="-0.499984740745262"/>
        <name val="Calibri"/>
        <scheme val="minor"/>
      </font>
      <numFmt numFmtId="34" formatCode="_-&quot;R$&quot;* #,##0.00_-;\-&quot;R$&quot;* #,##0.00_-;_-&quot;R$&quot;* &quot;-&quot;??_-;_-@_-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6" tint="-0.499984740745262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numFmt numFmtId="34" formatCode="_-&quot;R$&quot;* #,##0.00_-;\-&quot;R$&quot;* #,##0.00_-;_-&quot;R$&quot;* &quot;-&quot;??_-;_-@_-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6" tint="-0.499984740745262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6" tint="-0.499984740745262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numFmt numFmtId="34" formatCode="_-&quot;R$&quot;* #,##0.00_-;\-&quot;R$&quot;* #,##0.00_-;_-&quot;R$&quot;* &quot;-&quot;??_-;_-@_-"/>
      <alignment horizontal="general" vertical="center" textRotation="0" wrapText="0" indent="0" justifyLastLine="0" shrinkToFit="0" readingOrder="0"/>
    </dxf>
    <dxf>
      <numFmt numFmtId="34" formatCode="_-&quot;R$&quot;* #,##0.00_-;\-&quot;R$&quot;* #,##0.00_-;_-&quot;R$&quot;* &quot;-&quot;??_-;_-@_-"/>
      <alignment horizontal="general" vertical="center" textRotation="0" wrapText="0" indent="0" justifyLastLine="0" shrinkToFit="0" readingOrder="0"/>
    </dxf>
    <dxf>
      <numFmt numFmtId="34" formatCode="_-&quot;R$&quot;* #,##0.00_-;\-&quot;R$&quot;* #,##0.00_-;_-&quot;R$&quot;* &quot;-&quot;??_-;_-@_-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34" formatCode="_-&quot;R$&quot;* #,##0.00_-;\-&quot;R$&quot;* #,##0.00_-;_-&quot;R$&quot;* &quot;-&quot;??_-;_-@_-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6" tint="-0.499984740745262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6" tint="-0.499984740745262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6" tint="-0.499984740745262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numFmt numFmtId="34" formatCode="_-&quot;R$&quot;* #,##0.00_-;\-&quot;R$&quot;* #,##0.00_-;_-&quot;R$&quot;* &quot;-&quot;??_-;_-@_-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64" formatCode="0.0%"/>
    </dxf>
    <dxf>
      <numFmt numFmtId="164" formatCode="0.0%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0" formatCode="General"/>
    </dxf>
    <dxf>
      <numFmt numFmtId="34" formatCode="_-&quot;R$&quot;* #,##0.00_-;\-&quot;R$&quot;* #,##0.00_-;_-&quot;R$&quot;* &quot;-&quot;??_-;_-@_-"/>
    </dxf>
    <dxf>
      <numFmt numFmtId="0" formatCode="General"/>
    </dxf>
    <dxf>
      <numFmt numFmtId="0" formatCode="General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1"/>
              <a:t>Composição</a:t>
            </a:r>
            <a:r>
              <a:rPr lang="pt-BR" sz="1800" b="1" baseline="0"/>
              <a:t> do patrimônio</a:t>
            </a:r>
            <a:endParaRPr lang="pt-BR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DashBoardAux!$K$3:$K$5</c:f>
              <c:strCache>
                <c:ptCount val="3"/>
                <c:pt idx="0">
                  <c:v>Ações</c:v>
                </c:pt>
                <c:pt idx="1">
                  <c:v>FII</c:v>
                </c:pt>
                <c:pt idx="2">
                  <c:v>Caixa</c:v>
                </c:pt>
              </c:strCache>
            </c:strRef>
          </c:cat>
          <c:val>
            <c:numRef>
              <c:f>DashBoardAux!$L$3:$L$5</c:f>
              <c:numCache>
                <c:formatCode>_("R$"* #,##0.00_);_("R$"* \(#,##0.00\);_("R$"* "-"??_);_(@_)</c:formatCode>
                <c:ptCount val="3"/>
                <c:pt idx="0">
                  <c:v>17506</c:v>
                </c:pt>
                <c:pt idx="1">
                  <c:v>10332.049999999999</c:v>
                </c:pt>
                <c:pt idx="2">
                  <c:v>15000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2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16" fmlaLink="DashBoardAux!$C$8" fmlaRange="DashBoardAux!$C$3:$C$5" noThreeD="1" sel="1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9525</xdr:rowOff>
        </xdr:from>
        <xdr:to>
          <xdr:col>2</xdr:col>
          <xdr:colOff>0</xdr:colOff>
          <xdr:row>1</xdr:row>
          <xdr:rowOff>9525</xdr:rowOff>
        </xdr:to>
        <xdr:sp macro="" textlink="">
          <xdr:nvSpPr>
            <xdr:cNvPr id="7169" name="Drop Down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57150</xdr:colOff>
      <xdr:row>3</xdr:row>
      <xdr:rowOff>200024</xdr:rowOff>
    </xdr:from>
    <xdr:to>
      <xdr:col>5</xdr:col>
      <xdr:colOff>676274</xdr:colOff>
      <xdr:row>13</xdr:row>
      <xdr:rowOff>476249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projeto-ativos-10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3969.425658796295" createdVersion="5" refreshedVersion="5" minRefreshableVersion="3" recordCount="28">
  <cacheSource type="worksheet">
    <worksheetSource name="TbAportes"/>
  </cacheSource>
  <cacheFields count="10">
    <cacheField name="Data" numFmtId="14">
      <sharedItems containsSemiMixedTypes="0" containsNonDate="0" containsDate="1" containsString="0" minDate="2018-12-10T00:00:00" maxDate="2020-01-11T00:00:00"/>
    </cacheField>
    <cacheField name="Ativo" numFmtId="0">
      <sharedItems count="9">
        <s v="ITSA4"/>
        <s v="CSNA3"/>
        <s v="PETR4"/>
        <s v="HGLG11"/>
        <s v="HGRE11"/>
        <s v="FLRY3"/>
        <s v="HGBS11"/>
        <s v="KNRI11"/>
        <s v="TAEE4"/>
      </sharedItems>
    </cacheField>
    <cacheField name="Qte" numFmtId="0">
      <sharedItems containsSemiMixedTypes="0" containsString="0" containsNumber="1" containsInteger="1" minValue="1" maxValue="100"/>
    </cacheField>
    <cacheField name="Valor unitário" numFmtId="44">
      <sharedItems containsSemiMixedTypes="0" containsString="0" containsNumber="1" minValue="7.51" maxValue="194.23"/>
    </cacheField>
    <cacheField name="Custo" numFmtId="44">
      <sharedItems containsSemiMixedTypes="0" containsString="0" containsNumber="1" containsInteger="1" minValue="0" maxValue="10"/>
    </cacheField>
    <cacheField name="Total" numFmtId="44">
      <sharedItems containsSemiMixedTypes="0" containsString="0" containsNumber="1" minValue="191.74" maxValue="2042"/>
    </cacheField>
    <cacheField name="Tipo" numFmtId="0">
      <sharedItems count="2">
        <s v="EMPRESA"/>
        <s v="FII"/>
      </sharedItems>
    </cacheField>
    <cacheField name="Ano" numFmtId="0">
      <sharedItems containsSemiMixedTypes="0" containsString="0" containsNumber="1" containsInteger="1" minValue="2018" maxValue="2020"/>
    </cacheField>
    <cacheField name="Mês" numFmtId="0">
      <sharedItems containsSemiMixedTypes="0" containsString="0" containsNumber="1" containsInteger="1" minValue="1" maxValue="12"/>
    </cacheField>
    <cacheField name="Ano/Mês" numFmtId="0">
      <sharedItems count="14">
        <s v="2018/12"/>
        <s v="2019/01"/>
        <s v="2019/02"/>
        <s v="2019/03"/>
        <s v="2019/04"/>
        <s v="2019/05"/>
        <s v="2019/06"/>
        <s v="2019/07"/>
        <s v="2019/08"/>
        <s v="2019/09"/>
        <s v="2019/10"/>
        <s v="2019/11"/>
        <s v="2019/12"/>
        <s v="2020/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or" refreshedDate="43969.425658912034" createdVersion="5" refreshedVersion="5" minRefreshableVersion="3" recordCount="71">
  <cacheSource type="worksheet">
    <worksheetSource name="TbProventos" r:id="rId2"/>
  </cacheSource>
  <cacheFields count="9">
    <cacheField name="Cod" numFmtId="0">
      <sharedItems containsSemiMixedTypes="0" containsString="0" containsNumber="1" containsInteger="1" minValue="13" maxValue="50"/>
    </cacheField>
    <cacheField name="Ativo" numFmtId="0">
      <sharedItems count="10">
        <s v="ITSA4"/>
        <s v="HGBS11"/>
        <s v="HGLG11"/>
        <s v="HGRE11"/>
        <s v="KNRI11"/>
        <s v="PETR4"/>
        <s v="HGBS12"/>
        <s v="FLRY3"/>
        <s v="TAEE4"/>
        <s v="CSNA3"/>
      </sharedItems>
    </cacheField>
    <cacheField name="Qte" numFmtId="0">
      <sharedItems containsSemiMixedTypes="0" containsString="0" containsNumber="1" containsInteger="1" minValue="100" maxValue="100"/>
    </cacheField>
    <cacheField name="Valor Bruto" numFmtId="44">
      <sharedItems containsSemiMixedTypes="0" containsString="0" containsNumber="1" minValue="0" maxValue="180.6"/>
    </cacheField>
    <cacheField name="IR" numFmtId="44">
      <sharedItems containsSemiMixedTypes="0" containsString="0" containsNumber="1" minValue="0" maxValue="6"/>
    </cacheField>
    <cacheField name="Valor Líquido" numFmtId="44">
      <sharedItems containsSemiMixedTypes="0" containsString="0" containsNumber="1" minValue="0" maxValue="180.6"/>
    </cacheField>
    <cacheField name="Data" numFmtId="14">
      <sharedItems containsSemiMixedTypes="0" containsNonDate="0" containsDate="1" containsString="0" minDate="2018-12-15T00:00:00" maxDate="2020-01-18T00:00:00"/>
    </cacheField>
    <cacheField name="Ano/Mês" numFmtId="0">
      <sharedItems count="12">
        <s v="2018/12"/>
        <s v="2019/01"/>
        <s v="2019/02"/>
        <s v="2019/03"/>
        <s v="2019/04"/>
        <s v="2019/05"/>
        <s v="2019/06"/>
        <s v="2019/07"/>
        <s v="2019/08"/>
        <s v="2019/09"/>
        <s v="2019/10"/>
        <s v="2020/01"/>
      </sharedItems>
    </cacheField>
    <cacheField name="Tipo" numFmtId="0">
      <sharedItems count="3">
        <s v="EMPRESA"/>
        <s v="FII"/>
        <e v="#N/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d v="2018-12-10T00:00:00"/>
    <x v="0"/>
    <n v="100"/>
    <n v="7.51"/>
    <n v="10"/>
    <n v="761"/>
    <x v="0"/>
    <n v="2018"/>
    <n v="12"/>
    <x v="0"/>
  </r>
  <r>
    <d v="2018-12-10T00:00:00"/>
    <x v="1"/>
    <n v="100"/>
    <n v="8.23"/>
    <n v="10"/>
    <n v="833"/>
    <x v="0"/>
    <n v="2018"/>
    <n v="12"/>
    <x v="0"/>
  </r>
  <r>
    <d v="2019-01-10T00:00:00"/>
    <x v="2"/>
    <n v="100"/>
    <n v="16.34"/>
    <n v="10"/>
    <n v="1644"/>
    <x v="0"/>
    <n v="2019"/>
    <n v="1"/>
    <x v="1"/>
  </r>
  <r>
    <d v="2019-01-10T00:00:00"/>
    <x v="3"/>
    <n v="5"/>
    <n v="140.97999999999999"/>
    <n v="0"/>
    <n v="704.9"/>
    <x v="1"/>
    <n v="2019"/>
    <n v="1"/>
    <x v="1"/>
  </r>
  <r>
    <d v="2019-02-10T00:00:00"/>
    <x v="0"/>
    <n v="100"/>
    <n v="7.78"/>
    <n v="10"/>
    <n v="788"/>
    <x v="0"/>
    <n v="2019"/>
    <n v="2"/>
    <x v="2"/>
  </r>
  <r>
    <d v="2019-02-10T00:00:00"/>
    <x v="4"/>
    <n v="8"/>
    <n v="123.94"/>
    <n v="0"/>
    <n v="991.52"/>
    <x v="1"/>
    <n v="2019"/>
    <n v="2"/>
    <x v="2"/>
  </r>
  <r>
    <d v="2019-03-10T00:00:00"/>
    <x v="5"/>
    <n v="100"/>
    <n v="19.75"/>
    <n v="10"/>
    <n v="1985"/>
    <x v="0"/>
    <n v="2019"/>
    <n v="3"/>
    <x v="3"/>
  </r>
  <r>
    <d v="2019-03-10T00:00:00"/>
    <x v="6"/>
    <n v="3"/>
    <n v="183.82"/>
    <n v="0"/>
    <n v="551.46"/>
    <x v="1"/>
    <n v="2019"/>
    <n v="3"/>
    <x v="3"/>
  </r>
  <r>
    <d v="2019-04-10T00:00:00"/>
    <x v="3"/>
    <n v="2"/>
    <n v="121.34"/>
    <n v="0"/>
    <n v="242.68"/>
    <x v="1"/>
    <n v="2019"/>
    <n v="4"/>
    <x v="4"/>
  </r>
  <r>
    <d v="2019-04-10T00:00:00"/>
    <x v="7"/>
    <n v="3"/>
    <n v="131.05000000000001"/>
    <n v="0"/>
    <n v="393.15000000000003"/>
    <x v="1"/>
    <n v="2019"/>
    <n v="4"/>
    <x v="4"/>
  </r>
  <r>
    <d v="2019-05-10T00:00:00"/>
    <x v="1"/>
    <n v="100"/>
    <n v="9.4499999999999993"/>
    <n v="10"/>
    <n v="954.99999999999989"/>
    <x v="0"/>
    <n v="2019"/>
    <n v="5"/>
    <x v="5"/>
  </r>
  <r>
    <d v="2019-05-10T00:00:00"/>
    <x v="8"/>
    <n v="100"/>
    <n v="7.56"/>
    <n v="10"/>
    <n v="766"/>
    <x v="0"/>
    <n v="2019"/>
    <n v="5"/>
    <x v="5"/>
  </r>
  <r>
    <d v="2019-06-10T00:00:00"/>
    <x v="4"/>
    <n v="5"/>
    <n v="135.81"/>
    <n v="0"/>
    <n v="679.05"/>
    <x v="1"/>
    <n v="2019"/>
    <n v="6"/>
    <x v="6"/>
  </r>
  <r>
    <d v="2019-06-10T00:00:00"/>
    <x v="2"/>
    <n v="100"/>
    <n v="15.81"/>
    <n v="10"/>
    <n v="1591"/>
    <x v="0"/>
    <n v="2019"/>
    <n v="6"/>
    <x v="6"/>
  </r>
  <r>
    <d v="2019-07-10T00:00:00"/>
    <x v="5"/>
    <n v="100"/>
    <n v="20.32"/>
    <n v="10"/>
    <n v="2042"/>
    <x v="0"/>
    <n v="2019"/>
    <n v="7"/>
    <x v="7"/>
  </r>
  <r>
    <d v="2019-07-10T00:00:00"/>
    <x v="6"/>
    <n v="1"/>
    <n v="191.74"/>
    <n v="0"/>
    <n v="191.74"/>
    <x v="1"/>
    <n v="2019"/>
    <n v="7"/>
    <x v="7"/>
  </r>
  <r>
    <d v="2019-08-10T00:00:00"/>
    <x v="3"/>
    <n v="7"/>
    <n v="138.94"/>
    <n v="0"/>
    <n v="972.57999999999993"/>
    <x v="1"/>
    <n v="2019"/>
    <n v="8"/>
    <x v="8"/>
  </r>
  <r>
    <d v="2019-08-10T00:00:00"/>
    <x v="2"/>
    <n v="100"/>
    <n v="17.559999999999999"/>
    <n v="10"/>
    <n v="1765.9999999999998"/>
    <x v="0"/>
    <n v="2019"/>
    <n v="8"/>
    <x v="8"/>
  </r>
  <r>
    <d v="2019-09-10T00:00:00"/>
    <x v="1"/>
    <n v="100"/>
    <n v="10.119999999999999"/>
    <n v="10"/>
    <n v="1021.9999999999999"/>
    <x v="0"/>
    <n v="2019"/>
    <n v="9"/>
    <x v="9"/>
  </r>
  <r>
    <d v="2019-09-10T00:00:00"/>
    <x v="4"/>
    <n v="2"/>
    <n v="134.1"/>
    <n v="0"/>
    <n v="268.2"/>
    <x v="1"/>
    <n v="2019"/>
    <n v="9"/>
    <x v="9"/>
  </r>
  <r>
    <d v="2019-10-10T00:00:00"/>
    <x v="2"/>
    <n v="100"/>
    <n v="16.03"/>
    <n v="10"/>
    <n v="1613"/>
    <x v="0"/>
    <n v="2019"/>
    <n v="10"/>
    <x v="10"/>
  </r>
  <r>
    <d v="2019-10-10T00:00:00"/>
    <x v="6"/>
    <n v="5"/>
    <n v="194.23"/>
    <n v="0"/>
    <n v="971.15"/>
    <x v="1"/>
    <n v="2019"/>
    <n v="10"/>
    <x v="10"/>
  </r>
  <r>
    <d v="2019-11-10T00:00:00"/>
    <x v="0"/>
    <n v="100"/>
    <n v="9.5299999999999994"/>
    <n v="10"/>
    <n v="962.99999999999989"/>
    <x v="0"/>
    <n v="2019"/>
    <n v="11"/>
    <x v="11"/>
  </r>
  <r>
    <d v="2019-11-10T00:00:00"/>
    <x v="3"/>
    <n v="3"/>
    <n v="143.55000000000001"/>
    <n v="0"/>
    <n v="430.65000000000003"/>
    <x v="1"/>
    <n v="2019"/>
    <n v="11"/>
    <x v="11"/>
  </r>
  <r>
    <d v="2019-12-10T00:00:00"/>
    <x v="7"/>
    <n v="5"/>
    <n v="143.22999999999999"/>
    <n v="0"/>
    <n v="716.15"/>
    <x v="1"/>
    <n v="2019"/>
    <n v="12"/>
    <x v="12"/>
  </r>
  <r>
    <d v="2019-12-10T00:00:00"/>
    <x v="8"/>
    <n v="100"/>
    <n v="8.59"/>
    <n v="10"/>
    <n v="869"/>
    <x v="0"/>
    <n v="2019"/>
    <n v="12"/>
    <x v="12"/>
  </r>
  <r>
    <d v="2020-01-10T00:00:00"/>
    <x v="7"/>
    <n v="10"/>
    <n v="152.6"/>
    <n v="0"/>
    <n v="1526"/>
    <x v="1"/>
    <n v="2020"/>
    <n v="1"/>
    <x v="13"/>
  </r>
  <r>
    <d v="2020-01-10T00:00:00"/>
    <x v="4"/>
    <n v="4"/>
    <n v="138.44999999999999"/>
    <n v="0"/>
    <n v="553.79999999999995"/>
    <x v="1"/>
    <n v="2020"/>
    <n v="1"/>
    <x v="1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1">
  <r>
    <n v="13"/>
    <x v="0"/>
    <n v="100"/>
    <n v="39.479999999999997"/>
    <n v="0"/>
    <n v="39.479999999999997"/>
    <d v="2018-12-15T00:00:00"/>
    <x v="0"/>
    <x v="0"/>
  </r>
  <r>
    <n v="14"/>
    <x v="1"/>
    <n v="100"/>
    <n v="63"/>
    <n v="0"/>
    <n v="63"/>
    <d v="2018-12-17T00:00:00"/>
    <x v="0"/>
    <x v="1"/>
  </r>
  <r>
    <n v="14"/>
    <x v="2"/>
    <n v="100"/>
    <n v="81"/>
    <n v="0"/>
    <n v="81"/>
    <d v="2018-12-17T00:00:00"/>
    <x v="0"/>
    <x v="1"/>
  </r>
  <r>
    <n v="14"/>
    <x v="3"/>
    <n v="100"/>
    <n v="38.89"/>
    <n v="0"/>
    <n v="38.89"/>
    <d v="2018-12-17T00:00:00"/>
    <x v="0"/>
    <x v="1"/>
  </r>
  <r>
    <n v="14"/>
    <x v="4"/>
    <n v="100"/>
    <n v="34.770000000000003"/>
    <n v="0"/>
    <n v="34.770000000000003"/>
    <d v="2018-12-17T00:00:00"/>
    <x v="0"/>
    <x v="1"/>
  </r>
  <r>
    <n v="13"/>
    <x v="5"/>
    <n v="100"/>
    <n v="67"/>
    <n v="6"/>
    <n v="61"/>
    <d v="2019-01-15T00:00:00"/>
    <x v="1"/>
    <x v="0"/>
  </r>
  <r>
    <n v="14"/>
    <x v="1"/>
    <n v="100"/>
    <n v="75.709999999999994"/>
    <n v="0"/>
    <n v="75.709999999999994"/>
    <d v="2019-01-17T00:00:00"/>
    <x v="1"/>
    <x v="1"/>
  </r>
  <r>
    <n v="14"/>
    <x v="2"/>
    <n v="100"/>
    <n v="39.36"/>
    <n v="0"/>
    <n v="39.36"/>
    <d v="2019-01-17T00:00:00"/>
    <x v="1"/>
    <x v="1"/>
  </r>
  <r>
    <n v="14"/>
    <x v="3"/>
    <n v="100"/>
    <n v="51.8"/>
    <n v="0"/>
    <n v="51.8"/>
    <d v="2019-01-17T00:00:00"/>
    <x v="1"/>
    <x v="1"/>
  </r>
  <r>
    <n v="14"/>
    <x v="4"/>
    <n v="100"/>
    <n v="61.75"/>
    <n v="0"/>
    <n v="61.75"/>
    <d v="2019-01-17T00:00:00"/>
    <x v="1"/>
    <x v="1"/>
  </r>
  <r>
    <n v="13"/>
    <x v="0"/>
    <n v="100"/>
    <n v="65.430000000000007"/>
    <n v="0"/>
    <n v="65.430000000000007"/>
    <d v="2019-02-15T00:00:00"/>
    <x v="2"/>
    <x v="0"/>
  </r>
  <r>
    <n v="50"/>
    <x v="6"/>
    <n v="100"/>
    <n v="0"/>
    <n v="0"/>
    <n v="0"/>
    <d v="2019-02-15T00:00:00"/>
    <x v="2"/>
    <x v="2"/>
  </r>
  <r>
    <n v="14"/>
    <x v="1"/>
    <n v="100"/>
    <n v="61"/>
    <n v="0"/>
    <n v="61"/>
    <d v="2019-02-17T00:00:00"/>
    <x v="2"/>
    <x v="1"/>
  </r>
  <r>
    <n v="14"/>
    <x v="2"/>
    <n v="100"/>
    <n v="99"/>
    <n v="0"/>
    <n v="99"/>
    <d v="2019-02-17T00:00:00"/>
    <x v="2"/>
    <x v="1"/>
  </r>
  <r>
    <n v="14"/>
    <x v="3"/>
    <n v="100"/>
    <n v="99.9"/>
    <n v="0"/>
    <n v="99.9"/>
    <d v="2019-02-17T00:00:00"/>
    <x v="2"/>
    <x v="1"/>
  </r>
  <r>
    <n v="14"/>
    <x v="4"/>
    <n v="100"/>
    <n v="98.42"/>
    <n v="0"/>
    <n v="98.42"/>
    <d v="2019-02-17T00:00:00"/>
    <x v="2"/>
    <x v="1"/>
  </r>
  <r>
    <n v="13"/>
    <x v="7"/>
    <n v="100"/>
    <n v="166"/>
    <n v="2.34"/>
    <n v="163.66"/>
    <d v="2019-03-15T00:00:00"/>
    <x v="3"/>
    <x v="0"/>
  </r>
  <r>
    <n v="14"/>
    <x v="1"/>
    <n v="100"/>
    <n v="37.44"/>
    <n v="0"/>
    <n v="37.44"/>
    <d v="2019-03-17T00:00:00"/>
    <x v="3"/>
    <x v="1"/>
  </r>
  <r>
    <n v="14"/>
    <x v="2"/>
    <n v="100"/>
    <n v="52.02"/>
    <n v="0"/>
    <n v="52.02"/>
    <d v="2019-03-17T00:00:00"/>
    <x v="3"/>
    <x v="1"/>
  </r>
  <r>
    <n v="14"/>
    <x v="3"/>
    <n v="100"/>
    <n v="42.14"/>
    <n v="0"/>
    <n v="42.14"/>
    <d v="2019-03-17T00:00:00"/>
    <x v="3"/>
    <x v="1"/>
  </r>
  <r>
    <n v="14"/>
    <x v="4"/>
    <n v="100"/>
    <n v="177.12"/>
    <n v="0"/>
    <n v="177.12"/>
    <d v="2019-03-17T00:00:00"/>
    <x v="3"/>
    <x v="1"/>
  </r>
  <r>
    <n v="13"/>
    <x v="0"/>
    <n v="100"/>
    <n v="162.75"/>
    <n v="0"/>
    <n v="162.75"/>
    <d v="2019-04-15T00:00:00"/>
    <x v="4"/>
    <x v="0"/>
  </r>
  <r>
    <n v="14"/>
    <x v="1"/>
    <n v="100"/>
    <n v="61"/>
    <n v="0"/>
    <n v="61"/>
    <d v="2019-04-17T00:00:00"/>
    <x v="4"/>
    <x v="1"/>
  </r>
  <r>
    <n v="14"/>
    <x v="2"/>
    <n v="100"/>
    <n v="180.6"/>
    <n v="0"/>
    <n v="180.6"/>
    <d v="2019-04-17T00:00:00"/>
    <x v="4"/>
    <x v="1"/>
  </r>
  <r>
    <n v="14"/>
    <x v="3"/>
    <n v="100"/>
    <n v="38.4"/>
    <n v="0"/>
    <n v="38.4"/>
    <d v="2019-04-17T00:00:00"/>
    <x v="4"/>
    <x v="1"/>
  </r>
  <r>
    <n v="14"/>
    <x v="4"/>
    <n v="100"/>
    <n v="153.18"/>
    <n v="0"/>
    <n v="153.18"/>
    <d v="2019-04-17T00:00:00"/>
    <x v="4"/>
    <x v="1"/>
  </r>
  <r>
    <n v="13"/>
    <x v="8"/>
    <n v="100"/>
    <n v="156.13999999999999"/>
    <n v="0"/>
    <n v="156.13999999999999"/>
    <d v="2019-05-15T00:00:00"/>
    <x v="5"/>
    <x v="0"/>
  </r>
  <r>
    <n v="14"/>
    <x v="1"/>
    <n v="100"/>
    <n v="61"/>
    <n v="0"/>
    <n v="61"/>
    <d v="2019-05-17T00:00:00"/>
    <x v="5"/>
    <x v="1"/>
  </r>
  <r>
    <n v="14"/>
    <x v="2"/>
    <n v="100"/>
    <n v="99"/>
    <n v="0"/>
    <n v="99"/>
    <d v="2019-05-17T00:00:00"/>
    <x v="5"/>
    <x v="1"/>
  </r>
  <r>
    <n v="14"/>
    <x v="3"/>
    <n v="100"/>
    <n v="99.9"/>
    <n v="0"/>
    <n v="99.9"/>
    <d v="2019-05-17T00:00:00"/>
    <x v="5"/>
    <x v="1"/>
  </r>
  <r>
    <n v="14"/>
    <x v="4"/>
    <n v="100"/>
    <n v="98.42"/>
    <n v="0"/>
    <n v="98.42"/>
    <d v="2019-05-17T00:00:00"/>
    <x v="5"/>
    <x v="1"/>
  </r>
  <r>
    <n v="13"/>
    <x v="0"/>
    <n v="100"/>
    <n v="166"/>
    <n v="0"/>
    <n v="166"/>
    <d v="2019-06-15T00:00:00"/>
    <x v="6"/>
    <x v="0"/>
  </r>
  <r>
    <n v="14"/>
    <x v="1"/>
    <n v="100"/>
    <n v="37.44"/>
    <n v="0"/>
    <n v="37.44"/>
    <d v="2019-06-17T00:00:00"/>
    <x v="6"/>
    <x v="1"/>
  </r>
  <r>
    <n v="14"/>
    <x v="2"/>
    <n v="100"/>
    <n v="52.02"/>
    <n v="0"/>
    <n v="52.02"/>
    <d v="2019-06-17T00:00:00"/>
    <x v="6"/>
    <x v="1"/>
  </r>
  <r>
    <n v="14"/>
    <x v="3"/>
    <n v="100"/>
    <n v="42.14"/>
    <n v="0"/>
    <n v="42.14"/>
    <d v="2019-06-17T00:00:00"/>
    <x v="6"/>
    <x v="1"/>
  </r>
  <r>
    <n v="14"/>
    <x v="4"/>
    <n v="100"/>
    <n v="177.12"/>
    <n v="0"/>
    <n v="177.12"/>
    <d v="2019-06-17T00:00:00"/>
    <x v="6"/>
    <x v="1"/>
  </r>
  <r>
    <n v="13"/>
    <x v="5"/>
    <n v="100"/>
    <n v="162.75"/>
    <n v="0"/>
    <n v="162.75"/>
    <d v="2019-07-15T00:00:00"/>
    <x v="7"/>
    <x v="0"/>
  </r>
  <r>
    <n v="14"/>
    <x v="1"/>
    <n v="100"/>
    <n v="61"/>
    <n v="0"/>
    <n v="61"/>
    <d v="2019-07-17T00:00:00"/>
    <x v="7"/>
    <x v="1"/>
  </r>
  <r>
    <n v="14"/>
    <x v="2"/>
    <n v="100"/>
    <n v="180.6"/>
    <n v="0"/>
    <n v="180.6"/>
    <d v="2019-07-17T00:00:00"/>
    <x v="7"/>
    <x v="1"/>
  </r>
  <r>
    <n v="14"/>
    <x v="3"/>
    <n v="100"/>
    <n v="38.4"/>
    <n v="0"/>
    <n v="38.4"/>
    <d v="2019-07-17T00:00:00"/>
    <x v="7"/>
    <x v="1"/>
  </r>
  <r>
    <n v="14"/>
    <x v="4"/>
    <n v="100"/>
    <n v="153.18"/>
    <n v="0"/>
    <n v="153.18"/>
    <d v="2019-07-17T00:00:00"/>
    <x v="7"/>
    <x v="1"/>
  </r>
  <r>
    <n v="13"/>
    <x v="7"/>
    <n v="100"/>
    <n v="156.13999999999999"/>
    <n v="0"/>
    <n v="156.13999999999999"/>
    <d v="2019-08-15T00:00:00"/>
    <x v="8"/>
    <x v="0"/>
  </r>
  <r>
    <n v="14"/>
    <x v="1"/>
    <n v="100"/>
    <n v="61"/>
    <n v="1.03"/>
    <n v="59.97"/>
    <d v="2019-08-17T00:00:00"/>
    <x v="8"/>
    <x v="1"/>
  </r>
  <r>
    <n v="14"/>
    <x v="2"/>
    <n v="100"/>
    <n v="99"/>
    <n v="0"/>
    <n v="99"/>
    <d v="2019-08-17T00:00:00"/>
    <x v="8"/>
    <x v="1"/>
  </r>
  <r>
    <n v="14"/>
    <x v="3"/>
    <n v="100"/>
    <n v="99.9"/>
    <n v="0"/>
    <n v="99.9"/>
    <d v="2019-08-17T00:00:00"/>
    <x v="8"/>
    <x v="1"/>
  </r>
  <r>
    <n v="14"/>
    <x v="4"/>
    <n v="100"/>
    <n v="98.42"/>
    <n v="0"/>
    <n v="98.42"/>
    <d v="2019-08-17T00:00:00"/>
    <x v="8"/>
    <x v="1"/>
  </r>
  <r>
    <n v="13"/>
    <x v="9"/>
    <n v="100"/>
    <n v="166"/>
    <n v="0"/>
    <n v="166"/>
    <d v="2019-09-15T00:00:00"/>
    <x v="9"/>
    <x v="0"/>
  </r>
  <r>
    <n v="14"/>
    <x v="1"/>
    <n v="100"/>
    <n v="37.44"/>
    <n v="0"/>
    <n v="37.44"/>
    <d v="2019-09-17T00:00:00"/>
    <x v="9"/>
    <x v="1"/>
  </r>
  <r>
    <n v="14"/>
    <x v="2"/>
    <n v="100"/>
    <n v="52.02"/>
    <n v="0"/>
    <n v="52.02"/>
    <d v="2019-09-17T00:00:00"/>
    <x v="9"/>
    <x v="1"/>
  </r>
  <r>
    <n v="14"/>
    <x v="3"/>
    <n v="100"/>
    <n v="42.14"/>
    <n v="0"/>
    <n v="42.14"/>
    <d v="2019-09-17T00:00:00"/>
    <x v="9"/>
    <x v="1"/>
  </r>
  <r>
    <n v="14"/>
    <x v="4"/>
    <n v="100"/>
    <n v="177.12"/>
    <n v="0"/>
    <n v="177.12"/>
    <d v="2019-09-17T00:00:00"/>
    <x v="9"/>
    <x v="1"/>
  </r>
  <r>
    <n v="13"/>
    <x v="0"/>
    <n v="100"/>
    <n v="162.75"/>
    <n v="0"/>
    <n v="162.75"/>
    <d v="2019-10-15T00:00:00"/>
    <x v="10"/>
    <x v="0"/>
  </r>
  <r>
    <n v="14"/>
    <x v="1"/>
    <n v="100"/>
    <n v="61"/>
    <n v="0"/>
    <n v="61"/>
    <d v="2019-10-17T00:00:00"/>
    <x v="10"/>
    <x v="1"/>
  </r>
  <r>
    <n v="14"/>
    <x v="2"/>
    <n v="100"/>
    <n v="180.6"/>
    <n v="0"/>
    <n v="180.6"/>
    <d v="2019-10-17T00:00:00"/>
    <x v="10"/>
    <x v="1"/>
  </r>
  <r>
    <n v="14"/>
    <x v="3"/>
    <n v="100"/>
    <n v="38.4"/>
    <n v="0"/>
    <n v="38.4"/>
    <d v="2019-10-17T00:00:00"/>
    <x v="10"/>
    <x v="1"/>
  </r>
  <r>
    <n v="14"/>
    <x v="4"/>
    <n v="100"/>
    <n v="153.18"/>
    <n v="0"/>
    <n v="153.18"/>
    <d v="2019-10-17T00:00:00"/>
    <x v="10"/>
    <x v="1"/>
  </r>
  <r>
    <n v="13"/>
    <x v="8"/>
    <n v="100"/>
    <n v="156.13999999999999"/>
    <n v="0"/>
    <n v="156.13999999999999"/>
    <d v="2019-10-15T00:00:00"/>
    <x v="10"/>
    <x v="0"/>
  </r>
  <r>
    <n v="14"/>
    <x v="1"/>
    <n v="100"/>
    <n v="61"/>
    <n v="0"/>
    <n v="61"/>
    <d v="2019-10-17T00:00:00"/>
    <x v="10"/>
    <x v="1"/>
  </r>
  <r>
    <n v="14"/>
    <x v="2"/>
    <n v="100"/>
    <n v="99"/>
    <n v="0"/>
    <n v="99"/>
    <d v="2019-10-17T00:00:00"/>
    <x v="10"/>
    <x v="1"/>
  </r>
  <r>
    <n v="14"/>
    <x v="3"/>
    <n v="100"/>
    <n v="99.9"/>
    <n v="0"/>
    <n v="99.9"/>
    <d v="2019-10-17T00:00:00"/>
    <x v="10"/>
    <x v="1"/>
  </r>
  <r>
    <n v="14"/>
    <x v="4"/>
    <n v="100"/>
    <n v="98.42"/>
    <n v="0"/>
    <n v="98.42"/>
    <d v="2019-10-17T00:00:00"/>
    <x v="10"/>
    <x v="1"/>
  </r>
  <r>
    <n v="13"/>
    <x v="0"/>
    <n v="100"/>
    <n v="166"/>
    <n v="0"/>
    <n v="166"/>
    <d v="2019-10-15T00:00:00"/>
    <x v="10"/>
    <x v="0"/>
  </r>
  <r>
    <n v="14"/>
    <x v="1"/>
    <n v="100"/>
    <n v="37.44"/>
    <n v="0"/>
    <n v="37.44"/>
    <d v="2019-10-17T00:00:00"/>
    <x v="10"/>
    <x v="1"/>
  </r>
  <r>
    <n v="14"/>
    <x v="2"/>
    <n v="100"/>
    <n v="52.02"/>
    <n v="0"/>
    <n v="52.02"/>
    <d v="2019-10-17T00:00:00"/>
    <x v="10"/>
    <x v="1"/>
  </r>
  <r>
    <n v="14"/>
    <x v="3"/>
    <n v="100"/>
    <n v="42.14"/>
    <n v="0"/>
    <n v="42.14"/>
    <d v="2019-10-17T00:00:00"/>
    <x v="10"/>
    <x v="1"/>
  </r>
  <r>
    <n v="14"/>
    <x v="4"/>
    <n v="100"/>
    <n v="177.12"/>
    <n v="0"/>
    <n v="177.12"/>
    <d v="2019-10-17T00:00:00"/>
    <x v="10"/>
    <x v="1"/>
  </r>
  <r>
    <n v="14"/>
    <x v="8"/>
    <n v="100"/>
    <n v="162.75"/>
    <n v="0"/>
    <n v="162.75"/>
    <d v="2020-01-15T00:00:00"/>
    <x v="11"/>
    <x v="0"/>
  </r>
  <r>
    <n v="14"/>
    <x v="1"/>
    <n v="100"/>
    <n v="61"/>
    <n v="0"/>
    <n v="61"/>
    <d v="2020-01-17T00:00:00"/>
    <x v="11"/>
    <x v="1"/>
  </r>
  <r>
    <n v="14"/>
    <x v="2"/>
    <n v="100"/>
    <n v="180.6"/>
    <n v="0"/>
    <n v="180.6"/>
    <d v="2020-01-17T00:00:00"/>
    <x v="11"/>
    <x v="1"/>
  </r>
  <r>
    <n v="14"/>
    <x v="3"/>
    <n v="100"/>
    <n v="38.4"/>
    <n v="0"/>
    <n v="38.4"/>
    <d v="2020-01-17T00:00:00"/>
    <x v="11"/>
    <x v="1"/>
  </r>
  <r>
    <n v="14"/>
    <x v="4"/>
    <n v="100"/>
    <n v="153.18"/>
    <n v="0"/>
    <n v="153.18"/>
    <d v="2020-01-17T00:00:00"/>
    <x v="1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2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N16" firstHeaderRow="1" firstDataRow="2" firstDataCol="1"/>
  <pivotFields count="9">
    <pivotField showAll="0"/>
    <pivotField axis="axisRow" showAll="0">
      <items count="11">
        <item x="9"/>
        <item x="7"/>
        <item x="1"/>
        <item x="6"/>
        <item x="2"/>
        <item x="3"/>
        <item x="0"/>
        <item x="4"/>
        <item x="5"/>
        <item x="8"/>
        <item t="default"/>
      </items>
    </pivotField>
    <pivotField showAll="0"/>
    <pivotField numFmtId="44" showAll="0"/>
    <pivotField numFmtId="44" showAll="0"/>
    <pivotField dataField="1" numFmtId="44" showAll="0"/>
    <pivotField numFmtId="14" showAll="0"/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4">
        <item x="0"/>
        <item x="1"/>
        <item h="1" x="2"/>
        <item t="default"/>
      </items>
    </pivotField>
  </pivotFields>
  <rowFields count="2">
    <field x="8"/>
    <field x="1"/>
  </rowFields>
  <rowItems count="12">
    <i>
      <x/>
    </i>
    <i r="1">
      <x/>
    </i>
    <i r="1">
      <x v="1"/>
    </i>
    <i r="1">
      <x v="6"/>
    </i>
    <i r="1">
      <x v="8"/>
    </i>
    <i r="1">
      <x v="9"/>
    </i>
    <i>
      <x v="1"/>
    </i>
    <i r="1">
      <x v="2"/>
    </i>
    <i r="1">
      <x v="4"/>
    </i>
    <i r="1">
      <x v="5"/>
    </i>
    <i r="1">
      <x v="7"/>
    </i>
    <i t="grand">
      <x/>
    </i>
  </rowItems>
  <colFields count="1">
    <field x="7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oma de Valor Líquido" fld="5" baseField="1" baseItem="6" numFmtId="2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1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P16" firstHeaderRow="1" firstDataRow="2" firstDataCol="1"/>
  <pivotFields count="10">
    <pivotField numFmtId="14" showAll="0"/>
    <pivotField axis="axisRow" showAll="0">
      <items count="10">
        <item x="1"/>
        <item x="5"/>
        <item x="6"/>
        <item x="3"/>
        <item x="4"/>
        <item x="0"/>
        <item x="7"/>
        <item x="2"/>
        <item x="8"/>
        <item t="default"/>
      </items>
    </pivotField>
    <pivotField showAll="0"/>
    <pivotField numFmtId="44" showAll="0"/>
    <pivotField numFmtId="44" showAll="0"/>
    <pivotField dataField="1" numFmtId="44" showAll="0"/>
    <pivotField axis="axisRow" showAll="0">
      <items count="3">
        <item x="0"/>
        <item x="1"/>
        <item t="default"/>
      </items>
    </pivotField>
    <pivotField showAll="0"/>
    <pivotField showAl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6"/>
    <field x="1"/>
  </rowFields>
  <rowItems count="12">
    <i>
      <x/>
    </i>
    <i r="1">
      <x/>
    </i>
    <i r="1">
      <x v="1"/>
    </i>
    <i r="1">
      <x v="5"/>
    </i>
    <i r="1">
      <x v="7"/>
    </i>
    <i r="1">
      <x v="8"/>
    </i>
    <i>
      <x v="1"/>
    </i>
    <i r="1">
      <x v="2"/>
    </i>
    <i r="1">
      <x v="3"/>
    </i>
    <i r="1">
      <x v="4"/>
    </i>
    <i r="1">
      <x v="6"/>
    </i>
    <i t="grand">
      <x/>
    </i>
  </rowItems>
  <colFields count="1">
    <field x="9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Soma de Total" fld="5" baseField="6" baseItem="0" numFmtId="2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ubhtml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3" name="TbCarteira" displayName="TbCarteira" ref="A1:I11" totalsRowCount="1">
  <autoFilter ref="A1:I10"/>
  <tableColumns count="9">
    <tableColumn id="1" name="Ativo" totalsRowLabel="Total"/>
    <tableColumn id="2" name="Tipo" dataDxfId="31">
      <calculatedColumnFormula>VLOOKUP(TbCarteira[[#This Row],[Ativo]],TbAtivos!$B$4:$D$500,2,FALSE)</calculatedColumnFormula>
    </tableColumn>
    <tableColumn id="3" name="Cotação" dataDxfId="30">
      <calculatedColumnFormula>VLOOKUP(TbCarteira[[#This Row],[Ativo]],TbAtivos!$B$4:$D$500,3,FALSE)</calculatedColumnFormula>
    </tableColumn>
    <tableColumn id="4" name="Total aportado" totalsRowFunction="sum" dataDxfId="29">
      <calculatedColumnFormula>SUMIFS(TbAportes[Total],TbAportes[Ativo],TbCarteira[[#This Row],[Ativo]],TbAportes[Data],"&lt;="&amp;IF($L$1="",TODAY(),$L$1))</calculatedColumnFormula>
    </tableColumn>
    <tableColumn id="5" name="Total qte" dataDxfId="28">
      <calculatedColumnFormula>SUMIFS(TbAportes[Qte],TbAportes[Ativo],TbCarteira[[#This Row],[Ativo]],TbAportes[Data],"&lt;="&amp;IF($L$1="",TODAY(),$L$1))</calculatedColumnFormula>
    </tableColumn>
    <tableColumn id="6" name="PM" dataDxfId="27">
      <calculatedColumnFormula>TbCarteira[[#This Row],[Total aportado]]/TbCarteira[[#This Row],[Total qte]]</calculatedColumnFormula>
    </tableColumn>
    <tableColumn id="7" name="Total atual" totalsRowFunction="sum" dataDxfId="26">
      <calculatedColumnFormula>TbCarteira[[#This Row],[Total qte]]*TbCarteira[[#This Row],[Cotação]]</calculatedColumnFormula>
    </tableColumn>
    <tableColumn id="8" name="Valorização" totalsRowFunction="sum" dataDxfId="25">
      <calculatedColumnFormula>TbCarteira[[#This Row],[Total atual]]-TbCarteira[[#This Row],[Total aportado]]</calculatedColumnFormula>
    </tableColumn>
    <tableColumn id="9" name="Valorização %" dataDxfId="24" totalsRowDxfId="23">
      <calculatedColumnFormula>TbCarteira[[#This Row],[Total atual]]/TbCarteira[[#This Row],[Total aportado]]-1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bAportes" displayName="TbAportes" ref="A1:J29" totalsRowShown="0" headerRowDxfId="22" dataDxfId="21">
  <autoFilter ref="A1:J29"/>
  <tableColumns count="10">
    <tableColumn id="1" name="Data" dataDxfId="20"/>
    <tableColumn id="2" name="Ativo" dataDxfId="19"/>
    <tableColumn id="3" name="Qte" dataDxfId="18"/>
    <tableColumn id="4" name="Valor unitário" dataDxfId="17"/>
    <tableColumn id="5" name="Custo" dataDxfId="2"/>
    <tableColumn id="6" name="Total" dataDxfId="0">
      <calculatedColumnFormula>TbAportes[[#This Row],[Valor unitário]]*TbAportes[[#This Row],[Qte]]+TbAportes[[#This Row],[Custo]]</calculatedColumnFormula>
    </tableColumn>
    <tableColumn id="7" name="Tipo" dataDxfId="1">
      <calculatedColumnFormula>VLOOKUP(TbAportes[[#This Row],[Ativo]],TbAtivos!$B$4:$D$500,2,FALSE)</calculatedColumnFormula>
    </tableColumn>
    <tableColumn id="8" name="Ano" dataDxfId="16">
      <calculatedColumnFormula>YEAR(TbAportes[[#This Row],[Data]])</calculatedColumnFormula>
    </tableColumn>
    <tableColumn id="9" name="Mês" dataDxfId="15">
      <calculatedColumnFormula>MONTH(TbAportes[[#This Row],[Data]])</calculatedColumnFormula>
    </tableColumn>
    <tableColumn id="10" name="Ano/Mês" dataDxfId="14">
      <calculatedColumnFormula>CONCATENATE(TbAportes[[#This Row],[Ano]],"/",IF(TbAportes[[#This Row],[Mês]]&lt;10,"0",""),TbAportes[[#This Row],[Mês]])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bProventos" displayName="TbProventos" ref="A1:I72" totalsRowShown="0" headerRowDxfId="13" dataDxfId="12">
  <autoFilter ref="A1:I72"/>
  <tableColumns count="9">
    <tableColumn id="1" name="Cod" dataDxfId="11"/>
    <tableColumn id="2" name="Ativo" dataDxfId="10"/>
    <tableColumn id="3" name="Qte" dataDxfId="9"/>
    <tableColumn id="4" name="Valor Bruto" dataDxfId="8"/>
    <tableColumn id="5" name="IR" dataDxfId="7"/>
    <tableColumn id="6" name="Valor Líquido" dataDxfId="6"/>
    <tableColumn id="7" name="Data" dataDxfId="5"/>
    <tableColumn id="8" name="Ano/Mês" dataDxfId="4">
      <calculatedColumnFormula>CONCATENATE(YEAR(TbProventos[[#This Row],[Data]]),"/",IF(MONTH(TbProventos[[#This Row],[Data]])&lt;10,"0",""),MONTH(TbProventos[[#This Row],[Data]]))</calculatedColumnFormula>
    </tableColumn>
    <tableColumn id="9" name="Tipo" dataDxfId="3">
      <calculatedColumnFormula>VLOOKUP(TbProventos[[#This Row],[Ativo]],TbAtivos!$B$4:$D$500,2,FALSE)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4"/>
  <sheetViews>
    <sheetView showGridLines="0" tabSelected="1" workbookViewId="0"/>
  </sheetViews>
  <sheetFormatPr defaultRowHeight="15" x14ac:dyDescent="0.25"/>
  <cols>
    <col min="1" max="1" width="2.7109375" customWidth="1"/>
    <col min="2" max="2" width="33.28515625" customWidth="1"/>
    <col min="3" max="3" width="2.140625" customWidth="1"/>
    <col min="4" max="4" width="17.5703125" customWidth="1"/>
    <col min="5" max="5" width="24" customWidth="1"/>
    <col min="6" max="6" width="50.7109375" customWidth="1"/>
    <col min="7" max="7" width="19.42578125" customWidth="1"/>
    <col min="8" max="8" width="29.5703125" customWidth="1"/>
  </cols>
  <sheetData>
    <row r="1" spans="1:8" ht="27" customHeight="1" x14ac:dyDescent="0.25">
      <c r="A1" s="13"/>
      <c r="B1" s="13"/>
      <c r="C1" s="13"/>
      <c r="D1" s="15" t="s">
        <v>59</v>
      </c>
      <c r="E1" s="24">
        <v>15000</v>
      </c>
      <c r="F1" s="13"/>
      <c r="G1" s="16" t="s">
        <v>60</v>
      </c>
      <c r="H1" s="17">
        <f ca="1">IF(ReCarteira!L1="",TODAY(),ReCarteira!L1)</f>
        <v>43969</v>
      </c>
    </row>
    <row r="2" spans="1:8" ht="12.75" customHeight="1" thickBot="1" x14ac:dyDescent="0.3">
      <c r="A2" s="14"/>
      <c r="B2" s="14"/>
      <c r="C2" s="14"/>
      <c r="D2" s="14"/>
      <c r="E2" s="14"/>
      <c r="F2" s="14"/>
      <c r="G2" s="14"/>
      <c r="H2" s="14"/>
    </row>
    <row r="4" spans="1:8" ht="15.75" thickBot="1" x14ac:dyDescent="0.3">
      <c r="B4" s="19" t="s">
        <v>58</v>
      </c>
    </row>
    <row r="5" spans="1:8" ht="37.5" customHeight="1" thickBot="1" x14ac:dyDescent="0.3">
      <c r="B5" s="30">
        <f ca="1">DashBoardAux!C13</f>
        <v>27838.05</v>
      </c>
    </row>
    <row r="7" spans="1:8" ht="15.75" thickBot="1" x14ac:dyDescent="0.3">
      <c r="B7" s="19" t="s">
        <v>51</v>
      </c>
    </row>
    <row r="8" spans="1:8" ht="37.5" customHeight="1" thickBot="1" x14ac:dyDescent="0.3">
      <c r="B8" s="30">
        <f ca="1">DashBoardAux!C12</f>
        <v>26791.03</v>
      </c>
    </row>
    <row r="10" spans="1:8" ht="15.75" thickBot="1" x14ac:dyDescent="0.3">
      <c r="B10" s="19" t="s">
        <v>55</v>
      </c>
    </row>
    <row r="11" spans="1:8" ht="37.5" customHeight="1" thickBot="1" x14ac:dyDescent="0.3">
      <c r="B11" s="30">
        <f ca="1">DashBoardAux!C14</f>
        <v>1047.0199999999991</v>
      </c>
    </row>
    <row r="13" spans="1:8" ht="15.75" thickBot="1" x14ac:dyDescent="0.3">
      <c r="B13" s="19" t="s">
        <v>56</v>
      </c>
    </row>
    <row r="14" spans="1:8" ht="37.5" customHeight="1" thickBot="1" x14ac:dyDescent="0.3">
      <c r="B14" s="18">
        <f ca="1">DashBoardAux!C15</f>
        <v>3.9080990913749947E-2</v>
      </c>
    </row>
  </sheetData>
  <conditionalFormatting sqref="B11 B14">
    <cfRule type="cellIs" dxfId="35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Drop Down 1">
              <controlPr defaultSize="0" autoLine="0" autoPict="0">
                <anchor moveWithCells="1">
                  <from>
                    <xdr:col>1</xdr:col>
                    <xdr:colOff>0</xdr:colOff>
                    <xdr:row>0</xdr:row>
                    <xdr:rowOff>9525</xdr:rowOff>
                  </from>
                  <to>
                    <xdr:col>2</xdr:col>
                    <xdr:colOff>0</xdr:colOff>
                    <xdr:row>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5"/>
  <sheetViews>
    <sheetView zoomScaleNormal="100" workbookViewId="0"/>
  </sheetViews>
  <sheetFormatPr defaultRowHeight="15" x14ac:dyDescent="0.25"/>
  <cols>
    <col min="1" max="1" width="2.28515625" customWidth="1"/>
    <col min="2" max="2" width="19.7109375" customWidth="1"/>
    <col min="3" max="3" width="18.7109375" customWidth="1"/>
    <col min="4" max="4" width="2.85546875" customWidth="1"/>
    <col min="6" max="6" width="15.140625" customWidth="1"/>
    <col min="7" max="7" width="15" customWidth="1"/>
    <col min="8" max="8" width="15.140625" customWidth="1"/>
    <col min="9" max="9" width="13.85546875" customWidth="1"/>
    <col min="10" max="10" width="3.28515625" customWidth="1"/>
    <col min="11" max="11" width="15" customWidth="1"/>
    <col min="12" max="12" width="21.85546875" customWidth="1"/>
  </cols>
  <sheetData>
    <row r="2" spans="2:12" x14ac:dyDescent="0.25">
      <c r="B2" s="22" t="s">
        <v>61</v>
      </c>
      <c r="C2" s="22"/>
      <c r="E2" s="22" t="s">
        <v>68</v>
      </c>
      <c r="F2" s="22"/>
      <c r="G2" s="22"/>
      <c r="H2" s="22"/>
      <c r="I2" s="22"/>
      <c r="K2" s="22" t="s">
        <v>70</v>
      </c>
      <c r="L2" s="22"/>
    </row>
    <row r="3" spans="2:12" x14ac:dyDescent="0.25">
      <c r="B3" s="21">
        <v>1</v>
      </c>
      <c r="C3" s="20" t="s">
        <v>62</v>
      </c>
      <c r="E3" s="27"/>
      <c r="F3" s="27"/>
      <c r="G3" s="28">
        <v>1</v>
      </c>
      <c r="H3" s="28">
        <v>2</v>
      </c>
      <c r="I3" s="28">
        <v>3</v>
      </c>
      <c r="K3" s="31" t="s">
        <v>63</v>
      </c>
      <c r="L3" s="25">
        <f ca="1">H6</f>
        <v>17506</v>
      </c>
    </row>
    <row r="4" spans="2:12" x14ac:dyDescent="0.25">
      <c r="B4" s="21">
        <v>2</v>
      </c>
      <c r="C4" s="20" t="s">
        <v>63</v>
      </c>
      <c r="E4" s="21"/>
      <c r="F4" s="21"/>
      <c r="G4" s="29" t="s">
        <v>62</v>
      </c>
      <c r="H4" s="29" t="s">
        <v>63</v>
      </c>
      <c r="I4" s="29" t="s">
        <v>10</v>
      </c>
      <c r="K4" s="31" t="s">
        <v>10</v>
      </c>
      <c r="L4" s="25">
        <f ca="1">I6</f>
        <v>10332.049999999999</v>
      </c>
    </row>
    <row r="5" spans="2:12" x14ac:dyDescent="0.25">
      <c r="B5" s="21">
        <v>3</v>
      </c>
      <c r="C5" s="20" t="s">
        <v>64</v>
      </c>
      <c r="E5" s="21">
        <v>1</v>
      </c>
      <c r="F5" s="21" t="s">
        <v>51</v>
      </c>
      <c r="G5" s="25">
        <f ca="1">SUM(TbCarteira[Total aportado])</f>
        <v>26791.03</v>
      </c>
      <c r="H5" s="25">
        <f ca="1">SUMIF(TbCarteira[Tipo],"EMPRESA",TbCarteira[Total aportado])</f>
        <v>17598</v>
      </c>
      <c r="I5" s="25">
        <f ca="1">SUMIF(TbCarteira[Tipo],"FII",TbCarteira[Total aportado])</f>
        <v>9193.0299999999988</v>
      </c>
      <c r="K5" s="31" t="s">
        <v>71</v>
      </c>
      <c r="L5" s="25">
        <f>C9</f>
        <v>15000</v>
      </c>
    </row>
    <row r="6" spans="2:12" x14ac:dyDescent="0.25">
      <c r="E6" s="21">
        <v>2</v>
      </c>
      <c r="F6" s="21" t="s">
        <v>58</v>
      </c>
      <c r="G6" s="25">
        <f ca="1">SUM(TbCarteira[Total atual])</f>
        <v>27838.05</v>
      </c>
      <c r="H6" s="25">
        <f ca="1">SUMIF(TbCarteira[Tipo],"EMPRESA",TbCarteira[Total atual])</f>
        <v>17506</v>
      </c>
      <c r="I6" s="25">
        <f ca="1">SUMIF(TbCarteira[Tipo],"FII",TbCarteira[Total atual])</f>
        <v>10332.049999999999</v>
      </c>
    </row>
    <row r="7" spans="2:12" x14ac:dyDescent="0.25">
      <c r="B7" s="22" t="s">
        <v>65</v>
      </c>
      <c r="C7" s="22"/>
      <c r="E7" s="21">
        <v>3</v>
      </c>
      <c r="F7" s="21" t="s">
        <v>55</v>
      </c>
      <c r="G7" s="25">
        <f ca="1">SUM(TbCarteira[Valorização])</f>
        <v>1047.0199999999991</v>
      </c>
      <c r="H7" s="25">
        <f ca="1">H6-H5</f>
        <v>-92</v>
      </c>
      <c r="I7" s="25">
        <f ca="1">I6-I5</f>
        <v>1139.0200000000004</v>
      </c>
    </row>
    <row r="8" spans="2:12" x14ac:dyDescent="0.25">
      <c r="B8" s="21" t="s">
        <v>66</v>
      </c>
      <c r="C8" s="20">
        <v>1</v>
      </c>
      <c r="E8" s="21">
        <v>4</v>
      </c>
      <c r="F8" s="21" t="s">
        <v>56</v>
      </c>
      <c r="G8" s="26">
        <f ca="1">G6/G5-1</f>
        <v>3.9080990913749947E-2</v>
      </c>
      <c r="H8" s="26">
        <f ca="1">H6/H5-1</f>
        <v>-5.2278668030457665E-3</v>
      </c>
      <c r="I8" s="26">
        <f ca="1">I6/I5-1</f>
        <v>0.12390038975180118</v>
      </c>
    </row>
    <row r="9" spans="2:12" x14ac:dyDescent="0.25">
      <c r="B9" s="21" t="s">
        <v>67</v>
      </c>
      <c r="C9" s="23">
        <f>DashBoard!E1</f>
        <v>15000</v>
      </c>
    </row>
    <row r="11" spans="2:12" x14ac:dyDescent="0.25">
      <c r="B11" s="22" t="s">
        <v>69</v>
      </c>
      <c r="C11" s="22"/>
    </row>
    <row r="12" spans="2:12" x14ac:dyDescent="0.25">
      <c r="B12" s="21" t="s">
        <v>51</v>
      </c>
      <c r="C12" s="25">
        <f ca="1">INDEX($G$5:$I$8,E5,$C$8)</f>
        <v>26791.03</v>
      </c>
    </row>
    <row r="13" spans="2:12" x14ac:dyDescent="0.25">
      <c r="B13" s="21" t="s">
        <v>58</v>
      </c>
      <c r="C13" s="25">
        <f t="shared" ref="C13:C15" ca="1" si="0">INDEX($G$5:$I$8,E6,$C$8)</f>
        <v>27838.05</v>
      </c>
    </row>
    <row r="14" spans="2:12" x14ac:dyDescent="0.25">
      <c r="B14" s="21" t="s">
        <v>55</v>
      </c>
      <c r="C14" s="25">
        <f t="shared" ca="1" si="0"/>
        <v>1047.0199999999991</v>
      </c>
    </row>
    <row r="15" spans="2:12" x14ac:dyDescent="0.25">
      <c r="B15" s="21" t="s">
        <v>56</v>
      </c>
      <c r="C15" s="26">
        <f t="shared" ca="1" si="0"/>
        <v>3.9080990913749947E-2</v>
      </c>
    </row>
  </sheetData>
  <conditionalFormatting sqref="G7:I8">
    <cfRule type="cellIs" dxfId="34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"/>
  <sheetViews>
    <sheetView zoomScaleNormal="100" workbookViewId="0">
      <selection activeCell="I2" sqref="I2"/>
    </sheetView>
  </sheetViews>
  <sheetFormatPr defaultRowHeight="15" x14ac:dyDescent="0.25"/>
  <cols>
    <col min="3" max="3" width="10.140625" customWidth="1"/>
    <col min="4" max="4" width="16" style="11" customWidth="1"/>
    <col min="5" max="5" width="11" customWidth="1"/>
    <col min="6" max="6" width="13.7109375" style="11" customWidth="1"/>
    <col min="7" max="7" width="14.42578125" style="11" customWidth="1"/>
    <col min="8" max="8" width="13.28515625" style="11" customWidth="1"/>
    <col min="9" max="9" width="15.42578125" style="12" customWidth="1"/>
    <col min="10" max="10" width="2.42578125" customWidth="1"/>
    <col min="11" max="11" width="15.5703125" customWidth="1"/>
    <col min="12" max="12" width="12.85546875" customWidth="1"/>
  </cols>
  <sheetData>
    <row r="1" spans="1:12" x14ac:dyDescent="0.25">
      <c r="A1" t="s">
        <v>17</v>
      </c>
      <c r="B1" t="s">
        <v>22</v>
      </c>
      <c r="C1" t="s">
        <v>50</v>
      </c>
      <c r="D1" s="11" t="s">
        <v>51</v>
      </c>
      <c r="E1" t="s">
        <v>52</v>
      </c>
      <c r="F1" s="11" t="s">
        <v>53</v>
      </c>
      <c r="G1" s="11" t="s">
        <v>54</v>
      </c>
      <c r="H1" s="11" t="s">
        <v>55</v>
      </c>
      <c r="I1" s="12" t="s">
        <v>56</v>
      </c>
      <c r="K1" s="9" t="s">
        <v>57</v>
      </c>
      <c r="L1" s="10"/>
    </row>
    <row r="2" spans="1:12" x14ac:dyDescent="0.25">
      <c r="A2" t="s">
        <v>4</v>
      </c>
      <c r="B2" t="str">
        <f>VLOOKUP(TbCarteira[[#This Row],[Ativo]],TbAtivos!$B$4:$D$500,2,FALSE)</f>
        <v>EMPRESA</v>
      </c>
      <c r="C2">
        <f>VLOOKUP(TbCarteira[[#This Row],[Ativo]],TbAtivos!$B$4:$D$500,3,FALSE)</f>
        <v>7.88</v>
      </c>
      <c r="D2" s="11">
        <f ca="1">SUMIFS(TbAportes[Total],TbAportes[Ativo],TbCarteira[[#This Row],[Ativo]],TbAportes[Data],"&lt;="&amp;IF($L$1="",TODAY(),$L$1))</f>
        <v>2810</v>
      </c>
      <c r="E2">
        <f ca="1">SUMIFS(TbAportes[Qte],TbAportes[Ativo],TbCarteira[[#This Row],[Ativo]],TbAportes[Data],"&lt;="&amp;IF($L$1="",TODAY(),$L$1))</f>
        <v>300</v>
      </c>
      <c r="F2" s="11">
        <f ca="1">TbCarteira[[#This Row],[Total aportado]]/TbCarteira[[#This Row],[Total qte]]</f>
        <v>9.3666666666666671</v>
      </c>
      <c r="G2" s="11">
        <f ca="1">TbCarteira[[#This Row],[Total qte]]*TbCarteira[[#This Row],[Cotação]]</f>
        <v>2364</v>
      </c>
      <c r="H2" s="11">
        <f ca="1">TbCarteira[[#This Row],[Total atual]]-TbCarteira[[#This Row],[Total aportado]]</f>
        <v>-446</v>
      </c>
      <c r="I2" s="12">
        <f ca="1">TbCarteira[[#This Row],[Total atual]]/TbCarteira[[#This Row],[Total aportado]]-1</f>
        <v>-0.15871886120996437</v>
      </c>
    </row>
    <row r="3" spans="1:12" x14ac:dyDescent="0.25">
      <c r="A3" t="s">
        <v>6</v>
      </c>
      <c r="B3" t="str">
        <f>VLOOKUP(TbCarteira[[#This Row],[Ativo]],TbAtivos!$B$4:$D$500,2,FALSE)</f>
        <v>EMPRESA</v>
      </c>
      <c r="C3">
        <f>VLOOKUP(TbCarteira[[#This Row],[Ativo]],TbAtivos!$B$4:$D$500,3,FALSE)</f>
        <v>20.149999999999999</v>
      </c>
      <c r="D3" s="11">
        <f ca="1">SUMIFS(TbAportes[Total],TbAportes[Ativo],TbCarteira[[#This Row],[Ativo]],TbAportes[Data],"&lt;="&amp;IF($L$1="",TODAY(),$L$1))</f>
        <v>4027</v>
      </c>
      <c r="E3">
        <f ca="1">SUMIFS(TbAportes[Qte],TbAportes[Ativo],TbCarteira[[#This Row],[Ativo]],TbAportes[Data],"&lt;="&amp;IF($L$1="",TODAY(),$L$1))</f>
        <v>200</v>
      </c>
      <c r="F3" s="11">
        <f ca="1">TbCarteira[[#This Row],[Total aportado]]/TbCarteira[[#This Row],[Total qte]]</f>
        <v>20.135000000000002</v>
      </c>
      <c r="G3" s="11">
        <f ca="1">TbCarteira[[#This Row],[Total qte]]*TbCarteira[[#This Row],[Cotação]]</f>
        <v>4029.9999999999995</v>
      </c>
      <c r="H3" s="11">
        <f ca="1">TbCarteira[[#This Row],[Total atual]]-TbCarteira[[#This Row],[Total aportado]]</f>
        <v>2.9999999999995453</v>
      </c>
      <c r="I3" s="12">
        <f ca="1">TbCarteira[[#This Row],[Total atual]]/TbCarteira[[#This Row],[Total aportado]]-1</f>
        <v>7.4497144276119975E-4</v>
      </c>
    </row>
    <row r="4" spans="1:12" x14ac:dyDescent="0.25">
      <c r="A4" t="s">
        <v>7</v>
      </c>
      <c r="B4" t="str">
        <f>VLOOKUP(TbCarteira[[#This Row],[Ativo]],TbAtivos!$B$4:$D$500,2,FALSE)</f>
        <v>EMPRESA</v>
      </c>
      <c r="C4">
        <f>VLOOKUP(TbCarteira[[#This Row],[Ativo]],TbAtivos!$B$4:$D$500,3,FALSE)</f>
        <v>8.14</v>
      </c>
      <c r="D4" s="11">
        <f ca="1">SUMIFS(TbAportes[Total],TbAportes[Ativo],TbCarteira[[#This Row],[Ativo]],TbAportes[Data],"&lt;="&amp;IF($L$1="",TODAY(),$L$1))</f>
        <v>2512</v>
      </c>
      <c r="E4">
        <f ca="1">SUMIFS(TbAportes[Qte],TbAportes[Ativo],TbCarteira[[#This Row],[Ativo]],TbAportes[Data],"&lt;="&amp;IF($L$1="",TODAY(),$L$1))</f>
        <v>300</v>
      </c>
      <c r="F4" s="11">
        <f ca="1">TbCarteira[[#This Row],[Total aportado]]/TbCarteira[[#This Row],[Total qte]]</f>
        <v>8.3733333333333331</v>
      </c>
      <c r="G4" s="11">
        <f ca="1">TbCarteira[[#This Row],[Total qte]]*TbCarteira[[#This Row],[Cotação]]</f>
        <v>2442</v>
      </c>
      <c r="H4" s="11">
        <f ca="1">TbCarteira[[#This Row],[Total atual]]-TbCarteira[[#This Row],[Total aportado]]</f>
        <v>-70</v>
      </c>
      <c r="I4" s="12">
        <f ca="1">TbCarteira[[#This Row],[Total atual]]/TbCarteira[[#This Row],[Total aportado]]-1</f>
        <v>-2.7866242038216527E-2</v>
      </c>
    </row>
    <row r="5" spans="1:12" x14ac:dyDescent="0.25">
      <c r="A5" t="s">
        <v>8</v>
      </c>
      <c r="B5" t="str">
        <f>VLOOKUP(TbCarteira[[#This Row],[Ativo]],TbAtivos!$B$4:$D$500,2,FALSE)</f>
        <v>EMPRESA</v>
      </c>
      <c r="C5">
        <f>VLOOKUP(TbCarteira[[#This Row],[Ativo]],TbAtivos!$B$4:$D$500,3,FALSE)</f>
        <v>17.149999999999999</v>
      </c>
      <c r="D5" s="11">
        <f ca="1">SUMIFS(TbAportes[Total],TbAportes[Ativo],TbCarteira[[#This Row],[Ativo]],TbAportes[Data],"&lt;="&amp;IF($L$1="",TODAY(),$L$1))</f>
        <v>6614</v>
      </c>
      <c r="E5">
        <f ca="1">SUMIFS(TbAportes[Qte],TbAportes[Ativo],TbCarteira[[#This Row],[Ativo]],TbAportes[Data],"&lt;="&amp;IF($L$1="",TODAY(),$L$1))</f>
        <v>400</v>
      </c>
      <c r="F5" s="11">
        <f ca="1">TbCarteira[[#This Row],[Total aportado]]/TbCarteira[[#This Row],[Total qte]]</f>
        <v>16.535</v>
      </c>
      <c r="G5" s="11">
        <f ca="1">TbCarteira[[#This Row],[Total qte]]*TbCarteira[[#This Row],[Cotação]]</f>
        <v>6859.9999999999991</v>
      </c>
      <c r="H5" s="11">
        <f ca="1">TbCarteira[[#This Row],[Total atual]]-TbCarteira[[#This Row],[Total aportado]]</f>
        <v>245.99999999999909</v>
      </c>
      <c r="I5" s="12">
        <f ca="1">TbCarteira[[#This Row],[Total atual]]/TbCarteira[[#This Row],[Total aportado]]-1</f>
        <v>3.7193831267009259E-2</v>
      </c>
    </row>
    <row r="6" spans="1:12" x14ac:dyDescent="0.25">
      <c r="A6" t="s">
        <v>9</v>
      </c>
      <c r="B6" t="str">
        <f>VLOOKUP(TbCarteira[[#This Row],[Ativo]],TbAtivos!$B$4:$D$500,2,FALSE)</f>
        <v>FII</v>
      </c>
      <c r="C6">
        <f>VLOOKUP(TbCarteira[[#This Row],[Ativo]],TbAtivos!$B$4:$D$500,3,FALSE)</f>
        <v>194.98</v>
      </c>
      <c r="D6" s="11">
        <f ca="1">SUMIFS(TbAportes[Total],TbAportes[Ativo],TbCarteira[[#This Row],[Ativo]],TbAportes[Data],"&lt;="&amp;IF($L$1="",TODAY(),$L$1))</f>
        <v>1714.35</v>
      </c>
      <c r="E6">
        <f ca="1">SUMIFS(TbAportes[Qte],TbAportes[Ativo],TbCarteira[[#This Row],[Ativo]],TbAportes[Data],"&lt;="&amp;IF($L$1="",TODAY(),$L$1))</f>
        <v>9</v>
      </c>
      <c r="F6" s="11">
        <f ca="1">TbCarteira[[#This Row],[Total aportado]]/TbCarteira[[#This Row],[Total qte]]</f>
        <v>190.48333333333332</v>
      </c>
      <c r="G6" s="11">
        <f ca="1">TbCarteira[[#This Row],[Total qte]]*TbCarteira[[#This Row],[Cotação]]</f>
        <v>1754.82</v>
      </c>
      <c r="H6" s="11">
        <f ca="1">TbCarteira[[#This Row],[Total atual]]-TbCarteira[[#This Row],[Total aportado]]</f>
        <v>40.470000000000027</v>
      </c>
      <c r="I6" s="12">
        <f ca="1">TbCarteira[[#This Row],[Total atual]]/TbCarteira[[#This Row],[Total aportado]]-1</f>
        <v>2.3606614751946919E-2</v>
      </c>
    </row>
    <row r="7" spans="1:12" x14ac:dyDescent="0.25">
      <c r="A7" t="s">
        <v>11</v>
      </c>
      <c r="B7" t="str">
        <f>VLOOKUP(TbCarteira[[#This Row],[Ativo]],TbAtivos!$B$4:$D$500,2,FALSE)</f>
        <v>FII</v>
      </c>
      <c r="C7">
        <f>VLOOKUP(TbCarteira[[#This Row],[Ativo]],TbAtivos!$B$4:$D$500,3,FALSE)</f>
        <v>174.47</v>
      </c>
      <c r="D7" s="11">
        <f ca="1">SUMIFS(TbAportes[Total],TbAportes[Ativo],TbCarteira[[#This Row],[Ativo]],TbAportes[Data],"&lt;="&amp;IF($L$1="",TODAY(),$L$1))</f>
        <v>2350.81</v>
      </c>
      <c r="E7">
        <f ca="1">SUMIFS(TbAportes[Qte],TbAportes[Ativo],TbCarteira[[#This Row],[Ativo]],TbAportes[Data],"&lt;="&amp;IF($L$1="",TODAY(),$L$1))</f>
        <v>17</v>
      </c>
      <c r="F7" s="11">
        <f ca="1">TbCarteira[[#This Row],[Total aportado]]/TbCarteira[[#This Row],[Total qte]]</f>
        <v>138.28294117647059</v>
      </c>
      <c r="G7" s="11">
        <f ca="1">TbCarteira[[#This Row],[Total qte]]*TbCarteira[[#This Row],[Cotação]]</f>
        <v>2965.99</v>
      </c>
      <c r="H7" s="11">
        <f ca="1">TbCarteira[[#This Row],[Total atual]]-TbCarteira[[#This Row],[Total aportado]]</f>
        <v>615.17999999999984</v>
      </c>
      <c r="I7" s="12">
        <f ca="1">TbCarteira[[#This Row],[Total atual]]/TbCarteira[[#This Row],[Total aportado]]-1</f>
        <v>0.26168852438095791</v>
      </c>
    </row>
    <row r="8" spans="1:12" x14ac:dyDescent="0.25">
      <c r="A8" t="s">
        <v>12</v>
      </c>
      <c r="B8" t="str">
        <f>VLOOKUP(TbCarteira[[#This Row],[Ativo]],TbAtivos!$B$4:$D$500,2,FALSE)</f>
        <v>FII</v>
      </c>
      <c r="C8">
        <f>VLOOKUP(TbCarteira[[#This Row],[Ativo]],TbAtivos!$B$4:$D$500,3,FALSE)</f>
        <v>141.94</v>
      </c>
      <c r="D8" s="11">
        <f ca="1">SUMIFS(TbAportes[Total],TbAportes[Ativo],TbCarteira[[#This Row],[Ativo]],TbAportes[Data],"&lt;="&amp;IF($L$1="",TODAY(),$L$1))</f>
        <v>2492.5699999999997</v>
      </c>
      <c r="E8">
        <f ca="1">SUMIFS(TbAportes[Qte],TbAportes[Ativo],TbCarteira[[#This Row],[Ativo]],TbAportes[Data],"&lt;="&amp;IF($L$1="",TODAY(),$L$1))</f>
        <v>19</v>
      </c>
      <c r="F8" s="11">
        <f ca="1">TbCarteira[[#This Row],[Total aportado]]/TbCarteira[[#This Row],[Total qte]]</f>
        <v>131.18789473684208</v>
      </c>
      <c r="G8" s="11">
        <f ca="1">TbCarteira[[#This Row],[Total qte]]*TbCarteira[[#This Row],[Cotação]]</f>
        <v>2696.86</v>
      </c>
      <c r="H8" s="11">
        <f ca="1">TbCarteira[[#This Row],[Total atual]]-TbCarteira[[#This Row],[Total aportado]]</f>
        <v>204.29000000000042</v>
      </c>
      <c r="I8" s="12">
        <f ca="1">TbCarteira[[#This Row],[Total atual]]/TbCarteira[[#This Row],[Total aportado]]-1</f>
        <v>8.1959583883301379E-2</v>
      </c>
    </row>
    <row r="9" spans="1:12" x14ac:dyDescent="0.25">
      <c r="A9" t="s">
        <v>13</v>
      </c>
      <c r="B9" t="str">
        <f>VLOOKUP(TbCarteira[[#This Row],[Ativo]],TbAtivos!$B$4:$D$500,2,FALSE)</f>
        <v>FII</v>
      </c>
      <c r="C9">
        <f>VLOOKUP(TbCarteira[[#This Row],[Ativo]],TbAtivos!$B$4:$D$500,3,FALSE)</f>
        <v>161.91</v>
      </c>
      <c r="D9" s="11">
        <f ca="1">SUMIFS(TbAportes[Total],TbAportes[Ativo],TbCarteira[[#This Row],[Ativo]],TbAportes[Data],"&lt;="&amp;IF($L$1="",TODAY(),$L$1))</f>
        <v>2635.3</v>
      </c>
      <c r="E9">
        <f ca="1">SUMIFS(TbAportes[Qte],TbAportes[Ativo],TbCarteira[[#This Row],[Ativo]],TbAportes[Data],"&lt;="&amp;IF($L$1="",TODAY(),$L$1))</f>
        <v>18</v>
      </c>
      <c r="F9" s="11">
        <f ca="1">TbCarteira[[#This Row],[Total aportado]]/TbCarteira[[#This Row],[Total qte]]</f>
        <v>146.40555555555557</v>
      </c>
      <c r="G9" s="11">
        <f ca="1">TbCarteira[[#This Row],[Total qte]]*TbCarteira[[#This Row],[Cotação]]</f>
        <v>2914.38</v>
      </c>
      <c r="H9" s="11">
        <f ca="1">TbCarteira[[#This Row],[Total atual]]-TbCarteira[[#This Row],[Total aportado]]</f>
        <v>279.07999999999993</v>
      </c>
      <c r="I9" s="12">
        <f ca="1">TbCarteira[[#This Row],[Total atual]]/TbCarteira[[#This Row],[Total aportado]]-1</f>
        <v>0.10590065647174884</v>
      </c>
    </row>
    <row r="10" spans="1:12" x14ac:dyDescent="0.25">
      <c r="A10" t="s">
        <v>15</v>
      </c>
      <c r="B10" t="str">
        <f>VLOOKUP(TbCarteira[[#This Row],[Ativo]],TbAtivos!$B$4:$D$500,2,FALSE)</f>
        <v>EMPRESA</v>
      </c>
      <c r="C10">
        <f>VLOOKUP(TbCarteira[[#This Row],[Ativo]],TbAtivos!$B$4:$D$500,3,FALSE)</f>
        <v>9.0500000000000007</v>
      </c>
      <c r="D10" s="11">
        <f ca="1">SUMIFS(TbAportes[Total],TbAportes[Ativo],TbCarteira[[#This Row],[Ativo]],TbAportes[Data],"&lt;="&amp;IF($L$1="",TODAY(),$L$1))</f>
        <v>1635</v>
      </c>
      <c r="E10">
        <f ca="1">SUMIFS(TbAportes[Qte],TbAportes[Ativo],TbCarteira[[#This Row],[Ativo]],TbAportes[Data],"&lt;="&amp;IF($L$1="",TODAY(),$L$1))</f>
        <v>200</v>
      </c>
      <c r="F10" s="11">
        <f ca="1">TbCarteira[[#This Row],[Total aportado]]/TbCarteira[[#This Row],[Total qte]]</f>
        <v>8.1750000000000007</v>
      </c>
      <c r="G10" s="11">
        <f ca="1">TbCarteira[[#This Row],[Total qte]]*TbCarteira[[#This Row],[Cotação]]</f>
        <v>1810.0000000000002</v>
      </c>
      <c r="H10" s="11">
        <f ca="1">TbCarteira[[#This Row],[Total atual]]-TbCarteira[[#This Row],[Total aportado]]</f>
        <v>175.00000000000023</v>
      </c>
      <c r="I10" s="12">
        <f ca="1">TbCarteira[[#This Row],[Total atual]]/TbCarteira[[#This Row],[Total aportado]]-1</f>
        <v>0.10703363914373099</v>
      </c>
    </row>
    <row r="11" spans="1:12" x14ac:dyDescent="0.25">
      <c r="A11" t="s">
        <v>21</v>
      </c>
      <c r="D11" s="11">
        <f ca="1">SUBTOTAL(109,TbCarteira[Total aportado])</f>
        <v>26791.03</v>
      </c>
      <c r="F11"/>
      <c r="G11" s="11">
        <f ca="1">SUBTOTAL(109,TbCarteira[Total atual])</f>
        <v>27838.05</v>
      </c>
      <c r="H11" s="11">
        <f ca="1">SUBTOTAL(109,TbCarteira[Valorização])</f>
        <v>1047.0199999999991</v>
      </c>
    </row>
  </sheetData>
  <conditionalFormatting sqref="H2:H10">
    <cfRule type="cellIs" dxfId="33" priority="2" operator="lessThan">
      <formula>0</formula>
    </cfRule>
  </conditionalFormatting>
  <conditionalFormatting sqref="I2:I10">
    <cfRule type="cellIs" dxfId="32" priority="1" operator="lessThan">
      <formula>0</formula>
    </cfRule>
  </conditionalFormatting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6"/>
  <sheetViews>
    <sheetView workbookViewId="0">
      <selection activeCell="E19" sqref="E19"/>
    </sheetView>
  </sheetViews>
  <sheetFormatPr defaultRowHeight="15" x14ac:dyDescent="0.25"/>
  <cols>
    <col min="1" max="1" width="21" bestFit="1" customWidth="1"/>
    <col min="2" max="2" width="19.5703125" bestFit="1" customWidth="1"/>
    <col min="3" max="13" width="7.85546875" customWidth="1"/>
    <col min="14" max="14" width="10.7109375" bestFit="1" customWidth="1"/>
  </cols>
  <sheetData>
    <row r="3" spans="1:14" x14ac:dyDescent="0.25">
      <c r="A3" s="5" t="s">
        <v>49</v>
      </c>
      <c r="B3" s="5" t="s">
        <v>33</v>
      </c>
    </row>
    <row r="4" spans="1:14" x14ac:dyDescent="0.25">
      <c r="A4" s="5" t="s">
        <v>31</v>
      </c>
      <c r="B4" t="s">
        <v>34</v>
      </c>
      <c r="C4" t="s">
        <v>35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  <c r="L4" t="s">
        <v>44</v>
      </c>
      <c r="M4" t="s">
        <v>47</v>
      </c>
      <c r="N4" t="s">
        <v>32</v>
      </c>
    </row>
    <row r="5" spans="1:14" x14ac:dyDescent="0.25">
      <c r="A5" s="6" t="s">
        <v>5</v>
      </c>
      <c r="B5" s="8">
        <v>39.479999999999997</v>
      </c>
      <c r="C5" s="8">
        <v>61</v>
      </c>
      <c r="D5" s="8">
        <v>65.430000000000007</v>
      </c>
      <c r="E5" s="8">
        <v>163.66</v>
      </c>
      <c r="F5" s="8">
        <v>162.75</v>
      </c>
      <c r="G5" s="8">
        <v>156.13999999999999</v>
      </c>
      <c r="H5" s="8">
        <v>166</v>
      </c>
      <c r="I5" s="8">
        <v>162.75</v>
      </c>
      <c r="J5" s="8">
        <v>156.13999999999999</v>
      </c>
      <c r="K5" s="8">
        <v>166</v>
      </c>
      <c r="L5" s="8">
        <v>484.89</v>
      </c>
      <c r="M5" s="8">
        <v>162.75</v>
      </c>
      <c r="N5" s="8">
        <v>1946.99</v>
      </c>
    </row>
    <row r="6" spans="1:14" x14ac:dyDescent="0.25">
      <c r="A6" s="7" t="s">
        <v>4</v>
      </c>
      <c r="B6" s="8"/>
      <c r="C6" s="8"/>
      <c r="D6" s="8"/>
      <c r="E6" s="8"/>
      <c r="F6" s="8"/>
      <c r="G6" s="8"/>
      <c r="H6" s="8"/>
      <c r="I6" s="8"/>
      <c r="J6" s="8"/>
      <c r="K6" s="8">
        <v>166</v>
      </c>
      <c r="L6" s="8"/>
      <c r="M6" s="8"/>
      <c r="N6" s="8">
        <v>166</v>
      </c>
    </row>
    <row r="7" spans="1:14" x14ac:dyDescent="0.25">
      <c r="A7" s="7" t="s">
        <v>6</v>
      </c>
      <c r="B7" s="8"/>
      <c r="C7" s="8"/>
      <c r="D7" s="8"/>
      <c r="E7" s="8">
        <v>163.66</v>
      </c>
      <c r="F7" s="8"/>
      <c r="G7" s="8"/>
      <c r="H7" s="8"/>
      <c r="I7" s="8"/>
      <c r="J7" s="8">
        <v>156.13999999999999</v>
      </c>
      <c r="K7" s="8"/>
      <c r="L7" s="8"/>
      <c r="M7" s="8"/>
      <c r="N7" s="8">
        <v>319.79999999999995</v>
      </c>
    </row>
    <row r="8" spans="1:14" x14ac:dyDescent="0.25">
      <c r="A8" s="7" t="s">
        <v>7</v>
      </c>
      <c r="B8" s="8">
        <v>39.479999999999997</v>
      </c>
      <c r="C8" s="8"/>
      <c r="D8" s="8">
        <v>65.430000000000007</v>
      </c>
      <c r="E8" s="8"/>
      <c r="F8" s="8">
        <v>162.75</v>
      </c>
      <c r="G8" s="8"/>
      <c r="H8" s="8">
        <v>166</v>
      </c>
      <c r="I8" s="8"/>
      <c r="J8" s="8"/>
      <c r="K8" s="8"/>
      <c r="L8" s="8">
        <v>328.75</v>
      </c>
      <c r="M8" s="8"/>
      <c r="N8" s="8">
        <v>762.41</v>
      </c>
    </row>
    <row r="9" spans="1:14" x14ac:dyDescent="0.25">
      <c r="A9" s="7" t="s">
        <v>8</v>
      </c>
      <c r="B9" s="8"/>
      <c r="C9" s="8">
        <v>61</v>
      </c>
      <c r="D9" s="8"/>
      <c r="E9" s="8"/>
      <c r="F9" s="8"/>
      <c r="G9" s="8"/>
      <c r="H9" s="8"/>
      <c r="I9" s="8">
        <v>162.75</v>
      </c>
      <c r="J9" s="8"/>
      <c r="K9" s="8"/>
      <c r="L9" s="8"/>
      <c r="M9" s="8"/>
      <c r="N9" s="8">
        <v>223.75</v>
      </c>
    </row>
    <row r="10" spans="1:14" x14ac:dyDescent="0.25">
      <c r="A10" s="7" t="s">
        <v>15</v>
      </c>
      <c r="B10" s="8"/>
      <c r="C10" s="8"/>
      <c r="D10" s="8"/>
      <c r="E10" s="8"/>
      <c r="F10" s="8"/>
      <c r="G10" s="8">
        <v>156.13999999999999</v>
      </c>
      <c r="H10" s="8"/>
      <c r="I10" s="8"/>
      <c r="J10" s="8"/>
      <c r="K10" s="8"/>
      <c r="L10" s="8">
        <v>156.13999999999999</v>
      </c>
      <c r="M10" s="8">
        <v>162.75</v>
      </c>
      <c r="N10" s="8">
        <v>475.03</v>
      </c>
    </row>
    <row r="11" spans="1:14" x14ac:dyDescent="0.25">
      <c r="A11" s="6" t="s">
        <v>10</v>
      </c>
      <c r="B11" s="8">
        <v>217.66</v>
      </c>
      <c r="C11" s="8">
        <v>228.62</v>
      </c>
      <c r="D11" s="8">
        <v>358.32</v>
      </c>
      <c r="E11" s="8">
        <v>308.72000000000003</v>
      </c>
      <c r="F11" s="8">
        <v>433.18</v>
      </c>
      <c r="G11" s="8">
        <v>358.32</v>
      </c>
      <c r="H11" s="8">
        <v>308.72000000000003</v>
      </c>
      <c r="I11" s="8">
        <v>433.18</v>
      </c>
      <c r="J11" s="8">
        <v>357.29</v>
      </c>
      <c r="K11" s="8">
        <v>308.72000000000003</v>
      </c>
      <c r="L11" s="8">
        <v>1100.22</v>
      </c>
      <c r="M11" s="8">
        <v>433.18</v>
      </c>
      <c r="N11" s="8">
        <v>4846.1299999999992</v>
      </c>
    </row>
    <row r="12" spans="1:14" x14ac:dyDescent="0.25">
      <c r="A12" s="7" t="s">
        <v>9</v>
      </c>
      <c r="B12" s="8">
        <v>63</v>
      </c>
      <c r="C12" s="8">
        <v>75.709999999999994</v>
      </c>
      <c r="D12" s="8">
        <v>61</v>
      </c>
      <c r="E12" s="8">
        <v>37.44</v>
      </c>
      <c r="F12" s="8">
        <v>61</v>
      </c>
      <c r="G12" s="8">
        <v>61</v>
      </c>
      <c r="H12" s="8">
        <v>37.44</v>
      </c>
      <c r="I12" s="8">
        <v>61</v>
      </c>
      <c r="J12" s="8">
        <v>59.97</v>
      </c>
      <c r="K12" s="8">
        <v>37.44</v>
      </c>
      <c r="L12" s="8">
        <v>159.44</v>
      </c>
      <c r="M12" s="8">
        <v>61</v>
      </c>
      <c r="N12" s="8">
        <v>775.44</v>
      </c>
    </row>
    <row r="13" spans="1:14" x14ac:dyDescent="0.25">
      <c r="A13" s="7" t="s">
        <v>11</v>
      </c>
      <c r="B13" s="8">
        <v>81</v>
      </c>
      <c r="C13" s="8">
        <v>39.36</v>
      </c>
      <c r="D13" s="8">
        <v>99</v>
      </c>
      <c r="E13" s="8">
        <v>52.02</v>
      </c>
      <c r="F13" s="8">
        <v>180.6</v>
      </c>
      <c r="G13" s="8">
        <v>99</v>
      </c>
      <c r="H13" s="8">
        <v>52.02</v>
      </c>
      <c r="I13" s="8">
        <v>180.6</v>
      </c>
      <c r="J13" s="8">
        <v>99</v>
      </c>
      <c r="K13" s="8">
        <v>52.02</v>
      </c>
      <c r="L13" s="8">
        <v>331.62</v>
      </c>
      <c r="M13" s="8">
        <v>180.6</v>
      </c>
      <c r="N13" s="8">
        <v>1446.84</v>
      </c>
    </row>
    <row r="14" spans="1:14" x14ac:dyDescent="0.25">
      <c r="A14" s="7" t="s">
        <v>12</v>
      </c>
      <c r="B14" s="8">
        <v>38.89</v>
      </c>
      <c r="C14" s="8">
        <v>51.8</v>
      </c>
      <c r="D14" s="8">
        <v>99.9</v>
      </c>
      <c r="E14" s="8">
        <v>42.14</v>
      </c>
      <c r="F14" s="8">
        <v>38.4</v>
      </c>
      <c r="G14" s="8">
        <v>99.9</v>
      </c>
      <c r="H14" s="8">
        <v>42.14</v>
      </c>
      <c r="I14" s="8">
        <v>38.4</v>
      </c>
      <c r="J14" s="8">
        <v>99.9</v>
      </c>
      <c r="K14" s="8">
        <v>42.14</v>
      </c>
      <c r="L14" s="8">
        <v>180.44</v>
      </c>
      <c r="M14" s="8">
        <v>38.4</v>
      </c>
      <c r="N14" s="8">
        <v>812.44999999999993</v>
      </c>
    </row>
    <row r="15" spans="1:14" x14ac:dyDescent="0.25">
      <c r="A15" s="7" t="s">
        <v>13</v>
      </c>
      <c r="B15" s="8">
        <v>34.770000000000003</v>
      </c>
      <c r="C15" s="8">
        <v>61.75</v>
      </c>
      <c r="D15" s="8">
        <v>98.42</v>
      </c>
      <c r="E15" s="8">
        <v>177.12</v>
      </c>
      <c r="F15" s="8">
        <v>153.18</v>
      </c>
      <c r="G15" s="8">
        <v>98.42</v>
      </c>
      <c r="H15" s="8">
        <v>177.12</v>
      </c>
      <c r="I15" s="8">
        <v>153.18</v>
      </c>
      <c r="J15" s="8">
        <v>98.42</v>
      </c>
      <c r="K15" s="8">
        <v>177.12</v>
      </c>
      <c r="L15" s="8">
        <v>428.72</v>
      </c>
      <c r="M15" s="8">
        <v>153.18</v>
      </c>
      <c r="N15" s="8">
        <v>1811.4</v>
      </c>
    </row>
    <row r="16" spans="1:14" x14ac:dyDescent="0.25">
      <c r="A16" s="6" t="s">
        <v>32</v>
      </c>
      <c r="B16" s="8">
        <v>257.14</v>
      </c>
      <c r="C16" s="8">
        <v>289.62</v>
      </c>
      <c r="D16" s="8">
        <v>423.75000000000006</v>
      </c>
      <c r="E16" s="8">
        <v>472.38</v>
      </c>
      <c r="F16" s="8">
        <v>595.93000000000006</v>
      </c>
      <c r="G16" s="8">
        <v>514.45999999999992</v>
      </c>
      <c r="H16" s="8">
        <v>474.72</v>
      </c>
      <c r="I16" s="8">
        <v>595.93000000000006</v>
      </c>
      <c r="J16" s="8">
        <v>513.42999999999995</v>
      </c>
      <c r="K16" s="8">
        <v>474.72</v>
      </c>
      <c r="L16" s="8">
        <v>1585.11</v>
      </c>
      <c r="M16" s="8">
        <v>595.93000000000006</v>
      </c>
      <c r="N16" s="8">
        <v>6793.1200000000008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6"/>
  <sheetViews>
    <sheetView workbookViewId="0"/>
  </sheetViews>
  <sheetFormatPr defaultRowHeight="15" x14ac:dyDescent="0.25"/>
  <cols>
    <col min="1" max="1" width="18" bestFit="1" customWidth="1"/>
    <col min="2" max="2" width="19.5703125" bestFit="1" customWidth="1"/>
    <col min="3" max="15" width="7.85546875" customWidth="1"/>
    <col min="16" max="16" width="10.7109375" bestFit="1" customWidth="1"/>
  </cols>
  <sheetData>
    <row r="3" spans="1:16" x14ac:dyDescent="0.25">
      <c r="A3" s="5" t="s">
        <v>48</v>
      </c>
      <c r="B3" s="5" t="s">
        <v>33</v>
      </c>
    </row>
    <row r="4" spans="1:16" x14ac:dyDescent="0.25">
      <c r="A4" s="5" t="s">
        <v>31</v>
      </c>
      <c r="B4" t="s">
        <v>34</v>
      </c>
      <c r="C4" t="s">
        <v>35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  <c r="L4" t="s">
        <v>44</v>
      </c>
      <c r="M4" t="s">
        <v>45</v>
      </c>
      <c r="N4" t="s">
        <v>46</v>
      </c>
      <c r="O4" t="s">
        <v>47</v>
      </c>
      <c r="P4" t="s">
        <v>32</v>
      </c>
    </row>
    <row r="5" spans="1:16" x14ac:dyDescent="0.25">
      <c r="A5" s="6" t="s">
        <v>5</v>
      </c>
      <c r="B5" s="8">
        <v>1594</v>
      </c>
      <c r="C5" s="8">
        <v>1644</v>
      </c>
      <c r="D5" s="8">
        <v>788</v>
      </c>
      <c r="E5" s="8">
        <v>1985</v>
      </c>
      <c r="F5" s="8"/>
      <c r="G5" s="8">
        <v>1721</v>
      </c>
      <c r="H5" s="8">
        <v>1591</v>
      </c>
      <c r="I5" s="8">
        <v>2042</v>
      </c>
      <c r="J5" s="8">
        <v>1765.9999999999998</v>
      </c>
      <c r="K5" s="8">
        <v>1021.9999999999999</v>
      </c>
      <c r="L5" s="8">
        <v>1613</v>
      </c>
      <c r="M5" s="8">
        <v>962.99999999999989</v>
      </c>
      <c r="N5" s="8">
        <v>869</v>
      </c>
      <c r="O5" s="8"/>
      <c r="P5" s="8">
        <v>17598</v>
      </c>
    </row>
    <row r="6" spans="1:16" x14ac:dyDescent="0.25">
      <c r="A6" s="7" t="s">
        <v>4</v>
      </c>
      <c r="B6" s="8">
        <v>833</v>
      </c>
      <c r="C6" s="8"/>
      <c r="D6" s="8"/>
      <c r="E6" s="8"/>
      <c r="F6" s="8"/>
      <c r="G6" s="8">
        <v>954.99999999999989</v>
      </c>
      <c r="H6" s="8"/>
      <c r="I6" s="8"/>
      <c r="J6" s="8"/>
      <c r="K6" s="8">
        <v>1021.9999999999999</v>
      </c>
      <c r="L6" s="8"/>
      <c r="M6" s="8"/>
      <c r="N6" s="8"/>
      <c r="O6" s="8"/>
      <c r="P6" s="8">
        <v>2810</v>
      </c>
    </row>
    <row r="7" spans="1:16" x14ac:dyDescent="0.25">
      <c r="A7" s="7" t="s">
        <v>6</v>
      </c>
      <c r="B7" s="8"/>
      <c r="C7" s="8"/>
      <c r="D7" s="8"/>
      <c r="E7" s="8">
        <v>1985</v>
      </c>
      <c r="F7" s="8"/>
      <c r="G7" s="8"/>
      <c r="H7" s="8"/>
      <c r="I7" s="8">
        <v>2042</v>
      </c>
      <c r="J7" s="8"/>
      <c r="K7" s="8"/>
      <c r="L7" s="8"/>
      <c r="M7" s="8"/>
      <c r="N7" s="8"/>
      <c r="O7" s="8"/>
      <c r="P7" s="8">
        <v>4027</v>
      </c>
    </row>
    <row r="8" spans="1:16" x14ac:dyDescent="0.25">
      <c r="A8" s="7" t="s">
        <v>7</v>
      </c>
      <c r="B8" s="8">
        <v>761</v>
      </c>
      <c r="C8" s="8"/>
      <c r="D8" s="8">
        <v>788</v>
      </c>
      <c r="E8" s="8"/>
      <c r="F8" s="8"/>
      <c r="G8" s="8"/>
      <c r="H8" s="8"/>
      <c r="I8" s="8"/>
      <c r="J8" s="8"/>
      <c r="K8" s="8"/>
      <c r="L8" s="8"/>
      <c r="M8" s="8">
        <v>962.99999999999989</v>
      </c>
      <c r="N8" s="8"/>
      <c r="O8" s="8"/>
      <c r="P8" s="8">
        <v>2512</v>
      </c>
    </row>
    <row r="9" spans="1:16" x14ac:dyDescent="0.25">
      <c r="A9" s="7" t="s">
        <v>8</v>
      </c>
      <c r="B9" s="8"/>
      <c r="C9" s="8">
        <v>1644</v>
      </c>
      <c r="D9" s="8"/>
      <c r="E9" s="8"/>
      <c r="F9" s="8"/>
      <c r="G9" s="8"/>
      <c r="H9" s="8">
        <v>1591</v>
      </c>
      <c r="I9" s="8"/>
      <c r="J9" s="8">
        <v>1765.9999999999998</v>
      </c>
      <c r="K9" s="8"/>
      <c r="L9" s="8">
        <v>1613</v>
      </c>
      <c r="M9" s="8"/>
      <c r="N9" s="8"/>
      <c r="O9" s="8"/>
      <c r="P9" s="8">
        <v>6614</v>
      </c>
    </row>
    <row r="10" spans="1:16" x14ac:dyDescent="0.25">
      <c r="A10" s="7" t="s">
        <v>15</v>
      </c>
      <c r="B10" s="8"/>
      <c r="C10" s="8"/>
      <c r="D10" s="8"/>
      <c r="E10" s="8"/>
      <c r="F10" s="8"/>
      <c r="G10" s="8">
        <v>766</v>
      </c>
      <c r="H10" s="8"/>
      <c r="I10" s="8"/>
      <c r="J10" s="8"/>
      <c r="K10" s="8"/>
      <c r="L10" s="8"/>
      <c r="M10" s="8"/>
      <c r="N10" s="8">
        <v>869</v>
      </c>
      <c r="O10" s="8"/>
      <c r="P10" s="8">
        <v>1635</v>
      </c>
    </row>
    <row r="11" spans="1:16" x14ac:dyDescent="0.25">
      <c r="A11" s="6" t="s">
        <v>10</v>
      </c>
      <c r="B11" s="8"/>
      <c r="C11" s="8">
        <v>704.9</v>
      </c>
      <c r="D11" s="8">
        <v>991.52</v>
      </c>
      <c r="E11" s="8">
        <v>551.46</v>
      </c>
      <c r="F11" s="8">
        <v>635.83000000000004</v>
      </c>
      <c r="G11" s="8"/>
      <c r="H11" s="8">
        <v>679.05</v>
      </c>
      <c r="I11" s="8">
        <v>191.74</v>
      </c>
      <c r="J11" s="8">
        <v>972.57999999999993</v>
      </c>
      <c r="K11" s="8">
        <v>268.2</v>
      </c>
      <c r="L11" s="8">
        <v>971.15</v>
      </c>
      <c r="M11" s="8">
        <v>430.65000000000003</v>
      </c>
      <c r="N11" s="8">
        <v>716.15</v>
      </c>
      <c r="O11" s="8">
        <v>2079.8000000000002</v>
      </c>
      <c r="P11" s="8">
        <v>9193.0299999999988</v>
      </c>
    </row>
    <row r="12" spans="1:16" x14ac:dyDescent="0.25">
      <c r="A12" s="7" t="s">
        <v>9</v>
      </c>
      <c r="B12" s="8"/>
      <c r="C12" s="8"/>
      <c r="D12" s="8"/>
      <c r="E12" s="8">
        <v>551.46</v>
      </c>
      <c r="F12" s="8"/>
      <c r="G12" s="8"/>
      <c r="H12" s="8"/>
      <c r="I12" s="8">
        <v>191.74</v>
      </c>
      <c r="J12" s="8"/>
      <c r="K12" s="8"/>
      <c r="L12" s="8">
        <v>971.15</v>
      </c>
      <c r="M12" s="8"/>
      <c r="N12" s="8"/>
      <c r="O12" s="8"/>
      <c r="P12" s="8">
        <v>1714.35</v>
      </c>
    </row>
    <row r="13" spans="1:16" x14ac:dyDescent="0.25">
      <c r="A13" s="7" t="s">
        <v>11</v>
      </c>
      <c r="B13" s="8"/>
      <c r="C13" s="8">
        <v>704.9</v>
      </c>
      <c r="D13" s="8"/>
      <c r="E13" s="8"/>
      <c r="F13" s="8">
        <v>242.68</v>
      </c>
      <c r="G13" s="8"/>
      <c r="H13" s="8"/>
      <c r="I13" s="8"/>
      <c r="J13" s="8">
        <v>972.57999999999993</v>
      </c>
      <c r="K13" s="8"/>
      <c r="L13" s="8"/>
      <c r="M13" s="8">
        <v>430.65000000000003</v>
      </c>
      <c r="N13" s="8"/>
      <c r="O13" s="8"/>
      <c r="P13" s="8">
        <v>2350.81</v>
      </c>
    </row>
    <row r="14" spans="1:16" x14ac:dyDescent="0.25">
      <c r="A14" s="7" t="s">
        <v>12</v>
      </c>
      <c r="B14" s="8"/>
      <c r="C14" s="8"/>
      <c r="D14" s="8">
        <v>991.52</v>
      </c>
      <c r="E14" s="8"/>
      <c r="F14" s="8"/>
      <c r="G14" s="8"/>
      <c r="H14" s="8">
        <v>679.05</v>
      </c>
      <c r="I14" s="8"/>
      <c r="J14" s="8"/>
      <c r="K14" s="8">
        <v>268.2</v>
      </c>
      <c r="L14" s="8"/>
      <c r="M14" s="8"/>
      <c r="N14" s="8"/>
      <c r="O14" s="8">
        <v>553.79999999999995</v>
      </c>
      <c r="P14" s="8">
        <v>2492.5699999999997</v>
      </c>
    </row>
    <row r="15" spans="1:16" x14ac:dyDescent="0.25">
      <c r="A15" s="7" t="s">
        <v>13</v>
      </c>
      <c r="B15" s="8"/>
      <c r="C15" s="8"/>
      <c r="D15" s="8"/>
      <c r="E15" s="8"/>
      <c r="F15" s="8">
        <v>393.15000000000003</v>
      </c>
      <c r="G15" s="8"/>
      <c r="H15" s="8"/>
      <c r="I15" s="8"/>
      <c r="J15" s="8"/>
      <c r="K15" s="8"/>
      <c r="L15" s="8"/>
      <c r="M15" s="8"/>
      <c r="N15" s="8">
        <v>716.15</v>
      </c>
      <c r="O15" s="8">
        <v>1526</v>
      </c>
      <c r="P15" s="8">
        <v>2635.3</v>
      </c>
    </row>
    <row r="16" spans="1:16" x14ac:dyDescent="0.25">
      <c r="A16" s="6" t="s">
        <v>32</v>
      </c>
      <c r="B16" s="8">
        <v>1594</v>
      </c>
      <c r="C16" s="8">
        <v>2348.9</v>
      </c>
      <c r="D16" s="8">
        <v>1779.52</v>
      </c>
      <c r="E16" s="8">
        <v>2536.46</v>
      </c>
      <c r="F16" s="8">
        <v>635.83000000000004</v>
      </c>
      <c r="G16" s="8">
        <v>1721</v>
      </c>
      <c r="H16" s="8">
        <v>2270.0500000000002</v>
      </c>
      <c r="I16" s="8">
        <v>2233.7399999999998</v>
      </c>
      <c r="J16" s="8">
        <v>2738.58</v>
      </c>
      <c r="K16" s="8">
        <v>1290.1999999999998</v>
      </c>
      <c r="L16" s="8">
        <v>2584.15</v>
      </c>
      <c r="M16" s="8">
        <v>1393.6499999999999</v>
      </c>
      <c r="N16" s="8">
        <v>1585.15</v>
      </c>
      <c r="O16" s="8">
        <v>2079.8000000000002</v>
      </c>
      <c r="P16" s="8">
        <v>26791.03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2" zoomScaleNormal="100" workbookViewId="0">
      <selection activeCell="B3" sqref="B3"/>
    </sheetView>
  </sheetViews>
  <sheetFormatPr defaultRowHeight="20.100000000000001" customHeight="1" x14ac:dyDescent="0.25"/>
  <cols>
    <col min="1" max="1" width="12.28515625" style="1" customWidth="1"/>
    <col min="2" max="3" width="9.140625" style="2"/>
    <col min="4" max="4" width="16.42578125" style="3" customWidth="1"/>
    <col min="5" max="5" width="9.140625" style="3"/>
    <col min="6" max="6" width="15.28515625" style="3" customWidth="1"/>
    <col min="7" max="7" width="11.42578125" style="2" customWidth="1"/>
    <col min="8" max="9" width="9.140625" style="2"/>
    <col min="10" max="10" width="11.42578125" style="2" customWidth="1"/>
    <col min="11" max="16384" width="9.140625" style="2"/>
  </cols>
  <sheetData>
    <row r="1" spans="1:10" ht="20.100000000000001" customHeight="1" x14ac:dyDescent="0.25">
      <c r="A1" s="1" t="s">
        <v>16</v>
      </c>
      <c r="B1" s="2" t="s">
        <v>17</v>
      </c>
      <c r="C1" s="2" t="s">
        <v>18</v>
      </c>
      <c r="D1" s="3" t="s">
        <v>19</v>
      </c>
      <c r="E1" s="3" t="s">
        <v>20</v>
      </c>
      <c r="F1" s="3" t="s">
        <v>21</v>
      </c>
      <c r="G1" s="2" t="s">
        <v>22</v>
      </c>
      <c r="H1" s="2" t="s">
        <v>23</v>
      </c>
      <c r="I1" s="2" t="s">
        <v>24</v>
      </c>
      <c r="J1" s="2" t="s">
        <v>25</v>
      </c>
    </row>
    <row r="2" spans="1:10" ht="20.100000000000001" customHeight="1" x14ac:dyDescent="0.25">
      <c r="A2" s="1">
        <v>43444</v>
      </c>
      <c r="B2" s="2" t="s">
        <v>7</v>
      </c>
      <c r="C2" s="2">
        <v>100</v>
      </c>
      <c r="D2" s="3">
        <v>7.51</v>
      </c>
      <c r="E2" s="3">
        <v>10</v>
      </c>
      <c r="F2" s="32">
        <f>TbAportes[[#This Row],[Valor unitário]]*TbAportes[[#This Row],[Qte]]+TbAportes[[#This Row],[Custo]]</f>
        <v>761</v>
      </c>
      <c r="G2" s="4" t="str">
        <f>VLOOKUP(TbAportes[[#This Row],[Ativo]],TbAtivos!$B$4:$D$500,2,FALSE)</f>
        <v>EMPRESA</v>
      </c>
      <c r="H2" s="4">
        <f>YEAR(TbAportes[[#This Row],[Data]])</f>
        <v>2018</v>
      </c>
      <c r="I2" s="4">
        <f>MONTH(TbAportes[[#This Row],[Data]])</f>
        <v>12</v>
      </c>
      <c r="J2" s="4" t="str">
        <f>CONCATENATE(TbAportes[[#This Row],[Ano]],"/",IF(TbAportes[[#This Row],[Mês]]&lt;10,"0",""),TbAportes[[#This Row],[Mês]])</f>
        <v>2018/12</v>
      </c>
    </row>
    <row r="3" spans="1:10" ht="20.100000000000001" customHeight="1" x14ac:dyDescent="0.25">
      <c r="A3" s="1">
        <v>43444</v>
      </c>
      <c r="B3" s="2" t="s">
        <v>4</v>
      </c>
      <c r="C3" s="2">
        <v>100</v>
      </c>
      <c r="D3" s="3">
        <v>8.23</v>
      </c>
      <c r="E3" s="3">
        <v>10</v>
      </c>
      <c r="F3" s="32">
        <f>TbAportes[[#This Row],[Valor unitário]]*TbAportes[[#This Row],[Qte]]+TbAportes[[#This Row],[Custo]]</f>
        <v>833</v>
      </c>
      <c r="G3" s="4" t="str">
        <f>VLOOKUP(TbAportes[[#This Row],[Ativo]],TbAtivos!$B$4:$D$500,2,FALSE)</f>
        <v>EMPRESA</v>
      </c>
      <c r="H3" s="4">
        <f>YEAR(TbAportes[[#This Row],[Data]])</f>
        <v>2018</v>
      </c>
      <c r="I3" s="4">
        <f>MONTH(TbAportes[[#This Row],[Data]])</f>
        <v>12</v>
      </c>
      <c r="J3" s="4" t="str">
        <f>CONCATENATE(TbAportes[[#This Row],[Ano]],"/",IF(TbAportes[[#This Row],[Mês]]&lt;10,"0",""),TbAportes[[#This Row],[Mês]])</f>
        <v>2018/12</v>
      </c>
    </row>
    <row r="4" spans="1:10" ht="20.100000000000001" customHeight="1" x14ac:dyDescent="0.25">
      <c r="A4" s="1">
        <v>43475</v>
      </c>
      <c r="B4" s="2" t="s">
        <v>8</v>
      </c>
      <c r="C4" s="2">
        <v>100</v>
      </c>
      <c r="D4" s="3">
        <v>16.34</v>
      </c>
      <c r="E4" s="3">
        <v>10</v>
      </c>
      <c r="F4" s="32">
        <f>TbAportes[[#This Row],[Valor unitário]]*TbAportes[[#This Row],[Qte]]+TbAportes[[#This Row],[Custo]]</f>
        <v>1644</v>
      </c>
      <c r="G4" s="4" t="str">
        <f>VLOOKUP(TbAportes[[#This Row],[Ativo]],TbAtivos!$B$4:$D$500,2,FALSE)</f>
        <v>EMPRESA</v>
      </c>
      <c r="H4" s="4">
        <f>YEAR(TbAportes[[#This Row],[Data]])</f>
        <v>2019</v>
      </c>
      <c r="I4" s="4">
        <f>MONTH(TbAportes[[#This Row],[Data]])</f>
        <v>1</v>
      </c>
      <c r="J4" s="4" t="str">
        <f>CONCATENATE(TbAportes[[#This Row],[Ano]],"/",IF(TbAportes[[#This Row],[Mês]]&lt;10,"0",""),TbAportes[[#This Row],[Mês]])</f>
        <v>2019/01</v>
      </c>
    </row>
    <row r="5" spans="1:10" ht="20.100000000000001" customHeight="1" x14ac:dyDescent="0.25">
      <c r="A5" s="1">
        <v>43475</v>
      </c>
      <c r="B5" s="2" t="s">
        <v>11</v>
      </c>
      <c r="C5" s="2">
        <v>5</v>
      </c>
      <c r="D5" s="3">
        <v>140.97999999999999</v>
      </c>
      <c r="E5" s="3">
        <v>0</v>
      </c>
      <c r="F5" s="32">
        <f>TbAportes[[#This Row],[Valor unitário]]*TbAportes[[#This Row],[Qte]]+TbAportes[[#This Row],[Custo]]</f>
        <v>704.9</v>
      </c>
      <c r="G5" s="4" t="str">
        <f>VLOOKUP(TbAportes[[#This Row],[Ativo]],TbAtivos!$B$4:$D$500,2,FALSE)</f>
        <v>FII</v>
      </c>
      <c r="H5" s="4">
        <f>YEAR(TbAportes[[#This Row],[Data]])</f>
        <v>2019</v>
      </c>
      <c r="I5" s="4">
        <f>MONTH(TbAportes[[#This Row],[Data]])</f>
        <v>1</v>
      </c>
      <c r="J5" s="4" t="str">
        <f>CONCATENATE(TbAportes[[#This Row],[Ano]],"/",IF(TbAportes[[#This Row],[Mês]]&lt;10,"0",""),TbAportes[[#This Row],[Mês]])</f>
        <v>2019/01</v>
      </c>
    </row>
    <row r="6" spans="1:10" ht="20.100000000000001" customHeight="1" x14ac:dyDescent="0.25">
      <c r="A6" s="1">
        <v>43506</v>
      </c>
      <c r="B6" s="2" t="s">
        <v>7</v>
      </c>
      <c r="C6" s="2">
        <v>100</v>
      </c>
      <c r="D6" s="3">
        <v>7.78</v>
      </c>
      <c r="E6" s="3">
        <v>10</v>
      </c>
      <c r="F6" s="32">
        <f>TbAportes[[#This Row],[Valor unitário]]*TbAportes[[#This Row],[Qte]]+TbAportes[[#This Row],[Custo]]</f>
        <v>788</v>
      </c>
      <c r="G6" s="4" t="str">
        <f>VLOOKUP(TbAportes[[#This Row],[Ativo]],TbAtivos!$B$4:$D$500,2,FALSE)</f>
        <v>EMPRESA</v>
      </c>
      <c r="H6" s="4">
        <f>YEAR(TbAportes[[#This Row],[Data]])</f>
        <v>2019</v>
      </c>
      <c r="I6" s="4">
        <f>MONTH(TbAportes[[#This Row],[Data]])</f>
        <v>2</v>
      </c>
      <c r="J6" s="4" t="str">
        <f>CONCATENATE(TbAportes[[#This Row],[Ano]],"/",IF(TbAportes[[#This Row],[Mês]]&lt;10,"0",""),TbAportes[[#This Row],[Mês]])</f>
        <v>2019/02</v>
      </c>
    </row>
    <row r="7" spans="1:10" ht="20.100000000000001" customHeight="1" x14ac:dyDescent="0.25">
      <c r="A7" s="1">
        <v>43506</v>
      </c>
      <c r="B7" s="2" t="s">
        <v>12</v>
      </c>
      <c r="C7" s="2">
        <v>8</v>
      </c>
      <c r="D7" s="3">
        <v>123.94</v>
      </c>
      <c r="E7" s="3">
        <v>0</v>
      </c>
      <c r="F7" s="32">
        <f>TbAportes[[#This Row],[Valor unitário]]*TbAportes[[#This Row],[Qte]]+TbAportes[[#This Row],[Custo]]</f>
        <v>991.52</v>
      </c>
      <c r="G7" s="4" t="str">
        <f>VLOOKUP(TbAportes[[#This Row],[Ativo]],TbAtivos!$B$4:$D$500,2,FALSE)</f>
        <v>FII</v>
      </c>
      <c r="H7" s="4">
        <f>YEAR(TbAportes[[#This Row],[Data]])</f>
        <v>2019</v>
      </c>
      <c r="I7" s="4">
        <f>MONTH(TbAportes[[#This Row],[Data]])</f>
        <v>2</v>
      </c>
      <c r="J7" s="4" t="str">
        <f>CONCATENATE(TbAportes[[#This Row],[Ano]],"/",IF(TbAportes[[#This Row],[Mês]]&lt;10,"0",""),TbAportes[[#This Row],[Mês]])</f>
        <v>2019/02</v>
      </c>
    </row>
    <row r="8" spans="1:10" ht="20.100000000000001" customHeight="1" x14ac:dyDescent="0.25">
      <c r="A8" s="1">
        <v>43534</v>
      </c>
      <c r="B8" s="2" t="s">
        <v>6</v>
      </c>
      <c r="C8" s="2">
        <v>100</v>
      </c>
      <c r="D8" s="3">
        <v>19.75</v>
      </c>
      <c r="E8" s="3">
        <v>10</v>
      </c>
      <c r="F8" s="32">
        <f>TbAportes[[#This Row],[Valor unitário]]*TbAportes[[#This Row],[Qte]]+TbAportes[[#This Row],[Custo]]</f>
        <v>1985</v>
      </c>
      <c r="G8" s="4" t="str">
        <f>VLOOKUP(TbAportes[[#This Row],[Ativo]],TbAtivos!$B$4:$D$500,2,FALSE)</f>
        <v>EMPRESA</v>
      </c>
      <c r="H8" s="4">
        <f>YEAR(TbAportes[[#This Row],[Data]])</f>
        <v>2019</v>
      </c>
      <c r="I8" s="4">
        <f>MONTH(TbAportes[[#This Row],[Data]])</f>
        <v>3</v>
      </c>
      <c r="J8" s="4" t="str">
        <f>CONCATENATE(TbAportes[[#This Row],[Ano]],"/",IF(TbAportes[[#This Row],[Mês]]&lt;10,"0",""),TbAportes[[#This Row],[Mês]])</f>
        <v>2019/03</v>
      </c>
    </row>
    <row r="9" spans="1:10" ht="20.100000000000001" customHeight="1" x14ac:dyDescent="0.25">
      <c r="A9" s="1">
        <v>43534</v>
      </c>
      <c r="B9" s="2" t="s">
        <v>9</v>
      </c>
      <c r="C9" s="2">
        <v>3</v>
      </c>
      <c r="D9" s="3">
        <v>183.82</v>
      </c>
      <c r="E9" s="3">
        <v>0</v>
      </c>
      <c r="F9" s="32">
        <f>TbAportes[[#This Row],[Valor unitário]]*TbAportes[[#This Row],[Qte]]+TbAportes[[#This Row],[Custo]]</f>
        <v>551.46</v>
      </c>
      <c r="G9" s="4" t="str">
        <f>VLOOKUP(TbAportes[[#This Row],[Ativo]],TbAtivos!$B$4:$D$500,2,FALSE)</f>
        <v>FII</v>
      </c>
      <c r="H9" s="4">
        <f>YEAR(TbAportes[[#This Row],[Data]])</f>
        <v>2019</v>
      </c>
      <c r="I9" s="4">
        <f>MONTH(TbAportes[[#This Row],[Data]])</f>
        <v>3</v>
      </c>
      <c r="J9" s="4" t="str">
        <f>CONCATENATE(TbAportes[[#This Row],[Ano]],"/",IF(TbAportes[[#This Row],[Mês]]&lt;10,"0",""),TbAportes[[#This Row],[Mês]])</f>
        <v>2019/03</v>
      </c>
    </row>
    <row r="10" spans="1:10" ht="20.100000000000001" customHeight="1" x14ac:dyDescent="0.25">
      <c r="A10" s="1">
        <v>43565</v>
      </c>
      <c r="B10" s="2" t="s">
        <v>11</v>
      </c>
      <c r="C10" s="2">
        <v>2</v>
      </c>
      <c r="D10" s="3">
        <v>121.34</v>
      </c>
      <c r="E10" s="3">
        <v>0</v>
      </c>
      <c r="F10" s="32">
        <f>TbAportes[[#This Row],[Valor unitário]]*TbAportes[[#This Row],[Qte]]+TbAportes[[#This Row],[Custo]]</f>
        <v>242.68</v>
      </c>
      <c r="G10" s="4" t="str">
        <f>VLOOKUP(TbAportes[[#This Row],[Ativo]],TbAtivos!$B$4:$D$500,2,FALSE)</f>
        <v>FII</v>
      </c>
      <c r="H10" s="4">
        <f>YEAR(TbAportes[[#This Row],[Data]])</f>
        <v>2019</v>
      </c>
      <c r="I10" s="4">
        <f>MONTH(TbAportes[[#This Row],[Data]])</f>
        <v>4</v>
      </c>
      <c r="J10" s="4" t="str">
        <f>CONCATENATE(TbAportes[[#This Row],[Ano]],"/",IF(TbAportes[[#This Row],[Mês]]&lt;10,"0",""),TbAportes[[#This Row],[Mês]])</f>
        <v>2019/04</v>
      </c>
    </row>
    <row r="11" spans="1:10" ht="20.100000000000001" customHeight="1" x14ac:dyDescent="0.25">
      <c r="A11" s="1">
        <v>43565</v>
      </c>
      <c r="B11" s="2" t="s">
        <v>13</v>
      </c>
      <c r="C11" s="2">
        <v>3</v>
      </c>
      <c r="D11" s="3">
        <v>131.05000000000001</v>
      </c>
      <c r="E11" s="3">
        <v>0</v>
      </c>
      <c r="F11" s="32">
        <f>TbAportes[[#This Row],[Valor unitário]]*TbAportes[[#This Row],[Qte]]+TbAportes[[#This Row],[Custo]]</f>
        <v>393.15000000000003</v>
      </c>
      <c r="G11" s="4" t="str">
        <f>VLOOKUP(TbAportes[[#This Row],[Ativo]],TbAtivos!$B$4:$D$500,2,FALSE)</f>
        <v>FII</v>
      </c>
      <c r="H11" s="4">
        <f>YEAR(TbAportes[[#This Row],[Data]])</f>
        <v>2019</v>
      </c>
      <c r="I11" s="4">
        <f>MONTH(TbAportes[[#This Row],[Data]])</f>
        <v>4</v>
      </c>
      <c r="J11" s="4" t="str">
        <f>CONCATENATE(TbAportes[[#This Row],[Ano]],"/",IF(TbAportes[[#This Row],[Mês]]&lt;10,"0",""),TbAportes[[#This Row],[Mês]])</f>
        <v>2019/04</v>
      </c>
    </row>
    <row r="12" spans="1:10" ht="20.100000000000001" customHeight="1" x14ac:dyDescent="0.25">
      <c r="A12" s="1">
        <v>43595</v>
      </c>
      <c r="B12" s="2" t="s">
        <v>4</v>
      </c>
      <c r="C12" s="2">
        <v>100</v>
      </c>
      <c r="D12" s="3">
        <v>9.4499999999999993</v>
      </c>
      <c r="E12" s="3">
        <v>10</v>
      </c>
      <c r="F12" s="32">
        <f>TbAportes[[#This Row],[Valor unitário]]*TbAportes[[#This Row],[Qte]]+TbAportes[[#This Row],[Custo]]</f>
        <v>954.99999999999989</v>
      </c>
      <c r="G12" s="4" t="str">
        <f>VLOOKUP(TbAportes[[#This Row],[Ativo]],TbAtivos!$B$4:$D$500,2,FALSE)</f>
        <v>EMPRESA</v>
      </c>
      <c r="H12" s="4">
        <f>YEAR(TbAportes[[#This Row],[Data]])</f>
        <v>2019</v>
      </c>
      <c r="I12" s="4">
        <f>MONTH(TbAportes[[#This Row],[Data]])</f>
        <v>5</v>
      </c>
      <c r="J12" s="4" t="str">
        <f>CONCATENATE(TbAportes[[#This Row],[Ano]],"/",IF(TbAportes[[#This Row],[Mês]]&lt;10,"0",""),TbAportes[[#This Row],[Mês]])</f>
        <v>2019/05</v>
      </c>
    </row>
    <row r="13" spans="1:10" ht="20.100000000000001" customHeight="1" x14ac:dyDescent="0.25">
      <c r="A13" s="1">
        <v>43595</v>
      </c>
      <c r="B13" s="2" t="s">
        <v>15</v>
      </c>
      <c r="C13" s="2">
        <v>100</v>
      </c>
      <c r="D13" s="3">
        <v>7.56</v>
      </c>
      <c r="E13" s="3">
        <v>10</v>
      </c>
      <c r="F13" s="32">
        <f>TbAportes[[#This Row],[Valor unitário]]*TbAportes[[#This Row],[Qte]]+TbAportes[[#This Row],[Custo]]</f>
        <v>766</v>
      </c>
      <c r="G13" s="4" t="str">
        <f>VLOOKUP(TbAportes[[#This Row],[Ativo]],TbAtivos!$B$4:$D$500,2,FALSE)</f>
        <v>EMPRESA</v>
      </c>
      <c r="H13" s="4">
        <f>YEAR(TbAportes[[#This Row],[Data]])</f>
        <v>2019</v>
      </c>
      <c r="I13" s="4">
        <f>MONTH(TbAportes[[#This Row],[Data]])</f>
        <v>5</v>
      </c>
      <c r="J13" s="4" t="str">
        <f>CONCATENATE(TbAportes[[#This Row],[Ano]],"/",IF(TbAportes[[#This Row],[Mês]]&lt;10,"0",""),TbAportes[[#This Row],[Mês]])</f>
        <v>2019/05</v>
      </c>
    </row>
    <row r="14" spans="1:10" ht="20.100000000000001" customHeight="1" x14ac:dyDescent="0.25">
      <c r="A14" s="1">
        <v>43626</v>
      </c>
      <c r="B14" s="2" t="s">
        <v>12</v>
      </c>
      <c r="C14" s="2">
        <v>5</v>
      </c>
      <c r="D14" s="3">
        <v>135.81</v>
      </c>
      <c r="E14" s="3">
        <v>0</v>
      </c>
      <c r="F14" s="32">
        <f>TbAportes[[#This Row],[Valor unitário]]*TbAportes[[#This Row],[Qte]]+TbAportes[[#This Row],[Custo]]</f>
        <v>679.05</v>
      </c>
      <c r="G14" s="4" t="str">
        <f>VLOOKUP(TbAportes[[#This Row],[Ativo]],TbAtivos!$B$4:$D$500,2,FALSE)</f>
        <v>FII</v>
      </c>
      <c r="H14" s="4">
        <f>YEAR(TbAportes[[#This Row],[Data]])</f>
        <v>2019</v>
      </c>
      <c r="I14" s="4">
        <f>MONTH(TbAportes[[#This Row],[Data]])</f>
        <v>6</v>
      </c>
      <c r="J14" s="4" t="str">
        <f>CONCATENATE(TbAportes[[#This Row],[Ano]],"/",IF(TbAportes[[#This Row],[Mês]]&lt;10,"0",""),TbAportes[[#This Row],[Mês]])</f>
        <v>2019/06</v>
      </c>
    </row>
    <row r="15" spans="1:10" ht="20.100000000000001" customHeight="1" x14ac:dyDescent="0.25">
      <c r="A15" s="1">
        <v>43626</v>
      </c>
      <c r="B15" s="2" t="s">
        <v>8</v>
      </c>
      <c r="C15" s="2">
        <v>100</v>
      </c>
      <c r="D15" s="3">
        <v>15.81</v>
      </c>
      <c r="E15" s="3">
        <v>10</v>
      </c>
      <c r="F15" s="32">
        <f>TbAportes[[#This Row],[Valor unitário]]*TbAportes[[#This Row],[Qte]]+TbAportes[[#This Row],[Custo]]</f>
        <v>1591</v>
      </c>
      <c r="G15" s="4" t="str">
        <f>VLOOKUP(TbAportes[[#This Row],[Ativo]],TbAtivos!$B$4:$D$500,2,FALSE)</f>
        <v>EMPRESA</v>
      </c>
      <c r="H15" s="4">
        <f>YEAR(TbAportes[[#This Row],[Data]])</f>
        <v>2019</v>
      </c>
      <c r="I15" s="4">
        <f>MONTH(TbAportes[[#This Row],[Data]])</f>
        <v>6</v>
      </c>
      <c r="J15" s="4" t="str">
        <f>CONCATENATE(TbAportes[[#This Row],[Ano]],"/",IF(TbAportes[[#This Row],[Mês]]&lt;10,"0",""),TbAportes[[#This Row],[Mês]])</f>
        <v>2019/06</v>
      </c>
    </row>
    <row r="16" spans="1:10" ht="20.100000000000001" customHeight="1" x14ac:dyDescent="0.25">
      <c r="A16" s="1">
        <v>43656</v>
      </c>
      <c r="B16" s="2" t="s">
        <v>6</v>
      </c>
      <c r="C16" s="2">
        <v>100</v>
      </c>
      <c r="D16" s="3">
        <v>20.32</v>
      </c>
      <c r="E16" s="3">
        <v>10</v>
      </c>
      <c r="F16" s="32">
        <f>TbAportes[[#This Row],[Valor unitário]]*TbAportes[[#This Row],[Qte]]+TbAportes[[#This Row],[Custo]]</f>
        <v>2042</v>
      </c>
      <c r="G16" s="4" t="str">
        <f>VLOOKUP(TbAportes[[#This Row],[Ativo]],TbAtivos!$B$4:$D$500,2,FALSE)</f>
        <v>EMPRESA</v>
      </c>
      <c r="H16" s="4">
        <f>YEAR(TbAportes[[#This Row],[Data]])</f>
        <v>2019</v>
      </c>
      <c r="I16" s="4">
        <f>MONTH(TbAportes[[#This Row],[Data]])</f>
        <v>7</v>
      </c>
      <c r="J16" s="4" t="str">
        <f>CONCATENATE(TbAportes[[#This Row],[Ano]],"/",IF(TbAportes[[#This Row],[Mês]]&lt;10,"0",""),TbAportes[[#This Row],[Mês]])</f>
        <v>2019/07</v>
      </c>
    </row>
    <row r="17" spans="1:10" ht="20.100000000000001" customHeight="1" x14ac:dyDescent="0.25">
      <c r="A17" s="1">
        <v>43656</v>
      </c>
      <c r="B17" s="2" t="s">
        <v>9</v>
      </c>
      <c r="C17" s="2">
        <v>1</v>
      </c>
      <c r="D17" s="3">
        <v>191.74</v>
      </c>
      <c r="E17" s="3">
        <v>0</v>
      </c>
      <c r="F17" s="32">
        <f>TbAportes[[#This Row],[Valor unitário]]*TbAportes[[#This Row],[Qte]]+TbAportes[[#This Row],[Custo]]</f>
        <v>191.74</v>
      </c>
      <c r="G17" s="4" t="str">
        <f>VLOOKUP(TbAportes[[#This Row],[Ativo]],TbAtivos!$B$4:$D$500,2,FALSE)</f>
        <v>FII</v>
      </c>
      <c r="H17" s="4">
        <f>YEAR(TbAportes[[#This Row],[Data]])</f>
        <v>2019</v>
      </c>
      <c r="I17" s="4">
        <f>MONTH(TbAportes[[#This Row],[Data]])</f>
        <v>7</v>
      </c>
      <c r="J17" s="4" t="str">
        <f>CONCATENATE(TbAportes[[#This Row],[Ano]],"/",IF(TbAportes[[#This Row],[Mês]]&lt;10,"0",""),TbAportes[[#This Row],[Mês]])</f>
        <v>2019/07</v>
      </c>
    </row>
    <row r="18" spans="1:10" ht="20.100000000000001" customHeight="1" x14ac:dyDescent="0.25">
      <c r="A18" s="1">
        <v>43687</v>
      </c>
      <c r="B18" s="2" t="s">
        <v>11</v>
      </c>
      <c r="C18" s="2">
        <v>7</v>
      </c>
      <c r="D18" s="3">
        <v>138.94</v>
      </c>
      <c r="E18" s="3">
        <v>0</v>
      </c>
      <c r="F18" s="32">
        <f>TbAportes[[#This Row],[Valor unitário]]*TbAportes[[#This Row],[Qte]]+TbAportes[[#This Row],[Custo]]</f>
        <v>972.57999999999993</v>
      </c>
      <c r="G18" s="4" t="str">
        <f>VLOOKUP(TbAportes[[#This Row],[Ativo]],TbAtivos!$B$4:$D$500,2,FALSE)</f>
        <v>FII</v>
      </c>
      <c r="H18" s="4">
        <f>YEAR(TbAportes[[#This Row],[Data]])</f>
        <v>2019</v>
      </c>
      <c r="I18" s="4">
        <f>MONTH(TbAportes[[#This Row],[Data]])</f>
        <v>8</v>
      </c>
      <c r="J18" s="4" t="str">
        <f>CONCATENATE(TbAportes[[#This Row],[Ano]],"/",IF(TbAportes[[#This Row],[Mês]]&lt;10,"0",""),TbAportes[[#This Row],[Mês]])</f>
        <v>2019/08</v>
      </c>
    </row>
    <row r="19" spans="1:10" ht="20.100000000000001" customHeight="1" x14ac:dyDescent="0.25">
      <c r="A19" s="1">
        <v>43687</v>
      </c>
      <c r="B19" s="2" t="s">
        <v>8</v>
      </c>
      <c r="C19" s="2">
        <v>100</v>
      </c>
      <c r="D19" s="3">
        <v>17.559999999999999</v>
      </c>
      <c r="E19" s="3">
        <v>10</v>
      </c>
      <c r="F19" s="32">
        <f>TbAportes[[#This Row],[Valor unitário]]*TbAportes[[#This Row],[Qte]]+TbAportes[[#This Row],[Custo]]</f>
        <v>1765.9999999999998</v>
      </c>
      <c r="G19" s="4" t="str">
        <f>VLOOKUP(TbAportes[[#This Row],[Ativo]],TbAtivos!$B$4:$D$500,2,FALSE)</f>
        <v>EMPRESA</v>
      </c>
      <c r="H19" s="4">
        <f>YEAR(TbAportes[[#This Row],[Data]])</f>
        <v>2019</v>
      </c>
      <c r="I19" s="4">
        <f>MONTH(TbAportes[[#This Row],[Data]])</f>
        <v>8</v>
      </c>
      <c r="J19" s="4" t="str">
        <f>CONCATENATE(TbAportes[[#This Row],[Ano]],"/",IF(TbAportes[[#This Row],[Mês]]&lt;10,"0",""),TbAportes[[#This Row],[Mês]])</f>
        <v>2019/08</v>
      </c>
    </row>
    <row r="20" spans="1:10" ht="20.100000000000001" customHeight="1" x14ac:dyDescent="0.25">
      <c r="A20" s="1">
        <v>43718</v>
      </c>
      <c r="B20" s="2" t="s">
        <v>4</v>
      </c>
      <c r="C20" s="2">
        <v>100</v>
      </c>
      <c r="D20" s="3">
        <v>10.119999999999999</v>
      </c>
      <c r="E20" s="3">
        <v>10</v>
      </c>
      <c r="F20" s="32">
        <f>TbAportes[[#This Row],[Valor unitário]]*TbAportes[[#This Row],[Qte]]+TbAportes[[#This Row],[Custo]]</f>
        <v>1021.9999999999999</v>
      </c>
      <c r="G20" s="4" t="str">
        <f>VLOOKUP(TbAportes[[#This Row],[Ativo]],TbAtivos!$B$4:$D$500,2,FALSE)</f>
        <v>EMPRESA</v>
      </c>
      <c r="H20" s="4">
        <f>YEAR(TbAportes[[#This Row],[Data]])</f>
        <v>2019</v>
      </c>
      <c r="I20" s="4">
        <f>MONTH(TbAportes[[#This Row],[Data]])</f>
        <v>9</v>
      </c>
      <c r="J20" s="4" t="str">
        <f>CONCATENATE(TbAportes[[#This Row],[Ano]],"/",IF(TbAportes[[#This Row],[Mês]]&lt;10,"0",""),TbAportes[[#This Row],[Mês]])</f>
        <v>2019/09</v>
      </c>
    </row>
    <row r="21" spans="1:10" ht="20.100000000000001" customHeight="1" x14ac:dyDescent="0.25">
      <c r="A21" s="1">
        <v>43718</v>
      </c>
      <c r="B21" s="2" t="s">
        <v>12</v>
      </c>
      <c r="C21" s="2">
        <v>2</v>
      </c>
      <c r="D21" s="3">
        <v>134.1</v>
      </c>
      <c r="E21" s="3">
        <v>0</v>
      </c>
      <c r="F21" s="32">
        <f>TbAportes[[#This Row],[Valor unitário]]*TbAportes[[#This Row],[Qte]]+TbAportes[[#This Row],[Custo]]</f>
        <v>268.2</v>
      </c>
      <c r="G21" s="4" t="str">
        <f>VLOOKUP(TbAportes[[#This Row],[Ativo]],TbAtivos!$B$4:$D$500,2,FALSE)</f>
        <v>FII</v>
      </c>
      <c r="H21" s="4">
        <f>YEAR(TbAportes[[#This Row],[Data]])</f>
        <v>2019</v>
      </c>
      <c r="I21" s="4">
        <f>MONTH(TbAportes[[#This Row],[Data]])</f>
        <v>9</v>
      </c>
      <c r="J21" s="4" t="str">
        <f>CONCATENATE(TbAportes[[#This Row],[Ano]],"/",IF(TbAportes[[#This Row],[Mês]]&lt;10,"0",""),TbAportes[[#This Row],[Mês]])</f>
        <v>2019/09</v>
      </c>
    </row>
    <row r="22" spans="1:10" ht="20.100000000000001" customHeight="1" x14ac:dyDescent="0.25">
      <c r="A22" s="1">
        <v>43748</v>
      </c>
      <c r="B22" s="2" t="s">
        <v>8</v>
      </c>
      <c r="C22" s="2">
        <v>100</v>
      </c>
      <c r="D22" s="3">
        <v>16.03</v>
      </c>
      <c r="E22" s="3">
        <v>10</v>
      </c>
      <c r="F22" s="32">
        <f>TbAportes[[#This Row],[Valor unitário]]*TbAportes[[#This Row],[Qte]]+TbAportes[[#This Row],[Custo]]</f>
        <v>1613</v>
      </c>
      <c r="G22" s="4" t="str">
        <f>VLOOKUP(TbAportes[[#This Row],[Ativo]],TbAtivos!$B$4:$D$500,2,FALSE)</f>
        <v>EMPRESA</v>
      </c>
      <c r="H22" s="4">
        <f>YEAR(TbAportes[[#This Row],[Data]])</f>
        <v>2019</v>
      </c>
      <c r="I22" s="4">
        <f>MONTH(TbAportes[[#This Row],[Data]])</f>
        <v>10</v>
      </c>
      <c r="J22" s="4" t="str">
        <f>CONCATENATE(TbAportes[[#This Row],[Ano]],"/",IF(TbAportes[[#This Row],[Mês]]&lt;10,"0",""),TbAportes[[#This Row],[Mês]])</f>
        <v>2019/10</v>
      </c>
    </row>
    <row r="23" spans="1:10" ht="20.100000000000001" customHeight="1" x14ac:dyDescent="0.25">
      <c r="A23" s="1">
        <v>43748</v>
      </c>
      <c r="B23" s="2" t="s">
        <v>9</v>
      </c>
      <c r="C23" s="2">
        <v>5</v>
      </c>
      <c r="D23" s="3">
        <v>194.23</v>
      </c>
      <c r="E23" s="3">
        <v>0</v>
      </c>
      <c r="F23" s="32">
        <f>TbAportes[[#This Row],[Valor unitário]]*TbAportes[[#This Row],[Qte]]+TbAportes[[#This Row],[Custo]]</f>
        <v>971.15</v>
      </c>
      <c r="G23" s="4" t="str">
        <f>VLOOKUP(TbAportes[[#This Row],[Ativo]],TbAtivos!$B$4:$D$500,2,FALSE)</f>
        <v>FII</v>
      </c>
      <c r="H23" s="4">
        <f>YEAR(TbAportes[[#This Row],[Data]])</f>
        <v>2019</v>
      </c>
      <c r="I23" s="4">
        <f>MONTH(TbAportes[[#This Row],[Data]])</f>
        <v>10</v>
      </c>
      <c r="J23" s="4" t="str">
        <f>CONCATENATE(TbAportes[[#This Row],[Ano]],"/",IF(TbAportes[[#This Row],[Mês]]&lt;10,"0",""),TbAportes[[#This Row],[Mês]])</f>
        <v>2019/10</v>
      </c>
    </row>
    <row r="24" spans="1:10" ht="20.100000000000001" customHeight="1" x14ac:dyDescent="0.25">
      <c r="A24" s="1">
        <v>43779</v>
      </c>
      <c r="B24" s="2" t="s">
        <v>7</v>
      </c>
      <c r="C24" s="2">
        <v>100</v>
      </c>
      <c r="D24" s="3">
        <v>9.5299999999999994</v>
      </c>
      <c r="E24" s="3">
        <v>10</v>
      </c>
      <c r="F24" s="32">
        <f>TbAportes[[#This Row],[Valor unitário]]*TbAportes[[#This Row],[Qte]]+TbAportes[[#This Row],[Custo]]</f>
        <v>962.99999999999989</v>
      </c>
      <c r="G24" s="4" t="str">
        <f>VLOOKUP(TbAportes[[#This Row],[Ativo]],TbAtivos!$B$4:$D$500,2,FALSE)</f>
        <v>EMPRESA</v>
      </c>
      <c r="H24" s="4">
        <f>YEAR(TbAportes[[#This Row],[Data]])</f>
        <v>2019</v>
      </c>
      <c r="I24" s="4">
        <f>MONTH(TbAportes[[#This Row],[Data]])</f>
        <v>11</v>
      </c>
      <c r="J24" s="4" t="str">
        <f>CONCATENATE(TbAportes[[#This Row],[Ano]],"/",IF(TbAportes[[#This Row],[Mês]]&lt;10,"0",""),TbAportes[[#This Row],[Mês]])</f>
        <v>2019/11</v>
      </c>
    </row>
    <row r="25" spans="1:10" ht="20.100000000000001" customHeight="1" x14ac:dyDescent="0.25">
      <c r="A25" s="1">
        <v>43779</v>
      </c>
      <c r="B25" s="2" t="s">
        <v>11</v>
      </c>
      <c r="C25" s="2">
        <v>3</v>
      </c>
      <c r="D25" s="3">
        <v>143.55000000000001</v>
      </c>
      <c r="E25" s="3">
        <v>0</v>
      </c>
      <c r="F25" s="32">
        <f>TbAportes[[#This Row],[Valor unitário]]*TbAportes[[#This Row],[Qte]]+TbAportes[[#This Row],[Custo]]</f>
        <v>430.65000000000003</v>
      </c>
      <c r="G25" s="4" t="str">
        <f>VLOOKUP(TbAportes[[#This Row],[Ativo]],TbAtivos!$B$4:$D$500,2,FALSE)</f>
        <v>FII</v>
      </c>
      <c r="H25" s="4">
        <f>YEAR(TbAportes[[#This Row],[Data]])</f>
        <v>2019</v>
      </c>
      <c r="I25" s="4">
        <f>MONTH(TbAportes[[#This Row],[Data]])</f>
        <v>11</v>
      </c>
      <c r="J25" s="4" t="str">
        <f>CONCATENATE(TbAportes[[#This Row],[Ano]],"/",IF(TbAportes[[#This Row],[Mês]]&lt;10,"0",""),TbAportes[[#This Row],[Mês]])</f>
        <v>2019/11</v>
      </c>
    </row>
    <row r="26" spans="1:10" ht="20.100000000000001" customHeight="1" x14ac:dyDescent="0.25">
      <c r="A26" s="1">
        <v>43809</v>
      </c>
      <c r="B26" s="2" t="s">
        <v>13</v>
      </c>
      <c r="C26" s="2">
        <v>5</v>
      </c>
      <c r="D26" s="3">
        <v>143.22999999999999</v>
      </c>
      <c r="E26" s="3">
        <v>0</v>
      </c>
      <c r="F26" s="32">
        <f>TbAportes[[#This Row],[Valor unitário]]*TbAportes[[#This Row],[Qte]]+TbAportes[[#This Row],[Custo]]</f>
        <v>716.15</v>
      </c>
      <c r="G26" s="4" t="str">
        <f>VLOOKUP(TbAportes[[#This Row],[Ativo]],TbAtivos!$B$4:$D$500,2,FALSE)</f>
        <v>FII</v>
      </c>
      <c r="H26" s="4">
        <f>YEAR(TbAportes[[#This Row],[Data]])</f>
        <v>2019</v>
      </c>
      <c r="I26" s="4">
        <f>MONTH(TbAportes[[#This Row],[Data]])</f>
        <v>12</v>
      </c>
      <c r="J26" s="4" t="str">
        <f>CONCATENATE(TbAportes[[#This Row],[Ano]],"/",IF(TbAportes[[#This Row],[Mês]]&lt;10,"0",""),TbAportes[[#This Row],[Mês]])</f>
        <v>2019/12</v>
      </c>
    </row>
    <row r="27" spans="1:10" ht="20.100000000000001" customHeight="1" x14ac:dyDescent="0.25">
      <c r="A27" s="1">
        <v>43809</v>
      </c>
      <c r="B27" s="2" t="s">
        <v>15</v>
      </c>
      <c r="C27" s="2">
        <v>100</v>
      </c>
      <c r="D27" s="3">
        <v>8.59</v>
      </c>
      <c r="E27" s="3">
        <v>10</v>
      </c>
      <c r="F27" s="32">
        <f>TbAportes[[#This Row],[Valor unitário]]*TbAportes[[#This Row],[Qte]]+TbAportes[[#This Row],[Custo]]</f>
        <v>869</v>
      </c>
      <c r="G27" s="4" t="str">
        <f>VLOOKUP(TbAportes[[#This Row],[Ativo]],TbAtivos!$B$4:$D$500,2,FALSE)</f>
        <v>EMPRESA</v>
      </c>
      <c r="H27" s="4">
        <f>YEAR(TbAportes[[#This Row],[Data]])</f>
        <v>2019</v>
      </c>
      <c r="I27" s="4">
        <f>MONTH(TbAportes[[#This Row],[Data]])</f>
        <v>12</v>
      </c>
      <c r="J27" s="4" t="str">
        <f>CONCATENATE(TbAportes[[#This Row],[Ano]],"/",IF(TbAportes[[#This Row],[Mês]]&lt;10,"0",""),TbAportes[[#This Row],[Mês]])</f>
        <v>2019/12</v>
      </c>
    </row>
    <row r="28" spans="1:10" ht="20.100000000000001" customHeight="1" x14ac:dyDescent="0.25">
      <c r="A28" s="1">
        <v>43840</v>
      </c>
      <c r="B28" s="2" t="s">
        <v>13</v>
      </c>
      <c r="C28" s="2">
        <v>10</v>
      </c>
      <c r="D28" s="3">
        <v>152.6</v>
      </c>
      <c r="E28" s="3">
        <v>0</v>
      </c>
      <c r="F28" s="32">
        <f>TbAportes[[#This Row],[Valor unitário]]*TbAportes[[#This Row],[Qte]]+TbAportes[[#This Row],[Custo]]</f>
        <v>1526</v>
      </c>
      <c r="G28" s="4" t="str">
        <f>VLOOKUP(TbAportes[[#This Row],[Ativo]],TbAtivos!$B$4:$D$500,2,FALSE)</f>
        <v>FII</v>
      </c>
      <c r="H28" s="4">
        <f>YEAR(TbAportes[[#This Row],[Data]])</f>
        <v>2020</v>
      </c>
      <c r="I28" s="4">
        <f>MONTH(TbAportes[[#This Row],[Data]])</f>
        <v>1</v>
      </c>
      <c r="J28" s="4" t="str">
        <f>CONCATENATE(TbAportes[[#This Row],[Ano]],"/",IF(TbAportes[[#This Row],[Mês]]&lt;10,"0",""),TbAportes[[#This Row],[Mês]])</f>
        <v>2020/01</v>
      </c>
    </row>
    <row r="29" spans="1:10" ht="20.100000000000001" customHeight="1" x14ac:dyDescent="0.25">
      <c r="A29" s="1">
        <v>43840</v>
      </c>
      <c r="B29" s="2" t="s">
        <v>12</v>
      </c>
      <c r="C29" s="2">
        <v>4</v>
      </c>
      <c r="D29" s="3">
        <v>138.44999999999999</v>
      </c>
      <c r="E29" s="3">
        <v>0</v>
      </c>
      <c r="F29" s="32">
        <f>TbAportes[[#This Row],[Valor unitário]]*TbAportes[[#This Row],[Qte]]+TbAportes[[#This Row],[Custo]]</f>
        <v>553.79999999999995</v>
      </c>
      <c r="G29" s="4" t="str">
        <f>VLOOKUP(TbAportes[[#This Row],[Ativo]],TbAtivos!$B$4:$D$500,2,FALSE)</f>
        <v>FII</v>
      </c>
      <c r="H29" s="4">
        <f>YEAR(TbAportes[[#This Row],[Data]])</f>
        <v>2020</v>
      </c>
      <c r="I29" s="4">
        <f>MONTH(TbAportes[[#This Row],[Data]])</f>
        <v>1</v>
      </c>
      <c r="J29" s="4" t="str">
        <f>CONCATENATE(TbAportes[[#This Row],[Ano]],"/",IF(TbAportes[[#This Row],[Mês]]&lt;10,"0",""),TbAportes[[#This Row],[Mês]])</f>
        <v>2020/01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zoomScaleNormal="100" workbookViewId="0"/>
  </sheetViews>
  <sheetFormatPr defaultRowHeight="20.100000000000001" customHeight="1" x14ac:dyDescent="0.25"/>
  <cols>
    <col min="1" max="1" width="8" style="2" customWidth="1"/>
    <col min="2" max="3" width="9.140625" style="2"/>
    <col min="4" max="4" width="16.28515625" style="3" customWidth="1"/>
    <col min="5" max="5" width="14.28515625" style="3" customWidth="1"/>
    <col min="6" max="6" width="16.42578125" style="3" customWidth="1"/>
    <col min="7" max="7" width="15.140625" style="1" customWidth="1"/>
    <col min="8" max="8" width="13.85546875" style="2" customWidth="1"/>
    <col min="9" max="16384" width="9.140625" style="2"/>
  </cols>
  <sheetData>
    <row r="1" spans="1:9" ht="20.100000000000001" customHeight="1" x14ac:dyDescent="0.25">
      <c r="A1" s="2" t="s">
        <v>26</v>
      </c>
      <c r="B1" s="2" t="s">
        <v>17</v>
      </c>
      <c r="C1" s="2" t="s">
        <v>18</v>
      </c>
      <c r="D1" s="3" t="s">
        <v>27</v>
      </c>
      <c r="E1" s="3" t="s">
        <v>28</v>
      </c>
      <c r="F1" s="3" t="s">
        <v>29</v>
      </c>
      <c r="G1" s="1" t="s">
        <v>16</v>
      </c>
      <c r="H1" s="3" t="s">
        <v>25</v>
      </c>
      <c r="I1" s="3" t="s">
        <v>22</v>
      </c>
    </row>
    <row r="2" spans="1:9" ht="20.100000000000001" customHeight="1" x14ac:dyDescent="0.25">
      <c r="A2" s="2">
        <v>13</v>
      </c>
      <c r="B2" s="2" t="s">
        <v>7</v>
      </c>
      <c r="C2" s="2">
        <v>100</v>
      </c>
      <c r="D2" s="3">
        <v>39.479999999999997</v>
      </c>
      <c r="E2" s="3">
        <v>0</v>
      </c>
      <c r="F2" s="3">
        <v>39.479999999999997</v>
      </c>
      <c r="G2" s="1">
        <v>43449</v>
      </c>
      <c r="H2" s="4" t="str">
        <f>CONCATENATE(YEAR(TbProventos[[#This Row],[Data]]),"/",IF(MONTH(TbProventos[[#This Row],[Data]])&lt;10,"0",""),MONTH(TbProventos[[#This Row],[Data]]))</f>
        <v>2018/12</v>
      </c>
      <c r="I2" s="4" t="str">
        <f>VLOOKUP(TbProventos[[#This Row],[Ativo]],TbAtivos!$B$4:$D$500,2,FALSE)</f>
        <v>EMPRESA</v>
      </c>
    </row>
    <row r="3" spans="1:9" ht="20.100000000000001" customHeight="1" x14ac:dyDescent="0.25">
      <c r="A3" s="2">
        <v>14</v>
      </c>
      <c r="B3" s="2" t="s">
        <v>9</v>
      </c>
      <c r="C3" s="2">
        <v>100</v>
      </c>
      <c r="D3" s="3">
        <v>63</v>
      </c>
      <c r="E3" s="3">
        <v>0</v>
      </c>
      <c r="F3" s="3">
        <v>63</v>
      </c>
      <c r="G3" s="1">
        <v>43451</v>
      </c>
      <c r="H3" s="4" t="str">
        <f>CONCATENATE(YEAR(TbProventos[[#This Row],[Data]]),"/",IF(MONTH(TbProventos[[#This Row],[Data]])&lt;10,"0",""),MONTH(TbProventos[[#This Row],[Data]]))</f>
        <v>2018/12</v>
      </c>
      <c r="I3" s="4" t="str">
        <f>VLOOKUP(TbProventos[[#This Row],[Ativo]],TbAtivos!$B$4:$D$500,2,FALSE)</f>
        <v>FII</v>
      </c>
    </row>
    <row r="4" spans="1:9" ht="20.100000000000001" customHeight="1" x14ac:dyDescent="0.25">
      <c r="A4" s="2">
        <v>14</v>
      </c>
      <c r="B4" s="2" t="s">
        <v>11</v>
      </c>
      <c r="C4" s="2">
        <v>100</v>
      </c>
      <c r="D4" s="3">
        <v>81</v>
      </c>
      <c r="E4" s="3">
        <v>0</v>
      </c>
      <c r="F4" s="3">
        <v>81</v>
      </c>
      <c r="G4" s="1">
        <v>43451</v>
      </c>
      <c r="H4" s="4" t="str">
        <f>CONCATENATE(YEAR(TbProventos[[#This Row],[Data]]),"/",IF(MONTH(TbProventos[[#This Row],[Data]])&lt;10,"0",""),MONTH(TbProventos[[#This Row],[Data]]))</f>
        <v>2018/12</v>
      </c>
      <c r="I4" s="4" t="str">
        <f>VLOOKUP(TbProventos[[#This Row],[Ativo]],TbAtivos!$B$4:$D$500,2,FALSE)</f>
        <v>FII</v>
      </c>
    </row>
    <row r="5" spans="1:9" ht="20.100000000000001" customHeight="1" x14ac:dyDescent="0.25">
      <c r="A5" s="2">
        <v>14</v>
      </c>
      <c r="B5" s="2" t="s">
        <v>12</v>
      </c>
      <c r="C5" s="2">
        <v>100</v>
      </c>
      <c r="D5" s="3">
        <v>38.89</v>
      </c>
      <c r="E5" s="3">
        <v>0</v>
      </c>
      <c r="F5" s="3">
        <v>38.89</v>
      </c>
      <c r="G5" s="1">
        <v>43451</v>
      </c>
      <c r="H5" s="4" t="str">
        <f>CONCATENATE(YEAR(TbProventos[[#This Row],[Data]]),"/",IF(MONTH(TbProventos[[#This Row],[Data]])&lt;10,"0",""),MONTH(TbProventos[[#This Row],[Data]]))</f>
        <v>2018/12</v>
      </c>
      <c r="I5" s="4" t="str">
        <f>VLOOKUP(TbProventos[[#This Row],[Ativo]],TbAtivos!$B$4:$D$500,2,FALSE)</f>
        <v>FII</v>
      </c>
    </row>
    <row r="6" spans="1:9" ht="20.100000000000001" customHeight="1" x14ac:dyDescent="0.25">
      <c r="A6" s="2">
        <v>14</v>
      </c>
      <c r="B6" s="2" t="s">
        <v>13</v>
      </c>
      <c r="C6" s="2">
        <v>100</v>
      </c>
      <c r="D6" s="3">
        <v>34.770000000000003</v>
      </c>
      <c r="E6" s="3">
        <v>0</v>
      </c>
      <c r="F6" s="3">
        <v>34.770000000000003</v>
      </c>
      <c r="G6" s="1">
        <v>43451</v>
      </c>
      <c r="H6" s="4" t="str">
        <f>CONCATENATE(YEAR(TbProventos[[#This Row],[Data]]),"/",IF(MONTH(TbProventos[[#This Row],[Data]])&lt;10,"0",""),MONTH(TbProventos[[#This Row],[Data]]))</f>
        <v>2018/12</v>
      </c>
      <c r="I6" s="4" t="str">
        <f>VLOOKUP(TbProventos[[#This Row],[Ativo]],TbAtivos!$B$4:$D$500,2,FALSE)</f>
        <v>FII</v>
      </c>
    </row>
    <row r="7" spans="1:9" ht="20.100000000000001" customHeight="1" x14ac:dyDescent="0.25">
      <c r="A7" s="2">
        <v>13</v>
      </c>
      <c r="B7" s="2" t="s">
        <v>8</v>
      </c>
      <c r="C7" s="2">
        <v>100</v>
      </c>
      <c r="D7" s="3">
        <v>67</v>
      </c>
      <c r="E7" s="3">
        <v>6</v>
      </c>
      <c r="F7" s="3">
        <v>61</v>
      </c>
      <c r="G7" s="1">
        <v>43480</v>
      </c>
      <c r="H7" s="4" t="str">
        <f>CONCATENATE(YEAR(TbProventos[[#This Row],[Data]]),"/",IF(MONTH(TbProventos[[#This Row],[Data]])&lt;10,"0",""),MONTH(TbProventos[[#This Row],[Data]]))</f>
        <v>2019/01</v>
      </c>
      <c r="I7" s="4" t="str">
        <f>VLOOKUP(TbProventos[[#This Row],[Ativo]],TbAtivos!$B$4:$D$500,2,FALSE)</f>
        <v>EMPRESA</v>
      </c>
    </row>
    <row r="8" spans="1:9" ht="20.100000000000001" customHeight="1" x14ac:dyDescent="0.25">
      <c r="A8" s="2">
        <v>14</v>
      </c>
      <c r="B8" s="2" t="s">
        <v>9</v>
      </c>
      <c r="C8" s="2">
        <v>100</v>
      </c>
      <c r="D8" s="3">
        <v>75.709999999999994</v>
      </c>
      <c r="E8" s="3">
        <v>0</v>
      </c>
      <c r="F8" s="3">
        <v>75.709999999999994</v>
      </c>
      <c r="G8" s="1">
        <v>43482</v>
      </c>
      <c r="H8" s="4" t="str">
        <f>CONCATENATE(YEAR(TbProventos[[#This Row],[Data]]),"/",IF(MONTH(TbProventos[[#This Row],[Data]])&lt;10,"0",""),MONTH(TbProventos[[#This Row],[Data]]))</f>
        <v>2019/01</v>
      </c>
      <c r="I8" s="4" t="str">
        <f>VLOOKUP(TbProventos[[#This Row],[Ativo]],TbAtivos!$B$4:$D$500,2,FALSE)</f>
        <v>FII</v>
      </c>
    </row>
    <row r="9" spans="1:9" ht="20.100000000000001" customHeight="1" x14ac:dyDescent="0.25">
      <c r="A9" s="2">
        <v>14</v>
      </c>
      <c r="B9" s="2" t="s">
        <v>11</v>
      </c>
      <c r="C9" s="2">
        <v>100</v>
      </c>
      <c r="D9" s="3">
        <v>39.36</v>
      </c>
      <c r="E9" s="3">
        <v>0</v>
      </c>
      <c r="F9" s="3">
        <v>39.36</v>
      </c>
      <c r="G9" s="1">
        <v>43482</v>
      </c>
      <c r="H9" s="4" t="str">
        <f>CONCATENATE(YEAR(TbProventos[[#This Row],[Data]]),"/",IF(MONTH(TbProventos[[#This Row],[Data]])&lt;10,"0",""),MONTH(TbProventos[[#This Row],[Data]]))</f>
        <v>2019/01</v>
      </c>
      <c r="I9" s="4" t="str">
        <f>VLOOKUP(TbProventos[[#This Row],[Ativo]],TbAtivos!$B$4:$D$500,2,FALSE)</f>
        <v>FII</v>
      </c>
    </row>
    <row r="10" spans="1:9" ht="20.100000000000001" customHeight="1" x14ac:dyDescent="0.25">
      <c r="A10" s="2">
        <v>14</v>
      </c>
      <c r="B10" s="2" t="s">
        <v>12</v>
      </c>
      <c r="C10" s="2">
        <v>100</v>
      </c>
      <c r="D10" s="3">
        <v>51.8</v>
      </c>
      <c r="E10" s="3">
        <v>0</v>
      </c>
      <c r="F10" s="3">
        <v>51.8</v>
      </c>
      <c r="G10" s="1">
        <v>43482</v>
      </c>
      <c r="H10" s="4" t="str">
        <f>CONCATENATE(YEAR(TbProventos[[#This Row],[Data]]),"/",IF(MONTH(TbProventos[[#This Row],[Data]])&lt;10,"0",""),MONTH(TbProventos[[#This Row],[Data]]))</f>
        <v>2019/01</v>
      </c>
      <c r="I10" s="4" t="str">
        <f>VLOOKUP(TbProventos[[#This Row],[Ativo]],TbAtivos!$B$4:$D$500,2,FALSE)</f>
        <v>FII</v>
      </c>
    </row>
    <row r="11" spans="1:9" ht="20.100000000000001" customHeight="1" x14ac:dyDescent="0.25">
      <c r="A11" s="2">
        <v>14</v>
      </c>
      <c r="B11" s="2" t="s">
        <v>13</v>
      </c>
      <c r="C11" s="2">
        <v>100</v>
      </c>
      <c r="D11" s="3">
        <v>61.75</v>
      </c>
      <c r="E11" s="3">
        <v>0</v>
      </c>
      <c r="F11" s="3">
        <v>61.75</v>
      </c>
      <c r="G11" s="1">
        <v>43482</v>
      </c>
      <c r="H11" s="4" t="str">
        <f>CONCATENATE(YEAR(TbProventos[[#This Row],[Data]]),"/",IF(MONTH(TbProventos[[#This Row],[Data]])&lt;10,"0",""),MONTH(TbProventos[[#This Row],[Data]]))</f>
        <v>2019/01</v>
      </c>
      <c r="I11" s="4" t="str">
        <f>VLOOKUP(TbProventos[[#This Row],[Ativo]],TbAtivos!$B$4:$D$500,2,FALSE)</f>
        <v>FII</v>
      </c>
    </row>
    <row r="12" spans="1:9" ht="20.100000000000001" customHeight="1" x14ac:dyDescent="0.25">
      <c r="A12" s="2">
        <v>13</v>
      </c>
      <c r="B12" s="2" t="s">
        <v>7</v>
      </c>
      <c r="C12" s="2">
        <v>100</v>
      </c>
      <c r="D12" s="3">
        <v>65.430000000000007</v>
      </c>
      <c r="E12" s="3">
        <v>0</v>
      </c>
      <c r="F12" s="3">
        <v>65.430000000000007</v>
      </c>
      <c r="G12" s="1">
        <v>43511</v>
      </c>
      <c r="H12" s="4" t="str">
        <f>CONCATENATE(YEAR(TbProventos[[#This Row],[Data]]),"/",IF(MONTH(TbProventos[[#This Row],[Data]])&lt;10,"0",""),MONTH(TbProventos[[#This Row],[Data]]))</f>
        <v>2019/02</v>
      </c>
      <c r="I12" s="4" t="str">
        <f>VLOOKUP(TbProventos[[#This Row],[Ativo]],TbAtivos!$B$4:$D$500,2,FALSE)</f>
        <v>EMPRESA</v>
      </c>
    </row>
    <row r="13" spans="1:9" ht="20.100000000000001" customHeight="1" x14ac:dyDescent="0.25">
      <c r="A13" s="2">
        <v>50</v>
      </c>
      <c r="B13" s="2" t="s">
        <v>30</v>
      </c>
      <c r="C13" s="2">
        <v>100</v>
      </c>
      <c r="D13" s="3">
        <v>0</v>
      </c>
      <c r="E13" s="3">
        <v>0</v>
      </c>
      <c r="F13" s="3">
        <v>0</v>
      </c>
      <c r="G13" s="1">
        <v>43511</v>
      </c>
      <c r="H13" s="4" t="str">
        <f>CONCATENATE(YEAR(TbProventos[[#This Row],[Data]]),"/",IF(MONTH(TbProventos[[#This Row],[Data]])&lt;10,"0",""),MONTH(TbProventos[[#This Row],[Data]]))</f>
        <v>2019/02</v>
      </c>
      <c r="I13" s="4" t="e">
        <f>VLOOKUP(TbProventos[[#This Row],[Ativo]],TbAtivos!$B$4:$D$500,2,FALSE)</f>
        <v>#N/A</v>
      </c>
    </row>
    <row r="14" spans="1:9" ht="20.100000000000001" customHeight="1" x14ac:dyDescent="0.25">
      <c r="A14" s="2">
        <v>14</v>
      </c>
      <c r="B14" s="2" t="s">
        <v>9</v>
      </c>
      <c r="C14" s="2">
        <v>100</v>
      </c>
      <c r="D14" s="3">
        <v>61</v>
      </c>
      <c r="E14" s="3">
        <v>0</v>
      </c>
      <c r="F14" s="3">
        <v>61</v>
      </c>
      <c r="G14" s="1">
        <v>43513</v>
      </c>
      <c r="H14" s="4" t="str">
        <f>CONCATENATE(YEAR(TbProventos[[#This Row],[Data]]),"/",IF(MONTH(TbProventos[[#This Row],[Data]])&lt;10,"0",""),MONTH(TbProventos[[#This Row],[Data]]))</f>
        <v>2019/02</v>
      </c>
      <c r="I14" s="4" t="str">
        <f>VLOOKUP(TbProventos[[#This Row],[Ativo]],TbAtivos!$B$4:$D$500,2,FALSE)</f>
        <v>FII</v>
      </c>
    </row>
    <row r="15" spans="1:9" ht="20.100000000000001" customHeight="1" x14ac:dyDescent="0.25">
      <c r="A15" s="2">
        <v>14</v>
      </c>
      <c r="B15" s="2" t="s">
        <v>11</v>
      </c>
      <c r="C15" s="2">
        <v>100</v>
      </c>
      <c r="D15" s="3">
        <v>99</v>
      </c>
      <c r="E15" s="3">
        <v>0</v>
      </c>
      <c r="F15" s="3">
        <v>99</v>
      </c>
      <c r="G15" s="1">
        <v>43513</v>
      </c>
      <c r="H15" s="4" t="str">
        <f>CONCATENATE(YEAR(TbProventos[[#This Row],[Data]]),"/",IF(MONTH(TbProventos[[#This Row],[Data]])&lt;10,"0",""),MONTH(TbProventos[[#This Row],[Data]]))</f>
        <v>2019/02</v>
      </c>
      <c r="I15" s="4" t="str">
        <f>VLOOKUP(TbProventos[[#This Row],[Ativo]],TbAtivos!$B$4:$D$500,2,FALSE)</f>
        <v>FII</v>
      </c>
    </row>
    <row r="16" spans="1:9" ht="20.100000000000001" customHeight="1" x14ac:dyDescent="0.25">
      <c r="A16" s="2">
        <v>14</v>
      </c>
      <c r="B16" s="2" t="s">
        <v>12</v>
      </c>
      <c r="C16" s="2">
        <v>100</v>
      </c>
      <c r="D16" s="3">
        <v>99.9</v>
      </c>
      <c r="E16" s="3">
        <v>0</v>
      </c>
      <c r="F16" s="3">
        <v>99.9</v>
      </c>
      <c r="G16" s="1">
        <v>43513</v>
      </c>
      <c r="H16" s="4" t="str">
        <f>CONCATENATE(YEAR(TbProventos[[#This Row],[Data]]),"/",IF(MONTH(TbProventos[[#This Row],[Data]])&lt;10,"0",""),MONTH(TbProventos[[#This Row],[Data]]))</f>
        <v>2019/02</v>
      </c>
      <c r="I16" s="4" t="str">
        <f>VLOOKUP(TbProventos[[#This Row],[Ativo]],TbAtivos!$B$4:$D$500,2,FALSE)</f>
        <v>FII</v>
      </c>
    </row>
    <row r="17" spans="1:9" ht="20.100000000000001" customHeight="1" x14ac:dyDescent="0.25">
      <c r="A17" s="2">
        <v>14</v>
      </c>
      <c r="B17" s="2" t="s">
        <v>13</v>
      </c>
      <c r="C17" s="2">
        <v>100</v>
      </c>
      <c r="D17" s="3">
        <v>98.42</v>
      </c>
      <c r="E17" s="3">
        <v>0</v>
      </c>
      <c r="F17" s="3">
        <v>98.42</v>
      </c>
      <c r="G17" s="1">
        <v>43513</v>
      </c>
      <c r="H17" s="4" t="str">
        <f>CONCATENATE(YEAR(TbProventos[[#This Row],[Data]]),"/",IF(MONTH(TbProventos[[#This Row],[Data]])&lt;10,"0",""),MONTH(TbProventos[[#This Row],[Data]]))</f>
        <v>2019/02</v>
      </c>
      <c r="I17" s="4" t="str">
        <f>VLOOKUP(TbProventos[[#This Row],[Ativo]],TbAtivos!$B$4:$D$500,2,FALSE)</f>
        <v>FII</v>
      </c>
    </row>
    <row r="18" spans="1:9" ht="20.100000000000001" customHeight="1" x14ac:dyDescent="0.25">
      <c r="A18" s="2">
        <v>13</v>
      </c>
      <c r="B18" s="2" t="s">
        <v>6</v>
      </c>
      <c r="C18" s="2">
        <v>100</v>
      </c>
      <c r="D18" s="3">
        <v>166</v>
      </c>
      <c r="E18" s="3">
        <v>2.34</v>
      </c>
      <c r="F18" s="3">
        <v>163.66</v>
      </c>
      <c r="G18" s="1">
        <v>43539</v>
      </c>
      <c r="H18" s="4" t="str">
        <f>CONCATENATE(YEAR(TbProventos[[#This Row],[Data]]),"/",IF(MONTH(TbProventos[[#This Row],[Data]])&lt;10,"0",""),MONTH(TbProventos[[#This Row],[Data]]))</f>
        <v>2019/03</v>
      </c>
      <c r="I18" s="4" t="str">
        <f>VLOOKUP(TbProventos[[#This Row],[Ativo]],TbAtivos!$B$4:$D$500,2,FALSE)</f>
        <v>EMPRESA</v>
      </c>
    </row>
    <row r="19" spans="1:9" ht="20.100000000000001" customHeight="1" x14ac:dyDescent="0.25">
      <c r="A19" s="2">
        <v>14</v>
      </c>
      <c r="B19" s="2" t="s">
        <v>9</v>
      </c>
      <c r="C19" s="2">
        <v>100</v>
      </c>
      <c r="D19" s="3">
        <v>37.44</v>
      </c>
      <c r="E19" s="3">
        <v>0</v>
      </c>
      <c r="F19" s="3">
        <v>37.44</v>
      </c>
      <c r="G19" s="1">
        <v>43541</v>
      </c>
      <c r="H19" s="4" t="str">
        <f>CONCATENATE(YEAR(TbProventos[[#This Row],[Data]]),"/",IF(MONTH(TbProventos[[#This Row],[Data]])&lt;10,"0",""),MONTH(TbProventos[[#This Row],[Data]]))</f>
        <v>2019/03</v>
      </c>
      <c r="I19" s="4" t="str">
        <f>VLOOKUP(TbProventos[[#This Row],[Ativo]],TbAtivos!$B$4:$D$500,2,FALSE)</f>
        <v>FII</v>
      </c>
    </row>
    <row r="20" spans="1:9" ht="20.100000000000001" customHeight="1" x14ac:dyDescent="0.25">
      <c r="A20" s="2">
        <v>14</v>
      </c>
      <c r="B20" s="2" t="s">
        <v>11</v>
      </c>
      <c r="C20" s="2">
        <v>100</v>
      </c>
      <c r="D20" s="3">
        <v>52.02</v>
      </c>
      <c r="E20" s="3">
        <v>0</v>
      </c>
      <c r="F20" s="3">
        <v>52.02</v>
      </c>
      <c r="G20" s="1">
        <v>43541</v>
      </c>
      <c r="H20" s="4" t="str">
        <f>CONCATENATE(YEAR(TbProventos[[#This Row],[Data]]),"/",IF(MONTH(TbProventos[[#This Row],[Data]])&lt;10,"0",""),MONTH(TbProventos[[#This Row],[Data]]))</f>
        <v>2019/03</v>
      </c>
      <c r="I20" s="4" t="str">
        <f>VLOOKUP(TbProventos[[#This Row],[Ativo]],TbAtivos!$B$4:$D$500,2,FALSE)</f>
        <v>FII</v>
      </c>
    </row>
    <row r="21" spans="1:9" ht="20.100000000000001" customHeight="1" x14ac:dyDescent="0.25">
      <c r="A21" s="2">
        <v>14</v>
      </c>
      <c r="B21" s="2" t="s">
        <v>12</v>
      </c>
      <c r="C21" s="2">
        <v>100</v>
      </c>
      <c r="D21" s="3">
        <v>42.14</v>
      </c>
      <c r="E21" s="3">
        <v>0</v>
      </c>
      <c r="F21" s="3">
        <v>42.14</v>
      </c>
      <c r="G21" s="1">
        <v>43541</v>
      </c>
      <c r="H21" s="4" t="str">
        <f>CONCATENATE(YEAR(TbProventos[[#This Row],[Data]]),"/",IF(MONTH(TbProventos[[#This Row],[Data]])&lt;10,"0",""),MONTH(TbProventos[[#This Row],[Data]]))</f>
        <v>2019/03</v>
      </c>
      <c r="I21" s="4" t="str">
        <f>VLOOKUP(TbProventos[[#This Row],[Ativo]],TbAtivos!$B$4:$D$500,2,FALSE)</f>
        <v>FII</v>
      </c>
    </row>
    <row r="22" spans="1:9" ht="20.100000000000001" customHeight="1" x14ac:dyDescent="0.25">
      <c r="A22" s="2">
        <v>14</v>
      </c>
      <c r="B22" s="2" t="s">
        <v>13</v>
      </c>
      <c r="C22" s="2">
        <v>100</v>
      </c>
      <c r="D22" s="3">
        <v>177.12</v>
      </c>
      <c r="E22" s="3">
        <v>0</v>
      </c>
      <c r="F22" s="3">
        <v>177.12</v>
      </c>
      <c r="G22" s="1">
        <v>43541</v>
      </c>
      <c r="H22" s="4" t="str">
        <f>CONCATENATE(YEAR(TbProventos[[#This Row],[Data]]),"/",IF(MONTH(TbProventos[[#This Row],[Data]])&lt;10,"0",""),MONTH(TbProventos[[#This Row],[Data]]))</f>
        <v>2019/03</v>
      </c>
      <c r="I22" s="4" t="str">
        <f>VLOOKUP(TbProventos[[#This Row],[Ativo]],TbAtivos!$B$4:$D$500,2,FALSE)</f>
        <v>FII</v>
      </c>
    </row>
    <row r="23" spans="1:9" ht="20.100000000000001" customHeight="1" x14ac:dyDescent="0.25">
      <c r="A23" s="2">
        <v>13</v>
      </c>
      <c r="B23" s="2" t="s">
        <v>7</v>
      </c>
      <c r="C23" s="2">
        <v>100</v>
      </c>
      <c r="D23" s="3">
        <v>162.75</v>
      </c>
      <c r="E23" s="3">
        <v>0</v>
      </c>
      <c r="F23" s="3">
        <v>162.75</v>
      </c>
      <c r="G23" s="1">
        <v>43570</v>
      </c>
      <c r="H23" s="4" t="str">
        <f>CONCATENATE(YEAR(TbProventos[[#This Row],[Data]]),"/",IF(MONTH(TbProventos[[#This Row],[Data]])&lt;10,"0",""),MONTH(TbProventos[[#This Row],[Data]]))</f>
        <v>2019/04</v>
      </c>
      <c r="I23" s="4" t="str">
        <f>VLOOKUP(TbProventos[[#This Row],[Ativo]],TbAtivos!$B$4:$D$500,2,FALSE)</f>
        <v>EMPRESA</v>
      </c>
    </row>
    <row r="24" spans="1:9" ht="20.100000000000001" customHeight="1" x14ac:dyDescent="0.25">
      <c r="A24" s="2">
        <v>14</v>
      </c>
      <c r="B24" s="2" t="s">
        <v>9</v>
      </c>
      <c r="C24" s="2">
        <v>100</v>
      </c>
      <c r="D24" s="3">
        <v>61</v>
      </c>
      <c r="E24" s="3">
        <v>0</v>
      </c>
      <c r="F24" s="3">
        <v>61</v>
      </c>
      <c r="G24" s="1">
        <v>43572</v>
      </c>
      <c r="H24" s="4" t="str">
        <f>CONCATENATE(YEAR(TbProventos[[#This Row],[Data]]),"/",IF(MONTH(TbProventos[[#This Row],[Data]])&lt;10,"0",""),MONTH(TbProventos[[#This Row],[Data]]))</f>
        <v>2019/04</v>
      </c>
      <c r="I24" s="4" t="str">
        <f>VLOOKUP(TbProventos[[#This Row],[Ativo]],TbAtivos!$B$4:$D$500,2,FALSE)</f>
        <v>FII</v>
      </c>
    </row>
    <row r="25" spans="1:9" ht="20.100000000000001" customHeight="1" x14ac:dyDescent="0.25">
      <c r="A25" s="2">
        <v>14</v>
      </c>
      <c r="B25" s="2" t="s">
        <v>11</v>
      </c>
      <c r="C25" s="2">
        <v>100</v>
      </c>
      <c r="D25" s="3">
        <v>180.6</v>
      </c>
      <c r="E25" s="3">
        <v>0</v>
      </c>
      <c r="F25" s="3">
        <v>180.6</v>
      </c>
      <c r="G25" s="1">
        <v>43572</v>
      </c>
      <c r="H25" s="4" t="str">
        <f>CONCATENATE(YEAR(TbProventos[[#This Row],[Data]]),"/",IF(MONTH(TbProventos[[#This Row],[Data]])&lt;10,"0",""),MONTH(TbProventos[[#This Row],[Data]]))</f>
        <v>2019/04</v>
      </c>
      <c r="I25" s="4" t="str">
        <f>VLOOKUP(TbProventos[[#This Row],[Ativo]],TbAtivos!$B$4:$D$500,2,FALSE)</f>
        <v>FII</v>
      </c>
    </row>
    <row r="26" spans="1:9" ht="20.100000000000001" customHeight="1" x14ac:dyDescent="0.25">
      <c r="A26" s="2">
        <v>14</v>
      </c>
      <c r="B26" s="2" t="s">
        <v>12</v>
      </c>
      <c r="C26" s="2">
        <v>100</v>
      </c>
      <c r="D26" s="3">
        <v>38.4</v>
      </c>
      <c r="E26" s="3">
        <v>0</v>
      </c>
      <c r="F26" s="3">
        <v>38.4</v>
      </c>
      <c r="G26" s="1">
        <v>43572</v>
      </c>
      <c r="H26" s="4" t="str">
        <f>CONCATENATE(YEAR(TbProventos[[#This Row],[Data]]),"/",IF(MONTH(TbProventos[[#This Row],[Data]])&lt;10,"0",""),MONTH(TbProventos[[#This Row],[Data]]))</f>
        <v>2019/04</v>
      </c>
      <c r="I26" s="4" t="str">
        <f>VLOOKUP(TbProventos[[#This Row],[Ativo]],TbAtivos!$B$4:$D$500,2,FALSE)</f>
        <v>FII</v>
      </c>
    </row>
    <row r="27" spans="1:9" ht="20.100000000000001" customHeight="1" x14ac:dyDescent="0.25">
      <c r="A27" s="2">
        <v>14</v>
      </c>
      <c r="B27" s="2" t="s">
        <v>13</v>
      </c>
      <c r="C27" s="2">
        <v>100</v>
      </c>
      <c r="D27" s="3">
        <v>153.18</v>
      </c>
      <c r="E27" s="3">
        <v>0</v>
      </c>
      <c r="F27" s="3">
        <v>153.18</v>
      </c>
      <c r="G27" s="1">
        <v>43572</v>
      </c>
      <c r="H27" s="4" t="str">
        <f>CONCATENATE(YEAR(TbProventos[[#This Row],[Data]]),"/",IF(MONTH(TbProventos[[#This Row],[Data]])&lt;10,"0",""),MONTH(TbProventos[[#This Row],[Data]]))</f>
        <v>2019/04</v>
      </c>
      <c r="I27" s="4" t="str">
        <f>VLOOKUP(TbProventos[[#This Row],[Ativo]],TbAtivos!$B$4:$D$500,2,FALSE)</f>
        <v>FII</v>
      </c>
    </row>
    <row r="28" spans="1:9" ht="20.100000000000001" customHeight="1" x14ac:dyDescent="0.25">
      <c r="A28" s="2">
        <v>13</v>
      </c>
      <c r="B28" s="2" t="s">
        <v>15</v>
      </c>
      <c r="C28" s="2">
        <v>100</v>
      </c>
      <c r="D28" s="3">
        <v>156.13999999999999</v>
      </c>
      <c r="E28" s="3">
        <v>0</v>
      </c>
      <c r="F28" s="3">
        <v>156.13999999999999</v>
      </c>
      <c r="G28" s="1">
        <v>43600</v>
      </c>
      <c r="H28" s="4" t="str">
        <f>CONCATENATE(YEAR(TbProventos[[#This Row],[Data]]),"/",IF(MONTH(TbProventos[[#This Row],[Data]])&lt;10,"0",""),MONTH(TbProventos[[#This Row],[Data]]))</f>
        <v>2019/05</v>
      </c>
      <c r="I28" s="4" t="str">
        <f>VLOOKUP(TbProventos[[#This Row],[Ativo]],TbAtivos!$B$4:$D$500,2,FALSE)</f>
        <v>EMPRESA</v>
      </c>
    </row>
    <row r="29" spans="1:9" ht="20.100000000000001" customHeight="1" x14ac:dyDescent="0.25">
      <c r="A29" s="2">
        <v>14</v>
      </c>
      <c r="B29" s="2" t="s">
        <v>9</v>
      </c>
      <c r="C29" s="2">
        <v>100</v>
      </c>
      <c r="D29" s="3">
        <v>61</v>
      </c>
      <c r="E29" s="3">
        <v>0</v>
      </c>
      <c r="F29" s="3">
        <v>61</v>
      </c>
      <c r="G29" s="1">
        <v>43602</v>
      </c>
      <c r="H29" s="4" t="str">
        <f>CONCATENATE(YEAR(TbProventos[[#This Row],[Data]]),"/",IF(MONTH(TbProventos[[#This Row],[Data]])&lt;10,"0",""),MONTH(TbProventos[[#This Row],[Data]]))</f>
        <v>2019/05</v>
      </c>
      <c r="I29" s="4" t="str">
        <f>VLOOKUP(TbProventos[[#This Row],[Ativo]],TbAtivos!$B$4:$D$500,2,FALSE)</f>
        <v>FII</v>
      </c>
    </row>
    <row r="30" spans="1:9" ht="20.100000000000001" customHeight="1" x14ac:dyDescent="0.25">
      <c r="A30" s="2">
        <v>14</v>
      </c>
      <c r="B30" s="2" t="s">
        <v>11</v>
      </c>
      <c r="C30" s="2">
        <v>100</v>
      </c>
      <c r="D30" s="3">
        <v>99</v>
      </c>
      <c r="E30" s="3">
        <v>0</v>
      </c>
      <c r="F30" s="3">
        <v>99</v>
      </c>
      <c r="G30" s="1">
        <v>43602</v>
      </c>
      <c r="H30" s="4" t="str">
        <f>CONCATENATE(YEAR(TbProventos[[#This Row],[Data]]),"/",IF(MONTH(TbProventos[[#This Row],[Data]])&lt;10,"0",""),MONTH(TbProventos[[#This Row],[Data]]))</f>
        <v>2019/05</v>
      </c>
      <c r="I30" s="4" t="str">
        <f>VLOOKUP(TbProventos[[#This Row],[Ativo]],TbAtivos!$B$4:$D$500,2,FALSE)</f>
        <v>FII</v>
      </c>
    </row>
    <row r="31" spans="1:9" ht="20.100000000000001" customHeight="1" x14ac:dyDescent="0.25">
      <c r="A31" s="2">
        <v>14</v>
      </c>
      <c r="B31" s="2" t="s">
        <v>12</v>
      </c>
      <c r="C31" s="2">
        <v>100</v>
      </c>
      <c r="D31" s="3">
        <v>99.9</v>
      </c>
      <c r="E31" s="3">
        <v>0</v>
      </c>
      <c r="F31" s="3">
        <v>99.9</v>
      </c>
      <c r="G31" s="1">
        <v>43602</v>
      </c>
      <c r="H31" s="4" t="str">
        <f>CONCATENATE(YEAR(TbProventos[[#This Row],[Data]]),"/",IF(MONTH(TbProventos[[#This Row],[Data]])&lt;10,"0",""),MONTH(TbProventos[[#This Row],[Data]]))</f>
        <v>2019/05</v>
      </c>
      <c r="I31" s="4" t="str">
        <f>VLOOKUP(TbProventos[[#This Row],[Ativo]],TbAtivos!$B$4:$D$500,2,FALSE)</f>
        <v>FII</v>
      </c>
    </row>
    <row r="32" spans="1:9" ht="20.100000000000001" customHeight="1" x14ac:dyDescent="0.25">
      <c r="A32" s="2">
        <v>14</v>
      </c>
      <c r="B32" s="2" t="s">
        <v>13</v>
      </c>
      <c r="C32" s="2">
        <v>100</v>
      </c>
      <c r="D32" s="3">
        <v>98.42</v>
      </c>
      <c r="E32" s="3">
        <v>0</v>
      </c>
      <c r="F32" s="3">
        <v>98.42</v>
      </c>
      <c r="G32" s="1">
        <v>43602</v>
      </c>
      <c r="H32" s="4" t="str">
        <f>CONCATENATE(YEAR(TbProventos[[#This Row],[Data]]),"/",IF(MONTH(TbProventos[[#This Row],[Data]])&lt;10,"0",""),MONTH(TbProventos[[#This Row],[Data]]))</f>
        <v>2019/05</v>
      </c>
      <c r="I32" s="4" t="str">
        <f>VLOOKUP(TbProventos[[#This Row],[Ativo]],TbAtivos!$B$4:$D$500,2,FALSE)</f>
        <v>FII</v>
      </c>
    </row>
    <row r="33" spans="1:9" ht="20.100000000000001" customHeight="1" x14ac:dyDescent="0.25">
      <c r="A33" s="2">
        <v>13</v>
      </c>
      <c r="B33" s="2" t="s">
        <v>7</v>
      </c>
      <c r="C33" s="2">
        <v>100</v>
      </c>
      <c r="D33" s="3">
        <v>166</v>
      </c>
      <c r="E33" s="3">
        <v>0</v>
      </c>
      <c r="F33" s="3">
        <v>166</v>
      </c>
      <c r="G33" s="1">
        <v>43631</v>
      </c>
      <c r="H33" s="4" t="str">
        <f>CONCATENATE(YEAR(TbProventos[[#This Row],[Data]]),"/",IF(MONTH(TbProventos[[#This Row],[Data]])&lt;10,"0",""),MONTH(TbProventos[[#This Row],[Data]]))</f>
        <v>2019/06</v>
      </c>
      <c r="I33" s="4" t="str">
        <f>VLOOKUP(TbProventos[[#This Row],[Ativo]],TbAtivos!$B$4:$D$500,2,FALSE)</f>
        <v>EMPRESA</v>
      </c>
    </row>
    <row r="34" spans="1:9" ht="20.100000000000001" customHeight="1" x14ac:dyDescent="0.25">
      <c r="A34" s="2">
        <v>14</v>
      </c>
      <c r="B34" s="2" t="s">
        <v>9</v>
      </c>
      <c r="C34" s="2">
        <v>100</v>
      </c>
      <c r="D34" s="3">
        <v>37.44</v>
      </c>
      <c r="E34" s="3">
        <v>0</v>
      </c>
      <c r="F34" s="3">
        <v>37.44</v>
      </c>
      <c r="G34" s="1">
        <v>43633</v>
      </c>
      <c r="H34" s="4" t="str">
        <f>CONCATENATE(YEAR(TbProventos[[#This Row],[Data]]),"/",IF(MONTH(TbProventos[[#This Row],[Data]])&lt;10,"0",""),MONTH(TbProventos[[#This Row],[Data]]))</f>
        <v>2019/06</v>
      </c>
      <c r="I34" s="4" t="str">
        <f>VLOOKUP(TbProventos[[#This Row],[Ativo]],TbAtivos!$B$4:$D$500,2,FALSE)</f>
        <v>FII</v>
      </c>
    </row>
    <row r="35" spans="1:9" ht="20.100000000000001" customHeight="1" x14ac:dyDescent="0.25">
      <c r="A35" s="2">
        <v>14</v>
      </c>
      <c r="B35" s="2" t="s">
        <v>11</v>
      </c>
      <c r="C35" s="2">
        <v>100</v>
      </c>
      <c r="D35" s="3">
        <v>52.02</v>
      </c>
      <c r="E35" s="3">
        <v>0</v>
      </c>
      <c r="F35" s="3">
        <v>52.02</v>
      </c>
      <c r="G35" s="1">
        <v>43633</v>
      </c>
      <c r="H35" s="4" t="str">
        <f>CONCATENATE(YEAR(TbProventos[[#This Row],[Data]]),"/",IF(MONTH(TbProventos[[#This Row],[Data]])&lt;10,"0",""),MONTH(TbProventos[[#This Row],[Data]]))</f>
        <v>2019/06</v>
      </c>
      <c r="I35" s="4" t="str">
        <f>VLOOKUP(TbProventos[[#This Row],[Ativo]],TbAtivos!$B$4:$D$500,2,FALSE)</f>
        <v>FII</v>
      </c>
    </row>
    <row r="36" spans="1:9" ht="20.100000000000001" customHeight="1" x14ac:dyDescent="0.25">
      <c r="A36" s="2">
        <v>14</v>
      </c>
      <c r="B36" s="2" t="s">
        <v>12</v>
      </c>
      <c r="C36" s="2">
        <v>100</v>
      </c>
      <c r="D36" s="3">
        <v>42.14</v>
      </c>
      <c r="E36" s="3">
        <v>0</v>
      </c>
      <c r="F36" s="3">
        <v>42.14</v>
      </c>
      <c r="G36" s="1">
        <v>43633</v>
      </c>
      <c r="H36" s="4" t="str">
        <f>CONCATENATE(YEAR(TbProventos[[#This Row],[Data]]),"/",IF(MONTH(TbProventos[[#This Row],[Data]])&lt;10,"0",""),MONTH(TbProventos[[#This Row],[Data]]))</f>
        <v>2019/06</v>
      </c>
      <c r="I36" s="4" t="str">
        <f>VLOOKUP(TbProventos[[#This Row],[Ativo]],TbAtivos!$B$4:$D$500,2,FALSE)</f>
        <v>FII</v>
      </c>
    </row>
    <row r="37" spans="1:9" ht="20.100000000000001" customHeight="1" x14ac:dyDescent="0.25">
      <c r="A37" s="2">
        <v>14</v>
      </c>
      <c r="B37" s="2" t="s">
        <v>13</v>
      </c>
      <c r="C37" s="2">
        <v>100</v>
      </c>
      <c r="D37" s="3">
        <v>177.12</v>
      </c>
      <c r="E37" s="3">
        <v>0</v>
      </c>
      <c r="F37" s="3">
        <v>177.12</v>
      </c>
      <c r="G37" s="1">
        <v>43633</v>
      </c>
      <c r="H37" s="4" t="str">
        <f>CONCATENATE(YEAR(TbProventos[[#This Row],[Data]]),"/",IF(MONTH(TbProventos[[#This Row],[Data]])&lt;10,"0",""),MONTH(TbProventos[[#This Row],[Data]]))</f>
        <v>2019/06</v>
      </c>
      <c r="I37" s="4" t="str">
        <f>VLOOKUP(TbProventos[[#This Row],[Ativo]],TbAtivos!$B$4:$D$500,2,FALSE)</f>
        <v>FII</v>
      </c>
    </row>
    <row r="38" spans="1:9" ht="20.100000000000001" customHeight="1" x14ac:dyDescent="0.25">
      <c r="A38" s="2">
        <v>13</v>
      </c>
      <c r="B38" s="2" t="s">
        <v>8</v>
      </c>
      <c r="C38" s="2">
        <v>100</v>
      </c>
      <c r="D38" s="3">
        <v>162.75</v>
      </c>
      <c r="E38" s="3">
        <v>0</v>
      </c>
      <c r="F38" s="3">
        <v>162.75</v>
      </c>
      <c r="G38" s="1">
        <v>43661</v>
      </c>
      <c r="H38" s="4" t="str">
        <f>CONCATENATE(YEAR(TbProventos[[#This Row],[Data]]),"/",IF(MONTH(TbProventos[[#This Row],[Data]])&lt;10,"0",""),MONTH(TbProventos[[#This Row],[Data]]))</f>
        <v>2019/07</v>
      </c>
      <c r="I38" s="4" t="str">
        <f>VLOOKUP(TbProventos[[#This Row],[Ativo]],TbAtivos!$B$4:$D$500,2,FALSE)</f>
        <v>EMPRESA</v>
      </c>
    </row>
    <row r="39" spans="1:9" ht="20.100000000000001" customHeight="1" x14ac:dyDescent="0.25">
      <c r="A39" s="2">
        <v>14</v>
      </c>
      <c r="B39" s="2" t="s">
        <v>9</v>
      </c>
      <c r="C39" s="2">
        <v>100</v>
      </c>
      <c r="D39" s="3">
        <v>61</v>
      </c>
      <c r="E39" s="3">
        <v>0</v>
      </c>
      <c r="F39" s="3">
        <v>61</v>
      </c>
      <c r="G39" s="1">
        <v>43663</v>
      </c>
      <c r="H39" s="4" t="str">
        <f>CONCATENATE(YEAR(TbProventos[[#This Row],[Data]]),"/",IF(MONTH(TbProventos[[#This Row],[Data]])&lt;10,"0",""),MONTH(TbProventos[[#This Row],[Data]]))</f>
        <v>2019/07</v>
      </c>
      <c r="I39" s="4" t="str">
        <f>VLOOKUP(TbProventos[[#This Row],[Ativo]],TbAtivos!$B$4:$D$500,2,FALSE)</f>
        <v>FII</v>
      </c>
    </row>
    <row r="40" spans="1:9" ht="20.100000000000001" customHeight="1" x14ac:dyDescent="0.25">
      <c r="A40" s="2">
        <v>14</v>
      </c>
      <c r="B40" s="2" t="s">
        <v>11</v>
      </c>
      <c r="C40" s="2">
        <v>100</v>
      </c>
      <c r="D40" s="3">
        <v>180.6</v>
      </c>
      <c r="E40" s="3">
        <v>0</v>
      </c>
      <c r="F40" s="3">
        <v>180.6</v>
      </c>
      <c r="G40" s="1">
        <v>43663</v>
      </c>
      <c r="H40" s="4" t="str">
        <f>CONCATENATE(YEAR(TbProventos[[#This Row],[Data]]),"/",IF(MONTH(TbProventos[[#This Row],[Data]])&lt;10,"0",""),MONTH(TbProventos[[#This Row],[Data]]))</f>
        <v>2019/07</v>
      </c>
      <c r="I40" s="4" t="str">
        <f>VLOOKUP(TbProventos[[#This Row],[Ativo]],TbAtivos!$B$4:$D$500,2,FALSE)</f>
        <v>FII</v>
      </c>
    </row>
    <row r="41" spans="1:9" ht="20.100000000000001" customHeight="1" x14ac:dyDescent="0.25">
      <c r="A41" s="2">
        <v>14</v>
      </c>
      <c r="B41" s="2" t="s">
        <v>12</v>
      </c>
      <c r="C41" s="2">
        <v>100</v>
      </c>
      <c r="D41" s="3">
        <v>38.4</v>
      </c>
      <c r="E41" s="3">
        <v>0</v>
      </c>
      <c r="F41" s="3">
        <v>38.4</v>
      </c>
      <c r="G41" s="1">
        <v>43663</v>
      </c>
      <c r="H41" s="4" t="str">
        <f>CONCATENATE(YEAR(TbProventos[[#This Row],[Data]]),"/",IF(MONTH(TbProventos[[#This Row],[Data]])&lt;10,"0",""),MONTH(TbProventos[[#This Row],[Data]]))</f>
        <v>2019/07</v>
      </c>
      <c r="I41" s="4" t="str">
        <f>VLOOKUP(TbProventos[[#This Row],[Ativo]],TbAtivos!$B$4:$D$500,2,FALSE)</f>
        <v>FII</v>
      </c>
    </row>
    <row r="42" spans="1:9" ht="20.100000000000001" customHeight="1" x14ac:dyDescent="0.25">
      <c r="A42" s="2">
        <v>14</v>
      </c>
      <c r="B42" s="2" t="s">
        <v>13</v>
      </c>
      <c r="C42" s="2">
        <v>100</v>
      </c>
      <c r="D42" s="3">
        <v>153.18</v>
      </c>
      <c r="E42" s="3">
        <v>0</v>
      </c>
      <c r="F42" s="3">
        <v>153.18</v>
      </c>
      <c r="G42" s="1">
        <v>43663</v>
      </c>
      <c r="H42" s="4" t="str">
        <f>CONCATENATE(YEAR(TbProventos[[#This Row],[Data]]),"/",IF(MONTH(TbProventos[[#This Row],[Data]])&lt;10,"0",""),MONTH(TbProventos[[#This Row],[Data]]))</f>
        <v>2019/07</v>
      </c>
      <c r="I42" s="4" t="str">
        <f>VLOOKUP(TbProventos[[#This Row],[Ativo]],TbAtivos!$B$4:$D$500,2,FALSE)</f>
        <v>FII</v>
      </c>
    </row>
    <row r="43" spans="1:9" ht="20.100000000000001" customHeight="1" x14ac:dyDescent="0.25">
      <c r="A43" s="2">
        <v>13</v>
      </c>
      <c r="B43" s="2" t="s">
        <v>6</v>
      </c>
      <c r="C43" s="2">
        <v>100</v>
      </c>
      <c r="D43" s="3">
        <v>156.13999999999999</v>
      </c>
      <c r="E43" s="3">
        <v>0</v>
      </c>
      <c r="F43" s="3">
        <v>156.13999999999999</v>
      </c>
      <c r="G43" s="1">
        <v>43692</v>
      </c>
      <c r="H43" s="4" t="str">
        <f>CONCATENATE(YEAR(TbProventos[[#This Row],[Data]]),"/",IF(MONTH(TbProventos[[#This Row],[Data]])&lt;10,"0",""),MONTH(TbProventos[[#This Row],[Data]]))</f>
        <v>2019/08</v>
      </c>
      <c r="I43" s="4" t="str">
        <f>VLOOKUP(TbProventos[[#This Row],[Ativo]],TbAtivos!$B$4:$D$500,2,FALSE)</f>
        <v>EMPRESA</v>
      </c>
    </row>
    <row r="44" spans="1:9" ht="20.100000000000001" customHeight="1" x14ac:dyDescent="0.25">
      <c r="A44" s="2">
        <v>14</v>
      </c>
      <c r="B44" s="2" t="s">
        <v>9</v>
      </c>
      <c r="C44" s="2">
        <v>100</v>
      </c>
      <c r="D44" s="3">
        <v>61</v>
      </c>
      <c r="E44" s="3">
        <v>1.03</v>
      </c>
      <c r="F44" s="3">
        <v>59.97</v>
      </c>
      <c r="G44" s="1">
        <v>43694</v>
      </c>
      <c r="H44" s="4" t="str">
        <f>CONCATENATE(YEAR(TbProventos[[#This Row],[Data]]),"/",IF(MONTH(TbProventos[[#This Row],[Data]])&lt;10,"0",""),MONTH(TbProventos[[#This Row],[Data]]))</f>
        <v>2019/08</v>
      </c>
      <c r="I44" s="4" t="str">
        <f>VLOOKUP(TbProventos[[#This Row],[Ativo]],TbAtivos!$B$4:$D$500,2,FALSE)</f>
        <v>FII</v>
      </c>
    </row>
    <row r="45" spans="1:9" ht="20.100000000000001" customHeight="1" x14ac:dyDescent="0.25">
      <c r="A45" s="2">
        <v>14</v>
      </c>
      <c r="B45" s="2" t="s">
        <v>11</v>
      </c>
      <c r="C45" s="2">
        <v>100</v>
      </c>
      <c r="D45" s="3">
        <v>99</v>
      </c>
      <c r="E45" s="3">
        <v>0</v>
      </c>
      <c r="F45" s="3">
        <v>99</v>
      </c>
      <c r="G45" s="1">
        <v>43694</v>
      </c>
      <c r="H45" s="4" t="str">
        <f>CONCATENATE(YEAR(TbProventos[[#This Row],[Data]]),"/",IF(MONTH(TbProventos[[#This Row],[Data]])&lt;10,"0",""),MONTH(TbProventos[[#This Row],[Data]]))</f>
        <v>2019/08</v>
      </c>
      <c r="I45" s="4" t="str">
        <f>VLOOKUP(TbProventos[[#This Row],[Ativo]],TbAtivos!$B$4:$D$500,2,FALSE)</f>
        <v>FII</v>
      </c>
    </row>
    <row r="46" spans="1:9" ht="20.100000000000001" customHeight="1" x14ac:dyDescent="0.25">
      <c r="A46" s="2">
        <v>14</v>
      </c>
      <c r="B46" s="2" t="s">
        <v>12</v>
      </c>
      <c r="C46" s="2">
        <v>100</v>
      </c>
      <c r="D46" s="3">
        <v>99.9</v>
      </c>
      <c r="E46" s="3">
        <v>0</v>
      </c>
      <c r="F46" s="3">
        <v>99.9</v>
      </c>
      <c r="G46" s="1">
        <v>43694</v>
      </c>
      <c r="H46" s="4" t="str">
        <f>CONCATENATE(YEAR(TbProventos[[#This Row],[Data]]),"/",IF(MONTH(TbProventos[[#This Row],[Data]])&lt;10,"0",""),MONTH(TbProventos[[#This Row],[Data]]))</f>
        <v>2019/08</v>
      </c>
      <c r="I46" s="4" t="str">
        <f>VLOOKUP(TbProventos[[#This Row],[Ativo]],TbAtivos!$B$4:$D$500,2,FALSE)</f>
        <v>FII</v>
      </c>
    </row>
    <row r="47" spans="1:9" ht="20.100000000000001" customHeight="1" x14ac:dyDescent="0.25">
      <c r="A47" s="2">
        <v>14</v>
      </c>
      <c r="B47" s="2" t="s">
        <v>13</v>
      </c>
      <c r="C47" s="2">
        <v>100</v>
      </c>
      <c r="D47" s="3">
        <v>98.42</v>
      </c>
      <c r="E47" s="3">
        <v>0</v>
      </c>
      <c r="F47" s="3">
        <v>98.42</v>
      </c>
      <c r="G47" s="1">
        <v>43694</v>
      </c>
      <c r="H47" s="4" t="str">
        <f>CONCATENATE(YEAR(TbProventos[[#This Row],[Data]]),"/",IF(MONTH(TbProventos[[#This Row],[Data]])&lt;10,"0",""),MONTH(TbProventos[[#This Row],[Data]]))</f>
        <v>2019/08</v>
      </c>
      <c r="I47" s="4" t="str">
        <f>VLOOKUP(TbProventos[[#This Row],[Ativo]],TbAtivos!$B$4:$D$500,2,FALSE)</f>
        <v>FII</v>
      </c>
    </row>
    <row r="48" spans="1:9" ht="20.100000000000001" customHeight="1" x14ac:dyDescent="0.25">
      <c r="A48" s="2">
        <v>13</v>
      </c>
      <c r="B48" s="2" t="s">
        <v>4</v>
      </c>
      <c r="C48" s="2">
        <v>100</v>
      </c>
      <c r="D48" s="3">
        <v>166</v>
      </c>
      <c r="E48" s="3">
        <v>0</v>
      </c>
      <c r="F48" s="3">
        <v>166</v>
      </c>
      <c r="G48" s="1">
        <v>43723</v>
      </c>
      <c r="H48" s="4" t="str">
        <f>CONCATENATE(YEAR(TbProventos[[#This Row],[Data]]),"/",IF(MONTH(TbProventos[[#This Row],[Data]])&lt;10,"0",""),MONTH(TbProventos[[#This Row],[Data]]))</f>
        <v>2019/09</v>
      </c>
      <c r="I48" s="4" t="str">
        <f>VLOOKUP(TbProventos[[#This Row],[Ativo]],TbAtivos!$B$4:$D$500,2,FALSE)</f>
        <v>EMPRESA</v>
      </c>
    </row>
    <row r="49" spans="1:9" ht="20.100000000000001" customHeight="1" x14ac:dyDescent="0.25">
      <c r="A49" s="2">
        <v>14</v>
      </c>
      <c r="B49" s="2" t="s">
        <v>9</v>
      </c>
      <c r="C49" s="2">
        <v>100</v>
      </c>
      <c r="D49" s="3">
        <v>37.44</v>
      </c>
      <c r="E49" s="3">
        <v>0</v>
      </c>
      <c r="F49" s="3">
        <v>37.44</v>
      </c>
      <c r="G49" s="1">
        <v>43725</v>
      </c>
      <c r="H49" s="4" t="str">
        <f>CONCATENATE(YEAR(TbProventos[[#This Row],[Data]]),"/",IF(MONTH(TbProventos[[#This Row],[Data]])&lt;10,"0",""),MONTH(TbProventos[[#This Row],[Data]]))</f>
        <v>2019/09</v>
      </c>
      <c r="I49" s="4" t="str">
        <f>VLOOKUP(TbProventos[[#This Row],[Ativo]],TbAtivos!$B$4:$D$500,2,FALSE)</f>
        <v>FII</v>
      </c>
    </row>
    <row r="50" spans="1:9" ht="20.100000000000001" customHeight="1" x14ac:dyDescent="0.25">
      <c r="A50" s="2">
        <v>14</v>
      </c>
      <c r="B50" s="2" t="s">
        <v>11</v>
      </c>
      <c r="C50" s="2">
        <v>100</v>
      </c>
      <c r="D50" s="3">
        <v>52.02</v>
      </c>
      <c r="E50" s="3">
        <v>0</v>
      </c>
      <c r="F50" s="3">
        <v>52.02</v>
      </c>
      <c r="G50" s="1">
        <v>43725</v>
      </c>
      <c r="H50" s="4" t="str">
        <f>CONCATENATE(YEAR(TbProventos[[#This Row],[Data]]),"/",IF(MONTH(TbProventos[[#This Row],[Data]])&lt;10,"0",""),MONTH(TbProventos[[#This Row],[Data]]))</f>
        <v>2019/09</v>
      </c>
      <c r="I50" s="4" t="str">
        <f>VLOOKUP(TbProventos[[#This Row],[Ativo]],TbAtivos!$B$4:$D$500,2,FALSE)</f>
        <v>FII</v>
      </c>
    </row>
    <row r="51" spans="1:9" ht="20.100000000000001" customHeight="1" x14ac:dyDescent="0.25">
      <c r="A51" s="2">
        <v>14</v>
      </c>
      <c r="B51" s="2" t="s">
        <v>12</v>
      </c>
      <c r="C51" s="2">
        <v>100</v>
      </c>
      <c r="D51" s="3">
        <v>42.14</v>
      </c>
      <c r="E51" s="3">
        <v>0</v>
      </c>
      <c r="F51" s="3">
        <v>42.14</v>
      </c>
      <c r="G51" s="1">
        <v>43725</v>
      </c>
      <c r="H51" s="4" t="str">
        <f>CONCATENATE(YEAR(TbProventos[[#This Row],[Data]]),"/",IF(MONTH(TbProventos[[#This Row],[Data]])&lt;10,"0",""),MONTH(TbProventos[[#This Row],[Data]]))</f>
        <v>2019/09</v>
      </c>
      <c r="I51" s="4" t="str">
        <f>VLOOKUP(TbProventos[[#This Row],[Ativo]],TbAtivos!$B$4:$D$500,2,FALSE)</f>
        <v>FII</v>
      </c>
    </row>
    <row r="52" spans="1:9" ht="20.100000000000001" customHeight="1" x14ac:dyDescent="0.25">
      <c r="A52" s="2">
        <v>14</v>
      </c>
      <c r="B52" s="2" t="s">
        <v>13</v>
      </c>
      <c r="C52" s="2">
        <v>100</v>
      </c>
      <c r="D52" s="3">
        <v>177.12</v>
      </c>
      <c r="E52" s="3">
        <v>0</v>
      </c>
      <c r="F52" s="3">
        <v>177.12</v>
      </c>
      <c r="G52" s="1">
        <v>43725</v>
      </c>
      <c r="H52" s="4" t="str">
        <f>CONCATENATE(YEAR(TbProventos[[#This Row],[Data]]),"/",IF(MONTH(TbProventos[[#This Row],[Data]])&lt;10,"0",""),MONTH(TbProventos[[#This Row],[Data]]))</f>
        <v>2019/09</v>
      </c>
      <c r="I52" s="4" t="str">
        <f>VLOOKUP(TbProventos[[#This Row],[Ativo]],TbAtivos!$B$4:$D$500,2,FALSE)</f>
        <v>FII</v>
      </c>
    </row>
    <row r="53" spans="1:9" ht="20.100000000000001" customHeight="1" x14ac:dyDescent="0.25">
      <c r="A53" s="2">
        <v>13</v>
      </c>
      <c r="B53" s="2" t="s">
        <v>7</v>
      </c>
      <c r="C53" s="2">
        <v>100</v>
      </c>
      <c r="D53" s="3">
        <v>162.75</v>
      </c>
      <c r="E53" s="3">
        <v>0</v>
      </c>
      <c r="F53" s="3">
        <v>162.75</v>
      </c>
      <c r="G53" s="1">
        <v>43753</v>
      </c>
      <c r="H53" s="4" t="str">
        <f>CONCATENATE(YEAR(TbProventos[[#This Row],[Data]]),"/",IF(MONTH(TbProventos[[#This Row],[Data]])&lt;10,"0",""),MONTH(TbProventos[[#This Row],[Data]]))</f>
        <v>2019/10</v>
      </c>
      <c r="I53" s="4" t="str">
        <f>VLOOKUP(TbProventos[[#This Row],[Ativo]],TbAtivos!$B$4:$D$500,2,FALSE)</f>
        <v>EMPRESA</v>
      </c>
    </row>
    <row r="54" spans="1:9" ht="20.100000000000001" customHeight="1" x14ac:dyDescent="0.25">
      <c r="A54" s="2">
        <v>14</v>
      </c>
      <c r="B54" s="2" t="s">
        <v>9</v>
      </c>
      <c r="C54" s="2">
        <v>100</v>
      </c>
      <c r="D54" s="3">
        <v>61</v>
      </c>
      <c r="E54" s="3">
        <v>0</v>
      </c>
      <c r="F54" s="3">
        <v>61</v>
      </c>
      <c r="G54" s="1">
        <v>43755</v>
      </c>
      <c r="H54" s="4" t="str">
        <f>CONCATENATE(YEAR(TbProventos[[#This Row],[Data]]),"/",IF(MONTH(TbProventos[[#This Row],[Data]])&lt;10,"0",""),MONTH(TbProventos[[#This Row],[Data]]))</f>
        <v>2019/10</v>
      </c>
      <c r="I54" s="4" t="str">
        <f>VLOOKUP(TbProventos[[#This Row],[Ativo]],TbAtivos!$B$4:$D$500,2,FALSE)</f>
        <v>FII</v>
      </c>
    </row>
    <row r="55" spans="1:9" ht="20.100000000000001" customHeight="1" x14ac:dyDescent="0.25">
      <c r="A55" s="2">
        <v>14</v>
      </c>
      <c r="B55" s="2" t="s">
        <v>11</v>
      </c>
      <c r="C55" s="2">
        <v>100</v>
      </c>
      <c r="D55" s="3">
        <v>180.6</v>
      </c>
      <c r="E55" s="3">
        <v>0</v>
      </c>
      <c r="F55" s="3">
        <v>180.6</v>
      </c>
      <c r="G55" s="1">
        <v>43755</v>
      </c>
      <c r="H55" s="4" t="str">
        <f>CONCATENATE(YEAR(TbProventos[[#This Row],[Data]]),"/",IF(MONTH(TbProventos[[#This Row],[Data]])&lt;10,"0",""),MONTH(TbProventos[[#This Row],[Data]]))</f>
        <v>2019/10</v>
      </c>
      <c r="I55" s="4" t="str">
        <f>VLOOKUP(TbProventos[[#This Row],[Ativo]],TbAtivos!$B$4:$D$500,2,FALSE)</f>
        <v>FII</v>
      </c>
    </row>
    <row r="56" spans="1:9" ht="20.100000000000001" customHeight="1" x14ac:dyDescent="0.25">
      <c r="A56" s="2">
        <v>14</v>
      </c>
      <c r="B56" s="2" t="s">
        <v>12</v>
      </c>
      <c r="C56" s="2">
        <v>100</v>
      </c>
      <c r="D56" s="3">
        <v>38.4</v>
      </c>
      <c r="E56" s="3">
        <v>0</v>
      </c>
      <c r="F56" s="3">
        <v>38.4</v>
      </c>
      <c r="G56" s="1">
        <v>43755</v>
      </c>
      <c r="H56" s="4" t="str">
        <f>CONCATENATE(YEAR(TbProventos[[#This Row],[Data]]),"/",IF(MONTH(TbProventos[[#This Row],[Data]])&lt;10,"0",""),MONTH(TbProventos[[#This Row],[Data]]))</f>
        <v>2019/10</v>
      </c>
      <c r="I56" s="4" t="str">
        <f>VLOOKUP(TbProventos[[#This Row],[Ativo]],TbAtivos!$B$4:$D$500,2,FALSE)</f>
        <v>FII</v>
      </c>
    </row>
    <row r="57" spans="1:9" ht="20.100000000000001" customHeight="1" x14ac:dyDescent="0.25">
      <c r="A57" s="2">
        <v>14</v>
      </c>
      <c r="B57" s="2" t="s">
        <v>13</v>
      </c>
      <c r="C57" s="2">
        <v>100</v>
      </c>
      <c r="D57" s="3">
        <v>153.18</v>
      </c>
      <c r="E57" s="3">
        <v>0</v>
      </c>
      <c r="F57" s="3">
        <v>153.18</v>
      </c>
      <c r="G57" s="1">
        <v>43755</v>
      </c>
      <c r="H57" s="4" t="str">
        <f>CONCATENATE(YEAR(TbProventos[[#This Row],[Data]]),"/",IF(MONTH(TbProventos[[#This Row],[Data]])&lt;10,"0",""),MONTH(TbProventos[[#This Row],[Data]]))</f>
        <v>2019/10</v>
      </c>
      <c r="I57" s="4" t="str">
        <f>VLOOKUP(TbProventos[[#This Row],[Ativo]],TbAtivos!$B$4:$D$500,2,FALSE)</f>
        <v>FII</v>
      </c>
    </row>
    <row r="58" spans="1:9" ht="20.100000000000001" customHeight="1" x14ac:dyDescent="0.25">
      <c r="A58" s="2">
        <v>13</v>
      </c>
      <c r="B58" s="2" t="s">
        <v>15</v>
      </c>
      <c r="C58" s="2">
        <v>100</v>
      </c>
      <c r="D58" s="3">
        <v>156.13999999999999</v>
      </c>
      <c r="E58" s="3">
        <v>0</v>
      </c>
      <c r="F58" s="3">
        <v>156.13999999999999</v>
      </c>
      <c r="G58" s="1">
        <v>43753</v>
      </c>
      <c r="H58" s="4" t="str">
        <f>CONCATENATE(YEAR(TbProventos[[#This Row],[Data]]),"/",IF(MONTH(TbProventos[[#This Row],[Data]])&lt;10,"0",""),MONTH(TbProventos[[#This Row],[Data]]))</f>
        <v>2019/10</v>
      </c>
      <c r="I58" s="4" t="str">
        <f>VLOOKUP(TbProventos[[#This Row],[Ativo]],TbAtivos!$B$4:$D$500,2,FALSE)</f>
        <v>EMPRESA</v>
      </c>
    </row>
    <row r="59" spans="1:9" ht="20.100000000000001" customHeight="1" x14ac:dyDescent="0.25">
      <c r="A59" s="2">
        <v>14</v>
      </c>
      <c r="B59" s="2" t="s">
        <v>9</v>
      </c>
      <c r="C59" s="2">
        <v>100</v>
      </c>
      <c r="D59" s="3">
        <v>61</v>
      </c>
      <c r="E59" s="3">
        <v>0</v>
      </c>
      <c r="F59" s="3">
        <v>61</v>
      </c>
      <c r="G59" s="1">
        <v>43755</v>
      </c>
      <c r="H59" s="4" t="str">
        <f>CONCATENATE(YEAR(TbProventos[[#This Row],[Data]]),"/",IF(MONTH(TbProventos[[#This Row],[Data]])&lt;10,"0",""),MONTH(TbProventos[[#This Row],[Data]]))</f>
        <v>2019/10</v>
      </c>
      <c r="I59" s="4" t="str">
        <f>VLOOKUP(TbProventos[[#This Row],[Ativo]],TbAtivos!$B$4:$D$500,2,FALSE)</f>
        <v>FII</v>
      </c>
    </row>
    <row r="60" spans="1:9" ht="20.100000000000001" customHeight="1" x14ac:dyDescent="0.25">
      <c r="A60" s="2">
        <v>14</v>
      </c>
      <c r="B60" s="2" t="s">
        <v>11</v>
      </c>
      <c r="C60" s="2">
        <v>100</v>
      </c>
      <c r="D60" s="3">
        <v>99</v>
      </c>
      <c r="E60" s="3">
        <v>0</v>
      </c>
      <c r="F60" s="3">
        <v>99</v>
      </c>
      <c r="G60" s="1">
        <v>43755</v>
      </c>
      <c r="H60" s="4" t="str">
        <f>CONCATENATE(YEAR(TbProventos[[#This Row],[Data]]),"/",IF(MONTH(TbProventos[[#This Row],[Data]])&lt;10,"0",""),MONTH(TbProventos[[#This Row],[Data]]))</f>
        <v>2019/10</v>
      </c>
      <c r="I60" s="4" t="str">
        <f>VLOOKUP(TbProventos[[#This Row],[Ativo]],TbAtivos!$B$4:$D$500,2,FALSE)</f>
        <v>FII</v>
      </c>
    </row>
    <row r="61" spans="1:9" ht="20.100000000000001" customHeight="1" x14ac:dyDescent="0.25">
      <c r="A61" s="2">
        <v>14</v>
      </c>
      <c r="B61" s="2" t="s">
        <v>12</v>
      </c>
      <c r="C61" s="2">
        <v>100</v>
      </c>
      <c r="D61" s="3">
        <v>99.9</v>
      </c>
      <c r="E61" s="3">
        <v>0</v>
      </c>
      <c r="F61" s="3">
        <v>99.9</v>
      </c>
      <c r="G61" s="1">
        <v>43755</v>
      </c>
      <c r="H61" s="4" t="str">
        <f>CONCATENATE(YEAR(TbProventos[[#This Row],[Data]]),"/",IF(MONTH(TbProventos[[#This Row],[Data]])&lt;10,"0",""),MONTH(TbProventos[[#This Row],[Data]]))</f>
        <v>2019/10</v>
      </c>
      <c r="I61" s="4" t="str">
        <f>VLOOKUP(TbProventos[[#This Row],[Ativo]],TbAtivos!$B$4:$D$500,2,FALSE)</f>
        <v>FII</v>
      </c>
    </row>
    <row r="62" spans="1:9" ht="20.100000000000001" customHeight="1" x14ac:dyDescent="0.25">
      <c r="A62" s="2">
        <v>14</v>
      </c>
      <c r="B62" s="2" t="s">
        <v>13</v>
      </c>
      <c r="C62" s="2">
        <v>100</v>
      </c>
      <c r="D62" s="3">
        <v>98.42</v>
      </c>
      <c r="E62" s="3">
        <v>0</v>
      </c>
      <c r="F62" s="3">
        <v>98.42</v>
      </c>
      <c r="G62" s="1">
        <v>43755</v>
      </c>
      <c r="H62" s="4" t="str">
        <f>CONCATENATE(YEAR(TbProventos[[#This Row],[Data]]),"/",IF(MONTH(TbProventos[[#This Row],[Data]])&lt;10,"0",""),MONTH(TbProventos[[#This Row],[Data]]))</f>
        <v>2019/10</v>
      </c>
      <c r="I62" s="4" t="str">
        <f>VLOOKUP(TbProventos[[#This Row],[Ativo]],TbAtivos!$B$4:$D$500,2,FALSE)</f>
        <v>FII</v>
      </c>
    </row>
    <row r="63" spans="1:9" ht="20.100000000000001" customHeight="1" x14ac:dyDescent="0.25">
      <c r="A63" s="2">
        <v>13</v>
      </c>
      <c r="B63" s="2" t="s">
        <v>7</v>
      </c>
      <c r="C63" s="2">
        <v>100</v>
      </c>
      <c r="D63" s="3">
        <v>166</v>
      </c>
      <c r="E63" s="3">
        <v>0</v>
      </c>
      <c r="F63" s="3">
        <v>166</v>
      </c>
      <c r="G63" s="1">
        <v>43753</v>
      </c>
      <c r="H63" s="4" t="str">
        <f>CONCATENATE(YEAR(TbProventos[[#This Row],[Data]]),"/",IF(MONTH(TbProventos[[#This Row],[Data]])&lt;10,"0",""),MONTH(TbProventos[[#This Row],[Data]]))</f>
        <v>2019/10</v>
      </c>
      <c r="I63" s="4" t="str">
        <f>VLOOKUP(TbProventos[[#This Row],[Ativo]],TbAtivos!$B$4:$D$500,2,FALSE)</f>
        <v>EMPRESA</v>
      </c>
    </row>
    <row r="64" spans="1:9" ht="20.100000000000001" customHeight="1" x14ac:dyDescent="0.25">
      <c r="A64" s="2">
        <v>14</v>
      </c>
      <c r="B64" s="2" t="s">
        <v>9</v>
      </c>
      <c r="C64" s="2">
        <v>100</v>
      </c>
      <c r="D64" s="3">
        <v>37.44</v>
      </c>
      <c r="E64" s="3">
        <v>0</v>
      </c>
      <c r="F64" s="3">
        <v>37.44</v>
      </c>
      <c r="G64" s="1">
        <v>43755</v>
      </c>
      <c r="H64" s="4" t="str">
        <f>CONCATENATE(YEAR(TbProventos[[#This Row],[Data]]),"/",IF(MONTH(TbProventos[[#This Row],[Data]])&lt;10,"0",""),MONTH(TbProventos[[#This Row],[Data]]))</f>
        <v>2019/10</v>
      </c>
      <c r="I64" s="4" t="str">
        <f>VLOOKUP(TbProventos[[#This Row],[Ativo]],TbAtivos!$B$4:$D$500,2,FALSE)</f>
        <v>FII</v>
      </c>
    </row>
    <row r="65" spans="1:9" ht="20.100000000000001" customHeight="1" x14ac:dyDescent="0.25">
      <c r="A65" s="2">
        <v>14</v>
      </c>
      <c r="B65" s="2" t="s">
        <v>11</v>
      </c>
      <c r="C65" s="2">
        <v>100</v>
      </c>
      <c r="D65" s="3">
        <v>52.02</v>
      </c>
      <c r="E65" s="3">
        <v>0</v>
      </c>
      <c r="F65" s="3">
        <v>52.02</v>
      </c>
      <c r="G65" s="1">
        <v>43755</v>
      </c>
      <c r="H65" s="4" t="str">
        <f>CONCATENATE(YEAR(TbProventos[[#This Row],[Data]]),"/",IF(MONTH(TbProventos[[#This Row],[Data]])&lt;10,"0",""),MONTH(TbProventos[[#This Row],[Data]]))</f>
        <v>2019/10</v>
      </c>
      <c r="I65" s="4" t="str">
        <f>VLOOKUP(TbProventos[[#This Row],[Ativo]],TbAtivos!$B$4:$D$500,2,FALSE)</f>
        <v>FII</v>
      </c>
    </row>
    <row r="66" spans="1:9" ht="20.100000000000001" customHeight="1" x14ac:dyDescent="0.25">
      <c r="A66" s="2">
        <v>14</v>
      </c>
      <c r="B66" s="2" t="s">
        <v>12</v>
      </c>
      <c r="C66" s="2">
        <v>100</v>
      </c>
      <c r="D66" s="3">
        <v>42.14</v>
      </c>
      <c r="E66" s="3">
        <v>0</v>
      </c>
      <c r="F66" s="3">
        <v>42.14</v>
      </c>
      <c r="G66" s="1">
        <v>43755</v>
      </c>
      <c r="H66" s="4" t="str">
        <f>CONCATENATE(YEAR(TbProventos[[#This Row],[Data]]),"/",IF(MONTH(TbProventos[[#This Row],[Data]])&lt;10,"0",""),MONTH(TbProventos[[#This Row],[Data]]))</f>
        <v>2019/10</v>
      </c>
      <c r="I66" s="4" t="str">
        <f>VLOOKUP(TbProventos[[#This Row],[Ativo]],TbAtivos!$B$4:$D$500,2,FALSE)</f>
        <v>FII</v>
      </c>
    </row>
    <row r="67" spans="1:9" ht="20.100000000000001" customHeight="1" x14ac:dyDescent="0.25">
      <c r="A67" s="2">
        <v>14</v>
      </c>
      <c r="B67" s="2" t="s">
        <v>13</v>
      </c>
      <c r="C67" s="2">
        <v>100</v>
      </c>
      <c r="D67" s="3">
        <v>177.12</v>
      </c>
      <c r="E67" s="3">
        <v>0</v>
      </c>
      <c r="F67" s="3">
        <v>177.12</v>
      </c>
      <c r="G67" s="1">
        <v>43755</v>
      </c>
      <c r="H67" s="4" t="str">
        <f>CONCATENATE(YEAR(TbProventos[[#This Row],[Data]]),"/",IF(MONTH(TbProventos[[#This Row],[Data]])&lt;10,"0",""),MONTH(TbProventos[[#This Row],[Data]]))</f>
        <v>2019/10</v>
      </c>
      <c r="I67" s="4" t="str">
        <f>VLOOKUP(TbProventos[[#This Row],[Ativo]],TbAtivos!$B$4:$D$500,2,FALSE)</f>
        <v>FII</v>
      </c>
    </row>
    <row r="68" spans="1:9" ht="20.100000000000001" customHeight="1" x14ac:dyDescent="0.25">
      <c r="A68" s="2">
        <v>14</v>
      </c>
      <c r="B68" s="2" t="s">
        <v>15</v>
      </c>
      <c r="C68" s="2">
        <v>100</v>
      </c>
      <c r="D68" s="3">
        <v>162.75</v>
      </c>
      <c r="E68" s="3">
        <v>0</v>
      </c>
      <c r="F68" s="3">
        <v>162.75</v>
      </c>
      <c r="G68" s="1">
        <v>43845</v>
      </c>
      <c r="H68" s="4" t="str">
        <f>CONCATENATE(YEAR(TbProventos[[#This Row],[Data]]),"/",IF(MONTH(TbProventos[[#This Row],[Data]])&lt;10,"0",""),MONTH(TbProventos[[#This Row],[Data]]))</f>
        <v>2020/01</v>
      </c>
      <c r="I68" s="4" t="str">
        <f>VLOOKUP(TbProventos[[#This Row],[Ativo]],TbAtivos!$B$4:$D$500,2,FALSE)</f>
        <v>EMPRESA</v>
      </c>
    </row>
    <row r="69" spans="1:9" ht="20.100000000000001" customHeight="1" x14ac:dyDescent="0.25">
      <c r="A69" s="2">
        <v>14</v>
      </c>
      <c r="B69" s="2" t="s">
        <v>9</v>
      </c>
      <c r="C69" s="2">
        <v>100</v>
      </c>
      <c r="D69" s="3">
        <v>61</v>
      </c>
      <c r="E69" s="3">
        <v>0</v>
      </c>
      <c r="F69" s="3">
        <v>61</v>
      </c>
      <c r="G69" s="1">
        <v>43847</v>
      </c>
      <c r="H69" s="4" t="str">
        <f>CONCATENATE(YEAR(TbProventos[[#This Row],[Data]]),"/",IF(MONTH(TbProventos[[#This Row],[Data]])&lt;10,"0",""),MONTH(TbProventos[[#This Row],[Data]]))</f>
        <v>2020/01</v>
      </c>
      <c r="I69" s="4" t="str">
        <f>VLOOKUP(TbProventos[[#This Row],[Ativo]],TbAtivos!$B$4:$D$500,2,FALSE)</f>
        <v>FII</v>
      </c>
    </row>
    <row r="70" spans="1:9" ht="20.100000000000001" customHeight="1" x14ac:dyDescent="0.25">
      <c r="A70" s="2">
        <v>14</v>
      </c>
      <c r="B70" s="2" t="s">
        <v>11</v>
      </c>
      <c r="C70" s="2">
        <v>100</v>
      </c>
      <c r="D70" s="3">
        <v>180.6</v>
      </c>
      <c r="E70" s="3">
        <v>0</v>
      </c>
      <c r="F70" s="3">
        <v>180.6</v>
      </c>
      <c r="G70" s="1">
        <v>43847</v>
      </c>
      <c r="H70" s="4" t="str">
        <f>CONCATENATE(YEAR(TbProventos[[#This Row],[Data]]),"/",IF(MONTH(TbProventos[[#This Row],[Data]])&lt;10,"0",""),MONTH(TbProventos[[#This Row],[Data]]))</f>
        <v>2020/01</v>
      </c>
      <c r="I70" s="4" t="str">
        <f>VLOOKUP(TbProventos[[#This Row],[Ativo]],TbAtivos!$B$4:$D$500,2,FALSE)</f>
        <v>FII</v>
      </c>
    </row>
    <row r="71" spans="1:9" ht="20.100000000000001" customHeight="1" x14ac:dyDescent="0.25">
      <c r="A71" s="2">
        <v>14</v>
      </c>
      <c r="B71" s="2" t="s">
        <v>12</v>
      </c>
      <c r="C71" s="2">
        <v>100</v>
      </c>
      <c r="D71" s="3">
        <v>38.4</v>
      </c>
      <c r="E71" s="3">
        <v>0</v>
      </c>
      <c r="F71" s="3">
        <v>38.4</v>
      </c>
      <c r="G71" s="1">
        <v>43847</v>
      </c>
      <c r="H71" s="4" t="str">
        <f>CONCATENATE(YEAR(TbProventos[[#This Row],[Data]]),"/",IF(MONTH(TbProventos[[#This Row],[Data]])&lt;10,"0",""),MONTH(TbProventos[[#This Row],[Data]]))</f>
        <v>2020/01</v>
      </c>
      <c r="I71" s="4" t="str">
        <f>VLOOKUP(TbProventos[[#This Row],[Ativo]],TbAtivos!$B$4:$D$500,2,FALSE)</f>
        <v>FII</v>
      </c>
    </row>
    <row r="72" spans="1:9" ht="20.100000000000001" customHeight="1" x14ac:dyDescent="0.25">
      <c r="A72" s="2">
        <v>14</v>
      </c>
      <c r="B72" s="2" t="s">
        <v>13</v>
      </c>
      <c r="C72" s="2">
        <v>100</v>
      </c>
      <c r="D72" s="3">
        <v>153.18</v>
      </c>
      <c r="E72" s="3">
        <v>0</v>
      </c>
      <c r="F72" s="3">
        <v>153.18</v>
      </c>
      <c r="G72" s="1">
        <v>43847</v>
      </c>
      <c r="H72" s="4" t="str">
        <f>CONCATENATE(YEAR(TbProventos[[#This Row],[Data]]),"/",IF(MONTH(TbProventos[[#This Row],[Data]])&lt;10,"0",""),MONTH(TbProventos[[#This Row],[Data]]))</f>
        <v>2020/01</v>
      </c>
      <c r="I72" s="4" t="str">
        <f>VLOOKUP(TbProventos[[#This Row],[Ativo]],TbAtivos!$B$4:$D$500,2,FALSE)</f>
        <v>FII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B1" workbookViewId="0">
      <selection activeCell="D4" sqref="D4"/>
    </sheetView>
  </sheetViews>
  <sheetFormatPr defaultRowHeight="15" x14ac:dyDescent="0.25"/>
  <cols>
    <col min="1" max="1" width="0" hidden="1" customWidth="1"/>
    <col min="2" max="4" width="14.28515625" customWidth="1"/>
  </cols>
  <sheetData>
    <row r="1" spans="1:4" x14ac:dyDescent="0.25">
      <c r="A1" t="s">
        <v>0</v>
      </c>
    </row>
    <row r="3" spans="1:4" x14ac:dyDescent="0.25">
      <c r="A3">
        <v>1</v>
      </c>
      <c r="B3" t="s">
        <v>1</v>
      </c>
      <c r="C3" t="s">
        <v>2</v>
      </c>
      <c r="D3" t="s">
        <v>3</v>
      </c>
    </row>
    <row r="4" spans="1:4" x14ac:dyDescent="0.25">
      <c r="A4">
        <v>2</v>
      </c>
      <c r="B4" t="s">
        <v>4</v>
      </c>
      <c r="C4" t="s">
        <v>5</v>
      </c>
      <c r="D4">
        <v>7.88</v>
      </c>
    </row>
    <row r="5" spans="1:4" x14ac:dyDescent="0.25">
      <c r="A5">
        <v>3</v>
      </c>
      <c r="B5" t="s">
        <v>6</v>
      </c>
      <c r="C5" t="s">
        <v>5</v>
      </c>
      <c r="D5">
        <v>20.149999999999999</v>
      </c>
    </row>
    <row r="6" spans="1:4" x14ac:dyDescent="0.25">
      <c r="A6">
        <v>4</v>
      </c>
      <c r="B6" t="s">
        <v>7</v>
      </c>
      <c r="C6" t="s">
        <v>5</v>
      </c>
      <c r="D6">
        <v>8.14</v>
      </c>
    </row>
    <row r="7" spans="1:4" x14ac:dyDescent="0.25">
      <c r="A7">
        <v>5</v>
      </c>
      <c r="B7" t="s">
        <v>8</v>
      </c>
      <c r="C7" t="s">
        <v>5</v>
      </c>
      <c r="D7">
        <v>17.149999999999999</v>
      </c>
    </row>
    <row r="8" spans="1:4" x14ac:dyDescent="0.25">
      <c r="A8">
        <v>6</v>
      </c>
      <c r="B8" t="s">
        <v>9</v>
      </c>
      <c r="C8" t="s">
        <v>10</v>
      </c>
      <c r="D8">
        <v>194.98</v>
      </c>
    </row>
    <row r="9" spans="1:4" x14ac:dyDescent="0.25">
      <c r="A9">
        <v>7</v>
      </c>
      <c r="B9" t="s">
        <v>11</v>
      </c>
      <c r="C9" t="s">
        <v>10</v>
      </c>
      <c r="D9">
        <v>174.47</v>
      </c>
    </row>
    <row r="10" spans="1:4" x14ac:dyDescent="0.25">
      <c r="A10">
        <v>8</v>
      </c>
      <c r="B10" t="s">
        <v>12</v>
      </c>
      <c r="C10" t="s">
        <v>10</v>
      </c>
      <c r="D10">
        <v>141.94</v>
      </c>
    </row>
    <row r="11" spans="1:4" x14ac:dyDescent="0.25">
      <c r="A11">
        <v>9</v>
      </c>
      <c r="B11" t="s">
        <v>13</v>
      </c>
      <c r="C11" t="s">
        <v>10</v>
      </c>
      <c r="D11">
        <v>161.91</v>
      </c>
    </row>
    <row r="12" spans="1:4" x14ac:dyDescent="0.25">
      <c r="A12">
        <v>10</v>
      </c>
      <c r="B12" t="s">
        <v>15</v>
      </c>
      <c r="C12" t="s">
        <v>5</v>
      </c>
      <c r="D12">
        <v>9.0500000000000007</v>
      </c>
    </row>
    <row r="13" spans="1:4" x14ac:dyDescent="0.25">
      <c r="A1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DashBoard</vt:lpstr>
      <vt:lpstr>DashBoardAux</vt:lpstr>
      <vt:lpstr>ReCarteira</vt:lpstr>
      <vt:lpstr>ReProventos</vt:lpstr>
      <vt:lpstr>ReAportes</vt:lpstr>
      <vt:lpstr>TbAportes</vt:lpstr>
      <vt:lpstr>TbProventos</vt:lpstr>
      <vt:lpstr>TbAtivos</vt:lpstr>
      <vt:lpstr>TbAtivos!pubhtml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2020-05-18T13:13:11Z</dcterms:modified>
</cp:coreProperties>
</file>