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DashBoardAux" sheetId="8" r:id="rId2"/>
    <sheet name="ReCarteira" sheetId="6" r:id="rId3"/>
    <sheet name="ReProventos" sheetId="5" r:id="rId4"/>
    <sheet name="ReAportes" sheetId="9" r:id="rId5"/>
    <sheet name="TbAportes" sheetId="2" r:id="rId6"/>
    <sheet name="TbProventos" sheetId="3" r:id="rId7"/>
    <sheet name="TbAtivos" sheetId="1" r:id="rId8"/>
  </sheets>
  <definedNames>
    <definedName name="pubhtml" localSheetId="7">TbAtivos!$A$1:$D$13</definedName>
  </definedNames>
  <calcPr calcId="152511"/>
  <pivotCaches>
    <pivotCache cacheId="17" r:id="rId9"/>
    <pivotCache cacheId="22" r:id="rId10"/>
  </pivotCaches>
</workbook>
</file>

<file path=xl/calcChain.xml><?xml version="1.0" encoding="utf-8"?>
<calcChain xmlns="http://schemas.openxmlformats.org/spreadsheetml/2006/main">
  <c r="L5" i="8" l="1"/>
  <c r="C9" i="8"/>
  <c r="H1" i="7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G7" i="6" l="1"/>
  <c r="I7" i="6" s="1"/>
  <c r="G3" i="6"/>
  <c r="H3" i="6" s="1"/>
  <c r="I5" i="8"/>
  <c r="H5" i="8"/>
  <c r="G5" i="8"/>
  <c r="D11" i="6"/>
  <c r="F9" i="6"/>
  <c r="F5" i="6"/>
  <c r="G10" i="6"/>
  <c r="H10" i="6" s="1"/>
  <c r="G6" i="6"/>
  <c r="G2" i="6"/>
  <c r="G9" i="6"/>
  <c r="I9" i="6" s="1"/>
  <c r="G5" i="6"/>
  <c r="I5" i="6" s="1"/>
  <c r="G8" i="6"/>
  <c r="I8" i="6" s="1"/>
  <c r="G4" i="6"/>
  <c r="I4" i="6" s="1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H7" i="6" l="1"/>
  <c r="I3" i="6"/>
  <c r="T4" i="8"/>
  <c r="U4" i="8" s="1"/>
  <c r="S4" i="8" s="1"/>
  <c r="T5" i="8"/>
  <c r="U5" i="8" s="1"/>
  <c r="S5" i="8" s="1"/>
  <c r="T9" i="8"/>
  <c r="U9" i="8" s="1"/>
  <c r="S9" i="8" s="1"/>
  <c r="T13" i="8"/>
  <c r="U13" i="8" s="1"/>
  <c r="S13" i="8" s="1"/>
  <c r="T8" i="8"/>
  <c r="U8" i="8" s="1"/>
  <c r="S8" i="8" s="1"/>
  <c r="T12" i="8"/>
  <c r="U12" i="8" s="1"/>
  <c r="S12" i="8" s="1"/>
  <c r="T6" i="8"/>
  <c r="U6" i="8" s="1"/>
  <c r="S6" i="8" s="1"/>
  <c r="T10" i="8"/>
  <c r="U10" i="8" s="1"/>
  <c r="S10" i="8" s="1"/>
  <c r="T7" i="8"/>
  <c r="U7" i="8" s="1"/>
  <c r="S7" i="8" s="1"/>
  <c r="T11" i="8"/>
  <c r="U11" i="8" s="1"/>
  <c r="S11" i="8" s="1"/>
  <c r="H5" i="6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13" i="8" l="1"/>
  <c r="B5" i="7" s="1"/>
  <c r="I7" i="8"/>
  <c r="I8" i="8"/>
  <c r="H7" i="8"/>
  <c r="H8" i="8"/>
  <c r="G7" i="8"/>
  <c r="H11" i="6"/>
  <c r="C15" i="8" l="1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<sst xmlns="http://schemas.openxmlformats.org/spreadsheetml/2006/main" count="258" uniqueCount="77">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</sst>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5" borderId="4" xfId="0" applyNumberFormat="1" applyFill="1" applyBorder="1" applyAlignment="1">
      <alignment vertical="center"/>
    </xf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44" fontId="9" fillId="0" borderId="0" xfId="0" applyNumberFormat="1" applyFont="1" applyAlignment="1">
      <alignment vertical="center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Composição</a:t>
            </a:r>
            <a:r>
              <a:rPr lang="pt-BR" sz="1800" b="1" baseline="0"/>
              <a:t> do patrimônio</a:t>
            </a:r>
            <a:endParaRPr lang="pt-B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57150</xdr:colOff>
      <xdr:row>3</xdr:row>
      <xdr:rowOff>200024</xdr:rowOff>
    </xdr:from>
    <xdr:to>
      <xdr:col>5</xdr:col>
      <xdr:colOff>676274</xdr:colOff>
      <xdr:row>13</xdr:row>
      <xdr:rowOff>476249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27114930557" createdVersion="5" refreshedVersion="5" minRefreshableVersion="3" recordCount="28">
  <cacheSource type="worksheet">
    <worksheetSource name="Tb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27115046296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1" baseItem="6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31">
      <calculatedColumnFormula>VLOOKUP(TbCarteira[[#This Row],[Ativo]],TbAtivos!$B$4:$D$500,2,FALSE)</calculatedColumnFormula>
    </tableColumn>
    <tableColumn id="3" name="Cotação" dataDxfId="30">
      <calculatedColumnFormula>VLOOKUP(TbCarteira[[#This Row],[Ativo]],TbAtivos!$B$4:$D$500,3,FALSE)</calculatedColumnFormula>
    </tableColumn>
    <tableColumn id="4" name="Total aportado" totalsRowFunction="sum" dataDxfId="29">
      <calculatedColumnFormula>SUMIFS(TbAportes[Total],TbAportes[Ativo],TbCarteira[[#This Row],[Ativo]],TbAportes[Data],"&lt;="&amp;IF($L$1="",TODAY(),$L$1))</calculatedColumnFormula>
    </tableColumn>
    <tableColumn id="5" name="Total qte" dataDxfId="28">
      <calculatedColumnFormula>SUMIFS(TbAportes[Qte],TbAportes[Ativo],TbCarteira[[#This Row],[Ativo]],TbAportes[Data],"&lt;="&amp;IF($L$1="",TODAY(),$L$1))</calculatedColumnFormula>
    </tableColumn>
    <tableColumn id="6" name="PM" dataDxfId="27">
      <calculatedColumnFormula>TbCarteira[[#This Row],[Total aportado]]/TbCarteira[[#This Row],[Total qte]]</calculatedColumnFormula>
    </tableColumn>
    <tableColumn id="7" name="Total atual" totalsRowFunction="sum" dataDxfId="26">
      <calculatedColumnFormula>TbCarteira[[#This Row],[Total qte]]*TbCarteira[[#This Row],[Cotação]]</calculatedColumnFormula>
    </tableColumn>
    <tableColumn id="8" name="Valorização" totalsRowFunction="sum" dataDxfId="25">
      <calculatedColumnFormula>TbCarteira[[#This Row],[Total atual]]-TbCarteira[[#This Row],[Total aportado]]</calculatedColumnFormula>
    </tableColumn>
    <tableColumn id="9" name="Valorização %" dataDxfId="24" totalsRowDxfId="23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5"/>
    <tableColumn id="6" name="Total" dataDxfId="3">
      <calculatedColumnFormula>TbAportes[[#This Row],[Valor unitário]]*TbAportes[[#This Row],[Qte]]+TbAportes[[#This Row],[Custo]]</calculatedColumnFormula>
    </tableColumn>
    <tableColumn id="7" name="Tipo" dataDxfId="4">
      <calculatedColumnFormula>VLOOKUP(TbAportes[[#This Row],[Ativo]],TbAtivos!$B$4:$D$500,2,FALSE)</calculatedColumnFormula>
    </tableColumn>
    <tableColumn id="8" name="Ano" dataDxfId="16">
      <calculatedColumnFormula>YEAR(TbAportes[[#This Row],[Data]])</calculatedColumnFormula>
    </tableColumn>
    <tableColumn id="9" name="Mês" dataDxfId="15">
      <calculatedColumnFormula>MONTH(TbAportes[[#This Row],[Data]])</calculatedColumnFormula>
    </tableColumn>
    <tableColumn id="10" name="Ano/Mês" dataDxfId="14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Proventos" displayName="TbProventos" ref="A1:I72" totalsRowShown="0" headerRowDxfId="13" dataDxfId="12">
  <autoFilter ref="A1:I72"/>
  <tableColumns count="9">
    <tableColumn id="1" name="Cod" dataDxfId="11"/>
    <tableColumn id="2" name="Ativo" dataDxfId="10"/>
    <tableColumn id="3" name="Qte" dataDxfId="9"/>
    <tableColumn id="4" name="Valor Bruto" dataDxfId="8"/>
    <tableColumn id="5" name="IR" dataDxfId="7"/>
    <tableColumn id="6" name="Valor Líquido" dataDxfId="6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24">
        <v>15000</v>
      </c>
      <c r="F1" s="13"/>
      <c r="G1" s="16" t="s">
        <v>60</v>
      </c>
      <c r="H1" s="17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30">
        <f ca="1">DashBoardAux!C13</f>
        <v>27838.05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30">
        <f ca="1">DashBoardAux!C12</f>
        <v>26791.03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30">
        <f ca="1">DashBoardAux!C14</f>
        <v>1047.0199999999991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3.9080990913749947E-2</v>
      </c>
    </row>
  </sheetData>
  <conditionalFormatting sqref="B11 B14">
    <cfRule type="cellIs" dxfId="35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"/>
  <sheetViews>
    <sheetView zoomScaleNormal="10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</cols>
  <sheetData>
    <row r="2" spans="2:2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</row>
    <row r="3" spans="2:21" x14ac:dyDescent="0.25">
      <c r="B3" s="21">
        <v>1</v>
      </c>
      <c r="C3" s="20" t="s">
        <v>62</v>
      </c>
      <c r="E3" s="27"/>
      <c r="F3" s="27"/>
      <c r="G3" s="28">
        <v>1</v>
      </c>
      <c r="H3" s="28">
        <v>2</v>
      </c>
      <c r="I3" s="28">
        <v>3</v>
      </c>
      <c r="K3" s="31" t="s">
        <v>63</v>
      </c>
      <c r="L3" s="25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</row>
    <row r="4" spans="2:21" x14ac:dyDescent="0.25">
      <c r="B4" s="21">
        <v>2</v>
      </c>
      <c r="C4" s="20" t="s">
        <v>63</v>
      </c>
      <c r="E4" s="21"/>
      <c r="F4" s="21"/>
      <c r="G4" s="29" t="s">
        <v>62</v>
      </c>
      <c r="H4" s="29" t="s">
        <v>63</v>
      </c>
      <c r="I4" s="29" t="s">
        <v>10</v>
      </c>
      <c r="K4" s="31" t="s">
        <v>10</v>
      </c>
      <c r="L4" s="25">
        <f ca="1">I6</f>
        <v>10332.049999999999</v>
      </c>
      <c r="N4" s="20">
        <v>10</v>
      </c>
      <c r="O4" s="20"/>
      <c r="P4" s="20"/>
      <c r="R4" s="20">
        <v>10</v>
      </c>
      <c r="S4" s="20" t="str">
        <f ca="1">IF(ISNA(INDEX(TbCarteira[Ativo],U4,1)),"-",INDEX(TbCarteira[Ativo],U4,1))</f>
        <v>-</v>
      </c>
      <c r="T4" s="25">
        <f ca="1">IF(ISNUMBER(LARGE(TbCarteira[Total atual],R4)),LARGE(TbCarteira[Total atual],R4),0)</f>
        <v>0</v>
      </c>
      <c r="U4" s="20" t="e">
        <f ca="1">MATCH(T4,TbCarteira[Total atual],0)</f>
        <v>#N/A</v>
      </c>
    </row>
    <row r="5" spans="2:21" x14ac:dyDescent="0.25">
      <c r="B5" s="21">
        <v>3</v>
      </c>
      <c r="C5" s="20" t="s">
        <v>64</v>
      </c>
      <c r="E5" s="21">
        <v>1</v>
      </c>
      <c r="F5" s="21" t="s">
        <v>51</v>
      </c>
      <c r="G5" s="25">
        <f ca="1">SUM(TbCarteira[Total aportado])</f>
        <v>26791.03</v>
      </c>
      <c r="H5" s="25">
        <f ca="1">SUMIF(TbCarteira[Tipo],"EMPRESA",TbCarteira[Total aportado])</f>
        <v>17598</v>
      </c>
      <c r="I5" s="25">
        <f ca="1">SUMIF(TbCarteira[Tipo],"FII",TbCarteira[Total aportado])</f>
        <v>9193.0299999999988</v>
      </c>
      <c r="K5" s="31" t="s">
        <v>71</v>
      </c>
      <c r="L5" s="25">
        <f>C9</f>
        <v>15000</v>
      </c>
      <c r="N5" s="20">
        <v>9</v>
      </c>
      <c r="O5" s="20"/>
      <c r="P5" s="20"/>
      <c r="R5" s="20">
        <v>9</v>
      </c>
      <c r="S5" s="20" t="str">
        <f ca="1">IF(ISNA(INDEX(TbCarteira[Ativo],U5,1)),"-",INDEX(TbCarteira[Ativo],U5,1))</f>
        <v>HGBS11</v>
      </c>
      <c r="T5" s="25">
        <f ca="1">IF(ISNUMBER(LARGE(TbCarteira[Total atual],R5)),LARGE(TbCarteira[Total atual],R5),0)</f>
        <v>1754.82</v>
      </c>
      <c r="U5" s="20">
        <f ca="1">MATCH(T5,TbCarteira[Total atual],0)</f>
        <v>5</v>
      </c>
    </row>
    <row r="6" spans="2:21" x14ac:dyDescent="0.25">
      <c r="E6" s="21">
        <v>2</v>
      </c>
      <c r="F6" s="21" t="s">
        <v>58</v>
      </c>
      <c r="G6" s="25">
        <f ca="1">SUM(TbCarteira[Total atual])</f>
        <v>27838.05</v>
      </c>
      <c r="H6" s="25">
        <f ca="1">SUMIF(TbCarteira[Tipo],"EMPRESA",TbCarteira[Total atual])</f>
        <v>17506</v>
      </c>
      <c r="I6" s="25">
        <f ca="1">SUMIF(TbCarteira[Tipo],"FII",TbCarteira[Total atual])</f>
        <v>10332.049999999999</v>
      </c>
      <c r="N6" s="20">
        <v>8</v>
      </c>
      <c r="O6" s="20"/>
      <c r="P6" s="20"/>
      <c r="R6" s="20">
        <v>8</v>
      </c>
      <c r="S6" s="20" t="str">
        <f ca="1">IF(ISNA(INDEX(TbCarteira[Ativo],U6,1)),"-",INDEX(TbCarteira[Ativo],U6,1))</f>
        <v>TAEE4</v>
      </c>
      <c r="T6" s="25">
        <f ca="1">IF(ISNUMBER(LARGE(TbCarteira[Total atual],R6)),LARGE(TbCarteira[Total atual],R6),0)</f>
        <v>1810.0000000000002</v>
      </c>
      <c r="U6" s="20">
        <f ca="1">MATCH(T6,TbCarteira[Total atual],0)</f>
        <v>9</v>
      </c>
    </row>
    <row r="7" spans="2:21" x14ac:dyDescent="0.25">
      <c r="B7" s="22" t="s">
        <v>65</v>
      </c>
      <c r="C7" s="22"/>
      <c r="E7" s="21">
        <v>3</v>
      </c>
      <c r="F7" s="21" t="s">
        <v>55</v>
      </c>
      <c r="G7" s="25">
        <f ca="1">SUM(TbCarteira[Valorização])</f>
        <v>1047.0199999999991</v>
      </c>
      <c r="H7" s="25">
        <f ca="1">H6-H5</f>
        <v>-92</v>
      </c>
      <c r="I7" s="25">
        <f ca="1">I6-I5</f>
        <v>1139.0200000000004</v>
      </c>
      <c r="N7" s="20">
        <v>7</v>
      </c>
      <c r="O7" s="20"/>
      <c r="P7" s="20"/>
      <c r="R7" s="20">
        <v>7</v>
      </c>
      <c r="S7" s="20" t="str">
        <f ca="1">IF(ISNA(INDEX(TbCarteira[Ativo],U7,1)),"-",INDEX(TbCarteira[Ativo],U7,1))</f>
        <v>CSNA3</v>
      </c>
      <c r="T7" s="25">
        <f ca="1">IF(ISNUMBER(LARGE(TbCarteira[Total atual],R7)),LARGE(TbCarteira[Total atual],R7),0)</f>
        <v>2364</v>
      </c>
      <c r="U7" s="20">
        <f ca="1">MATCH(T7,TbCarteira[Total atual],0)</f>
        <v>1</v>
      </c>
    </row>
    <row r="8" spans="2:21" x14ac:dyDescent="0.25">
      <c r="B8" s="21" t="s">
        <v>66</v>
      </c>
      <c r="C8" s="20">
        <v>1</v>
      </c>
      <c r="E8" s="21">
        <v>4</v>
      </c>
      <c r="F8" s="21" t="s">
        <v>56</v>
      </c>
      <c r="G8" s="26">
        <f ca="1">G6/G5-1</f>
        <v>3.9080990913749947E-2</v>
      </c>
      <c r="H8" s="26">
        <f ca="1">H6/H5-1</f>
        <v>-5.2278668030457665E-3</v>
      </c>
      <c r="I8" s="26">
        <f ca="1">I6/I5-1</f>
        <v>0.12390038975180118</v>
      </c>
      <c r="N8" s="20">
        <v>6</v>
      </c>
      <c r="O8" s="20"/>
      <c r="P8" s="20"/>
      <c r="R8" s="20">
        <v>6</v>
      </c>
      <c r="S8" s="20" t="str">
        <f ca="1">IF(ISNA(INDEX(TbCarteira[Ativo],U8,1)),"-",INDEX(TbCarteira[Ativo],U8,1))</f>
        <v>ITSA4</v>
      </c>
      <c r="T8" s="25">
        <f ca="1">IF(ISNUMBER(LARGE(TbCarteira[Total atual],R8)),LARGE(TbCarteira[Total atual],R8),0)</f>
        <v>2442</v>
      </c>
      <c r="U8" s="20">
        <f ca="1">MATCH(T8,TbCarteira[Total atual],0)</f>
        <v>3</v>
      </c>
    </row>
    <row r="9" spans="2:21" x14ac:dyDescent="0.25">
      <c r="B9" s="21" t="s">
        <v>67</v>
      </c>
      <c r="C9" s="23">
        <f>DashBoard!E1</f>
        <v>15000</v>
      </c>
      <c r="N9" s="20">
        <v>5</v>
      </c>
      <c r="O9" s="20"/>
      <c r="P9" s="20"/>
      <c r="R9" s="20">
        <v>5</v>
      </c>
      <c r="S9" s="20" t="str">
        <f ca="1">IF(ISNA(INDEX(TbCarteira[Ativo],U9,1)),"-",INDEX(TbCarteira[Ativo],U9,1))</f>
        <v>HGRE11</v>
      </c>
      <c r="T9" s="25">
        <f ca="1">IF(ISNUMBER(LARGE(TbCarteira[Total atual],R9)),LARGE(TbCarteira[Total atual],R9),0)</f>
        <v>2696.86</v>
      </c>
      <c r="U9" s="20">
        <f ca="1">MATCH(T9,TbCarteira[Total atual],0)</f>
        <v>7</v>
      </c>
    </row>
    <row r="10" spans="2:21" x14ac:dyDescent="0.25">
      <c r="N10" s="20">
        <v>4</v>
      </c>
      <c r="O10" s="20"/>
      <c r="P10" s="20"/>
      <c r="R10" s="20">
        <v>4</v>
      </c>
      <c r="S10" s="20" t="str">
        <f ca="1">IF(ISNA(INDEX(TbCarteira[Ativo],U10,1)),"-",INDEX(TbCarteira[Ativo],U10,1))</f>
        <v>KNRI11</v>
      </c>
      <c r="T10" s="25">
        <f ca="1">IF(ISNUMBER(LARGE(TbCarteira[Total atual],R10)),LARGE(TbCarteira[Total atual],R10),0)</f>
        <v>2914.38</v>
      </c>
      <c r="U10" s="20">
        <f ca="1">MATCH(T10,TbCarteira[Total atual],0)</f>
        <v>8</v>
      </c>
    </row>
    <row r="11" spans="2:21" x14ac:dyDescent="0.25">
      <c r="B11" s="22" t="s">
        <v>69</v>
      </c>
      <c r="C11" s="22"/>
      <c r="N11" s="20">
        <v>3</v>
      </c>
      <c r="O11" s="20"/>
      <c r="P11" s="20"/>
      <c r="R11" s="20">
        <v>3</v>
      </c>
      <c r="S11" s="20" t="str">
        <f ca="1">IF(ISNA(INDEX(TbCarteira[Ativo],U11,1)),"-",INDEX(TbCarteira[Ativo],U11,1))</f>
        <v>HGLG11</v>
      </c>
      <c r="T11" s="25">
        <f ca="1">IF(ISNUMBER(LARGE(TbCarteira[Total atual],R11)),LARGE(TbCarteira[Total atual],R11),0)</f>
        <v>2965.99</v>
      </c>
      <c r="U11" s="20">
        <f ca="1">MATCH(T11,TbCarteira[Total atual],0)</f>
        <v>6</v>
      </c>
    </row>
    <row r="12" spans="2:21" x14ac:dyDescent="0.25">
      <c r="B12" s="21" t="s">
        <v>51</v>
      </c>
      <c r="C12" s="25">
        <f ca="1">INDEX($G$5:$I$8,E5,$C$8)</f>
        <v>26791.03</v>
      </c>
      <c r="N12" s="20">
        <v>2</v>
      </c>
      <c r="O12" s="20"/>
      <c r="P12" s="20"/>
      <c r="R12" s="20">
        <v>2</v>
      </c>
      <c r="S12" s="20" t="str">
        <f ca="1">IF(ISNA(INDEX(TbCarteira[Ativo],U12,1)),"-",INDEX(TbCarteira[Ativo],U12,1))</f>
        <v>FLRY3</v>
      </c>
      <c r="T12" s="25">
        <f ca="1">IF(ISNUMBER(LARGE(TbCarteira[Total atual],R12)),LARGE(TbCarteira[Total atual],R12),0)</f>
        <v>4029.9999999999995</v>
      </c>
      <c r="U12" s="20">
        <f ca="1">MATCH(T12,TbCarteira[Total atual],0)</f>
        <v>2</v>
      </c>
    </row>
    <row r="13" spans="2:21" x14ac:dyDescent="0.25">
      <c r="B13" s="21" t="s">
        <v>58</v>
      </c>
      <c r="C13" s="25">
        <f t="shared" ref="C13:C15" ca="1" si="0">INDEX($G$5:$I$8,E6,$C$8)</f>
        <v>27838.05</v>
      </c>
      <c r="N13" s="20">
        <v>1</v>
      </c>
      <c r="O13" s="20"/>
      <c r="P13" s="20"/>
      <c r="R13" s="20">
        <v>1</v>
      </c>
      <c r="S13" s="20" t="str">
        <f ca="1">IF(ISNA(INDEX(TbCarteira[Ativo],U13,1)),"-",INDEX(TbCarteira[Ativo],U13,1))</f>
        <v>PETR4</v>
      </c>
      <c r="T13" s="25">
        <f ca="1">IF(ISNUMBER(LARGE(TbCarteira[Total atual],R13)),LARGE(TbCarteira[Total atual],R13),0)</f>
        <v>6859.9999999999991</v>
      </c>
      <c r="U13" s="20">
        <f ca="1">MATCH(T13,TbCarteira[Total atual],0)</f>
        <v>4</v>
      </c>
    </row>
    <row r="14" spans="2:21" x14ac:dyDescent="0.25">
      <c r="B14" s="21" t="s">
        <v>55</v>
      </c>
      <c r="C14" s="25">
        <f t="shared" ca="1" si="0"/>
        <v>1047.0199999999991</v>
      </c>
    </row>
    <row r="15" spans="2:21" x14ac:dyDescent="0.25">
      <c r="B15" s="21" t="s">
        <v>56</v>
      </c>
      <c r="C15" s="26">
        <f t="shared" ca="1" si="0"/>
        <v>3.9080990913749947E-2</v>
      </c>
    </row>
  </sheetData>
  <conditionalFormatting sqref="G7:I8">
    <cfRule type="cellIs" dxfId="3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5" sqref="A5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33" priority="2" operator="lessThan">
      <formula>0</formula>
    </cfRule>
  </conditionalFormatting>
  <conditionalFormatting sqref="I2:I10">
    <cfRule type="cellIs" dxfId="3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E19" sqref="E19"/>
    </sheetView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8">
        <v>39.479999999999997</v>
      </c>
      <c r="C5" s="8">
        <v>61</v>
      </c>
      <c r="D5" s="8">
        <v>65.430000000000007</v>
      </c>
      <c r="E5" s="8">
        <v>163.66</v>
      </c>
      <c r="F5" s="8">
        <v>162.75</v>
      </c>
      <c r="G5" s="8">
        <v>156.13999999999999</v>
      </c>
      <c r="H5" s="8">
        <v>166</v>
      </c>
      <c r="I5" s="8">
        <v>162.75</v>
      </c>
      <c r="J5" s="8">
        <v>156.13999999999999</v>
      </c>
      <c r="K5" s="8">
        <v>166</v>
      </c>
      <c r="L5" s="8">
        <v>484.89</v>
      </c>
      <c r="M5" s="8">
        <v>162.75</v>
      </c>
      <c r="N5" s="8">
        <v>1946.99</v>
      </c>
    </row>
    <row r="6" spans="1:14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166</v>
      </c>
      <c r="L6" s="8"/>
      <c r="M6" s="8"/>
      <c r="N6" s="8">
        <v>166</v>
      </c>
    </row>
    <row r="7" spans="1:14" x14ac:dyDescent="0.25">
      <c r="A7" s="7" t="s">
        <v>6</v>
      </c>
      <c r="B7" s="8"/>
      <c r="C7" s="8"/>
      <c r="D7" s="8"/>
      <c r="E7" s="8">
        <v>163.66</v>
      </c>
      <c r="F7" s="8"/>
      <c r="G7" s="8"/>
      <c r="H7" s="8"/>
      <c r="I7" s="8"/>
      <c r="J7" s="8">
        <v>156.13999999999999</v>
      </c>
      <c r="K7" s="8"/>
      <c r="L7" s="8"/>
      <c r="M7" s="8"/>
      <c r="N7" s="8">
        <v>319.79999999999995</v>
      </c>
    </row>
    <row r="8" spans="1:14" x14ac:dyDescent="0.25">
      <c r="A8" s="7" t="s">
        <v>7</v>
      </c>
      <c r="B8" s="8">
        <v>39.479999999999997</v>
      </c>
      <c r="C8" s="8"/>
      <c r="D8" s="8">
        <v>65.430000000000007</v>
      </c>
      <c r="E8" s="8"/>
      <c r="F8" s="8">
        <v>162.75</v>
      </c>
      <c r="G8" s="8"/>
      <c r="H8" s="8">
        <v>166</v>
      </c>
      <c r="I8" s="8"/>
      <c r="J8" s="8"/>
      <c r="K8" s="8"/>
      <c r="L8" s="8">
        <v>328.75</v>
      </c>
      <c r="M8" s="8"/>
      <c r="N8" s="8">
        <v>762.41</v>
      </c>
    </row>
    <row r="9" spans="1:14" x14ac:dyDescent="0.25">
      <c r="A9" s="7" t="s">
        <v>8</v>
      </c>
      <c r="B9" s="8"/>
      <c r="C9" s="8">
        <v>61</v>
      </c>
      <c r="D9" s="8"/>
      <c r="E9" s="8"/>
      <c r="F9" s="8"/>
      <c r="G9" s="8"/>
      <c r="H9" s="8"/>
      <c r="I9" s="8">
        <v>162.75</v>
      </c>
      <c r="J9" s="8"/>
      <c r="K9" s="8"/>
      <c r="L9" s="8"/>
      <c r="M9" s="8"/>
      <c r="N9" s="8">
        <v>223.75</v>
      </c>
    </row>
    <row r="10" spans="1:14" x14ac:dyDescent="0.25">
      <c r="A10" s="7" t="s">
        <v>15</v>
      </c>
      <c r="B10" s="8"/>
      <c r="C10" s="8"/>
      <c r="D10" s="8"/>
      <c r="E10" s="8"/>
      <c r="F10" s="8"/>
      <c r="G10" s="8">
        <v>156.13999999999999</v>
      </c>
      <c r="H10" s="8"/>
      <c r="I10" s="8"/>
      <c r="J10" s="8"/>
      <c r="K10" s="8"/>
      <c r="L10" s="8">
        <v>156.13999999999999</v>
      </c>
      <c r="M10" s="8">
        <v>162.75</v>
      </c>
      <c r="N10" s="8">
        <v>475.03</v>
      </c>
    </row>
    <row r="11" spans="1:14" x14ac:dyDescent="0.25">
      <c r="A11" s="6" t="s">
        <v>10</v>
      </c>
      <c r="B11" s="8">
        <v>217.66</v>
      </c>
      <c r="C11" s="8">
        <v>228.62</v>
      </c>
      <c r="D11" s="8">
        <v>358.32</v>
      </c>
      <c r="E11" s="8">
        <v>308.72000000000003</v>
      </c>
      <c r="F11" s="8">
        <v>433.18</v>
      </c>
      <c r="G11" s="8">
        <v>358.32</v>
      </c>
      <c r="H11" s="8">
        <v>308.72000000000003</v>
      </c>
      <c r="I11" s="8">
        <v>433.18</v>
      </c>
      <c r="J11" s="8">
        <v>357.29</v>
      </c>
      <c r="K11" s="8">
        <v>308.72000000000003</v>
      </c>
      <c r="L11" s="8">
        <v>1100.22</v>
      </c>
      <c r="M11" s="8">
        <v>433.18</v>
      </c>
      <c r="N11" s="8">
        <v>4846.1299999999992</v>
      </c>
    </row>
    <row r="12" spans="1:14" x14ac:dyDescent="0.25">
      <c r="A12" s="7" t="s">
        <v>9</v>
      </c>
      <c r="B12" s="8">
        <v>63</v>
      </c>
      <c r="C12" s="8">
        <v>75.709999999999994</v>
      </c>
      <c r="D12" s="8">
        <v>61</v>
      </c>
      <c r="E12" s="8">
        <v>37.44</v>
      </c>
      <c r="F12" s="8">
        <v>61</v>
      </c>
      <c r="G12" s="8">
        <v>61</v>
      </c>
      <c r="H12" s="8">
        <v>37.44</v>
      </c>
      <c r="I12" s="8">
        <v>61</v>
      </c>
      <c r="J12" s="8">
        <v>59.97</v>
      </c>
      <c r="K12" s="8">
        <v>37.44</v>
      </c>
      <c r="L12" s="8">
        <v>159.44</v>
      </c>
      <c r="M12" s="8">
        <v>61</v>
      </c>
      <c r="N12" s="8">
        <v>775.44</v>
      </c>
    </row>
    <row r="13" spans="1:14" x14ac:dyDescent="0.25">
      <c r="A13" s="7" t="s">
        <v>11</v>
      </c>
      <c r="B13" s="8">
        <v>81</v>
      </c>
      <c r="C13" s="8">
        <v>39.36</v>
      </c>
      <c r="D13" s="8">
        <v>99</v>
      </c>
      <c r="E13" s="8">
        <v>52.02</v>
      </c>
      <c r="F13" s="8">
        <v>180.6</v>
      </c>
      <c r="G13" s="8">
        <v>99</v>
      </c>
      <c r="H13" s="8">
        <v>52.02</v>
      </c>
      <c r="I13" s="8">
        <v>180.6</v>
      </c>
      <c r="J13" s="8">
        <v>99</v>
      </c>
      <c r="K13" s="8">
        <v>52.02</v>
      </c>
      <c r="L13" s="8">
        <v>331.62</v>
      </c>
      <c r="M13" s="8">
        <v>180.6</v>
      </c>
      <c r="N13" s="8">
        <v>1446.84</v>
      </c>
    </row>
    <row r="14" spans="1:14" x14ac:dyDescent="0.25">
      <c r="A14" s="7" t="s">
        <v>12</v>
      </c>
      <c r="B14" s="8">
        <v>38.89</v>
      </c>
      <c r="C14" s="8">
        <v>51.8</v>
      </c>
      <c r="D14" s="8">
        <v>99.9</v>
      </c>
      <c r="E14" s="8">
        <v>42.14</v>
      </c>
      <c r="F14" s="8">
        <v>38.4</v>
      </c>
      <c r="G14" s="8">
        <v>99.9</v>
      </c>
      <c r="H14" s="8">
        <v>42.14</v>
      </c>
      <c r="I14" s="8">
        <v>38.4</v>
      </c>
      <c r="J14" s="8">
        <v>99.9</v>
      </c>
      <c r="K14" s="8">
        <v>42.14</v>
      </c>
      <c r="L14" s="8">
        <v>180.44</v>
      </c>
      <c r="M14" s="8">
        <v>38.4</v>
      </c>
      <c r="N14" s="8">
        <v>812.44999999999993</v>
      </c>
    </row>
    <row r="15" spans="1:14" x14ac:dyDescent="0.25">
      <c r="A15" s="7" t="s">
        <v>13</v>
      </c>
      <c r="B15" s="8">
        <v>34.770000000000003</v>
      </c>
      <c r="C15" s="8">
        <v>61.75</v>
      </c>
      <c r="D15" s="8">
        <v>98.42</v>
      </c>
      <c r="E15" s="8">
        <v>177.12</v>
      </c>
      <c r="F15" s="8">
        <v>153.18</v>
      </c>
      <c r="G15" s="8">
        <v>98.42</v>
      </c>
      <c r="H15" s="8">
        <v>177.12</v>
      </c>
      <c r="I15" s="8">
        <v>153.18</v>
      </c>
      <c r="J15" s="8">
        <v>98.42</v>
      </c>
      <c r="K15" s="8">
        <v>177.12</v>
      </c>
      <c r="L15" s="8">
        <v>428.72</v>
      </c>
      <c r="M15" s="8">
        <v>153.18</v>
      </c>
      <c r="N15" s="8">
        <v>1811.4</v>
      </c>
    </row>
    <row r="16" spans="1:14" x14ac:dyDescent="0.25">
      <c r="A16" s="6" t="s">
        <v>32</v>
      </c>
      <c r="B16" s="8">
        <v>257.14</v>
      </c>
      <c r="C16" s="8">
        <v>289.62</v>
      </c>
      <c r="D16" s="8">
        <v>423.75000000000006</v>
      </c>
      <c r="E16" s="8">
        <v>472.38</v>
      </c>
      <c r="F16" s="8">
        <v>595.93000000000006</v>
      </c>
      <c r="G16" s="8">
        <v>514.45999999999992</v>
      </c>
      <c r="H16" s="8">
        <v>474.72</v>
      </c>
      <c r="I16" s="8">
        <v>595.93000000000006</v>
      </c>
      <c r="J16" s="8">
        <v>513.42999999999995</v>
      </c>
      <c r="K16" s="8">
        <v>474.72</v>
      </c>
      <c r="L16" s="8">
        <v>1585.11</v>
      </c>
      <c r="M16" s="8">
        <v>595.93000000000006</v>
      </c>
      <c r="N16" s="8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2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2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2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2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2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2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2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2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2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2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2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2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2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2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2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2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2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2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2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2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2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2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2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2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2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2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2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2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DashBoard</vt:lpstr>
      <vt:lpstr>DashBoardAux</vt:lpstr>
      <vt:lpstr>ReCarteira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2020-05-18T13:15:21Z</dcterms:modified>
</cp:coreProperties>
</file>