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ashBoard" sheetId="7" r:id="rId1"/>
    <sheet name="DashBoardAux" sheetId="8" r:id="rId2"/>
    <sheet name="ReCarteira" sheetId="6" r:id="rId3"/>
    <sheet name="ReCarteiraAções" sheetId="9" r:id="rId4"/>
    <sheet name="ReCarteiraFII" sheetId="10" r:id="rId5"/>
    <sheet name="ReProventos" sheetId="12" r:id="rId6"/>
    <sheet name="ReAportes" sheetId="11" r:id="rId7"/>
    <sheet name="TbAportes" sheetId="2" r:id="rId8"/>
    <sheet name="TbProventos" sheetId="3" r:id="rId9"/>
    <sheet name="TbAtivos" sheetId="1" r:id="rId10"/>
  </sheets>
  <definedNames>
    <definedName name="pubhtml" localSheetId="9">TbAtivos!$A$1:$D$13</definedName>
  </definedNames>
  <calcPr calcId="152511"/>
  <pivotCaches>
    <pivotCache cacheId="6" r:id="rId11"/>
    <pivotCache cacheId="11" r:id="rId12"/>
  </pivotCaches>
</workbook>
</file>

<file path=xl/calcChain.xml><?xml version="1.0" encoding="utf-8"?>
<calcChain xmlns="http://schemas.openxmlformats.org/spreadsheetml/2006/main">
  <c r="E5" i="10" l="1"/>
  <c r="D5" i="10"/>
  <c r="C5" i="10"/>
  <c r="B5" i="10"/>
  <c r="E4" i="10"/>
  <c r="G4" i="10" s="1"/>
  <c r="D4" i="10"/>
  <c r="C4" i="10"/>
  <c r="B4" i="10"/>
  <c r="E3" i="10"/>
  <c r="G3" i="10" s="1"/>
  <c r="D3" i="10"/>
  <c r="C3" i="10"/>
  <c r="B3" i="10"/>
  <c r="E2" i="10"/>
  <c r="G2" i="10" s="1"/>
  <c r="D2" i="10"/>
  <c r="C2" i="10"/>
  <c r="B2" i="10"/>
  <c r="E6" i="9"/>
  <c r="G6" i="9" s="1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G5" i="10" l="1"/>
  <c r="AD8" i="8" s="1"/>
  <c r="F2" i="10"/>
  <c r="F3" i="10"/>
  <c r="F4" i="10"/>
  <c r="AD12" i="8"/>
  <c r="AD10" i="8"/>
  <c r="AD5" i="8"/>
  <c r="F5" i="10"/>
  <c r="H2" i="10"/>
  <c r="I2" i="10"/>
  <c r="G6" i="10"/>
  <c r="H3" i="10"/>
  <c r="I3" i="10"/>
  <c r="H4" i="10"/>
  <c r="I4" i="10"/>
  <c r="D6" i="10"/>
  <c r="D7" i="9"/>
  <c r="F3" i="9"/>
  <c r="F4" i="9"/>
  <c r="F5" i="9"/>
  <c r="F6" i="9"/>
  <c r="G2" i="9"/>
  <c r="I2" i="9" s="1"/>
  <c r="G3" i="9"/>
  <c r="I3" i="9" s="1"/>
  <c r="G4" i="9"/>
  <c r="H4" i="9" s="1"/>
  <c r="G5" i="9"/>
  <c r="H6" i="9"/>
  <c r="I6" i="9"/>
  <c r="F2" i="9"/>
  <c r="L5" i="8"/>
  <c r="C9" i="8"/>
  <c r="H1" i="7"/>
  <c r="E2" i="6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AD9" i="8" l="1"/>
  <c r="AD7" i="8"/>
  <c r="AE7" i="8" s="1"/>
  <c r="AD4" i="8"/>
  <c r="AE4" i="8" s="1"/>
  <c r="I5" i="10"/>
  <c r="AD13" i="8"/>
  <c r="AD11" i="8"/>
  <c r="AE11" i="8" s="1"/>
  <c r="H5" i="10"/>
  <c r="H6" i="10" s="1"/>
  <c r="AD6" i="8"/>
  <c r="AE6" i="8" s="1"/>
  <c r="G7" i="6"/>
  <c r="H7" i="6" s="1"/>
  <c r="G3" i="6"/>
  <c r="I3" i="6" s="1"/>
  <c r="AE5" i="8"/>
  <c r="AE10" i="8"/>
  <c r="AE12" i="8"/>
  <c r="AE9" i="8"/>
  <c r="AE8" i="8"/>
  <c r="AE13" i="8"/>
  <c r="H3" i="9"/>
  <c r="Y5" i="8"/>
  <c r="Z5" i="8" s="1"/>
  <c r="Y9" i="8"/>
  <c r="Z9" i="8" s="1"/>
  <c r="Y13" i="8"/>
  <c r="Z13" i="8" s="1"/>
  <c r="Y6" i="8"/>
  <c r="Z6" i="8" s="1"/>
  <c r="Y10" i="8"/>
  <c r="Z10" i="8" s="1"/>
  <c r="Y8" i="8"/>
  <c r="Z8" i="8" s="1"/>
  <c r="Y7" i="8"/>
  <c r="Z7" i="8" s="1"/>
  <c r="Y11" i="8"/>
  <c r="Z11" i="8" s="1"/>
  <c r="Y12" i="8"/>
  <c r="Z12" i="8" s="1"/>
  <c r="H2" i="9"/>
  <c r="Y4" i="8"/>
  <c r="Z4" i="8" s="1"/>
  <c r="I4" i="9"/>
  <c r="G7" i="9"/>
  <c r="I5" i="9"/>
  <c r="H5" i="9"/>
  <c r="I5" i="8"/>
  <c r="H5" i="8"/>
  <c r="G5" i="8"/>
  <c r="D11" i="6"/>
  <c r="F9" i="6"/>
  <c r="F5" i="6"/>
  <c r="G10" i="6"/>
  <c r="H10" i="6" s="1"/>
  <c r="G6" i="6"/>
  <c r="G2" i="6"/>
  <c r="G9" i="6"/>
  <c r="I9" i="6" s="1"/>
  <c r="G5" i="6"/>
  <c r="I5" i="6" s="1"/>
  <c r="G8" i="6"/>
  <c r="I8" i="6" s="1"/>
  <c r="G4" i="6"/>
  <c r="I4" i="6" s="1"/>
  <c r="H3" i="6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I7" i="6" l="1"/>
  <c r="H7" i="9"/>
  <c r="AC12" i="8"/>
  <c r="AC8" i="8"/>
  <c r="AC4" i="8"/>
  <c r="AC13" i="8"/>
  <c r="AC9" i="8"/>
  <c r="AC5" i="8"/>
  <c r="AC10" i="8"/>
  <c r="AC6" i="8"/>
  <c r="AC11" i="8"/>
  <c r="AC7" i="8"/>
  <c r="X12" i="8"/>
  <c r="X8" i="8"/>
  <c r="X13" i="8"/>
  <c r="X10" i="8"/>
  <c r="X6" i="8"/>
  <c r="X4" i="8"/>
  <c r="X5" i="8"/>
  <c r="X11" i="8"/>
  <c r="X7" i="8"/>
  <c r="X9" i="8"/>
  <c r="T12" i="8"/>
  <c r="T4" i="8"/>
  <c r="T5" i="8"/>
  <c r="T9" i="8"/>
  <c r="T13" i="8"/>
  <c r="T8" i="8"/>
  <c r="T6" i="8"/>
  <c r="T10" i="8"/>
  <c r="T7" i="8"/>
  <c r="T11" i="8"/>
  <c r="H5" i="6"/>
  <c r="C12" i="8"/>
  <c r="B8" i="7" s="1"/>
  <c r="H6" i="6"/>
  <c r="I6" i="8"/>
  <c r="L4" i="8" s="1"/>
  <c r="H6" i="8"/>
  <c r="L3" i="8" s="1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U11" i="8" l="1"/>
  <c r="S11" i="8" s="1"/>
  <c r="O11" i="8" s="1"/>
  <c r="P11" i="8"/>
  <c r="U8" i="8"/>
  <c r="S8" i="8" s="1"/>
  <c r="O8" i="8" s="1"/>
  <c r="P8" i="8"/>
  <c r="U4" i="8"/>
  <c r="S4" i="8" s="1"/>
  <c r="O4" i="8" s="1"/>
  <c r="P4" i="8"/>
  <c r="U5" i="8"/>
  <c r="S5" i="8" s="1"/>
  <c r="O5" i="8" s="1"/>
  <c r="P5" i="8"/>
  <c r="U7" i="8"/>
  <c r="S7" i="8" s="1"/>
  <c r="P7" i="8"/>
  <c r="U13" i="8"/>
  <c r="S13" i="8" s="1"/>
  <c r="O13" i="8" s="1"/>
  <c r="P13" i="8"/>
  <c r="U12" i="8"/>
  <c r="S12" i="8" s="1"/>
  <c r="O12" i="8" s="1"/>
  <c r="P12" i="8"/>
  <c r="U6" i="8"/>
  <c r="S6" i="8" s="1"/>
  <c r="O6" i="8" s="1"/>
  <c r="P6" i="8"/>
  <c r="U10" i="8"/>
  <c r="S10" i="8" s="1"/>
  <c r="O10" i="8" s="1"/>
  <c r="P10" i="8"/>
  <c r="U9" i="8"/>
  <c r="S9" i="8" s="1"/>
  <c r="O9" i="8" s="1"/>
  <c r="P9" i="8"/>
  <c r="O7" i="8"/>
  <c r="C13" i="8"/>
  <c r="B5" i="7" s="1"/>
  <c r="I7" i="8"/>
  <c r="I8" i="8"/>
  <c r="H7" i="8"/>
  <c r="H8" i="8"/>
  <c r="G7" i="8"/>
  <c r="H11" i="6"/>
  <c r="C15" i="8" l="1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<sst xmlns="http://schemas.openxmlformats.org/spreadsheetml/2006/main" count="301" uniqueCount="80">
  <si>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</si>
  <si>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</si>
  <si>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</si>
  <si>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</si>
  <si>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</si>
  <si>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</si>
  <si>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</si>
  <si>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</si>
  <si>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</si>
  <si>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</si>
  <si>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</si>
  <si>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</si>
  <si>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</si>
  <si>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</si>
  <si>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</si>
  <si>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</si>
  <si>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</si>
  <si>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</si>
  <si>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</si>
  <si>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</si>
  <si>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</si>
  <si>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</si>
  <si>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</si>
  <si>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</si>
  <si>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</si>
  <si>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</si>
  <si>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</si>
  <si>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</si>
  <si>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</si>
  <si>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</si>
  <si>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</si>
  <si>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</si>
  <si>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</si>
  <si>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</si>
  <si>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</si>
  <si>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</si>
  <si>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</si>
  <si>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</si>
  <si>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</si>
  <si>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</si>
  <si>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</si>
  <si>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</si>
  <si>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</si>
  <si>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</si>
  <si>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</si>
  <si>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</si>
  <si>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</si>
  <si>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</si>
  <si>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</si>
  <si>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</si>
  <si>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</si>
  <si>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</si>
  <si>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</si>
  <si>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</si>
  <si>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</si>
  <si>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</si>
  <si>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</si>
  <si>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</si>
  <si>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</si>
  <si>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</si>
  <si>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</si>
  <si>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</si>
  <si>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</si>
  <si>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</si>
  <si>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</si>
  <si>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</si>
  <si>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</si>
  <si>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</si>
  <si>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</si>
  <si>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</si>
  <si>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</si>
  <si>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</si>
  <si>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</si>
  <si>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</si>
  <si>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</si>
  <si>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</si>
  <si>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</si>
  <si>
    <t>Maiores valores (ações)</t>
  </si>
  <si>
    <t>Maiores valores (FII)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</si>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</sst>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44" fontId="0" fillId="5" borderId="4" xfId="0" applyNumberFormat="1" applyFill="1" applyBorder="1" applyAlignment="1">
      <alignment vertical="center"/>
    </xf>
    <xf numFmtId="44" fontId="0" fillId="6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44" fontId="9" fillId="0" borderId="0" xfId="0" applyNumberFormat="1" applyFont="1" applyAlignment="1">
      <alignment vertic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</a:t>
            </a:r>
            <a:r>
              <a:rPr lang="pt-BR" sz="1600" b="1" baseline="0"/>
              <a:t> do patrimônio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_("R$"* #,##0.00_);_("R$"* \(#,##0.00\);_("R$"* "-"??_);_(@_)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200024</xdr:rowOff>
    </xdr:from>
    <xdr:to>
      <xdr:col>5</xdr:col>
      <xdr:colOff>238126</xdr:colOff>
      <xdr:row>13</xdr:row>
      <xdr:rowOff>476249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27783101855" createdVersion="5" refreshedVersion="5" minRefreshableVersion="3" recordCount="28">
  <cacheSource type="worksheet">
    <worksheetSource name="TbAportes" r:id="rId2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27783217594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8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8"/>
    <field x="1"/>
  </rowFields>
  <rowItems count="14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>
      <x v="2"/>
    </i>
    <i r="1">
      <x v="3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8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52">
      <calculatedColumnFormula>VLOOKUP(TbCarteira[[#This Row],[Ativo]],TbAtivos!$B$4:$D$500,2,FALSE)</calculatedColumnFormula>
    </tableColumn>
    <tableColumn id="3" name="Cotação" dataDxfId="51">
      <calculatedColumnFormula>VLOOKUP(TbCarteira[[#This Row],[Ativo]],TbAtivos!$B$4:$D$500,3,FALSE)</calculatedColumnFormula>
    </tableColumn>
    <tableColumn id="4" name="Total aportado" totalsRowFunction="sum" dataDxfId="50">
      <calculatedColumnFormula>SUMIFS(TbAportes[Total],TbAportes[Ativo],TbCarteira[[#This Row],[Ativo]],TbAportes[Data],"&lt;="&amp;IF($L$1="",TODAY(),$L$1))</calculatedColumnFormula>
    </tableColumn>
    <tableColumn id="5" name="Total qte" dataDxfId="49">
      <calculatedColumnFormula>SUMIFS(TbAportes[Qte],TbAportes[Ativo],TbCarteira[[#This Row],[Ativo]],TbAportes[Data],"&lt;="&amp;IF($L$1="",TODAY(),$L$1))</calculatedColumnFormula>
    </tableColumn>
    <tableColumn id="6" name="PM" dataDxfId="48">
      <calculatedColumnFormula>TbCarteira[[#This Row],[Total aportado]]/TbCarteira[[#This Row],[Total qte]]</calculatedColumnFormula>
    </tableColumn>
    <tableColumn id="7" name="Total atual" totalsRowFunction="sum" dataDxfId="47">
      <calculatedColumnFormula>TbCarteira[[#This Row],[Total qte]]*TbCarteira[[#This Row],[Cotação]]</calculatedColumnFormula>
    </tableColumn>
    <tableColumn id="8" name="Valorização" totalsRowFunction="sum" dataDxfId="46">
      <calculatedColumnFormula>TbCarteira[[#This Row],[Total atual]]-TbCarteira[[#This Row],[Total aportado]]</calculatedColumnFormula>
    </tableColumn>
    <tableColumn id="9" name="Valorização %" dataDxfId="45" totalsRowDxfId="44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CarteiraAcoes" displayName="TbCarteiraAcoes" ref="A1:I7" totalsRowCount="1">
  <autoFilter ref="A1:I6"/>
  <sortState ref="A2:I10">
    <sortCondition ref="B1:B10"/>
  </sortState>
  <tableColumns count="9">
    <tableColumn id="1" name="Ativo" totalsRowLabel="Total"/>
    <tableColumn id="2" name="Tipo" dataDxfId="41">
      <calculatedColumnFormula>VLOOKUP(TbCarteiraAcoes[[#This Row],[Ativo]],TbAtivos!$B$4:$D$500,2,FALSE)</calculatedColumnFormula>
    </tableColumn>
    <tableColumn id="3" name="Cotação" dataDxfId="40">
      <calculatedColumnFormula>VLOOKUP(TbCarteiraAcoes[[#This Row],[Ativo]],TbAtivos!$B$4:$D$500,3,FALSE)</calculatedColumnFormula>
    </tableColumn>
    <tableColumn id="4" name="Total aportado" totalsRowFunction="sum" dataDxfId="39">
      <calculatedColumnFormula>SUMIFS(TbAportes[Total],TbAportes[Ativo],TbCarteiraAcoes[[#This Row],[Ativo]],TbAportes[Data],"&lt;="&amp;IF($L$1="",TODAY(),$L$1))</calculatedColumnFormula>
    </tableColumn>
    <tableColumn id="5" name="Total qte" dataDxfId="38">
      <calculatedColumnFormula>SUMIFS(TbAportes[Qte],TbAportes[Ativo],TbCarteiraAcoes[[#This Row],[Ativo]],TbAportes[Data],"&lt;="&amp;IF($L$1="",TODAY(),$L$1))</calculatedColumnFormula>
    </tableColumn>
    <tableColumn id="6" name="PM" dataDxfId="37">
      <calculatedColumnFormula>TbCarteiraAcoes[[#This Row],[Total aportado]]/TbCarteiraAcoes[[#This Row],[Total qte]]</calculatedColumnFormula>
    </tableColumn>
    <tableColumn id="7" name="Total atual" totalsRowFunction="sum" dataDxfId="36">
      <calculatedColumnFormula>TbCarteiraAcoes[[#This Row],[Total qte]]*TbCarteiraAcoes[[#This Row],[Cotação]]</calculatedColumnFormula>
    </tableColumn>
    <tableColumn id="8" name="Valorização" totalsRowFunction="sum" dataDxfId="35">
      <calculatedColumnFormula>TbCarteiraAcoes[[#This Row],[Total atual]]-TbCarteiraAcoes[[#This Row],[Total aportado]]</calculatedColumnFormula>
    </tableColumn>
    <tableColumn id="9" name="Valorização %" dataDxfId="34" totalsRowDxfId="33">
      <calculatedColumnFormula>TbCarteiraAcoes[[#This Row],[Total atual]]/TbCarteiraAcoes[[#This Row],[Total aportado]]-1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bCarteiraFII" displayName="TbCarteiraFII" ref="A1:I6" totalsRowCount="1">
  <autoFilter ref="A1:I5"/>
  <sortState ref="A2:I10">
    <sortCondition ref="B1:B10"/>
  </sortState>
  <tableColumns count="9">
    <tableColumn id="1" name="Ativo" totalsRowLabel="Total"/>
    <tableColumn id="2" name="Tipo" dataDxfId="31">
      <calculatedColumnFormula>VLOOKUP(TbCarteiraFII[[#This Row],[Ativo]],TbAtivos!$B$4:$D$500,2,FALSE)</calculatedColumnFormula>
    </tableColumn>
    <tableColumn id="3" name="Cotação" dataDxfId="30">
      <calculatedColumnFormula>VLOOKUP(TbCarteiraFII[[#This Row],[Ativo]],TbAtivos!$B$4:$D$500,3,FALSE)</calculatedColumnFormula>
    </tableColumn>
    <tableColumn id="4" name="Total aportado" totalsRowFunction="sum" dataDxfId="29">
      <calculatedColumnFormula>SUMIFS(TbAportes[Total],TbAportes[Ativo],TbCarteiraFII[[#This Row],[Ativo]],TbAportes[Data],"&lt;="&amp;IF($L$1="",TODAY(),$L$1))</calculatedColumnFormula>
    </tableColumn>
    <tableColumn id="5" name="Total qte" dataDxfId="28">
      <calculatedColumnFormula>SUMIFS(TbAportes[Qte],TbAportes[Ativo],TbCarteiraFII[[#This Row],[Ativo]],TbAportes[Data],"&lt;="&amp;IF($L$1="",TODAY(),$L$1))</calculatedColumnFormula>
    </tableColumn>
    <tableColumn id="6" name="PM" dataDxfId="27">
      <calculatedColumnFormula>TbCarteiraFII[[#This Row],[Total aportado]]/TbCarteiraFII[[#This Row],[Total qte]]</calculatedColumnFormula>
    </tableColumn>
    <tableColumn id="7" name="Total atual" totalsRowFunction="sum" dataDxfId="26">
      <calculatedColumnFormula>TbCarteiraFII[[#This Row],[Total qte]]*TbCarteiraFII[[#This Row],[Cotação]]</calculatedColumnFormula>
    </tableColumn>
    <tableColumn id="8" name="Valorização" totalsRowFunction="sum" dataDxfId="25">
      <calculatedColumnFormula>TbCarteiraFII[[#This Row],[Total atual]]-TbCarteiraFII[[#This Row],[Total aportado]]</calculatedColumnFormula>
    </tableColumn>
    <tableColumn id="9" name="Valorização %" dataDxfId="24" totalsRowDxfId="23">
      <calculatedColumnFormula>TbCarteiraFII[[#This Row],[Total atual]]/TbCarteiraFII[[#This Row],[Total aportado]]-1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5"/>
    <tableColumn id="6" name="Total" dataDxfId="3">
      <calculatedColumnFormula>TbAportes[[#This Row],[Valor unitário]]*TbAportes[[#This Row],[Qte]]+TbAportes[[#This Row],[Custo]]</calculatedColumnFormula>
    </tableColumn>
    <tableColumn id="7" name="Tipo" dataDxfId="4">
      <calculatedColumnFormula>VLOOKUP(TbAportes[[#This Row],[Ativo]],TbAtivos!$B$4:$D$500,2,FALSE)</calculatedColumnFormula>
    </tableColumn>
    <tableColumn id="8" name="Ano" dataDxfId="16">
      <calculatedColumnFormula>YEAR(TbAportes[[#This Row],[Data]])</calculatedColumnFormula>
    </tableColumn>
    <tableColumn id="9" name="Mês" dataDxfId="15">
      <calculatedColumnFormula>MONTH(TbAportes[[#This Row],[Data]])</calculatedColumnFormula>
    </tableColumn>
    <tableColumn id="10" name="Ano/Mês" dataDxfId="14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bProventos" displayName="TbProventos" ref="A1:I72" totalsRowShown="0" headerRowDxfId="13" dataDxfId="12">
  <autoFilter ref="A1:I72"/>
  <tableColumns count="9">
    <tableColumn id="1" name="Cod" dataDxfId="11"/>
    <tableColumn id="2" name="Ativo" dataDxfId="10"/>
    <tableColumn id="3" name="Qte" dataDxfId="9"/>
    <tableColumn id="4" name="Valor Bruto" dataDxfId="8"/>
    <tableColumn id="5" name="IR" dataDxfId="7"/>
    <tableColumn id="6" name="Valor Líquido" dataDxfId="6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24">
        <v>15000</v>
      </c>
      <c r="F1" s="13"/>
      <c r="G1" s="16" t="s">
        <v>60</v>
      </c>
      <c r="H1" s="17">
        <f ca="1">IF(ReCarteira!L1="",TODAY(),ReCarteira!L1)</f>
        <v>43969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30">
        <f ca="1">DashBoardAux!C13</f>
        <v>10332.049999999999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30">
        <f ca="1">DashBoardAux!C12</f>
        <v>9193.0299999999988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30">
        <f ca="1">DashBoardAux!C14</f>
        <v>1139.0200000000004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0.12390038975180118</v>
      </c>
    </row>
  </sheetData>
  <conditionalFormatting sqref="B11 B14">
    <cfRule type="cellIs" dxfId="5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D4" sqref="D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5"/>
  <sheetViews>
    <sheetView topLeftCell="M1" zoomScale="110" zoomScaleNormal="110" workbookViewId="0">
      <selection activeCell="Q4" sqref="Q4"/>
    </sheetView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  <col min="22" max="22" width="3.5703125" customWidth="1"/>
    <col min="25" max="25" width="13.5703125" customWidth="1"/>
    <col min="26" max="26" width="7.85546875" bestFit="1" customWidth="1"/>
    <col min="27" max="27" width="3.28515625" customWidth="1"/>
    <col min="30" max="30" width="13.140625" customWidth="1"/>
    <col min="31" max="31" width="7.85546875" bestFit="1" customWidth="1"/>
  </cols>
  <sheetData>
    <row r="2" spans="2:31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  <c r="N2" s="22" t="s">
        <v>72</v>
      </c>
      <c r="O2" s="22"/>
      <c r="P2" s="22"/>
      <c r="R2" s="22" t="s">
        <v>75</v>
      </c>
      <c r="S2" s="22"/>
      <c r="T2" s="22"/>
      <c r="U2" s="22"/>
      <c r="W2" s="22" t="s">
        <v>77</v>
      </c>
      <c r="X2" s="22"/>
      <c r="Y2" s="22"/>
      <c r="Z2" s="22"/>
      <c r="AB2" s="22" t="s">
        <v>78</v>
      </c>
      <c r="AC2" s="22"/>
      <c r="AD2" s="22"/>
      <c r="AE2" s="22"/>
    </row>
    <row r="3" spans="2:31" x14ac:dyDescent="0.25">
      <c r="B3" s="21">
        <v>1</v>
      </c>
      <c r="C3" s="20" t="s">
        <v>62</v>
      </c>
      <c r="E3" s="27"/>
      <c r="F3" s="27"/>
      <c r="G3" s="28">
        <v>1</v>
      </c>
      <c r="H3" s="28">
        <v>2</v>
      </c>
      <c r="I3" s="28">
        <v>3</v>
      </c>
      <c r="K3" s="31" t="s">
        <v>63</v>
      </c>
      <c r="L3" s="25">
        <f ca="1">H6</f>
        <v>17506</v>
      </c>
      <c r="N3" s="21" t="s">
        <v>73</v>
      </c>
      <c r="O3" s="21" t="s">
        <v>17</v>
      </c>
      <c r="P3" s="21" t="s">
        <v>74</v>
      </c>
      <c r="R3" s="21" t="s">
        <v>73</v>
      </c>
      <c r="S3" s="21" t="s">
        <v>17</v>
      </c>
      <c r="T3" s="21" t="s">
        <v>74</v>
      </c>
      <c r="U3" s="21" t="s">
        <v>76</v>
      </c>
      <c r="W3" s="21" t="s">
        <v>73</v>
      </c>
      <c r="X3" s="21" t="s">
        <v>17</v>
      </c>
      <c r="Y3" s="21" t="s">
        <v>74</v>
      </c>
      <c r="Z3" s="21" t="s">
        <v>76</v>
      </c>
      <c r="AB3" s="21" t="s">
        <v>73</v>
      </c>
      <c r="AC3" s="21" t="s">
        <v>17</v>
      </c>
      <c r="AD3" s="21" t="s">
        <v>74</v>
      </c>
      <c r="AE3" s="21" t="s">
        <v>76</v>
      </c>
    </row>
    <row r="4" spans="2:31" x14ac:dyDescent="0.25">
      <c r="B4" s="21">
        <v>2</v>
      </c>
      <c r="C4" s="20" t="s">
        <v>63</v>
      </c>
      <c r="E4" s="21"/>
      <c r="F4" s="21"/>
      <c r="G4" s="29" t="s">
        <v>62</v>
      </c>
      <c r="H4" s="29" t="s">
        <v>63</v>
      </c>
      <c r="I4" s="29" t="s">
        <v>10</v>
      </c>
      <c r="K4" s="31" t="s">
        <v>10</v>
      </c>
      <c r="L4" s="25">
        <f ca="1">I6</f>
        <v>10332.049999999999</v>
      </c>
      <c r="N4" s="20">
        <v>10</v>
      </c>
      <c r="O4" s="20" t="str">
        <f ca="1">IF($C$8=1,S4,IF($C$8=2,X4,AC4))</f>
        <v>-</v>
      </c>
      <c r="P4" s="20">
        <f ca="1">IF($C$8=1,T4,IF($C$8=2,Y4,AD4))</f>
        <v>0</v>
      </c>
      <c r="R4" s="20">
        <v>10</v>
      </c>
      <c r="S4" s="20" t="str">
        <f ca="1">IF(ISNA(INDEX(TbCarteira[Ativo],U4,1)),"-",INDEX(TbCarteira[Ativo],U4,1))</f>
        <v>-</v>
      </c>
      <c r="T4" s="25">
        <f ca="1">IF(ISNUMBER(LARGE(TbCarteira[Total atual],R4)),LARGE(TbCarteira[Total atual],R4),0)</f>
        <v>0</v>
      </c>
      <c r="U4" s="20" t="e">
        <f ca="1">MATCH(T4,TbCarteira[Total atual],0)</f>
        <v>#N/A</v>
      </c>
      <c r="W4" s="20">
        <v>10</v>
      </c>
      <c r="X4" s="20" t="str">
        <f ca="1">IF(ISNA(INDEX(TbCarteiraAcoes[Ativo],Z4,1)),"-",INDEX(TbCarteiraAcoes[Ativo],Z4,1))</f>
        <v>-</v>
      </c>
      <c r="Y4" s="25">
        <f ca="1">IF(ISNUMBER(LARGE(TbCarteiraAcoes[Total atual],W4)),LARGE(TbCarteiraAcoes[Total atual],W4),0)</f>
        <v>0</v>
      </c>
      <c r="Z4" s="20" t="e">
        <f ca="1">MATCH(Y4,TbCarteiraAcoes[Total atual],0)</f>
        <v>#N/A</v>
      </c>
      <c r="AB4" s="20">
        <v>10</v>
      </c>
      <c r="AC4" s="20" t="str">
        <f ca="1">IF(ISNA(INDEX(TbCarteiraFII[Ativo],AE4,1)),"-",INDEX(TbCarteiraFII[Ativo],AE4,1))</f>
        <v>-</v>
      </c>
      <c r="AD4" s="25">
        <f ca="1">IF(ISNUMBER(LARGE(TbCarteiraFII[Total atual],AB4)),LARGE(TbCarteiraFII[Total atual],AB4),0)</f>
        <v>0</v>
      </c>
      <c r="AE4" s="20" t="e">
        <f ca="1">MATCH(AD4,TbCarteiraFII[Total atual],0)</f>
        <v>#N/A</v>
      </c>
    </row>
    <row r="5" spans="2:31" x14ac:dyDescent="0.25">
      <c r="B5" s="21">
        <v>3</v>
      </c>
      <c r="C5" s="20" t="s">
        <v>64</v>
      </c>
      <c r="E5" s="21">
        <v>1</v>
      </c>
      <c r="F5" s="21" t="s">
        <v>51</v>
      </c>
      <c r="G5" s="25">
        <f ca="1">SUM(TbCarteira[Total aportado])</f>
        <v>26791.03</v>
      </c>
      <c r="H5" s="25">
        <f ca="1">SUMIF(TbCarteira[Tipo],"EMPRESA",TbCarteira[Total aportado])</f>
        <v>17598</v>
      </c>
      <c r="I5" s="25">
        <f ca="1">SUMIF(TbCarteira[Tipo],"FII",TbCarteira[Total aportado])</f>
        <v>9193.0299999999988</v>
      </c>
      <c r="K5" s="31" t="s">
        <v>71</v>
      </c>
      <c r="L5" s="25">
        <f>C9</f>
        <v>15000</v>
      </c>
      <c r="N5" s="20">
        <v>9</v>
      </c>
      <c r="O5" s="20" t="str">
        <f t="shared" ref="O5:O13" ca="1" si="0">IF($C$8=1,S5,IF($C$8=2,X5,AC5))</f>
        <v>-</v>
      </c>
      <c r="P5" s="20">
        <f t="shared" ref="P5:P13" ca="1" si="1">IF($C$8=1,T5,IF($C$8=2,Y5,AD5))</f>
        <v>0</v>
      </c>
      <c r="R5" s="20">
        <v>9</v>
      </c>
      <c r="S5" s="20" t="str">
        <f ca="1">IF(ISNA(INDEX(TbCarteira[Ativo],U5,1)),"-",INDEX(TbCarteira[Ativo],U5,1))</f>
        <v>HGBS11</v>
      </c>
      <c r="T5" s="25">
        <f ca="1">IF(ISNUMBER(LARGE(TbCarteira[Total atual],R5)),LARGE(TbCarteira[Total atual],R5),0)</f>
        <v>1754.82</v>
      </c>
      <c r="U5" s="20">
        <f ca="1">MATCH(T5,TbCarteira[Total atual],0)</f>
        <v>5</v>
      </c>
      <c r="W5" s="20">
        <v>9</v>
      </c>
      <c r="X5" s="20" t="str">
        <f ca="1">IF(ISNA(INDEX(TbCarteiraAcoes[Ativo],Z5,1)),"-",INDEX(TbCarteiraAcoes[Ativo],Z5,1))</f>
        <v>-</v>
      </c>
      <c r="Y5" s="25">
        <f ca="1">IF(ISNUMBER(LARGE(TbCarteiraAcoes[Total atual],W5)),LARGE(TbCarteiraAcoes[Total atual],W5),0)</f>
        <v>0</v>
      </c>
      <c r="Z5" s="20" t="e">
        <f ca="1">MATCH(Y5,TbCarteiraAcoes[Total atual],0)</f>
        <v>#N/A</v>
      </c>
      <c r="AB5" s="20">
        <v>9</v>
      </c>
      <c r="AC5" s="20" t="str">
        <f ca="1">IF(ISNA(INDEX(TbCarteiraFII[Ativo],AE5,1)),"-",INDEX(TbCarteiraFII[Ativo],AE5,1))</f>
        <v>-</v>
      </c>
      <c r="AD5" s="25">
        <f ca="1">IF(ISNUMBER(LARGE(TbCarteiraFII[Total atual],AB5)),LARGE(TbCarteiraFII[Total atual],AB5),0)</f>
        <v>0</v>
      </c>
      <c r="AE5" s="20" t="e">
        <f ca="1">MATCH(AD5,TbCarteiraFII[Total atual],0)</f>
        <v>#N/A</v>
      </c>
    </row>
    <row r="6" spans="2:31" x14ac:dyDescent="0.25">
      <c r="E6" s="21">
        <v>2</v>
      </c>
      <c r="F6" s="21" t="s">
        <v>58</v>
      </c>
      <c r="G6" s="25">
        <f ca="1">SUM(TbCarteira[Total atual])</f>
        <v>27838.05</v>
      </c>
      <c r="H6" s="25">
        <f ca="1">SUMIF(TbCarteira[Tipo],"EMPRESA",TbCarteira[Total atual])</f>
        <v>17506</v>
      </c>
      <c r="I6" s="25">
        <f ca="1">SUMIF(TbCarteira[Tipo],"FII",TbCarteira[Total atual])</f>
        <v>10332.049999999999</v>
      </c>
      <c r="N6" s="20">
        <v>8</v>
      </c>
      <c r="O6" s="20" t="str">
        <f t="shared" ca="1" si="0"/>
        <v>-</v>
      </c>
      <c r="P6" s="20">
        <f t="shared" ca="1" si="1"/>
        <v>0</v>
      </c>
      <c r="R6" s="20">
        <v>8</v>
      </c>
      <c r="S6" s="20" t="str">
        <f ca="1">IF(ISNA(INDEX(TbCarteira[Ativo],U6,1)),"-",INDEX(TbCarteira[Ativo],U6,1))</f>
        <v>TAEE4</v>
      </c>
      <c r="T6" s="25">
        <f ca="1">IF(ISNUMBER(LARGE(TbCarteira[Total atual],R6)),LARGE(TbCarteira[Total atual],R6),0)</f>
        <v>1810.0000000000002</v>
      </c>
      <c r="U6" s="20">
        <f ca="1">MATCH(T6,TbCarteira[Total atual],0)</f>
        <v>9</v>
      </c>
      <c r="W6" s="20">
        <v>8</v>
      </c>
      <c r="X6" s="20" t="str">
        <f ca="1">IF(ISNA(INDEX(TbCarteiraAcoes[Ativo],Z6,1)),"-",INDEX(TbCarteiraAcoes[Ativo],Z6,1))</f>
        <v>-</v>
      </c>
      <c r="Y6" s="25">
        <f ca="1">IF(ISNUMBER(LARGE(TbCarteiraAcoes[Total atual],W6)),LARGE(TbCarteiraAcoes[Total atual],W6),0)</f>
        <v>0</v>
      </c>
      <c r="Z6" s="20" t="e">
        <f ca="1">MATCH(Y6,TbCarteiraAcoes[Total atual],0)</f>
        <v>#N/A</v>
      </c>
      <c r="AB6" s="20">
        <v>8</v>
      </c>
      <c r="AC6" s="20" t="str">
        <f ca="1">IF(ISNA(INDEX(TbCarteiraFII[Ativo],AE6,1)),"-",INDEX(TbCarteiraFII[Ativo],AE6,1))</f>
        <v>-</v>
      </c>
      <c r="AD6" s="25">
        <f ca="1">IF(ISNUMBER(LARGE(TbCarteiraFII[Total atual],AB6)),LARGE(TbCarteiraFII[Total atual],AB6),0)</f>
        <v>0</v>
      </c>
      <c r="AE6" s="20" t="e">
        <f ca="1">MATCH(AD6,TbCarteiraFII[Total atual],0)</f>
        <v>#N/A</v>
      </c>
    </row>
    <row r="7" spans="2:31" x14ac:dyDescent="0.25">
      <c r="B7" s="22" t="s">
        <v>65</v>
      </c>
      <c r="C7" s="22"/>
      <c r="E7" s="21">
        <v>3</v>
      </c>
      <c r="F7" s="21" t="s">
        <v>55</v>
      </c>
      <c r="G7" s="25">
        <f ca="1">SUM(TbCarteira[Valorização])</f>
        <v>1047.0199999999991</v>
      </c>
      <c r="H7" s="25">
        <f ca="1">H6-H5</f>
        <v>-92</v>
      </c>
      <c r="I7" s="25">
        <f ca="1">I6-I5</f>
        <v>1139.0200000000004</v>
      </c>
      <c r="N7" s="20">
        <v>7</v>
      </c>
      <c r="O7" s="20" t="str">
        <f t="shared" ca="1" si="0"/>
        <v>-</v>
      </c>
      <c r="P7" s="20">
        <f t="shared" ca="1" si="1"/>
        <v>0</v>
      </c>
      <c r="R7" s="20">
        <v>7</v>
      </c>
      <c r="S7" s="20" t="str">
        <f ca="1">IF(ISNA(INDEX(TbCarteira[Ativo],U7,1)),"-",INDEX(TbCarteira[Ativo],U7,1))</f>
        <v>CSNA3</v>
      </c>
      <c r="T7" s="25">
        <f ca="1">IF(ISNUMBER(LARGE(TbCarteira[Total atual],R7)),LARGE(TbCarteira[Total atual],R7),0)</f>
        <v>2364</v>
      </c>
      <c r="U7" s="20">
        <f ca="1">MATCH(T7,TbCarteira[Total atual],0)</f>
        <v>1</v>
      </c>
      <c r="W7" s="20">
        <v>7</v>
      </c>
      <c r="X7" s="20" t="str">
        <f ca="1">IF(ISNA(INDEX(TbCarteiraAcoes[Ativo],Z7,1)),"-",INDEX(TbCarteiraAcoes[Ativo],Z7,1))</f>
        <v>-</v>
      </c>
      <c r="Y7" s="25">
        <f ca="1">IF(ISNUMBER(LARGE(TbCarteiraAcoes[Total atual],W7)),LARGE(TbCarteiraAcoes[Total atual],W7),0)</f>
        <v>0</v>
      </c>
      <c r="Z7" s="20" t="e">
        <f ca="1">MATCH(Y7,TbCarteiraAcoes[Total atual],0)</f>
        <v>#N/A</v>
      </c>
      <c r="AB7" s="20">
        <v>7</v>
      </c>
      <c r="AC7" s="20" t="str">
        <f ca="1">IF(ISNA(INDEX(TbCarteiraFII[Ativo],AE7,1)),"-",INDEX(TbCarteiraFII[Ativo],AE7,1))</f>
        <v>-</v>
      </c>
      <c r="AD7" s="25">
        <f ca="1">IF(ISNUMBER(LARGE(TbCarteiraFII[Total atual],AB7)),LARGE(TbCarteiraFII[Total atual],AB7),0)</f>
        <v>0</v>
      </c>
      <c r="AE7" s="20" t="e">
        <f ca="1">MATCH(AD7,TbCarteiraFII[Total atual],0)</f>
        <v>#N/A</v>
      </c>
    </row>
    <row r="8" spans="2:31" x14ac:dyDescent="0.25">
      <c r="B8" s="21" t="s">
        <v>66</v>
      </c>
      <c r="C8" s="20">
        <v>3</v>
      </c>
      <c r="E8" s="21">
        <v>4</v>
      </c>
      <c r="F8" s="21" t="s">
        <v>56</v>
      </c>
      <c r="G8" s="26">
        <f ca="1">G6/G5-1</f>
        <v>3.9080990913749947E-2</v>
      </c>
      <c r="H8" s="26">
        <f ca="1">H6/H5-1</f>
        <v>-5.2278668030457665E-3</v>
      </c>
      <c r="I8" s="26">
        <f ca="1">I6/I5-1</f>
        <v>0.12390038975180118</v>
      </c>
      <c r="N8" s="20">
        <v>6</v>
      </c>
      <c r="O8" s="20" t="str">
        <f t="shared" ca="1" si="0"/>
        <v>-</v>
      </c>
      <c r="P8" s="20">
        <f t="shared" ca="1" si="1"/>
        <v>0</v>
      </c>
      <c r="R8" s="20">
        <v>6</v>
      </c>
      <c r="S8" s="20" t="str">
        <f ca="1">IF(ISNA(INDEX(TbCarteira[Ativo],U8,1)),"-",INDEX(TbCarteira[Ativo],U8,1))</f>
        <v>ITSA4</v>
      </c>
      <c r="T8" s="25">
        <f ca="1">IF(ISNUMBER(LARGE(TbCarteira[Total atual],R8)),LARGE(TbCarteira[Total atual],R8),0)</f>
        <v>2442</v>
      </c>
      <c r="U8" s="20">
        <f ca="1">MATCH(T8,TbCarteira[Total atual],0)</f>
        <v>3</v>
      </c>
      <c r="W8" s="20">
        <v>6</v>
      </c>
      <c r="X8" s="20" t="str">
        <f ca="1">IF(ISNA(INDEX(TbCarteiraAcoes[Ativo],Z8,1)),"-",INDEX(TbCarteiraAcoes[Ativo],Z8,1))</f>
        <v>-</v>
      </c>
      <c r="Y8" s="25">
        <f ca="1">IF(ISNUMBER(LARGE(TbCarteiraAcoes[Total atual],W8)),LARGE(TbCarteiraAcoes[Total atual],W8),0)</f>
        <v>0</v>
      </c>
      <c r="Z8" s="20" t="e">
        <f ca="1">MATCH(Y8,TbCarteiraAcoes[Total atual],0)</f>
        <v>#N/A</v>
      </c>
      <c r="AB8" s="20">
        <v>6</v>
      </c>
      <c r="AC8" s="20" t="str">
        <f ca="1">IF(ISNA(INDEX(TbCarteiraFII[Ativo],AE8,1)),"-",INDEX(TbCarteiraFII[Ativo],AE8,1))</f>
        <v>-</v>
      </c>
      <c r="AD8" s="25">
        <f ca="1">IF(ISNUMBER(LARGE(TbCarteiraFII[Total atual],AB8)),LARGE(TbCarteiraFII[Total atual],AB8),0)</f>
        <v>0</v>
      </c>
      <c r="AE8" s="20" t="e">
        <f ca="1">MATCH(AD8,TbCarteiraFII[Total atual],0)</f>
        <v>#N/A</v>
      </c>
    </row>
    <row r="9" spans="2:31" x14ac:dyDescent="0.25">
      <c r="B9" s="21" t="s">
        <v>67</v>
      </c>
      <c r="C9" s="23">
        <f>DashBoard!E1</f>
        <v>15000</v>
      </c>
      <c r="N9" s="20">
        <v>5</v>
      </c>
      <c r="O9" s="20" t="str">
        <f t="shared" ca="1" si="0"/>
        <v>-</v>
      </c>
      <c r="P9" s="20">
        <f t="shared" ca="1" si="1"/>
        <v>0</v>
      </c>
      <c r="R9" s="20">
        <v>5</v>
      </c>
      <c r="S9" s="20" t="str">
        <f ca="1">IF(ISNA(INDEX(TbCarteira[Ativo],U9,1)),"-",INDEX(TbCarteira[Ativo],U9,1))</f>
        <v>HGRE11</v>
      </c>
      <c r="T9" s="25">
        <f ca="1">IF(ISNUMBER(LARGE(TbCarteira[Total atual],R9)),LARGE(TbCarteira[Total atual],R9),0)</f>
        <v>2696.86</v>
      </c>
      <c r="U9" s="20">
        <f ca="1">MATCH(T9,TbCarteira[Total atual],0)</f>
        <v>7</v>
      </c>
      <c r="W9" s="20">
        <v>5</v>
      </c>
      <c r="X9" s="20" t="str">
        <f ca="1">IF(ISNA(INDEX(TbCarteiraAcoes[Ativo],Z9,1)),"-",INDEX(TbCarteiraAcoes[Ativo],Z9,1))</f>
        <v>TAEE4</v>
      </c>
      <c r="Y9" s="25">
        <f ca="1">IF(ISNUMBER(LARGE(TbCarteiraAcoes[Total atual],W9)),LARGE(TbCarteiraAcoes[Total atual],W9),0)</f>
        <v>1810.0000000000002</v>
      </c>
      <c r="Z9" s="20">
        <f ca="1">MATCH(Y9,TbCarteiraAcoes[Total atual],0)</f>
        <v>5</v>
      </c>
      <c r="AB9" s="20">
        <v>5</v>
      </c>
      <c r="AC9" s="20" t="str">
        <f ca="1">IF(ISNA(INDEX(TbCarteiraFII[Ativo],AE9,1)),"-",INDEX(TbCarteiraFII[Ativo],AE9,1))</f>
        <v>-</v>
      </c>
      <c r="AD9" s="25">
        <f ca="1">IF(ISNUMBER(LARGE(TbCarteiraFII[Total atual],AB9)),LARGE(TbCarteiraFII[Total atual],AB9),0)</f>
        <v>0</v>
      </c>
      <c r="AE9" s="20" t="e">
        <f ca="1">MATCH(AD9,TbCarteiraFII[Total atual],0)</f>
        <v>#N/A</v>
      </c>
    </row>
    <row r="10" spans="2:31" x14ac:dyDescent="0.25">
      <c r="N10" s="20">
        <v>4</v>
      </c>
      <c r="O10" s="20" t="str">
        <f t="shared" ca="1" si="0"/>
        <v>HGBS11</v>
      </c>
      <c r="P10" s="20">
        <f t="shared" ca="1" si="1"/>
        <v>1754.82</v>
      </c>
      <c r="R10" s="20">
        <v>4</v>
      </c>
      <c r="S10" s="20" t="str">
        <f ca="1">IF(ISNA(INDEX(TbCarteira[Ativo],U10,1)),"-",INDEX(TbCarteira[Ativo],U10,1))</f>
        <v>KNRI11</v>
      </c>
      <c r="T10" s="25">
        <f ca="1">IF(ISNUMBER(LARGE(TbCarteira[Total atual],R10)),LARGE(TbCarteira[Total atual],R10),0)</f>
        <v>2914.38</v>
      </c>
      <c r="U10" s="20">
        <f ca="1">MATCH(T10,TbCarteira[Total atual],0)</f>
        <v>8</v>
      </c>
      <c r="W10" s="20">
        <v>4</v>
      </c>
      <c r="X10" s="20" t="str">
        <f ca="1">IF(ISNA(INDEX(TbCarteiraAcoes[Ativo],Z10,1)),"-",INDEX(TbCarteiraAcoes[Ativo],Z10,1))</f>
        <v>CSNA3</v>
      </c>
      <c r="Y10" s="25">
        <f ca="1">IF(ISNUMBER(LARGE(TbCarteiraAcoes[Total atual],W10)),LARGE(TbCarteiraAcoes[Total atual],W10),0)</f>
        <v>2364</v>
      </c>
      <c r="Z10" s="20">
        <f ca="1">MATCH(Y10,TbCarteiraAcoes[Total atual],0)</f>
        <v>1</v>
      </c>
      <c r="AB10" s="20">
        <v>4</v>
      </c>
      <c r="AC10" s="20" t="str">
        <f ca="1">IF(ISNA(INDEX(TbCarteiraFII[Ativo],AE10,1)),"-",INDEX(TbCarteiraFII[Ativo],AE10,1))</f>
        <v>HGBS11</v>
      </c>
      <c r="AD10" s="25">
        <f ca="1">IF(ISNUMBER(LARGE(TbCarteiraFII[Total atual],AB10)),LARGE(TbCarteiraFII[Total atual],AB10),0)</f>
        <v>1754.82</v>
      </c>
      <c r="AE10" s="20">
        <f ca="1">MATCH(AD10,TbCarteiraFII[Total atual],0)</f>
        <v>1</v>
      </c>
    </row>
    <row r="11" spans="2:31" x14ac:dyDescent="0.25">
      <c r="B11" s="22" t="s">
        <v>69</v>
      </c>
      <c r="C11" s="22"/>
      <c r="N11" s="20">
        <v>3</v>
      </c>
      <c r="O11" s="20" t="str">
        <f t="shared" ca="1" si="0"/>
        <v>HGRE11</v>
      </c>
      <c r="P11" s="20">
        <f t="shared" ca="1" si="1"/>
        <v>2696.86</v>
      </c>
      <c r="R11" s="20">
        <v>3</v>
      </c>
      <c r="S11" s="20" t="str">
        <f ca="1">IF(ISNA(INDEX(TbCarteira[Ativo],U11,1)),"-",INDEX(TbCarteira[Ativo],U11,1))</f>
        <v>HGLG11</v>
      </c>
      <c r="T11" s="25">
        <f ca="1">IF(ISNUMBER(LARGE(TbCarteira[Total atual],R11)),LARGE(TbCarteira[Total atual],R11),0)</f>
        <v>2965.99</v>
      </c>
      <c r="U11" s="20">
        <f ca="1">MATCH(T11,TbCarteira[Total atual],0)</f>
        <v>6</v>
      </c>
      <c r="W11" s="20">
        <v>3</v>
      </c>
      <c r="X11" s="20" t="str">
        <f ca="1">IF(ISNA(INDEX(TbCarteiraAcoes[Ativo],Z11,1)),"-",INDEX(TbCarteiraAcoes[Ativo],Z11,1))</f>
        <v>ITSA4</v>
      </c>
      <c r="Y11" s="25">
        <f ca="1">IF(ISNUMBER(LARGE(TbCarteiraAcoes[Total atual],W11)),LARGE(TbCarteiraAcoes[Total atual],W11),0)</f>
        <v>2442</v>
      </c>
      <c r="Z11" s="20">
        <f ca="1">MATCH(Y11,TbCarteiraAcoes[Total atual],0)</f>
        <v>3</v>
      </c>
      <c r="AB11" s="20">
        <v>3</v>
      </c>
      <c r="AC11" s="20" t="str">
        <f ca="1">IF(ISNA(INDEX(TbCarteiraFII[Ativo],AE11,1)),"-",INDEX(TbCarteiraFII[Ativo],AE11,1))</f>
        <v>HGRE11</v>
      </c>
      <c r="AD11" s="25">
        <f ca="1">IF(ISNUMBER(LARGE(TbCarteiraFII[Total atual],AB11)),LARGE(TbCarteiraFII[Total atual],AB11),0)</f>
        <v>2696.86</v>
      </c>
      <c r="AE11" s="20">
        <f ca="1">MATCH(AD11,TbCarteiraFII[Total atual],0)</f>
        <v>3</v>
      </c>
    </row>
    <row r="12" spans="2:31" x14ac:dyDescent="0.25">
      <c r="B12" s="21" t="s">
        <v>51</v>
      </c>
      <c r="C12" s="25">
        <f ca="1">INDEX($G$5:$I$8,E5,$C$8)</f>
        <v>9193.0299999999988</v>
      </c>
      <c r="N12" s="20">
        <v>2</v>
      </c>
      <c r="O12" s="20" t="str">
        <f t="shared" ca="1" si="0"/>
        <v>KNRI11</v>
      </c>
      <c r="P12" s="20">
        <f t="shared" ca="1" si="1"/>
        <v>2914.38</v>
      </c>
      <c r="R12" s="20">
        <v>2</v>
      </c>
      <c r="S12" s="20" t="str">
        <f ca="1">IF(ISNA(INDEX(TbCarteira[Ativo],U12,1)),"-",INDEX(TbCarteira[Ativo],U12,1))</f>
        <v>FLRY3</v>
      </c>
      <c r="T12" s="25">
        <f ca="1">IF(ISNUMBER(LARGE(TbCarteira[Total atual],R12)),LARGE(TbCarteira[Total atual],R12),0)</f>
        <v>4029.9999999999995</v>
      </c>
      <c r="U12" s="20">
        <f ca="1">MATCH(T12,TbCarteira[Total atual],0)</f>
        <v>2</v>
      </c>
      <c r="W12" s="20">
        <v>2</v>
      </c>
      <c r="X12" s="20" t="str">
        <f ca="1">IF(ISNA(INDEX(TbCarteiraAcoes[Ativo],Z12,1)),"-",INDEX(TbCarteiraAcoes[Ativo],Z12,1))</f>
        <v>FLRY3</v>
      </c>
      <c r="Y12" s="25">
        <f ca="1">IF(ISNUMBER(LARGE(TbCarteiraAcoes[Total atual],W12)),LARGE(TbCarteiraAcoes[Total atual],W12),0)</f>
        <v>4029.9999999999995</v>
      </c>
      <c r="Z12" s="20">
        <f ca="1">MATCH(Y12,TbCarteiraAcoes[Total atual],0)</f>
        <v>2</v>
      </c>
      <c r="AB12" s="20">
        <v>2</v>
      </c>
      <c r="AC12" s="20" t="str">
        <f ca="1">IF(ISNA(INDEX(TbCarteiraFII[Ativo],AE12,1)),"-",INDEX(TbCarteiraFII[Ativo],AE12,1))</f>
        <v>KNRI11</v>
      </c>
      <c r="AD12" s="25">
        <f ca="1">IF(ISNUMBER(LARGE(TbCarteiraFII[Total atual],AB12)),LARGE(TbCarteiraFII[Total atual],AB12),0)</f>
        <v>2914.38</v>
      </c>
      <c r="AE12" s="20">
        <f ca="1">MATCH(AD12,TbCarteiraFII[Total atual],0)</f>
        <v>4</v>
      </c>
    </row>
    <row r="13" spans="2:31" x14ac:dyDescent="0.25">
      <c r="B13" s="21" t="s">
        <v>58</v>
      </c>
      <c r="C13" s="25">
        <f t="shared" ref="C13:C15" ca="1" si="2">INDEX($G$5:$I$8,E6,$C$8)</f>
        <v>10332.049999999999</v>
      </c>
      <c r="N13" s="20">
        <v>1</v>
      </c>
      <c r="O13" s="20" t="str">
        <f t="shared" ca="1" si="0"/>
        <v>HGLG11</v>
      </c>
      <c r="P13" s="20">
        <f t="shared" ca="1" si="1"/>
        <v>2965.99</v>
      </c>
      <c r="R13" s="20">
        <v>1</v>
      </c>
      <c r="S13" s="20" t="str">
        <f ca="1">IF(ISNA(INDEX(TbCarteira[Ativo],U13,1)),"-",INDEX(TbCarteira[Ativo],U13,1))</f>
        <v>PETR4</v>
      </c>
      <c r="T13" s="25">
        <f ca="1">IF(ISNUMBER(LARGE(TbCarteira[Total atual],R13)),LARGE(TbCarteira[Total atual],R13),0)</f>
        <v>6859.9999999999991</v>
      </c>
      <c r="U13" s="20">
        <f ca="1">MATCH(T13,TbCarteira[Total atual],0)</f>
        <v>4</v>
      </c>
      <c r="W13" s="20">
        <v>1</v>
      </c>
      <c r="X13" s="20" t="str">
        <f ca="1">IF(ISNA(INDEX(TbCarteiraAcoes[Ativo],Z13,1)),"-",INDEX(TbCarteiraAcoes[Ativo],Z13,1))</f>
        <v>PETR4</v>
      </c>
      <c r="Y13" s="25">
        <f ca="1">IF(ISNUMBER(LARGE(TbCarteiraAcoes[Total atual],W13)),LARGE(TbCarteiraAcoes[Total atual],W13),0)</f>
        <v>6859.9999999999991</v>
      </c>
      <c r="Z13" s="20">
        <f ca="1">MATCH(Y13,TbCarteiraAcoes[Total atual],0)</f>
        <v>4</v>
      </c>
      <c r="AB13" s="20">
        <v>1</v>
      </c>
      <c r="AC13" s="20" t="str">
        <f ca="1">IF(ISNA(INDEX(TbCarteiraFII[Ativo],AE13,1)),"-",INDEX(TbCarteiraFII[Ativo],AE13,1))</f>
        <v>HGLG11</v>
      </c>
      <c r="AD13" s="25">
        <f ca="1">IF(ISNUMBER(LARGE(TbCarteiraFII[Total atual],AB13)),LARGE(TbCarteiraFII[Total atual],AB13),0)</f>
        <v>2965.99</v>
      </c>
      <c r="AE13" s="20">
        <f ca="1">MATCH(AD13,TbCarteiraFII[Total atual],0)</f>
        <v>2</v>
      </c>
    </row>
    <row r="14" spans="2:31" x14ac:dyDescent="0.25">
      <c r="B14" s="21" t="s">
        <v>55</v>
      </c>
      <c r="C14" s="25">
        <f t="shared" ca="1" si="2"/>
        <v>1139.0200000000004</v>
      </c>
    </row>
    <row r="15" spans="2:31" x14ac:dyDescent="0.25">
      <c r="B15" s="21" t="s">
        <v>56</v>
      </c>
      <c r="C15" s="26">
        <f t="shared" ca="1" si="2"/>
        <v>0.12390038975180118</v>
      </c>
    </row>
  </sheetData>
  <conditionalFormatting sqref="G7:I8">
    <cfRule type="cellIs" dxfId="55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5" sqref="A5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54" priority="2" operator="lessThan">
      <formula>0</formula>
    </cfRule>
  </conditionalFormatting>
  <conditionalFormatting sqref="I2:I10">
    <cfRule type="cellIs" dxfId="53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VLOOKUP(TbCarteiraAcoes[[#This Row],[Ativo]],TbAtivos!$B$4:$D$500,2,FALSE)</f>
        <v>EMPRESA</v>
      </c>
      <c r="C2">
        <f>VLOOKUP(TbCarteiraAcoes[[#This Row],[Ativo]],TbAtivos!$B$4:$D$500,3,FALSE)</f>
        <v>7.88</v>
      </c>
      <c r="D2" s="11">
        <f ca="1">SUMIFS(TbAportes[Total],TbAportes[Ativo],TbCarteiraAcoes[[#This Row],[Ativo]],TbAportes[Data],"&lt;="&amp;IF($L$1="",TODAY(),$L$1))</f>
        <v>2810</v>
      </c>
      <c r="E2">
        <f ca="1">SUMIFS(TbAportes[Qte],TbAportes[Ativo],TbCarteiraAcoes[[#This Row],[Ativo]],TbAportes[Data],"&lt;="&amp;IF($L$1="",TODAY(),$L$1))</f>
        <v>300</v>
      </c>
      <c r="F2" s="11">
        <f ca="1">TbCarteiraAcoes[[#This Row],[Total aportado]]/TbCarteiraAcoes[[#This Row],[Total qte]]</f>
        <v>9.3666666666666671</v>
      </c>
      <c r="G2" s="11">
        <f ca="1">TbCarteiraAcoes[[#This Row],[Total qte]]*TbCarteiraAcoes[[#This Row],[Cotação]]</f>
        <v>2364</v>
      </c>
      <c r="H2" s="11">
        <f ca="1">TbCarteiraAcoes[[#This Row],[Total atual]]-TbCarteiraAcoes[[#This Row],[Total aportado]]</f>
        <v>-446</v>
      </c>
      <c r="I2" s="12">
        <f ca="1">TbCarteiraAcoes[[#This Row],[Total atual]]/TbCarteiraAcoes[[#This Row],[Total aportado]]-1</f>
        <v>-0.15871886120996437</v>
      </c>
    </row>
    <row r="3" spans="1:12" x14ac:dyDescent="0.25">
      <c r="A3" t="s">
        <v>6</v>
      </c>
      <c r="B3" t="str">
        <f>VLOOKUP(TbCarteiraAcoes[[#This Row],[Ativo]],TbAtivos!$B$4:$D$500,2,FALSE)</f>
        <v>EMPRESA</v>
      </c>
      <c r="C3">
        <f>VLOOKUP(TbCarteiraAcoes[[#This Row],[Ativo]],TbAtivos!$B$4:$D$500,3,FALSE)</f>
        <v>20.149999999999999</v>
      </c>
      <c r="D3" s="11">
        <f ca="1">SUMIFS(TbAportes[Total],TbAportes[Ativo],TbCarteiraAcoes[[#This Row],[Ativo]],TbAportes[Data],"&lt;="&amp;IF($L$1="",TODAY(),$L$1))</f>
        <v>4027</v>
      </c>
      <c r="E3">
        <f ca="1">SUMIFS(TbAportes[Qte],TbAportes[Ativo],TbCarteiraAcoes[[#This Row],[Ativo]],TbAportes[Data],"&lt;="&amp;IF($L$1="",TODAY(),$L$1))</f>
        <v>200</v>
      </c>
      <c r="F3" s="11">
        <f ca="1">TbCarteiraAcoes[[#This Row],[Total aportado]]/TbCarteiraAcoes[[#This Row],[Total qte]]</f>
        <v>20.135000000000002</v>
      </c>
      <c r="G3" s="11">
        <f ca="1">TbCarteiraAcoes[[#This Row],[Total qte]]*TbCarteiraAcoes[[#This Row],[Cotação]]</f>
        <v>4029.9999999999995</v>
      </c>
      <c r="H3" s="11">
        <f ca="1">TbCarteiraAcoes[[#This Row],[Total atual]]-TbCarteiraAcoes[[#This Row],[Total aportado]]</f>
        <v>2.9999999999995453</v>
      </c>
      <c r="I3" s="12">
        <f ca="1">TbCarteiraAcoes[[#This Row],[Total atual]]/TbCarteiraAcoes[[#This Row],[Total aportado]]-1</f>
        <v>7.4497144276119975E-4</v>
      </c>
    </row>
    <row r="4" spans="1:12" x14ac:dyDescent="0.25">
      <c r="A4" t="s">
        <v>7</v>
      </c>
      <c r="B4" t="str">
        <f>VLOOKUP(TbCarteiraAcoes[[#This Row],[Ativo]],TbAtivos!$B$4:$D$500,2,FALSE)</f>
        <v>EMPRESA</v>
      </c>
      <c r="C4">
        <f>VLOOKUP(TbCarteiraAcoes[[#This Row],[Ativo]],TbAtivos!$B$4:$D$500,3,FALSE)</f>
        <v>8.14</v>
      </c>
      <c r="D4" s="11">
        <f ca="1">SUMIFS(TbAportes[Total],TbAportes[Ativo],TbCarteiraAcoes[[#This Row],[Ativo]],TbAportes[Data],"&lt;="&amp;IF($L$1="",TODAY(),$L$1))</f>
        <v>2512</v>
      </c>
      <c r="E4">
        <f ca="1">SUMIFS(TbAportes[Qte],TbAportes[Ativo],TbCarteiraAcoes[[#This Row],[Ativo]],TbAportes[Data],"&lt;="&amp;IF($L$1="",TODAY(),$L$1))</f>
        <v>300</v>
      </c>
      <c r="F4" s="11">
        <f ca="1">TbCarteiraAcoes[[#This Row],[Total aportado]]/TbCarteiraAcoes[[#This Row],[Total qte]]</f>
        <v>8.3733333333333331</v>
      </c>
      <c r="G4" s="11">
        <f ca="1">TbCarteiraAcoes[[#This Row],[Total qte]]*TbCarteiraAcoes[[#This Row],[Cotação]]</f>
        <v>2442</v>
      </c>
      <c r="H4" s="11">
        <f ca="1">TbCarteiraAcoes[[#This Row],[Total atual]]-TbCarteiraAcoes[[#This Row],[Total aportado]]</f>
        <v>-70</v>
      </c>
      <c r="I4" s="12">
        <f ca="1">TbCarteiraAcoes[[#This Row],[Total atual]]/TbCarteiraAcoes[[#This Row],[Total aportado]]-1</f>
        <v>-2.7866242038216527E-2</v>
      </c>
    </row>
    <row r="5" spans="1:12" x14ac:dyDescent="0.25">
      <c r="A5" t="s">
        <v>8</v>
      </c>
      <c r="B5" t="str">
        <f>VLOOKUP(TbCarteiraAcoes[[#This Row],[Ativo]],TbAtivos!$B$4:$D$500,2,FALSE)</f>
        <v>EMPRESA</v>
      </c>
      <c r="C5">
        <f>VLOOKUP(TbCarteiraAcoes[[#This Row],[Ativo]],TbAtivos!$B$4:$D$500,3,FALSE)</f>
        <v>17.149999999999999</v>
      </c>
      <c r="D5" s="11">
        <f ca="1">SUMIFS(TbAportes[Total],TbAportes[Ativo],TbCarteiraAcoes[[#This Row],[Ativo]],TbAportes[Data],"&lt;="&amp;IF($L$1="",TODAY(),$L$1))</f>
        <v>6614</v>
      </c>
      <c r="E5">
        <f ca="1">SUMIFS(TbAportes[Qte],TbAportes[Ativo],TbCarteiraAcoes[[#This Row],[Ativo]],TbAportes[Data],"&lt;="&amp;IF($L$1="",TODAY(),$L$1))</f>
        <v>400</v>
      </c>
      <c r="F5" s="11">
        <f ca="1">TbCarteiraAcoes[[#This Row],[Total aportado]]/TbCarteiraAcoes[[#This Row],[Total qte]]</f>
        <v>16.535</v>
      </c>
      <c r="G5" s="11">
        <f ca="1">TbCarteiraAcoes[[#This Row],[Total qte]]*TbCarteiraAcoes[[#This Row],[Cotação]]</f>
        <v>6859.9999999999991</v>
      </c>
      <c r="H5" s="11">
        <f ca="1">TbCarteiraAcoes[[#This Row],[Total atual]]-TbCarteiraAcoes[[#This Row],[Total aportado]]</f>
        <v>245.99999999999909</v>
      </c>
      <c r="I5" s="12">
        <f ca="1">TbCarteiraAcoes[[#This Row],[Total atual]]/TbCarteiraAcoes[[#This Row],[Total aportado]]-1</f>
        <v>3.7193831267009259E-2</v>
      </c>
    </row>
    <row r="6" spans="1:12" x14ac:dyDescent="0.25">
      <c r="A6" t="s">
        <v>15</v>
      </c>
      <c r="B6" t="str">
        <f>VLOOKUP(TbCarteiraAcoes[[#This Row],[Ativo]],TbAtivos!$B$4:$D$500,2,FALSE)</f>
        <v>EMPRESA</v>
      </c>
      <c r="C6">
        <f>VLOOKUP(TbCarteiraAcoes[[#This Row],[Ativo]],TbAtivos!$B$4:$D$500,3,FALSE)</f>
        <v>9.0500000000000007</v>
      </c>
      <c r="D6" s="11">
        <f ca="1">SUMIFS(TbAportes[Total],TbAportes[Ativo],TbCarteiraAcoes[[#This Row],[Ativo]],TbAportes[Data],"&lt;="&amp;IF($L$1="",TODAY(),$L$1))</f>
        <v>1635</v>
      </c>
      <c r="E6">
        <f ca="1">SUMIFS(TbAportes[Qte],TbAportes[Ativo],TbCarteiraAcoes[[#This Row],[Ativo]],TbAportes[Data],"&lt;="&amp;IF($L$1="",TODAY(),$L$1))</f>
        <v>200</v>
      </c>
      <c r="F6" s="11">
        <f ca="1">TbCarteiraAcoes[[#This Row],[Total aportado]]/TbCarteiraAcoes[[#This Row],[Total qte]]</f>
        <v>8.1750000000000007</v>
      </c>
      <c r="G6" s="11">
        <f ca="1">TbCarteiraAcoes[[#This Row],[Total qte]]*TbCarteiraAcoes[[#This Row],[Cotação]]</f>
        <v>1810.0000000000002</v>
      </c>
      <c r="H6" s="11">
        <f ca="1">TbCarteiraAcoes[[#This Row],[Total atual]]-TbCarteiraAcoes[[#This Row],[Total aportado]]</f>
        <v>175.00000000000023</v>
      </c>
      <c r="I6" s="12">
        <f ca="1">TbCarteiraAcoes[[#This Row],[Total atual]]/TbCarteiraAcoes[[#This Row],[Total aportado]]-1</f>
        <v>0.10703363914373099</v>
      </c>
    </row>
    <row r="7" spans="1:12" x14ac:dyDescent="0.25">
      <c r="A7" t="s">
        <v>21</v>
      </c>
      <c r="D7" s="11">
        <f ca="1">SUBTOTAL(109,TbCarteiraAcoes[Total aportado])</f>
        <v>17598</v>
      </c>
      <c r="F7"/>
      <c r="G7" s="11">
        <f ca="1">SUBTOTAL(109,TbCarteiraAcoes[Total atual])</f>
        <v>17506</v>
      </c>
      <c r="H7" s="11">
        <f ca="1">SUBTOTAL(109,TbCarteiraAcoes[Valorização])</f>
        <v>-92.000000000001137</v>
      </c>
    </row>
  </sheetData>
  <conditionalFormatting sqref="H2:H6">
    <cfRule type="cellIs" dxfId="43" priority="2" operator="lessThan">
      <formula>0</formula>
    </cfRule>
  </conditionalFormatting>
  <conditionalFormatting sqref="I2:I6">
    <cfRule type="cellIs" dxfId="4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zoomScaleNormal="100" workbookViewId="0">
      <selection activeCell="C3" sqref="C3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9</v>
      </c>
      <c r="B2" t="str">
        <f>VLOOKUP(TbCarteiraFII[[#This Row],[Ativo]],TbAtivos!$B$4:$D$500,2,FALSE)</f>
        <v>FII</v>
      </c>
      <c r="C2">
        <f>VLOOKUP(TbCarteiraFII[[#This Row],[Ativo]],TbAtivos!$B$4:$D$500,3,FALSE)</f>
        <v>194.98</v>
      </c>
      <c r="D2" s="11">
        <f ca="1">SUMIFS(TbAportes[Total],TbAportes[Ativo],TbCarteiraFII[[#This Row],[Ativo]],TbAportes[Data],"&lt;="&amp;IF($L$1="",TODAY(),$L$1))</f>
        <v>1714.35</v>
      </c>
      <c r="E2">
        <f ca="1">SUMIFS(TbAportes[Qte],TbAportes[Ativo],TbCarteiraFII[[#This Row],[Ativo]],TbAportes[Data],"&lt;="&amp;IF($L$1="",TODAY(),$L$1))</f>
        <v>9</v>
      </c>
      <c r="F2" s="11">
        <f ca="1">TbCarteiraFII[[#This Row],[Total aportado]]/TbCarteiraFII[[#This Row],[Total qte]]</f>
        <v>190.48333333333332</v>
      </c>
      <c r="G2" s="11">
        <f ca="1">TbCarteiraFII[[#This Row],[Total qte]]*TbCarteiraFII[[#This Row],[Cotação]]</f>
        <v>1754.82</v>
      </c>
      <c r="H2" s="11">
        <f ca="1">TbCarteiraFII[[#This Row],[Total atual]]-TbCarteiraFII[[#This Row],[Total aportado]]</f>
        <v>40.470000000000027</v>
      </c>
      <c r="I2" s="12">
        <f ca="1">TbCarteiraFII[[#This Row],[Total atual]]/TbCarteiraFII[[#This Row],[Total aportado]]-1</f>
        <v>2.3606614751946919E-2</v>
      </c>
    </row>
    <row r="3" spans="1:12" x14ac:dyDescent="0.25">
      <c r="A3" t="s">
        <v>11</v>
      </c>
      <c r="B3" t="str">
        <f>VLOOKUP(TbCarteiraFII[[#This Row],[Ativo]],TbAtivos!$B$4:$D$500,2,FALSE)</f>
        <v>FII</v>
      </c>
      <c r="C3">
        <f>VLOOKUP(TbCarteiraFII[[#This Row],[Ativo]],TbAtivos!$B$4:$D$500,3,FALSE)</f>
        <v>174.47</v>
      </c>
      <c r="D3" s="11">
        <f ca="1">SUMIFS(TbAportes[Total],TbAportes[Ativo],TbCarteiraFII[[#This Row],[Ativo]],TbAportes[Data],"&lt;="&amp;IF($L$1="",TODAY(),$L$1))</f>
        <v>2350.81</v>
      </c>
      <c r="E3">
        <f ca="1">SUMIFS(TbAportes[Qte],TbAportes[Ativo],TbCarteiraFII[[#This Row],[Ativo]],TbAportes[Data],"&lt;="&amp;IF($L$1="",TODAY(),$L$1))</f>
        <v>17</v>
      </c>
      <c r="F3" s="11">
        <f ca="1">TbCarteiraFII[[#This Row],[Total aportado]]/TbCarteiraFII[[#This Row],[Total qte]]</f>
        <v>138.28294117647059</v>
      </c>
      <c r="G3" s="11">
        <f ca="1">TbCarteiraFII[[#This Row],[Total qte]]*TbCarteiraFII[[#This Row],[Cotação]]</f>
        <v>2965.99</v>
      </c>
      <c r="H3" s="11">
        <f ca="1">TbCarteiraFII[[#This Row],[Total atual]]-TbCarteiraFII[[#This Row],[Total aportado]]</f>
        <v>615.17999999999984</v>
      </c>
      <c r="I3" s="12">
        <f ca="1">TbCarteiraFII[[#This Row],[Total atual]]/TbCarteiraFII[[#This Row],[Total aportado]]-1</f>
        <v>0.26168852438095791</v>
      </c>
    </row>
    <row r="4" spans="1:12" x14ac:dyDescent="0.25">
      <c r="A4" t="s">
        <v>12</v>
      </c>
      <c r="B4" t="str">
        <f>VLOOKUP(TbCarteiraFII[[#This Row],[Ativo]],TbAtivos!$B$4:$D$500,2,FALSE)</f>
        <v>FII</v>
      </c>
      <c r="C4">
        <f>VLOOKUP(TbCarteiraFII[[#This Row],[Ativo]],TbAtivos!$B$4:$D$500,3,FALSE)</f>
        <v>141.94</v>
      </c>
      <c r="D4" s="11">
        <f ca="1">SUMIFS(TbAportes[Total],TbAportes[Ativo],TbCarteiraFII[[#This Row],[Ativo]],TbAportes[Data],"&lt;="&amp;IF($L$1="",TODAY(),$L$1))</f>
        <v>2492.5699999999997</v>
      </c>
      <c r="E4">
        <f ca="1">SUMIFS(TbAportes[Qte],TbAportes[Ativo],TbCarteiraFII[[#This Row],[Ativo]],TbAportes[Data],"&lt;="&amp;IF($L$1="",TODAY(),$L$1))</f>
        <v>19</v>
      </c>
      <c r="F4" s="11">
        <f ca="1">TbCarteiraFII[[#This Row],[Total aportado]]/TbCarteiraFII[[#This Row],[Total qte]]</f>
        <v>131.18789473684208</v>
      </c>
      <c r="G4" s="11">
        <f ca="1">TbCarteiraFII[[#This Row],[Total qte]]*TbCarteiraFII[[#This Row],[Cotação]]</f>
        <v>2696.86</v>
      </c>
      <c r="H4" s="11">
        <f ca="1">TbCarteiraFII[[#This Row],[Total atual]]-TbCarteiraFII[[#This Row],[Total aportado]]</f>
        <v>204.29000000000042</v>
      </c>
      <c r="I4" s="12">
        <f ca="1">TbCarteiraFII[[#This Row],[Total atual]]/TbCarteiraFII[[#This Row],[Total aportado]]-1</f>
        <v>8.1959583883301379E-2</v>
      </c>
    </row>
    <row r="5" spans="1:12" x14ac:dyDescent="0.25">
      <c r="A5" t="s">
        <v>13</v>
      </c>
      <c r="B5" t="str">
        <f>VLOOKUP(TbCarteiraFII[[#This Row],[Ativo]],TbAtivos!$B$4:$D$500,2,FALSE)</f>
        <v>FII</v>
      </c>
      <c r="C5">
        <f>VLOOKUP(TbCarteiraFII[[#This Row],[Ativo]],TbAtivos!$B$4:$D$500,3,FALSE)</f>
        <v>161.91</v>
      </c>
      <c r="D5" s="11">
        <f ca="1">SUMIFS(TbAportes[Total],TbAportes[Ativo],TbCarteiraFII[[#This Row],[Ativo]],TbAportes[Data],"&lt;="&amp;IF($L$1="",TODAY(),$L$1))</f>
        <v>2635.3</v>
      </c>
      <c r="E5">
        <f ca="1">SUMIFS(TbAportes[Qte],TbAportes[Ativo],TbCarteiraFII[[#This Row],[Ativo]],TbAportes[Data],"&lt;="&amp;IF($L$1="",TODAY(),$L$1))</f>
        <v>18</v>
      </c>
      <c r="F5" s="11">
        <f ca="1">TbCarteiraFII[[#This Row],[Total aportado]]/TbCarteiraFII[[#This Row],[Total qte]]</f>
        <v>146.40555555555557</v>
      </c>
      <c r="G5" s="11">
        <f ca="1">TbCarteiraFII[[#This Row],[Total qte]]*TbCarteiraFII[[#This Row],[Cotação]]</f>
        <v>2914.38</v>
      </c>
      <c r="H5" s="11">
        <f ca="1">TbCarteiraFII[[#This Row],[Total atual]]-TbCarteiraFII[[#This Row],[Total aportado]]</f>
        <v>279.07999999999993</v>
      </c>
      <c r="I5" s="12">
        <f ca="1">TbCarteiraFII[[#This Row],[Total atual]]/TbCarteiraFII[[#This Row],[Total aportado]]-1</f>
        <v>0.10590065647174884</v>
      </c>
    </row>
    <row r="6" spans="1:12" x14ac:dyDescent="0.25">
      <c r="A6" t="s">
        <v>21</v>
      </c>
      <c r="D6" s="11">
        <f ca="1">SUBTOTAL(109,TbCarteiraFII[Total aportado])</f>
        <v>9193.0299999999988</v>
      </c>
      <c r="F6"/>
      <c r="G6" s="11">
        <f ca="1">SUBTOTAL(109,TbCarteiraFII[Total atual])</f>
        <v>10332.049999999999</v>
      </c>
      <c r="H6" s="11">
        <f ca="1">SUBTOTAL(109,TbCarteiraFII[Valorização])</f>
        <v>1139.0200000000002</v>
      </c>
    </row>
  </sheetData>
  <conditionalFormatting sqref="H2:I5">
    <cfRule type="cellIs" dxfId="32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8"/>
  <sheetViews>
    <sheetView workbookViewId="0"/>
  </sheetViews>
  <sheetFormatPr defaultRowHeight="15" x14ac:dyDescent="0.25"/>
  <cols>
    <col min="1" max="1" width="21" bestFit="1" customWidth="1"/>
    <col min="2" max="2" width="19.5703125" bestFit="1" customWidth="1"/>
    <col min="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8">
        <v>39.479999999999997</v>
      </c>
      <c r="C5" s="8">
        <v>61</v>
      </c>
      <c r="D5" s="8">
        <v>65.430000000000007</v>
      </c>
      <c r="E5" s="8">
        <v>163.66</v>
      </c>
      <c r="F5" s="8">
        <v>162.75</v>
      </c>
      <c r="G5" s="8">
        <v>156.13999999999999</v>
      </c>
      <c r="H5" s="8">
        <v>166</v>
      </c>
      <c r="I5" s="8">
        <v>162.75</v>
      </c>
      <c r="J5" s="8">
        <v>156.13999999999999</v>
      </c>
      <c r="K5" s="8">
        <v>166</v>
      </c>
      <c r="L5" s="8">
        <v>484.89</v>
      </c>
      <c r="M5" s="8">
        <v>162.75</v>
      </c>
      <c r="N5" s="8">
        <v>1946.99</v>
      </c>
    </row>
    <row r="6" spans="1:14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8"/>
      <c r="K6" s="8">
        <v>166</v>
      </c>
      <c r="L6" s="8"/>
      <c r="M6" s="8"/>
      <c r="N6" s="8">
        <v>166</v>
      </c>
    </row>
    <row r="7" spans="1:14" x14ac:dyDescent="0.25">
      <c r="A7" s="7" t="s">
        <v>6</v>
      </c>
      <c r="B7" s="8"/>
      <c r="C7" s="8"/>
      <c r="D7" s="8"/>
      <c r="E7" s="8">
        <v>163.66</v>
      </c>
      <c r="F7" s="8"/>
      <c r="G7" s="8"/>
      <c r="H7" s="8"/>
      <c r="I7" s="8"/>
      <c r="J7" s="8">
        <v>156.13999999999999</v>
      </c>
      <c r="K7" s="8"/>
      <c r="L7" s="8"/>
      <c r="M7" s="8"/>
      <c r="N7" s="8">
        <v>319.79999999999995</v>
      </c>
    </row>
    <row r="8" spans="1:14" x14ac:dyDescent="0.25">
      <c r="A8" s="7" t="s">
        <v>7</v>
      </c>
      <c r="B8" s="8">
        <v>39.479999999999997</v>
      </c>
      <c r="C8" s="8"/>
      <c r="D8" s="8">
        <v>65.430000000000007</v>
      </c>
      <c r="E8" s="8"/>
      <c r="F8" s="8">
        <v>162.75</v>
      </c>
      <c r="G8" s="8"/>
      <c r="H8" s="8">
        <v>166</v>
      </c>
      <c r="I8" s="8"/>
      <c r="J8" s="8"/>
      <c r="K8" s="8"/>
      <c r="L8" s="8">
        <v>328.75</v>
      </c>
      <c r="M8" s="8"/>
      <c r="N8" s="8">
        <v>762.41</v>
      </c>
    </row>
    <row r="9" spans="1:14" x14ac:dyDescent="0.25">
      <c r="A9" s="7" t="s">
        <v>8</v>
      </c>
      <c r="B9" s="8"/>
      <c r="C9" s="8">
        <v>61</v>
      </c>
      <c r="D9" s="8"/>
      <c r="E9" s="8"/>
      <c r="F9" s="8"/>
      <c r="G9" s="8"/>
      <c r="H9" s="8"/>
      <c r="I9" s="8">
        <v>162.75</v>
      </c>
      <c r="J9" s="8"/>
      <c r="K9" s="8"/>
      <c r="L9" s="8"/>
      <c r="M9" s="8"/>
      <c r="N9" s="8">
        <v>223.75</v>
      </c>
    </row>
    <row r="10" spans="1:14" x14ac:dyDescent="0.25">
      <c r="A10" s="7" t="s">
        <v>15</v>
      </c>
      <c r="B10" s="8"/>
      <c r="C10" s="8"/>
      <c r="D10" s="8"/>
      <c r="E10" s="8"/>
      <c r="F10" s="8"/>
      <c r="G10" s="8">
        <v>156.13999999999999</v>
      </c>
      <c r="H10" s="8"/>
      <c r="I10" s="8"/>
      <c r="J10" s="8"/>
      <c r="K10" s="8"/>
      <c r="L10" s="8">
        <v>156.13999999999999</v>
      </c>
      <c r="M10" s="8">
        <v>162.75</v>
      </c>
      <c r="N10" s="8">
        <v>475.03</v>
      </c>
    </row>
    <row r="11" spans="1:14" x14ac:dyDescent="0.25">
      <c r="A11" s="6" t="s">
        <v>10</v>
      </c>
      <c r="B11" s="8">
        <v>217.66</v>
      </c>
      <c r="C11" s="8">
        <v>228.62</v>
      </c>
      <c r="D11" s="8">
        <v>358.32</v>
      </c>
      <c r="E11" s="8">
        <v>308.72000000000003</v>
      </c>
      <c r="F11" s="8">
        <v>433.18</v>
      </c>
      <c r="G11" s="8">
        <v>358.32</v>
      </c>
      <c r="H11" s="8">
        <v>308.72000000000003</v>
      </c>
      <c r="I11" s="8">
        <v>433.18</v>
      </c>
      <c r="J11" s="8">
        <v>357.29</v>
      </c>
      <c r="K11" s="8">
        <v>308.72000000000003</v>
      </c>
      <c r="L11" s="8">
        <v>1100.22</v>
      </c>
      <c r="M11" s="8">
        <v>433.18</v>
      </c>
      <c r="N11" s="8">
        <v>4846.1299999999992</v>
      </c>
    </row>
    <row r="12" spans="1:14" x14ac:dyDescent="0.25">
      <c r="A12" s="7" t="s">
        <v>9</v>
      </c>
      <c r="B12" s="8">
        <v>63</v>
      </c>
      <c r="C12" s="8">
        <v>75.709999999999994</v>
      </c>
      <c r="D12" s="8">
        <v>61</v>
      </c>
      <c r="E12" s="8">
        <v>37.44</v>
      </c>
      <c r="F12" s="8">
        <v>61</v>
      </c>
      <c r="G12" s="8">
        <v>61</v>
      </c>
      <c r="H12" s="8">
        <v>37.44</v>
      </c>
      <c r="I12" s="8">
        <v>61</v>
      </c>
      <c r="J12" s="8">
        <v>59.97</v>
      </c>
      <c r="K12" s="8">
        <v>37.44</v>
      </c>
      <c r="L12" s="8">
        <v>159.44</v>
      </c>
      <c r="M12" s="8">
        <v>61</v>
      </c>
      <c r="N12" s="8">
        <v>775.44</v>
      </c>
    </row>
    <row r="13" spans="1:14" x14ac:dyDescent="0.25">
      <c r="A13" s="7" t="s">
        <v>11</v>
      </c>
      <c r="B13" s="8">
        <v>81</v>
      </c>
      <c r="C13" s="8">
        <v>39.36</v>
      </c>
      <c r="D13" s="8">
        <v>99</v>
      </c>
      <c r="E13" s="8">
        <v>52.02</v>
      </c>
      <c r="F13" s="8">
        <v>180.6</v>
      </c>
      <c r="G13" s="8">
        <v>99</v>
      </c>
      <c r="H13" s="8">
        <v>52.02</v>
      </c>
      <c r="I13" s="8">
        <v>180.6</v>
      </c>
      <c r="J13" s="8">
        <v>99</v>
      </c>
      <c r="K13" s="8">
        <v>52.02</v>
      </c>
      <c r="L13" s="8">
        <v>331.62</v>
      </c>
      <c r="M13" s="8">
        <v>180.6</v>
      </c>
      <c r="N13" s="8">
        <v>1446.84</v>
      </c>
    </row>
    <row r="14" spans="1:14" x14ac:dyDescent="0.25">
      <c r="A14" s="7" t="s">
        <v>12</v>
      </c>
      <c r="B14" s="8">
        <v>38.89</v>
      </c>
      <c r="C14" s="8">
        <v>51.8</v>
      </c>
      <c r="D14" s="8">
        <v>99.9</v>
      </c>
      <c r="E14" s="8">
        <v>42.14</v>
      </c>
      <c r="F14" s="8">
        <v>38.4</v>
      </c>
      <c r="G14" s="8">
        <v>99.9</v>
      </c>
      <c r="H14" s="8">
        <v>42.14</v>
      </c>
      <c r="I14" s="8">
        <v>38.4</v>
      </c>
      <c r="J14" s="8">
        <v>99.9</v>
      </c>
      <c r="K14" s="8">
        <v>42.14</v>
      </c>
      <c r="L14" s="8">
        <v>180.44</v>
      </c>
      <c r="M14" s="8">
        <v>38.4</v>
      </c>
      <c r="N14" s="8">
        <v>812.44999999999993</v>
      </c>
    </row>
    <row r="15" spans="1:14" x14ac:dyDescent="0.25">
      <c r="A15" s="7" t="s">
        <v>13</v>
      </c>
      <c r="B15" s="8">
        <v>34.770000000000003</v>
      </c>
      <c r="C15" s="8">
        <v>61.75</v>
      </c>
      <c r="D15" s="8">
        <v>98.42</v>
      </c>
      <c r="E15" s="8">
        <v>177.12</v>
      </c>
      <c r="F15" s="8">
        <v>153.18</v>
      </c>
      <c r="G15" s="8">
        <v>98.42</v>
      </c>
      <c r="H15" s="8">
        <v>177.12</v>
      </c>
      <c r="I15" s="8">
        <v>153.18</v>
      </c>
      <c r="J15" s="8">
        <v>98.42</v>
      </c>
      <c r="K15" s="8">
        <v>177.12</v>
      </c>
      <c r="L15" s="8">
        <v>428.72</v>
      </c>
      <c r="M15" s="8">
        <v>153.18</v>
      </c>
      <c r="N15" s="8">
        <v>1811.4</v>
      </c>
    </row>
    <row r="16" spans="1:14" x14ac:dyDescent="0.25">
      <c r="A16" s="6" t="s">
        <v>79</v>
      </c>
      <c r="B16" s="8"/>
      <c r="C16" s="8"/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>
        <v>0</v>
      </c>
    </row>
    <row r="17" spans="1:14" x14ac:dyDescent="0.25">
      <c r="A17" s="7" t="s">
        <v>30</v>
      </c>
      <c r="B17" s="8"/>
      <c r="C17" s="8"/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>
        <v>0</v>
      </c>
    </row>
    <row r="18" spans="1:14" x14ac:dyDescent="0.25">
      <c r="A18" s="6" t="s">
        <v>32</v>
      </c>
      <c r="B18" s="8">
        <v>257.14</v>
      </c>
      <c r="C18" s="8">
        <v>289.62</v>
      </c>
      <c r="D18" s="8">
        <v>423.75000000000006</v>
      </c>
      <c r="E18" s="8">
        <v>472.38</v>
      </c>
      <c r="F18" s="8">
        <v>595.93000000000006</v>
      </c>
      <c r="G18" s="8">
        <v>514.45999999999992</v>
      </c>
      <c r="H18" s="8">
        <v>474.72</v>
      </c>
      <c r="I18" s="8">
        <v>595.93000000000006</v>
      </c>
      <c r="J18" s="8">
        <v>513.42999999999995</v>
      </c>
      <c r="K18" s="8">
        <v>474.72</v>
      </c>
      <c r="L18" s="8">
        <v>1585.11</v>
      </c>
      <c r="M18" s="8">
        <v>595.93000000000006</v>
      </c>
      <c r="N18" s="8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sqref="A1:J1"/>
    </sheetView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2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2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2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2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2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2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2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2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2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2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2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2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2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2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2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2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2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2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2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2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2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2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2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2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2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2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2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2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DashBoard</vt:lpstr>
      <vt:lpstr>DashBoardAux</vt:lpstr>
      <vt:lpstr>ReCarteira</vt:lpstr>
      <vt:lpstr>ReCarteiraAções</vt:lpstr>
      <vt:lpstr>ReCarteiraFII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2020-05-18T13:16:10Z</dcterms:modified>
</cp:coreProperties>
</file>