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52511"/>
  <pivotCaches>
    <pivotCache cacheId="6" r:id="rId11"/>
    <pivotCache cacheId="11" r:id="rId12"/>
  </pivotCaches>
</workbook>
</file>

<file path=xl/calcChain.xml><?xml version="1.0" encoding="utf-8"?>
<calcChain xmlns="http://schemas.openxmlformats.org/spreadsheetml/2006/main">
  <c r="E5" i="10" l="1"/>
  <c r="G5" i="10" s="1"/>
  <c r="D5" i="10"/>
  <c r="C5" i="10"/>
  <c r="B5" i="10"/>
  <c r="E4" i="10"/>
  <c r="G4" i="10" s="1"/>
  <c r="D4" i="10"/>
  <c r="C4" i="10"/>
  <c r="B4" i="10"/>
  <c r="E3" i="10"/>
  <c r="G3" i="10" s="1"/>
  <c r="D3" i="10"/>
  <c r="C3" i="10"/>
  <c r="B3" i="10"/>
  <c r="E2" i="10"/>
  <c r="G2" i="10" s="1"/>
  <c r="D2" i="10"/>
  <c r="C2" i="10"/>
  <c r="B2" i="10"/>
  <c r="E6" i="9"/>
  <c r="G6" i="9" s="1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AD4" i="8" l="1"/>
  <c r="AE4" i="8" s="1"/>
  <c r="F2" i="10"/>
  <c r="F3" i="10"/>
  <c r="F4" i="10"/>
  <c r="AD12" i="8"/>
  <c r="AD8" i="8"/>
  <c r="AD11" i="8"/>
  <c r="AD7" i="8"/>
  <c r="AD10" i="8"/>
  <c r="AD6" i="8"/>
  <c r="AD13" i="8"/>
  <c r="AD9" i="8"/>
  <c r="AD5" i="8"/>
  <c r="F5" i="10"/>
  <c r="H2" i="10"/>
  <c r="I2" i="10"/>
  <c r="G6" i="10"/>
  <c r="H3" i="10"/>
  <c r="I3" i="10"/>
  <c r="H4" i="10"/>
  <c r="I4" i="10"/>
  <c r="H5" i="10"/>
  <c r="I5" i="10"/>
  <c r="D6" i="10"/>
  <c r="D7" i="9"/>
  <c r="F3" i="9"/>
  <c r="F4" i="9"/>
  <c r="F5" i="9"/>
  <c r="F6" i="9"/>
  <c r="G2" i="9"/>
  <c r="G3" i="9"/>
  <c r="I3" i="9" s="1"/>
  <c r="G4" i="9"/>
  <c r="H4" i="9" s="1"/>
  <c r="G5" i="9"/>
  <c r="H6" i="9"/>
  <c r="I6" i="9"/>
  <c r="F2" i="9"/>
  <c r="L5" i="8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G7" i="6" l="1"/>
  <c r="G3" i="6"/>
  <c r="H3" i="6" s="1"/>
  <c r="AD18" i="8"/>
  <c r="AE18" i="8" s="1"/>
  <c r="AC18" i="8" s="1"/>
  <c r="AD22" i="8"/>
  <c r="AE22" i="8" s="1"/>
  <c r="AC22" i="8" s="1"/>
  <c r="AD26" i="8"/>
  <c r="AD19" i="8"/>
  <c r="AD23" i="8"/>
  <c r="AE23" i="8" s="1"/>
  <c r="AC23" i="8" s="1"/>
  <c r="AD25" i="8"/>
  <c r="AE25" i="8" s="1"/>
  <c r="AC25" i="8" s="1"/>
  <c r="AD20" i="8"/>
  <c r="AD24" i="8"/>
  <c r="AD21" i="8"/>
  <c r="AE21" i="8" s="1"/>
  <c r="AC21" i="8" s="1"/>
  <c r="AD17" i="8"/>
  <c r="I2" i="9"/>
  <c r="AE5" i="8"/>
  <c r="AE10" i="8"/>
  <c r="AE12" i="8"/>
  <c r="AE9" i="8"/>
  <c r="AE7" i="8"/>
  <c r="AE6" i="8"/>
  <c r="AE8" i="8"/>
  <c r="AE13" i="8"/>
  <c r="AE11" i="8"/>
  <c r="H3" i="9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H2" i="9"/>
  <c r="Y4" i="8"/>
  <c r="Z4" i="8" s="1"/>
  <c r="I4" i="9"/>
  <c r="H6" i="10"/>
  <c r="G7" i="9"/>
  <c r="I5" i="9"/>
  <c r="H5" i="9"/>
  <c r="I5" i="8"/>
  <c r="H5" i="8"/>
  <c r="G5" i="8"/>
  <c r="D11" i="6"/>
  <c r="I7" i="6"/>
  <c r="F9" i="6"/>
  <c r="F5" i="6"/>
  <c r="G10" i="6"/>
  <c r="H10" i="6" s="1"/>
  <c r="G6" i="6"/>
  <c r="G2" i="6"/>
  <c r="G9" i="6"/>
  <c r="I9" i="6" s="1"/>
  <c r="G5" i="6"/>
  <c r="I5" i="6" s="1"/>
  <c r="H7" i="6"/>
  <c r="G8" i="6"/>
  <c r="I8" i="6" s="1"/>
  <c r="G4" i="6"/>
  <c r="I4" i="6" s="1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I3" i="6" l="1"/>
  <c r="AE24" i="8"/>
  <c r="AC24" i="8" s="1"/>
  <c r="AE19" i="8"/>
  <c r="AC19" i="8" s="1"/>
  <c r="AE20" i="8"/>
  <c r="AC20" i="8" s="1"/>
  <c r="AE26" i="8"/>
  <c r="AC26" i="8" s="1"/>
  <c r="AE17" i="8"/>
  <c r="AC17" i="8" s="1"/>
  <c r="Y18" i="8"/>
  <c r="Y22" i="8"/>
  <c r="Y26" i="8"/>
  <c r="Y25" i="8"/>
  <c r="Y19" i="8"/>
  <c r="Y23" i="8"/>
  <c r="Y20" i="8"/>
  <c r="Y24" i="8"/>
  <c r="Y21" i="8"/>
  <c r="Y17" i="8"/>
  <c r="H7" i="9"/>
  <c r="AC12" i="8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Z25" i="8" l="1"/>
  <c r="X25" i="8" s="1"/>
  <c r="Z20" i="8"/>
  <c r="X20" i="8" s="1"/>
  <c r="Z26" i="8"/>
  <c r="X26" i="8" s="1"/>
  <c r="Z23" i="8"/>
  <c r="X23" i="8" s="1"/>
  <c r="Z22" i="8"/>
  <c r="X22" i="8" s="1"/>
  <c r="Z24" i="8"/>
  <c r="X24" i="8" s="1"/>
  <c r="Z21" i="8"/>
  <c r="X21" i="8" s="1"/>
  <c r="Z19" i="8"/>
  <c r="X19" i="8" s="1"/>
  <c r="Z18" i="8"/>
  <c r="X18" i="8" s="1"/>
  <c r="Z17" i="8"/>
  <c r="X17" i="8" s="1"/>
  <c r="T18" i="8"/>
  <c r="P18" i="8" s="1"/>
  <c r="T22" i="8"/>
  <c r="P22" i="8" s="1"/>
  <c r="T26" i="8"/>
  <c r="P26" i="8" s="1"/>
  <c r="T19" i="8"/>
  <c r="P19" i="8" s="1"/>
  <c r="T23" i="8"/>
  <c r="P23" i="8" s="1"/>
  <c r="T25" i="8"/>
  <c r="P25" i="8" s="1"/>
  <c r="T20" i="8"/>
  <c r="P20" i="8" s="1"/>
  <c r="T24" i="8"/>
  <c r="P24" i="8" s="1"/>
  <c r="T21" i="8"/>
  <c r="P21" i="8" s="1"/>
  <c r="T17" i="8"/>
  <c r="P17" i="8" s="1"/>
  <c r="U11" i="8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I7" i="8"/>
  <c r="I8" i="8"/>
  <c r="H7" i="8"/>
  <c r="H8" i="8"/>
  <c r="G7" i="8"/>
  <c r="H11" i="6"/>
  <c r="U24" i="8" l="1"/>
  <c r="S24" i="8" s="1"/>
  <c r="O24" i="8" s="1"/>
  <c r="U20" i="8"/>
  <c r="S20" i="8" s="1"/>
  <c r="O20" i="8" s="1"/>
  <c r="U26" i="8"/>
  <c r="S26" i="8" s="1"/>
  <c r="O26" i="8" s="1"/>
  <c r="U19" i="8"/>
  <c r="S19" i="8" s="1"/>
  <c r="O19" i="8" s="1"/>
  <c r="U25" i="8"/>
  <c r="S25" i="8" s="1"/>
  <c r="O25" i="8" s="1"/>
  <c r="U22" i="8"/>
  <c r="S22" i="8" s="1"/>
  <c r="O22" i="8" s="1"/>
  <c r="U21" i="8"/>
  <c r="S21" i="8" s="1"/>
  <c r="O21" i="8" s="1"/>
  <c r="U23" i="8"/>
  <c r="S23" i="8" s="1"/>
  <c r="O23" i="8" s="1"/>
  <c r="U18" i="8"/>
  <c r="S18" i="8" s="1"/>
  <c r="O18" i="8" s="1"/>
  <c r="U17" i="8"/>
  <c r="S17" i="8" s="1"/>
  <c r="O17" i="8" s="1"/>
  <c r="C15" i="8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<sst xmlns="http://schemas.openxmlformats.org/spreadsheetml/2006/main" count="318" uniqueCount="83">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</sst>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10" fontId="0" fillId="6" borderId="0" xfId="0" applyNumberFormat="1" applyFill="1"/>
    <xf numFmtId="44" fontId="9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HGBS11</c:v>
                </c:pt>
                <c:pt idx="7">
                  <c:v>HGRE11</c:v>
                </c:pt>
                <c:pt idx="8">
                  <c:v>KNRI11</c:v>
                </c:pt>
                <c:pt idx="9">
                  <c:v>HGLG11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1754.82</c:v>
                </c:pt>
                <c:pt idx="7">
                  <c:v>2696.86</c:v>
                </c:pt>
                <c:pt idx="8">
                  <c:v>2914.38</c:v>
                </c:pt>
                <c:pt idx="9">
                  <c:v>2965.99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3973264"/>
        <c:axId val="377924752"/>
      </c:barChart>
      <c:catAx>
        <c:axId val="4439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924752"/>
        <c:crosses val="autoZero"/>
        <c:auto val="1"/>
        <c:lblAlgn val="ctr"/>
        <c:lblOffset val="100"/>
        <c:noMultiLvlLbl val="0"/>
      </c:catAx>
      <c:valAx>
        <c:axId val="377924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9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200023</xdr:rowOff>
    </xdr:from>
    <xdr:to>
      <xdr:col>5</xdr:col>
      <xdr:colOff>238126</xdr:colOff>
      <xdr:row>14</xdr:row>
      <xdr:rowOff>1423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</xdr:row>
      <xdr:rowOff>200023</xdr:rowOff>
    </xdr:from>
    <xdr:to>
      <xdr:col>5</xdr:col>
      <xdr:colOff>3357562</xdr:colOff>
      <xdr:row>14</xdr:row>
      <xdr:rowOff>1423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06649999997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06650231482" createdVersion="5" refreshedVersion="5" minRefreshableVersion="3" recordCount="28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1" baseItem="2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52">
      <calculatedColumnFormula>VLOOKUP(TbCarteira[[#This Row],[Ativo]],TbAtivos!$B$4:$D$500,2,FALSE)</calculatedColumnFormula>
    </tableColumn>
    <tableColumn id="3" name="Cotação" dataDxfId="51">
      <calculatedColumnFormula>VLOOKUP(TbCarteira[[#This Row],[Ativo]],TbAtivos!$B$4:$D$500,3,FALSE)</calculatedColumnFormula>
    </tableColumn>
    <tableColumn id="4" name="Total aportado" totalsRowFunction="sum" dataDxfId="50">
      <calculatedColumnFormula>SUMIFS(TbAportes[Total],TbAportes[Ativo],TbCarteira[[#This Row],[Ativo]],TbAportes[Data],"&lt;="&amp;IF($L$1="",TODAY(),$L$1))</calculatedColumnFormula>
    </tableColumn>
    <tableColumn id="5" name="Total qte" dataDxfId="49">
      <calculatedColumnFormula>SUMIFS(TbAportes[Qte],TbAportes[Ativo],TbCarteira[[#This Row],[Ativo]],TbAportes[Data],"&lt;="&amp;IF($L$1="",TODAY(),$L$1))</calculatedColumnFormula>
    </tableColumn>
    <tableColumn id="6" name="PM" dataDxfId="48">
      <calculatedColumnFormula>TbCarteira[[#This Row],[Total aportado]]/TbCarteira[[#This Row],[Total qte]]</calculatedColumnFormula>
    </tableColumn>
    <tableColumn id="7" name="Total atual" totalsRowFunction="sum" dataDxfId="47">
      <calculatedColumnFormula>TbCarteira[[#This Row],[Total qte]]*TbCarteira[[#This Row],[Cotação]]</calculatedColumnFormula>
    </tableColumn>
    <tableColumn id="8" name="Valorização" totalsRowFunction="sum" dataDxfId="46">
      <calculatedColumnFormula>TbCarteira[[#This Row],[Total atual]]-TbCarteira[[#This Row],[Total aportado]]</calculatedColumnFormula>
    </tableColumn>
    <tableColumn id="9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CarteiraAcoes" displayName="TbCarteiraAcoes" ref="A1:I7" totalsRowCount="1">
  <autoFilter ref="A1:I6"/>
  <sortState ref="A2:I10">
    <sortCondition ref="B1:B10"/>
  </sortState>
  <tableColumns count="9">
    <tableColumn id="1" name="Ativo" totalsRowLabel="Total"/>
    <tableColumn id="2" name="Tipo" dataDxfId="41">
      <calculatedColumnFormula>VLOOKUP(TbCarteiraAcoes[[#This Row],[Ativo]],TbAtivos!$B$4:$D$500,2,FALSE)</calculatedColumnFormula>
    </tableColumn>
    <tableColumn id="3" name="Cotação" dataDxfId="40">
      <calculatedColumnFormula>VLOOKUP(TbCarteiraAcoes[[#This Row],[Ativo]],TbAtivos!$B$4:$D$500,3,FALSE)</calculatedColumnFormula>
    </tableColumn>
    <tableColumn id="4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name="Total qte" dataDxfId="38">
      <calculatedColumnFormula>SUMIFS(TbAportes[Qte],TbAportes[Ativo],TbCarteiraAcoes[[#This Row],[Ativo]],TbAportes[Data],"&lt;="&amp;IF($L$1="",TODAY(),$L$1))</calculatedColumnFormula>
    </tableColumn>
    <tableColumn id="6" name="PM" dataDxfId="37">
      <calculatedColumnFormula>TbCarteiraAcoes[[#This Row],[Total aportado]]/TbCarteiraAcoes[[#This Row],[Total qte]]</calculatedColumnFormula>
    </tableColumn>
    <tableColumn id="7" name="Total atual" totalsRowFunction="sum" dataDxfId="36">
      <calculatedColumnFormula>TbCarteiraAcoes[[#This Row],[Total qte]]*TbCarteiraAcoes[[#This Row],[Cotação]]</calculatedColumnFormula>
    </tableColumn>
    <tableColumn id="8" name="Valorização" totalsRowFunction="sum" dataDxfId="35">
      <calculatedColumnFormula>TbCarteiraAcoes[[#This Row],[Total atual]]-TbCarteiraAcoes[[#This Row],[Total aportado]]</calculatedColumnFormula>
    </tableColumn>
    <tableColumn id="9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31">
      <calculatedColumnFormula>VLOOKUP(TbCarteiraFII[[#This Row],[Ativo]],TbAtivos!$B$4:$D$500,2,FALSE)</calculatedColumnFormula>
    </tableColumn>
    <tableColumn id="3" name="Cotação" dataDxfId="30">
      <calculatedColumnFormula>VLOOKUP(TbCarteiraFII[[#This Row],[Ativo]],TbAtivos!$B$4:$D$500,3,FALSE)</calculatedColumnFormula>
    </tableColumn>
    <tableColumn id="4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name="Total qte" dataDxfId="28">
      <calculatedColumnFormula>SUMIFS(TbAportes[Qte],TbAportes[Ativo],TbCarteiraFII[[#This Row],[Ativo]],TbAportes[Data],"&lt;="&amp;IF($L$1="",TODAY(),$L$1))</calculatedColumnFormula>
    </tableColumn>
    <tableColumn id="6" name="PM" dataDxfId="27">
      <calculatedColumnFormula>TbCarteiraFII[[#This Row],[Total aportado]]/TbCarteiraFII[[#This Row],[Total qte]]</calculatedColumnFormula>
    </tableColumn>
    <tableColumn id="7" name="Total atual" totalsRowFunction="sum" dataDxfId="26">
      <calculatedColumnFormula>TbCarteiraFII[[#This Row],[Total qte]]*TbCarteiraFII[[#This Row],[Cotação]]</calculatedColumnFormula>
    </tableColumn>
    <tableColumn id="8" name="Valorização" totalsRowFunction="sum" dataDxfId="25">
      <calculatedColumnFormula>TbCarteiraFII[[#This Row],[Total atual]]-TbCarteiraFII[[#This Row],[Total aportado]]</calculatedColumnFormula>
    </tableColumn>
    <tableColumn id="9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16"/>
    <tableColumn id="6" name="Total" dataDxfId="15">
      <calculatedColumnFormula>TbAportes[[#This Row],[Valor unitário]]*TbAportes[[#This Row],[Qte]]+TbAportes[[#This Row],[Custo]]</calculatedColumnFormula>
    </tableColumn>
    <tableColumn id="7" name="Tipo" dataDxfId="14">
      <calculatedColumnFormula>VLOOKUP(TbAportes[[#This Row],[Ativo]],TbAtivos!$B$4:$D$500,2,FALSE)</calculatedColumnFormula>
    </tableColumn>
    <tableColumn id="8" name="Ano" dataDxfId="13">
      <calculatedColumnFormula>YEAR(TbAportes[[#This Row],[Data]])</calculatedColumnFormula>
    </tableColumn>
    <tableColumn id="9" name="Mês" dataDxfId="12">
      <calculatedColumnFormula>MONTH(TbAportes[[#This Row],[Data]])</calculatedColumnFormula>
    </tableColumn>
    <tableColumn id="10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10" dataDxfId="9">
  <autoFilter ref="A1:I72"/>
  <tableColumns count="9">
    <tableColumn id="1" name="Cod" dataDxfId="8"/>
    <tableColumn id="2" name="Ativo" dataDxfId="7"/>
    <tableColumn id="3" name="Qte" dataDxfId="6"/>
    <tableColumn id="4" name="Valor Bruto" dataDxfId="5"/>
    <tableColumn id="5" name="IR" dataDxfId="4"/>
    <tableColumn id="6" name="Valor Líquido" dataDxfId="3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9"/>
      <c r="B1" s="9"/>
      <c r="C1" s="9"/>
      <c r="D1" s="11" t="s">
        <v>40</v>
      </c>
      <c r="E1" s="20">
        <v>15000</v>
      </c>
      <c r="F1" s="9"/>
      <c r="G1" s="12" t="s">
        <v>41</v>
      </c>
      <c r="H1" s="13">
        <f ca="1">IF(ReCarteira!L1="",TODAY(),ReCarteira!L1)</f>
        <v>43969</v>
      </c>
    </row>
    <row r="2" spans="1:8" ht="12.75" customHeight="1" thickBot="1" x14ac:dyDescent="0.3">
      <c r="A2" s="10"/>
      <c r="B2" s="10"/>
      <c r="C2" s="10"/>
      <c r="D2" s="10"/>
      <c r="E2" s="10"/>
      <c r="F2" s="10"/>
      <c r="G2" s="10"/>
      <c r="H2" s="10"/>
    </row>
    <row r="4" spans="1:8" ht="15.75" thickBot="1" x14ac:dyDescent="0.3">
      <c r="B4" s="15" t="s">
        <v>39</v>
      </c>
    </row>
    <row r="5" spans="1:8" ht="37.5" customHeight="1" thickBot="1" x14ac:dyDescent="0.3">
      <c r="B5" s="26">
        <f ca="1">DashBoardAux!C13</f>
        <v>10332.049999999999</v>
      </c>
    </row>
    <row r="7" spans="1:8" ht="15.75" thickBot="1" x14ac:dyDescent="0.3">
      <c r="B7" s="15" t="s">
        <v>32</v>
      </c>
    </row>
    <row r="8" spans="1:8" ht="37.5" customHeight="1" thickBot="1" x14ac:dyDescent="0.3">
      <c r="B8" s="26">
        <f ca="1">DashBoardAux!C12</f>
        <v>9193.0299999999988</v>
      </c>
    </row>
    <row r="10" spans="1:8" ht="15.75" thickBot="1" x14ac:dyDescent="0.3">
      <c r="B10" s="15" t="s">
        <v>36</v>
      </c>
    </row>
    <row r="11" spans="1:8" ht="37.5" customHeight="1" thickBot="1" x14ac:dyDescent="0.3">
      <c r="B11" s="26">
        <f ca="1">DashBoardAux!C14</f>
        <v>1139.0200000000004</v>
      </c>
    </row>
    <row r="13" spans="1:8" ht="15.75" thickBot="1" x14ac:dyDescent="0.3">
      <c r="B13" s="15" t="s">
        <v>37</v>
      </c>
    </row>
    <row r="14" spans="1:8" ht="37.5" customHeight="1" thickBot="1" x14ac:dyDescent="0.3">
      <c r="B14" s="14">
        <f ca="1">DashBoardAux!C15</f>
        <v>0.12390038975180118</v>
      </c>
    </row>
  </sheetData>
  <conditionalFormatting sqref="B11 B14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6"/>
  <sheetViews>
    <sheetView zoomScale="110" zoomScaleNormal="11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18" t="s">
        <v>42</v>
      </c>
      <c r="C2" s="18"/>
      <c r="E2" s="18" t="s">
        <v>49</v>
      </c>
      <c r="F2" s="18"/>
      <c r="G2" s="18"/>
      <c r="H2" s="18"/>
      <c r="I2" s="18"/>
      <c r="K2" s="18" t="s">
        <v>51</v>
      </c>
      <c r="L2" s="18"/>
      <c r="N2" s="18" t="s">
        <v>53</v>
      </c>
      <c r="O2" s="18"/>
      <c r="P2" s="18"/>
      <c r="R2" s="18" t="s">
        <v>56</v>
      </c>
      <c r="S2" s="18"/>
      <c r="T2" s="18"/>
      <c r="U2" s="18"/>
      <c r="W2" s="18" t="s">
        <v>58</v>
      </c>
      <c r="X2" s="18"/>
      <c r="Y2" s="18"/>
      <c r="Z2" s="18"/>
      <c r="AB2" s="18" t="s">
        <v>59</v>
      </c>
      <c r="AC2" s="18"/>
      <c r="AD2" s="18"/>
      <c r="AE2" s="18"/>
    </row>
    <row r="3" spans="2:31" x14ac:dyDescent="0.25">
      <c r="B3" s="17">
        <v>1</v>
      </c>
      <c r="C3" s="16" t="s">
        <v>43</v>
      </c>
      <c r="E3" s="23"/>
      <c r="F3" s="23"/>
      <c r="G3" s="24">
        <v>1</v>
      </c>
      <c r="H3" s="24">
        <v>2</v>
      </c>
      <c r="I3" s="24">
        <v>3</v>
      </c>
      <c r="K3" s="27" t="s">
        <v>44</v>
      </c>
      <c r="L3" s="21">
        <f ca="1">H6</f>
        <v>17506</v>
      </c>
      <c r="N3" s="17" t="s">
        <v>54</v>
      </c>
      <c r="O3" s="17" t="s">
        <v>17</v>
      </c>
      <c r="P3" s="17" t="s">
        <v>55</v>
      </c>
      <c r="R3" s="17" t="s">
        <v>54</v>
      </c>
      <c r="S3" s="17" t="s">
        <v>17</v>
      </c>
      <c r="T3" s="17" t="s">
        <v>55</v>
      </c>
      <c r="U3" s="17" t="s">
        <v>57</v>
      </c>
      <c r="W3" s="17" t="s">
        <v>54</v>
      </c>
      <c r="X3" s="17" t="s">
        <v>17</v>
      </c>
      <c r="Y3" s="17" t="s">
        <v>55</v>
      </c>
      <c r="Z3" s="17" t="s">
        <v>57</v>
      </c>
      <c r="AB3" s="17" t="s">
        <v>54</v>
      </c>
      <c r="AC3" s="17" t="s">
        <v>17</v>
      </c>
      <c r="AD3" s="17" t="s">
        <v>55</v>
      </c>
      <c r="AE3" s="17" t="s">
        <v>57</v>
      </c>
    </row>
    <row r="4" spans="2:31" x14ac:dyDescent="0.25">
      <c r="B4" s="17">
        <v>2</v>
      </c>
      <c r="C4" s="16" t="s">
        <v>44</v>
      </c>
      <c r="E4" s="17"/>
      <c r="F4" s="17"/>
      <c r="G4" s="25" t="s">
        <v>43</v>
      </c>
      <c r="H4" s="25" t="s">
        <v>44</v>
      </c>
      <c r="I4" s="25" t="s">
        <v>10</v>
      </c>
      <c r="K4" s="27" t="s">
        <v>10</v>
      </c>
      <c r="L4" s="21">
        <f ca="1">I6</f>
        <v>10332.049999999999</v>
      </c>
      <c r="N4" s="16">
        <v>10</v>
      </c>
      <c r="O4" s="16" t="str">
        <f ca="1">IF($C$8=1,S4,IF($C$8=2,X4,AC4))</f>
        <v>-</v>
      </c>
      <c r="P4" s="16">
        <f ca="1">IF($C$8=1,T4,IF($C$8=2,Y4,AD4))</f>
        <v>0</v>
      </c>
      <c r="R4" s="16">
        <v>10</v>
      </c>
      <c r="S4" s="16" t="str">
        <f ca="1">IF(ISNA(INDEX(TbCarteira[Ativo],U4,1)),"-",INDEX(TbCarteira[Ativo],U4,1))</f>
        <v>-</v>
      </c>
      <c r="T4" s="21">
        <f ca="1">IF(ISNUMBER(LARGE(TbCarteira[Total atual],R4)),LARGE(TbCarteira[Total atual],R4),0)</f>
        <v>0</v>
      </c>
      <c r="U4" s="16" t="e">
        <f ca="1">MATCH(T4,TbCarteira[Total atual],0)</f>
        <v>#N/A</v>
      </c>
      <c r="W4" s="16">
        <v>10</v>
      </c>
      <c r="X4" s="16" t="str">
        <f ca="1">IF(ISNA(INDEX(TbCarteiraAcoes[Ativo],Z4,1)),"-",INDEX(TbCarteiraAcoes[Ativo],Z4,1))</f>
        <v>-</v>
      </c>
      <c r="Y4" s="21">
        <f ca="1">IF(ISNUMBER(LARGE(TbCarteiraAcoes[Total atual],W4)),LARGE(TbCarteiraAcoes[Total atual],W4),0)</f>
        <v>0</v>
      </c>
      <c r="Z4" s="16" t="e">
        <f ca="1">MATCH(Y4,TbCarteiraAcoes[Total atual],0)</f>
        <v>#N/A</v>
      </c>
      <c r="AB4" s="16">
        <v>10</v>
      </c>
      <c r="AC4" s="16" t="str">
        <f ca="1">IF(ISNA(INDEX(TbCarteiraFII[Ativo],AE4,1)),"-",INDEX(TbCarteiraFII[Ativo],AE4,1))</f>
        <v>-</v>
      </c>
      <c r="AD4" s="21">
        <f ca="1">IF(ISNUMBER(LARGE(TbCarteiraFII[Total atual],AB4)),LARGE(TbCarteiraFII[Total atual],AB4),0)</f>
        <v>0</v>
      </c>
      <c r="AE4" s="16" t="e">
        <f ca="1">MATCH(AD4,TbCarteiraFII[Total atual],0)</f>
        <v>#N/A</v>
      </c>
    </row>
    <row r="5" spans="2:31" x14ac:dyDescent="0.25">
      <c r="B5" s="17">
        <v>3</v>
      </c>
      <c r="C5" s="16" t="s">
        <v>45</v>
      </c>
      <c r="E5" s="17">
        <v>1</v>
      </c>
      <c r="F5" s="17" t="s">
        <v>32</v>
      </c>
      <c r="G5" s="21">
        <f ca="1">SUM(TbCarteira[Total aportado])</f>
        <v>26791.03</v>
      </c>
      <c r="H5" s="21">
        <f ca="1">SUMIF(TbCarteira[Tipo],"EMPRESA",TbCarteira[Total aportado])</f>
        <v>17598</v>
      </c>
      <c r="I5" s="21">
        <f ca="1">SUMIF(TbCarteira[Tipo],"FII",TbCarteira[Total aportado])</f>
        <v>9193.0299999999988</v>
      </c>
      <c r="K5" s="27" t="s">
        <v>52</v>
      </c>
      <c r="L5" s="21">
        <f>C9</f>
        <v>15000</v>
      </c>
      <c r="N5" s="16">
        <v>9</v>
      </c>
      <c r="O5" s="16" t="str">
        <f t="shared" ref="O5:O13" ca="1" si="0">IF($C$8=1,S5,IF($C$8=2,X5,AC5))</f>
        <v>-</v>
      </c>
      <c r="P5" s="16">
        <f t="shared" ref="P5:P13" ca="1" si="1">IF($C$8=1,T5,IF($C$8=2,Y5,AD5))</f>
        <v>0</v>
      </c>
      <c r="R5" s="16">
        <v>9</v>
      </c>
      <c r="S5" s="16" t="str">
        <f ca="1">IF(ISNA(INDEX(TbCarteira[Ativo],U5,1)),"-",INDEX(TbCarteira[Ativo],U5,1))</f>
        <v>HGBS11</v>
      </c>
      <c r="T5" s="21">
        <f ca="1">IF(ISNUMBER(LARGE(TbCarteira[Total atual],R5)),LARGE(TbCarteira[Total atual],R5),0)</f>
        <v>1754.82</v>
      </c>
      <c r="U5" s="16">
        <f ca="1">MATCH(T5,TbCarteira[Total atual],0)</f>
        <v>5</v>
      </c>
      <c r="W5" s="16">
        <v>9</v>
      </c>
      <c r="X5" s="16" t="str">
        <f ca="1">IF(ISNA(INDEX(TbCarteiraAcoes[Ativo],Z5,1)),"-",INDEX(TbCarteiraAcoes[Ativo],Z5,1))</f>
        <v>-</v>
      </c>
      <c r="Y5" s="21">
        <f ca="1">IF(ISNUMBER(LARGE(TbCarteiraAcoes[Total atual],W5)),LARGE(TbCarteiraAcoes[Total atual],W5),0)</f>
        <v>0</v>
      </c>
      <c r="Z5" s="16" t="e">
        <f ca="1">MATCH(Y5,TbCarteiraAcoes[Total atual],0)</f>
        <v>#N/A</v>
      </c>
      <c r="AB5" s="16">
        <v>9</v>
      </c>
      <c r="AC5" s="16" t="str">
        <f ca="1">IF(ISNA(INDEX(TbCarteiraFII[Ativo],AE5,1)),"-",INDEX(TbCarteiraFII[Ativo],AE5,1))</f>
        <v>-</v>
      </c>
      <c r="AD5" s="21">
        <f ca="1">IF(ISNUMBER(LARGE(TbCarteiraFII[Total atual],AB5)),LARGE(TbCarteiraFII[Total atual],AB5),0)</f>
        <v>0</v>
      </c>
      <c r="AE5" s="16" t="e">
        <f ca="1">MATCH(AD5,TbCarteiraFII[Total atual],0)</f>
        <v>#N/A</v>
      </c>
    </row>
    <row r="6" spans="2:31" x14ac:dyDescent="0.25">
      <c r="E6" s="17">
        <v>2</v>
      </c>
      <c r="F6" s="17" t="s">
        <v>39</v>
      </c>
      <c r="G6" s="21">
        <f ca="1">SUM(TbCarteira[Total atual])</f>
        <v>27838.05</v>
      </c>
      <c r="H6" s="21">
        <f ca="1">SUMIF(TbCarteira[Tipo],"EMPRESA",TbCarteira[Total atual])</f>
        <v>17506</v>
      </c>
      <c r="I6" s="21">
        <f ca="1">SUMIF(TbCarteira[Tipo],"FII",TbCarteira[Total atual])</f>
        <v>10332.049999999999</v>
      </c>
      <c r="N6" s="16">
        <v>8</v>
      </c>
      <c r="O6" s="16" t="str">
        <f t="shared" ca="1" si="0"/>
        <v>-</v>
      </c>
      <c r="P6" s="16">
        <f t="shared" ca="1" si="1"/>
        <v>0</v>
      </c>
      <c r="R6" s="16">
        <v>8</v>
      </c>
      <c r="S6" s="16" t="str">
        <f ca="1">IF(ISNA(INDEX(TbCarteira[Ativo],U6,1)),"-",INDEX(TbCarteira[Ativo],U6,1))</f>
        <v>TAEE4</v>
      </c>
      <c r="T6" s="21">
        <f ca="1">IF(ISNUMBER(LARGE(TbCarteira[Total atual],R6)),LARGE(TbCarteira[Total atual],R6),0)</f>
        <v>1810.0000000000002</v>
      </c>
      <c r="U6" s="16">
        <f ca="1">MATCH(T6,TbCarteira[Total atual],0)</f>
        <v>9</v>
      </c>
      <c r="W6" s="16">
        <v>8</v>
      </c>
      <c r="X6" s="16" t="str">
        <f ca="1">IF(ISNA(INDEX(TbCarteiraAcoes[Ativo],Z6,1)),"-",INDEX(TbCarteiraAcoes[Ativo],Z6,1))</f>
        <v>-</v>
      </c>
      <c r="Y6" s="21">
        <f ca="1">IF(ISNUMBER(LARGE(TbCarteiraAcoes[Total atual],W6)),LARGE(TbCarteiraAcoes[Total atual],W6),0)</f>
        <v>0</v>
      </c>
      <c r="Z6" s="16" t="e">
        <f ca="1">MATCH(Y6,TbCarteiraAcoes[Total atual],0)</f>
        <v>#N/A</v>
      </c>
      <c r="AB6" s="16">
        <v>8</v>
      </c>
      <c r="AC6" s="16" t="str">
        <f ca="1">IF(ISNA(INDEX(TbCarteiraFII[Ativo],AE6,1)),"-",INDEX(TbCarteiraFII[Ativo],AE6,1))</f>
        <v>-</v>
      </c>
      <c r="AD6" s="21">
        <f ca="1">IF(ISNUMBER(LARGE(TbCarteiraFII[Total atual],AB6)),LARGE(TbCarteiraFII[Total atual],AB6),0)</f>
        <v>0</v>
      </c>
      <c r="AE6" s="16" t="e">
        <f ca="1">MATCH(AD6,TbCarteiraFII[Total atual],0)</f>
        <v>#N/A</v>
      </c>
    </row>
    <row r="7" spans="2:31" x14ac:dyDescent="0.25">
      <c r="B7" s="18" t="s">
        <v>46</v>
      </c>
      <c r="C7" s="18"/>
      <c r="E7" s="17">
        <v>3</v>
      </c>
      <c r="F7" s="17" t="s">
        <v>36</v>
      </c>
      <c r="G7" s="21">
        <f ca="1">SUM(TbCarteira[Valorização])</f>
        <v>1047.0199999999991</v>
      </c>
      <c r="H7" s="21">
        <f ca="1">H6-H5</f>
        <v>-92</v>
      </c>
      <c r="I7" s="21">
        <f ca="1">I6-I5</f>
        <v>1139.0200000000004</v>
      </c>
      <c r="N7" s="16">
        <v>7</v>
      </c>
      <c r="O7" s="16" t="str">
        <f t="shared" ca="1" si="0"/>
        <v>-</v>
      </c>
      <c r="P7" s="16">
        <f t="shared" ca="1" si="1"/>
        <v>0</v>
      </c>
      <c r="R7" s="16">
        <v>7</v>
      </c>
      <c r="S7" s="16" t="str">
        <f ca="1">IF(ISNA(INDEX(TbCarteira[Ativo],U7,1)),"-",INDEX(TbCarteira[Ativo],U7,1))</f>
        <v>CSNA3</v>
      </c>
      <c r="T7" s="21">
        <f ca="1">IF(ISNUMBER(LARGE(TbCarteira[Total atual],R7)),LARGE(TbCarteira[Total atual],R7),0)</f>
        <v>2364</v>
      </c>
      <c r="U7" s="16">
        <f ca="1">MATCH(T7,TbCarteira[Total atual],0)</f>
        <v>1</v>
      </c>
      <c r="W7" s="16">
        <v>7</v>
      </c>
      <c r="X7" s="16" t="str">
        <f ca="1">IF(ISNA(INDEX(TbCarteiraAcoes[Ativo],Z7,1)),"-",INDEX(TbCarteiraAcoes[Ativo],Z7,1))</f>
        <v>-</v>
      </c>
      <c r="Y7" s="21">
        <f ca="1">IF(ISNUMBER(LARGE(TbCarteiraAcoes[Total atual],W7)),LARGE(TbCarteiraAcoes[Total atual],W7),0)</f>
        <v>0</v>
      </c>
      <c r="Z7" s="16" t="e">
        <f ca="1">MATCH(Y7,TbCarteiraAcoes[Total atual],0)</f>
        <v>#N/A</v>
      </c>
      <c r="AB7" s="16">
        <v>7</v>
      </c>
      <c r="AC7" s="16" t="str">
        <f ca="1">IF(ISNA(INDEX(TbCarteiraFII[Ativo],AE7,1)),"-",INDEX(TbCarteiraFII[Ativo],AE7,1))</f>
        <v>-</v>
      </c>
      <c r="AD7" s="21">
        <f ca="1">IF(ISNUMBER(LARGE(TbCarteiraFII[Total atual],AB7)),LARGE(TbCarteiraFII[Total atual],AB7),0)</f>
        <v>0</v>
      </c>
      <c r="AE7" s="16" t="e">
        <f ca="1">MATCH(AD7,TbCarteiraFII[Total atual],0)</f>
        <v>#N/A</v>
      </c>
    </row>
    <row r="8" spans="2:31" x14ac:dyDescent="0.25">
      <c r="B8" s="17" t="s">
        <v>47</v>
      </c>
      <c r="C8" s="16">
        <v>3</v>
      </c>
      <c r="E8" s="17">
        <v>4</v>
      </c>
      <c r="F8" s="17" t="s">
        <v>37</v>
      </c>
      <c r="G8" s="22">
        <f ca="1">G6/G5-1</f>
        <v>3.9080990913749947E-2</v>
      </c>
      <c r="H8" s="22">
        <f ca="1">H6/H5-1</f>
        <v>-5.2278668030457665E-3</v>
      </c>
      <c r="I8" s="22">
        <f ca="1">I6/I5-1</f>
        <v>0.12390038975180118</v>
      </c>
      <c r="N8" s="16">
        <v>6</v>
      </c>
      <c r="O8" s="16" t="str">
        <f t="shared" ca="1" si="0"/>
        <v>-</v>
      </c>
      <c r="P8" s="16">
        <f t="shared" ca="1" si="1"/>
        <v>0</v>
      </c>
      <c r="R8" s="16">
        <v>6</v>
      </c>
      <c r="S8" s="16" t="str">
        <f ca="1">IF(ISNA(INDEX(TbCarteira[Ativo],U8,1)),"-",INDEX(TbCarteira[Ativo],U8,1))</f>
        <v>ITSA4</v>
      </c>
      <c r="T8" s="21">
        <f ca="1">IF(ISNUMBER(LARGE(TbCarteira[Total atual],R8)),LARGE(TbCarteira[Total atual],R8),0)</f>
        <v>2442</v>
      </c>
      <c r="U8" s="16">
        <f ca="1">MATCH(T8,TbCarteira[Total atual],0)</f>
        <v>3</v>
      </c>
      <c r="W8" s="16">
        <v>6</v>
      </c>
      <c r="X8" s="16" t="str">
        <f ca="1">IF(ISNA(INDEX(TbCarteiraAcoes[Ativo],Z8,1)),"-",INDEX(TbCarteiraAcoes[Ativo],Z8,1))</f>
        <v>-</v>
      </c>
      <c r="Y8" s="21">
        <f ca="1">IF(ISNUMBER(LARGE(TbCarteiraAcoes[Total atual],W8)),LARGE(TbCarteiraAcoes[Total atual],W8),0)</f>
        <v>0</v>
      </c>
      <c r="Z8" s="16" t="e">
        <f ca="1">MATCH(Y8,TbCarteiraAcoes[Total atual],0)</f>
        <v>#N/A</v>
      </c>
      <c r="AB8" s="16">
        <v>6</v>
      </c>
      <c r="AC8" s="16" t="str">
        <f ca="1">IF(ISNA(INDEX(TbCarteiraFII[Ativo],AE8,1)),"-",INDEX(TbCarteiraFII[Ativo],AE8,1))</f>
        <v>-</v>
      </c>
      <c r="AD8" s="21">
        <f ca="1">IF(ISNUMBER(LARGE(TbCarteiraFII[Total atual],AB8)),LARGE(TbCarteiraFII[Total atual],AB8),0)</f>
        <v>0</v>
      </c>
      <c r="AE8" s="16" t="e">
        <f ca="1">MATCH(AD8,TbCarteiraFII[Total atual],0)</f>
        <v>#N/A</v>
      </c>
    </row>
    <row r="9" spans="2:31" x14ac:dyDescent="0.25">
      <c r="B9" s="17" t="s">
        <v>48</v>
      </c>
      <c r="C9" s="19">
        <f>DashBoard!E1</f>
        <v>15000</v>
      </c>
      <c r="N9" s="16">
        <v>5</v>
      </c>
      <c r="O9" s="16" t="str">
        <f t="shared" ca="1" si="0"/>
        <v>-</v>
      </c>
      <c r="P9" s="16">
        <f t="shared" ca="1" si="1"/>
        <v>0</v>
      </c>
      <c r="R9" s="16">
        <v>5</v>
      </c>
      <c r="S9" s="16" t="str">
        <f ca="1">IF(ISNA(INDEX(TbCarteira[Ativo],U9,1)),"-",INDEX(TbCarteira[Ativo],U9,1))</f>
        <v>HGRE11</v>
      </c>
      <c r="T9" s="21">
        <f ca="1">IF(ISNUMBER(LARGE(TbCarteira[Total atual],R9)),LARGE(TbCarteira[Total atual],R9),0)</f>
        <v>2696.86</v>
      </c>
      <c r="U9" s="16">
        <f ca="1">MATCH(T9,TbCarteira[Total atual],0)</f>
        <v>7</v>
      </c>
      <c r="W9" s="16">
        <v>5</v>
      </c>
      <c r="X9" s="16" t="str">
        <f ca="1">IF(ISNA(INDEX(TbCarteiraAcoes[Ativo],Z9,1)),"-",INDEX(TbCarteiraAcoes[Ativo],Z9,1))</f>
        <v>TAEE4</v>
      </c>
      <c r="Y9" s="21">
        <f ca="1">IF(ISNUMBER(LARGE(TbCarteiraAcoes[Total atual],W9)),LARGE(TbCarteiraAcoes[Total atual],W9),0)</f>
        <v>1810.0000000000002</v>
      </c>
      <c r="Z9" s="16">
        <f ca="1">MATCH(Y9,TbCarteiraAcoes[Total atual],0)</f>
        <v>5</v>
      </c>
      <c r="AB9" s="16">
        <v>5</v>
      </c>
      <c r="AC9" s="16" t="str">
        <f ca="1">IF(ISNA(INDEX(TbCarteiraFII[Ativo],AE9,1)),"-",INDEX(TbCarteiraFII[Ativo],AE9,1))</f>
        <v>-</v>
      </c>
      <c r="AD9" s="21">
        <f ca="1">IF(ISNUMBER(LARGE(TbCarteiraFII[Total atual],AB9)),LARGE(TbCarteiraFII[Total atual],AB9),0)</f>
        <v>0</v>
      </c>
      <c r="AE9" s="16" t="e">
        <f ca="1">MATCH(AD9,TbCarteiraFII[Total atual],0)</f>
        <v>#N/A</v>
      </c>
    </row>
    <row r="10" spans="2:31" x14ac:dyDescent="0.25">
      <c r="N10" s="16">
        <v>4</v>
      </c>
      <c r="O10" s="16" t="str">
        <f t="shared" ca="1" si="0"/>
        <v>HGBS11</v>
      </c>
      <c r="P10" s="16">
        <f t="shared" ca="1" si="1"/>
        <v>1754.82</v>
      </c>
      <c r="R10" s="16">
        <v>4</v>
      </c>
      <c r="S10" s="16" t="str">
        <f ca="1">IF(ISNA(INDEX(TbCarteira[Ativo],U10,1)),"-",INDEX(TbCarteira[Ativo],U10,1))</f>
        <v>KNRI11</v>
      </c>
      <c r="T10" s="21">
        <f ca="1">IF(ISNUMBER(LARGE(TbCarteira[Total atual],R10)),LARGE(TbCarteira[Total atual],R10),0)</f>
        <v>2914.38</v>
      </c>
      <c r="U10" s="16">
        <f ca="1">MATCH(T10,TbCarteira[Total atual],0)</f>
        <v>8</v>
      </c>
      <c r="W10" s="16">
        <v>4</v>
      </c>
      <c r="X10" s="16" t="str">
        <f ca="1">IF(ISNA(INDEX(TbCarteiraAcoes[Ativo],Z10,1)),"-",INDEX(TbCarteiraAcoes[Ativo],Z10,1))</f>
        <v>CSNA3</v>
      </c>
      <c r="Y10" s="21">
        <f ca="1">IF(ISNUMBER(LARGE(TbCarteiraAcoes[Total atual],W10)),LARGE(TbCarteiraAcoes[Total atual],W10),0)</f>
        <v>2364</v>
      </c>
      <c r="Z10" s="16">
        <f ca="1">MATCH(Y10,TbCarteiraAcoes[Total atual],0)</f>
        <v>1</v>
      </c>
      <c r="AB10" s="16">
        <v>4</v>
      </c>
      <c r="AC10" s="16" t="str">
        <f ca="1">IF(ISNA(INDEX(TbCarteiraFII[Ativo],AE10,1)),"-",INDEX(TbCarteiraFII[Ativo],AE10,1))</f>
        <v>HGBS11</v>
      </c>
      <c r="AD10" s="21">
        <f ca="1">IF(ISNUMBER(LARGE(TbCarteiraFII[Total atual],AB10)),LARGE(TbCarteiraFII[Total atual],AB10),0)</f>
        <v>1754.82</v>
      </c>
      <c r="AE10" s="16">
        <f ca="1">MATCH(AD10,TbCarteiraFII[Total atual],0)</f>
        <v>1</v>
      </c>
    </row>
    <row r="11" spans="2:31" x14ac:dyDescent="0.25">
      <c r="B11" s="18" t="s">
        <v>50</v>
      </c>
      <c r="C11" s="18"/>
      <c r="N11" s="16">
        <v>3</v>
      </c>
      <c r="O11" s="16" t="str">
        <f t="shared" ca="1" si="0"/>
        <v>HGRE11</v>
      </c>
      <c r="P11" s="16">
        <f t="shared" ca="1" si="1"/>
        <v>2696.86</v>
      </c>
      <c r="R11" s="16">
        <v>3</v>
      </c>
      <c r="S11" s="16" t="str">
        <f ca="1">IF(ISNA(INDEX(TbCarteira[Ativo],U11,1)),"-",INDEX(TbCarteira[Ativo],U11,1))</f>
        <v>HGLG11</v>
      </c>
      <c r="T11" s="21">
        <f ca="1">IF(ISNUMBER(LARGE(TbCarteira[Total atual],R11)),LARGE(TbCarteira[Total atual],R11),0)</f>
        <v>2965.99</v>
      </c>
      <c r="U11" s="16">
        <f ca="1">MATCH(T11,TbCarteira[Total atual],0)</f>
        <v>6</v>
      </c>
      <c r="W11" s="16">
        <v>3</v>
      </c>
      <c r="X11" s="16" t="str">
        <f ca="1">IF(ISNA(INDEX(TbCarteiraAcoes[Ativo],Z11,1)),"-",INDEX(TbCarteiraAcoes[Ativo],Z11,1))</f>
        <v>ITSA4</v>
      </c>
      <c r="Y11" s="21">
        <f ca="1">IF(ISNUMBER(LARGE(TbCarteiraAcoes[Total atual],W11)),LARGE(TbCarteiraAcoes[Total atual],W11),0)</f>
        <v>2442</v>
      </c>
      <c r="Z11" s="16">
        <f ca="1">MATCH(Y11,TbCarteiraAcoes[Total atual],0)</f>
        <v>3</v>
      </c>
      <c r="AB11" s="16">
        <v>3</v>
      </c>
      <c r="AC11" s="16" t="str">
        <f ca="1">IF(ISNA(INDEX(TbCarteiraFII[Ativo],AE11,1)),"-",INDEX(TbCarteiraFII[Ativo],AE11,1))</f>
        <v>HGRE11</v>
      </c>
      <c r="AD11" s="21">
        <f ca="1">IF(ISNUMBER(LARGE(TbCarteiraFII[Total atual],AB11)),LARGE(TbCarteiraFII[Total atual],AB11),0)</f>
        <v>2696.86</v>
      </c>
      <c r="AE11" s="16">
        <f ca="1">MATCH(AD11,TbCarteiraFII[Total atual],0)</f>
        <v>3</v>
      </c>
    </row>
    <row r="12" spans="2:31" x14ac:dyDescent="0.25">
      <c r="B12" s="17" t="s">
        <v>32</v>
      </c>
      <c r="C12" s="21">
        <f ca="1">INDEX($G$5:$I$8,E5,$C$8)</f>
        <v>9193.0299999999988</v>
      </c>
      <c r="N12" s="16">
        <v>2</v>
      </c>
      <c r="O12" s="16" t="str">
        <f t="shared" ca="1" si="0"/>
        <v>KNRI11</v>
      </c>
      <c r="P12" s="16">
        <f t="shared" ca="1" si="1"/>
        <v>2914.38</v>
      </c>
      <c r="R12" s="16">
        <v>2</v>
      </c>
      <c r="S12" s="16" t="str">
        <f ca="1">IF(ISNA(INDEX(TbCarteira[Ativo],U12,1)),"-",INDEX(TbCarteira[Ativo],U12,1))</f>
        <v>FLRY3</v>
      </c>
      <c r="T12" s="21">
        <f ca="1">IF(ISNUMBER(LARGE(TbCarteira[Total atual],R12)),LARGE(TbCarteira[Total atual],R12),0)</f>
        <v>4029.9999999999995</v>
      </c>
      <c r="U12" s="16">
        <f ca="1">MATCH(T12,TbCarteira[Total atual],0)</f>
        <v>2</v>
      </c>
      <c r="W12" s="16">
        <v>2</v>
      </c>
      <c r="X12" s="16" t="str">
        <f ca="1">IF(ISNA(INDEX(TbCarteiraAcoes[Ativo],Z12,1)),"-",INDEX(TbCarteiraAcoes[Ativo],Z12,1))</f>
        <v>FLRY3</v>
      </c>
      <c r="Y12" s="21">
        <f ca="1">IF(ISNUMBER(LARGE(TbCarteiraAcoes[Total atual],W12)),LARGE(TbCarteiraAcoes[Total atual],W12),0)</f>
        <v>4029.9999999999995</v>
      </c>
      <c r="Z12" s="16">
        <f ca="1">MATCH(Y12,TbCarteiraAcoes[Total atual],0)</f>
        <v>2</v>
      </c>
      <c r="AB12" s="16">
        <v>2</v>
      </c>
      <c r="AC12" s="16" t="str">
        <f ca="1">IF(ISNA(INDEX(TbCarteiraFII[Ativo],AE12,1)),"-",INDEX(TbCarteiraFII[Ativo],AE12,1))</f>
        <v>KNRI11</v>
      </c>
      <c r="AD12" s="21">
        <f ca="1">IF(ISNUMBER(LARGE(TbCarteiraFII[Total atual],AB12)),LARGE(TbCarteiraFII[Total atual],AB12),0)</f>
        <v>2914.38</v>
      </c>
      <c r="AE12" s="16">
        <f ca="1">MATCH(AD12,TbCarteiraFII[Total atual],0)</f>
        <v>4</v>
      </c>
    </row>
    <row r="13" spans="2:31" x14ac:dyDescent="0.25">
      <c r="B13" s="17" t="s">
        <v>39</v>
      </c>
      <c r="C13" s="21">
        <f t="shared" ref="C13:C15" ca="1" si="2">INDEX($G$5:$I$8,E6,$C$8)</f>
        <v>10332.049999999999</v>
      </c>
      <c r="N13" s="16">
        <v>1</v>
      </c>
      <c r="O13" s="16" t="str">
        <f t="shared" ca="1" si="0"/>
        <v>HGLG11</v>
      </c>
      <c r="P13" s="16">
        <f t="shared" ca="1" si="1"/>
        <v>2965.99</v>
      </c>
      <c r="R13" s="16">
        <v>1</v>
      </c>
      <c r="S13" s="16" t="str">
        <f ca="1">IF(ISNA(INDEX(TbCarteira[Ativo],U13,1)),"-",INDEX(TbCarteira[Ativo],U13,1))</f>
        <v>PETR4</v>
      </c>
      <c r="T13" s="21">
        <f ca="1">IF(ISNUMBER(LARGE(TbCarteira[Total atual],R13)),LARGE(TbCarteira[Total atual],R13),0)</f>
        <v>6859.9999999999991</v>
      </c>
      <c r="U13" s="16">
        <f ca="1">MATCH(T13,TbCarteira[Total atual],0)</f>
        <v>4</v>
      </c>
      <c r="W13" s="16">
        <v>1</v>
      </c>
      <c r="X13" s="16" t="str">
        <f ca="1">IF(ISNA(INDEX(TbCarteiraAcoes[Ativo],Z13,1)),"-",INDEX(TbCarteiraAcoes[Ativo],Z13,1))</f>
        <v>PETR4</v>
      </c>
      <c r="Y13" s="21">
        <f ca="1">IF(ISNUMBER(LARGE(TbCarteiraAcoes[Total atual],W13)),LARGE(TbCarteiraAcoes[Total atual],W13),0)</f>
        <v>6859.9999999999991</v>
      </c>
      <c r="Z13" s="16">
        <f ca="1">MATCH(Y13,TbCarteiraAcoes[Total atual],0)</f>
        <v>4</v>
      </c>
      <c r="AB13" s="16">
        <v>1</v>
      </c>
      <c r="AC13" s="16" t="str">
        <f ca="1">IF(ISNA(INDEX(TbCarteiraFII[Ativo],AE13,1)),"-",INDEX(TbCarteiraFII[Ativo],AE13,1))</f>
        <v>HGLG11</v>
      </c>
      <c r="AD13" s="21">
        <f ca="1">IF(ISNUMBER(LARGE(TbCarteiraFII[Total atual],AB13)),LARGE(TbCarteiraFII[Total atual],AB13),0)</f>
        <v>2965.99</v>
      </c>
      <c r="AE13" s="16">
        <f ca="1">MATCH(AD13,TbCarteiraFII[Total atual],0)</f>
        <v>2</v>
      </c>
    </row>
    <row r="14" spans="2:31" x14ac:dyDescent="0.25">
      <c r="B14" s="17" t="s">
        <v>36</v>
      </c>
      <c r="C14" s="21">
        <f t="shared" ca="1" si="2"/>
        <v>1139.0200000000004</v>
      </c>
    </row>
    <row r="15" spans="2:31" x14ac:dyDescent="0.25">
      <c r="B15" s="17" t="s">
        <v>37</v>
      </c>
      <c r="C15" s="22">
        <f t="shared" ca="1" si="2"/>
        <v>0.12390038975180118</v>
      </c>
      <c r="N15" s="18" t="s">
        <v>60</v>
      </c>
      <c r="O15" s="18"/>
      <c r="P15" s="18"/>
      <c r="R15" s="18" t="s">
        <v>61</v>
      </c>
      <c r="S15" s="18"/>
      <c r="T15" s="18"/>
      <c r="U15" s="18"/>
      <c r="W15" s="18" t="s">
        <v>62</v>
      </c>
      <c r="X15" s="18"/>
      <c r="Y15" s="18"/>
      <c r="Z15" s="18"/>
      <c r="AB15" s="18" t="s">
        <v>63</v>
      </c>
      <c r="AC15" s="18"/>
      <c r="AD15" s="18"/>
      <c r="AE15" s="18"/>
    </row>
    <row r="16" spans="2:31" x14ac:dyDescent="0.25">
      <c r="N16" s="17" t="s">
        <v>54</v>
      </c>
      <c r="O16" s="17" t="s">
        <v>17</v>
      </c>
      <c r="P16" s="17" t="s">
        <v>55</v>
      </c>
      <c r="R16" s="17" t="s">
        <v>54</v>
      </c>
      <c r="S16" s="17" t="s">
        <v>17</v>
      </c>
      <c r="T16" s="17" t="s">
        <v>37</v>
      </c>
      <c r="U16" s="17" t="s">
        <v>57</v>
      </c>
      <c r="W16" s="17" t="s">
        <v>54</v>
      </c>
      <c r="X16" s="17" t="s">
        <v>17</v>
      </c>
      <c r="Y16" s="17" t="s">
        <v>37</v>
      </c>
      <c r="Z16" s="17" t="s">
        <v>57</v>
      </c>
      <c r="AB16" s="17" t="s">
        <v>54</v>
      </c>
      <c r="AC16" s="17" t="s">
        <v>17</v>
      </c>
      <c r="AD16" s="17" t="s">
        <v>37</v>
      </c>
      <c r="AE16" s="17" t="s">
        <v>57</v>
      </c>
    </row>
    <row r="17" spans="14:31" x14ac:dyDescent="0.25">
      <c r="N17" s="16">
        <v>10</v>
      </c>
      <c r="O17" s="16" t="str">
        <f ca="1">IF($C$8=1,S17,IF($C$8=2,X17,AC17))</f>
        <v>-</v>
      </c>
      <c r="P17" s="16">
        <f ca="1">IF($C$8=1,T17,IF($C$8=2,Y17,AD17))</f>
        <v>0</v>
      </c>
      <c r="R17" s="16">
        <v>10</v>
      </c>
      <c r="S17" s="16" t="str">
        <f ca="1">IF(ISNA(INDEX(TbCarteira[Ativo],U17,1)),"-",INDEX(TbCarteira[Ativo],U17,1))</f>
        <v>-</v>
      </c>
      <c r="T17" s="28">
        <f ca="1">IF(ISNUMBER(LARGE(TbCarteira[Valorização %],R17)),LARGE(TbCarteira[Valorização %],R17),0)</f>
        <v>0</v>
      </c>
      <c r="U17" s="16" t="e">
        <f ca="1">MATCH(T17,TbCarteira[Valorização %],0)</f>
        <v>#N/A</v>
      </c>
      <c r="W17" s="16">
        <v>10</v>
      </c>
      <c r="X17" s="16" t="str">
        <f ca="1">IF(ISNA(INDEX(TbCarteiraAcoes[Ativo],Z17,1)),"-",INDEX(TbCarteiraAcoes[Ativo],Z17,1))</f>
        <v>-</v>
      </c>
      <c r="Y17" s="28">
        <f ca="1">IF(ISNUMBER(LARGE(TbCarteiraAcoes[Valorização %],W17)),LARGE(TbCarteiraAcoes[Valorização %],W17),0)</f>
        <v>0</v>
      </c>
      <c r="Z17" s="16" t="e">
        <f ca="1">MATCH(Y17,TbCarteiraAcoes[Valorização %],0)</f>
        <v>#N/A</v>
      </c>
      <c r="AB17" s="16">
        <v>10</v>
      </c>
      <c r="AC17" s="16" t="str">
        <f ca="1">IF(ISNA(INDEX(TbCarteiraFII[Ativo],AE17,1)),"-",INDEX(TbCarteiraFII[Ativo],AE17,1))</f>
        <v>-</v>
      </c>
      <c r="AD17" s="28">
        <f ca="1">IF(ISNUMBER(LARGE(TbCarteiraFII[Valorização %],AB17)),LARGE(TbCarteiraFII[Valorização %],AB17),0)</f>
        <v>0</v>
      </c>
      <c r="AE17" s="16" t="e">
        <f ca="1">MATCH(AD17,TbCarteiraFII[Valorização %],0)</f>
        <v>#N/A</v>
      </c>
    </row>
    <row r="18" spans="14:31" x14ac:dyDescent="0.25">
      <c r="N18" s="16">
        <v>9</v>
      </c>
      <c r="O18" s="16" t="str">
        <f t="shared" ref="O18:O26" ca="1" si="3">IF($C$8=1,S18,IF($C$8=2,X18,AC18))</f>
        <v>-</v>
      </c>
      <c r="P18" s="16">
        <f t="shared" ref="P18:P26" ca="1" si="4">IF($C$8=1,T18,IF($C$8=2,Y18,AD18))</f>
        <v>0</v>
      </c>
      <c r="R18" s="16">
        <v>9</v>
      </c>
      <c r="S18" s="16" t="str">
        <f ca="1">IF(ISNA(INDEX(TbCarteira[Ativo],U18,1)),"-",INDEX(TbCarteira[Ativo],U18,1))</f>
        <v>CSNA3</v>
      </c>
      <c r="T18" s="28">
        <f ca="1">IF(ISNUMBER(LARGE(TbCarteira[Valorização %],R18)),LARGE(TbCarteira[Valorização %],R18),0)</f>
        <v>-0.15871886120996437</v>
      </c>
      <c r="U18" s="16">
        <f ca="1">MATCH(T18,TbCarteira[Valorização %],0)</f>
        <v>1</v>
      </c>
      <c r="W18" s="16">
        <v>9</v>
      </c>
      <c r="X18" s="16" t="str">
        <f ca="1">IF(ISNA(INDEX(TbCarteiraAcoes[Ativo],Z18,1)),"-",INDEX(TbCarteiraAcoes[Ativo],Z18,1))</f>
        <v>-</v>
      </c>
      <c r="Y18" s="28">
        <f ca="1">IF(ISNUMBER(LARGE(TbCarteiraAcoes[Valorização %],W18)),LARGE(TbCarteiraAcoes[Valorização %],W18),0)</f>
        <v>0</v>
      </c>
      <c r="Z18" s="16" t="e">
        <f ca="1">MATCH(Y18,TbCarteiraAcoes[Valorização %],0)</f>
        <v>#N/A</v>
      </c>
      <c r="AB18" s="16">
        <v>9</v>
      </c>
      <c r="AC18" s="16" t="str">
        <f ca="1">IF(ISNA(INDEX(TbCarteiraFII[Ativo],AE18,1)),"-",INDEX(TbCarteiraFII[Ativo],AE18,1))</f>
        <v>-</v>
      </c>
      <c r="AD18" s="28">
        <f ca="1">IF(ISNUMBER(LARGE(TbCarteiraFII[Valorização %],AB18)),LARGE(TbCarteiraFII[Valorização %],AB18),0)</f>
        <v>0</v>
      </c>
      <c r="AE18" s="16" t="e">
        <f ca="1">MATCH(AD18,TbCarteiraFII[Valorização %],0)</f>
        <v>#N/A</v>
      </c>
    </row>
    <row r="19" spans="14:31" x14ac:dyDescent="0.25">
      <c r="N19" s="16">
        <v>8</v>
      </c>
      <c r="O19" s="16" t="str">
        <f t="shared" ca="1" si="3"/>
        <v>-</v>
      </c>
      <c r="P19" s="16">
        <f t="shared" ca="1" si="4"/>
        <v>0</v>
      </c>
      <c r="R19" s="16">
        <v>8</v>
      </c>
      <c r="S19" s="16" t="str">
        <f ca="1">IF(ISNA(INDEX(TbCarteira[Ativo],U19,1)),"-",INDEX(TbCarteira[Ativo],U19,1))</f>
        <v>ITSA4</v>
      </c>
      <c r="T19" s="28">
        <f ca="1">IF(ISNUMBER(LARGE(TbCarteira[Valorização %],R19)),LARGE(TbCarteira[Valorização %],R19),0)</f>
        <v>-2.7866242038216527E-2</v>
      </c>
      <c r="U19" s="16">
        <f ca="1">MATCH(T19,TbCarteira[Valorização %],0)</f>
        <v>3</v>
      </c>
      <c r="W19" s="16">
        <v>8</v>
      </c>
      <c r="X19" s="16" t="str">
        <f ca="1">IF(ISNA(INDEX(TbCarteiraAcoes[Ativo],Z19,1)),"-",INDEX(TbCarteiraAcoes[Ativo],Z19,1))</f>
        <v>-</v>
      </c>
      <c r="Y19" s="28">
        <f ca="1">IF(ISNUMBER(LARGE(TbCarteiraAcoes[Valorização %],W19)),LARGE(TbCarteiraAcoes[Valorização %],W19),0)</f>
        <v>0</v>
      </c>
      <c r="Z19" s="16" t="e">
        <f ca="1">MATCH(Y19,TbCarteiraAcoes[Valorização %],0)</f>
        <v>#N/A</v>
      </c>
      <c r="AB19" s="16">
        <v>8</v>
      </c>
      <c r="AC19" s="16" t="str">
        <f ca="1">IF(ISNA(INDEX(TbCarteiraFII[Ativo],AE19,1)),"-",INDEX(TbCarteiraFII[Ativo],AE19,1))</f>
        <v>-</v>
      </c>
      <c r="AD19" s="28">
        <f ca="1">IF(ISNUMBER(LARGE(TbCarteiraFII[Valorização %],AB19)),LARGE(TbCarteiraFII[Valorização %],AB19),0)</f>
        <v>0</v>
      </c>
      <c r="AE19" s="16" t="e">
        <f ca="1">MATCH(AD19,TbCarteiraFII[Valorização %],0)</f>
        <v>#N/A</v>
      </c>
    </row>
    <row r="20" spans="14:31" x14ac:dyDescent="0.25">
      <c r="N20" s="16">
        <v>7</v>
      </c>
      <c r="O20" s="16" t="str">
        <f t="shared" ca="1" si="3"/>
        <v>-</v>
      </c>
      <c r="P20" s="16">
        <f t="shared" ca="1" si="4"/>
        <v>0</v>
      </c>
      <c r="R20" s="16">
        <v>7</v>
      </c>
      <c r="S20" s="16" t="str">
        <f ca="1">IF(ISNA(INDEX(TbCarteira[Ativo],U20,1)),"-",INDEX(TbCarteira[Ativo],U20,1))</f>
        <v>FLRY3</v>
      </c>
      <c r="T20" s="28">
        <f ca="1">IF(ISNUMBER(LARGE(TbCarteira[Valorização %],R20)),LARGE(TbCarteira[Valorização %],R20),0)</f>
        <v>7.4497144276119975E-4</v>
      </c>
      <c r="U20" s="16">
        <f ca="1">MATCH(T20,TbCarteira[Valorização %],0)</f>
        <v>2</v>
      </c>
      <c r="W20" s="16">
        <v>7</v>
      </c>
      <c r="X20" s="16" t="str">
        <f ca="1">IF(ISNA(INDEX(TbCarteiraAcoes[Ativo],Z20,1)),"-",INDEX(TbCarteiraAcoes[Ativo],Z20,1))</f>
        <v>-</v>
      </c>
      <c r="Y20" s="28">
        <f ca="1">IF(ISNUMBER(LARGE(TbCarteiraAcoes[Valorização %],W20)),LARGE(TbCarteiraAcoes[Valorização %],W20),0)</f>
        <v>0</v>
      </c>
      <c r="Z20" s="16" t="e">
        <f ca="1">MATCH(Y20,TbCarteiraAcoes[Valorização %],0)</f>
        <v>#N/A</v>
      </c>
      <c r="AB20" s="16">
        <v>7</v>
      </c>
      <c r="AC20" s="16" t="str">
        <f ca="1">IF(ISNA(INDEX(TbCarteiraFII[Ativo],AE20,1)),"-",INDEX(TbCarteiraFII[Ativo],AE20,1))</f>
        <v>-</v>
      </c>
      <c r="AD20" s="28">
        <f ca="1">IF(ISNUMBER(LARGE(TbCarteiraFII[Valorização %],AB20)),LARGE(TbCarteiraFII[Valorização %],AB20),0)</f>
        <v>0</v>
      </c>
      <c r="AE20" s="16" t="e">
        <f ca="1">MATCH(AD20,TbCarteiraFII[Valorização %],0)</f>
        <v>#N/A</v>
      </c>
    </row>
    <row r="21" spans="14:31" x14ac:dyDescent="0.25">
      <c r="N21" s="16">
        <v>6</v>
      </c>
      <c r="O21" s="16" t="str">
        <f t="shared" ca="1" si="3"/>
        <v>-</v>
      </c>
      <c r="P21" s="16">
        <f t="shared" ca="1" si="4"/>
        <v>0</v>
      </c>
      <c r="R21" s="16">
        <v>6</v>
      </c>
      <c r="S21" s="16" t="str">
        <f ca="1">IF(ISNA(INDEX(TbCarteira[Ativo],U21,1)),"-",INDEX(TbCarteira[Ativo],U21,1))</f>
        <v>HGBS11</v>
      </c>
      <c r="T21" s="28">
        <f ca="1">IF(ISNUMBER(LARGE(TbCarteira[Valorização %],R21)),LARGE(TbCarteira[Valorização %],R21),0)</f>
        <v>2.3606614751946919E-2</v>
      </c>
      <c r="U21" s="16">
        <f ca="1">MATCH(T21,TbCarteira[Valorização %],0)</f>
        <v>5</v>
      </c>
      <c r="W21" s="16">
        <v>6</v>
      </c>
      <c r="X21" s="16" t="str">
        <f ca="1">IF(ISNA(INDEX(TbCarteiraAcoes[Ativo],Z21,1)),"-",INDEX(TbCarteiraAcoes[Ativo],Z21,1))</f>
        <v>-</v>
      </c>
      <c r="Y21" s="28">
        <f ca="1">IF(ISNUMBER(LARGE(TbCarteiraAcoes[Valorização %],W21)),LARGE(TbCarteiraAcoes[Valorização %],W21),0)</f>
        <v>0</v>
      </c>
      <c r="Z21" s="16" t="e">
        <f ca="1">MATCH(Y21,TbCarteiraAcoes[Valorização %],0)</f>
        <v>#N/A</v>
      </c>
      <c r="AB21" s="16">
        <v>6</v>
      </c>
      <c r="AC21" s="16" t="str">
        <f ca="1">IF(ISNA(INDEX(TbCarteiraFII[Ativo],AE21,1)),"-",INDEX(TbCarteiraFII[Ativo],AE21,1))</f>
        <v>-</v>
      </c>
      <c r="AD21" s="28">
        <f ca="1">IF(ISNUMBER(LARGE(TbCarteiraFII[Valorização %],AB21)),LARGE(TbCarteiraFII[Valorização %],AB21),0)</f>
        <v>0</v>
      </c>
      <c r="AE21" s="16" t="e">
        <f ca="1">MATCH(AD21,TbCarteiraFII[Valorização %],0)</f>
        <v>#N/A</v>
      </c>
    </row>
    <row r="22" spans="14:31" x14ac:dyDescent="0.25">
      <c r="N22" s="16">
        <v>5</v>
      </c>
      <c r="O22" s="16" t="str">
        <f t="shared" ca="1" si="3"/>
        <v>-</v>
      </c>
      <c r="P22" s="16">
        <f t="shared" ca="1" si="4"/>
        <v>0</v>
      </c>
      <c r="R22" s="16">
        <v>5</v>
      </c>
      <c r="S22" s="16" t="str">
        <f ca="1">IF(ISNA(INDEX(TbCarteira[Ativo],U22,1)),"-",INDEX(TbCarteira[Ativo],U22,1))</f>
        <v>PETR4</v>
      </c>
      <c r="T22" s="28">
        <f ca="1">IF(ISNUMBER(LARGE(TbCarteira[Valorização %],R22)),LARGE(TbCarteira[Valorização %],R22),0)</f>
        <v>3.7193831267009259E-2</v>
      </c>
      <c r="U22" s="16">
        <f ca="1">MATCH(T22,TbCarteira[Valorização %],0)</f>
        <v>4</v>
      </c>
      <c r="W22" s="16">
        <v>5</v>
      </c>
      <c r="X22" s="16" t="str">
        <f ca="1">IF(ISNA(INDEX(TbCarteiraAcoes[Ativo],Z22,1)),"-",INDEX(TbCarteiraAcoes[Ativo],Z22,1))</f>
        <v>CSNA3</v>
      </c>
      <c r="Y22" s="28">
        <f ca="1">IF(ISNUMBER(LARGE(TbCarteiraAcoes[Valorização %],W22)),LARGE(TbCarteiraAcoes[Valorização %],W22),0)</f>
        <v>-0.15871886120996437</v>
      </c>
      <c r="Z22" s="16">
        <f ca="1">MATCH(Y22,TbCarteiraAcoes[Valorização %],0)</f>
        <v>1</v>
      </c>
      <c r="AB22" s="16">
        <v>5</v>
      </c>
      <c r="AC22" s="16" t="str">
        <f ca="1">IF(ISNA(INDEX(TbCarteiraFII[Ativo],AE22,1)),"-",INDEX(TbCarteiraFII[Ativo],AE22,1))</f>
        <v>-</v>
      </c>
      <c r="AD22" s="28">
        <f ca="1">IF(ISNUMBER(LARGE(TbCarteiraFII[Valorização %],AB22)),LARGE(TbCarteiraFII[Valorização %],AB22),0)</f>
        <v>0</v>
      </c>
      <c r="AE22" s="16" t="e">
        <f ca="1">MATCH(AD22,TbCarteiraFII[Valorização %],0)</f>
        <v>#N/A</v>
      </c>
    </row>
    <row r="23" spans="14:31" x14ac:dyDescent="0.25">
      <c r="N23" s="16">
        <v>4</v>
      </c>
      <c r="O23" s="16" t="str">
        <f t="shared" ca="1" si="3"/>
        <v>HGBS11</v>
      </c>
      <c r="P23" s="16">
        <f t="shared" ca="1" si="4"/>
        <v>2.3606614751946919E-2</v>
      </c>
      <c r="R23" s="16">
        <v>4</v>
      </c>
      <c r="S23" s="16" t="str">
        <f ca="1">IF(ISNA(INDEX(TbCarteira[Ativo],U23,1)),"-",INDEX(TbCarteira[Ativo],U23,1))</f>
        <v>HGRE11</v>
      </c>
      <c r="T23" s="28">
        <f ca="1">IF(ISNUMBER(LARGE(TbCarteira[Valorização %],R23)),LARGE(TbCarteira[Valorização %],R23),0)</f>
        <v>8.1959583883301379E-2</v>
      </c>
      <c r="U23" s="16">
        <f ca="1">MATCH(T23,TbCarteira[Valorização %],0)</f>
        <v>7</v>
      </c>
      <c r="W23" s="16">
        <v>4</v>
      </c>
      <c r="X23" s="16" t="str">
        <f ca="1">IF(ISNA(INDEX(TbCarteiraAcoes[Ativo],Z23,1)),"-",INDEX(TbCarteiraAcoes[Ativo],Z23,1))</f>
        <v>ITSA4</v>
      </c>
      <c r="Y23" s="28">
        <f ca="1">IF(ISNUMBER(LARGE(TbCarteiraAcoes[Valorização %],W23)),LARGE(TbCarteiraAcoes[Valorização %],W23),0)</f>
        <v>-2.7866242038216527E-2</v>
      </c>
      <c r="Z23" s="16">
        <f ca="1">MATCH(Y23,TbCarteiraAcoes[Valorização %],0)</f>
        <v>3</v>
      </c>
      <c r="AB23" s="16">
        <v>4</v>
      </c>
      <c r="AC23" s="16" t="str">
        <f ca="1">IF(ISNA(INDEX(TbCarteiraFII[Ativo],AE23,1)),"-",INDEX(TbCarteiraFII[Ativo],AE23,1))</f>
        <v>HGBS11</v>
      </c>
      <c r="AD23" s="28">
        <f ca="1">IF(ISNUMBER(LARGE(TbCarteiraFII[Valorização %],AB23)),LARGE(TbCarteiraFII[Valorização %],AB23),0)</f>
        <v>2.3606614751946919E-2</v>
      </c>
      <c r="AE23" s="16">
        <f ca="1">MATCH(AD23,TbCarteiraFII[Valorização %],0)</f>
        <v>1</v>
      </c>
    </row>
    <row r="24" spans="14:31" x14ac:dyDescent="0.25">
      <c r="N24" s="16">
        <v>3</v>
      </c>
      <c r="O24" s="16" t="str">
        <f t="shared" ca="1" si="3"/>
        <v>HGRE11</v>
      </c>
      <c r="P24" s="16">
        <f t="shared" ca="1" si="4"/>
        <v>8.1959583883301379E-2</v>
      </c>
      <c r="R24" s="16">
        <v>3</v>
      </c>
      <c r="S24" s="16" t="str">
        <f ca="1">IF(ISNA(INDEX(TbCarteira[Ativo],U24,1)),"-",INDEX(TbCarteira[Ativo],U24,1))</f>
        <v>KNRI11</v>
      </c>
      <c r="T24" s="28">
        <f ca="1">IF(ISNUMBER(LARGE(TbCarteira[Valorização %],R24)),LARGE(TbCarteira[Valorização %],R24),0)</f>
        <v>0.10590065647174884</v>
      </c>
      <c r="U24" s="16">
        <f ca="1">MATCH(T24,TbCarteira[Valorização %],0)</f>
        <v>8</v>
      </c>
      <c r="W24" s="16">
        <v>3</v>
      </c>
      <c r="X24" s="16" t="str">
        <f ca="1">IF(ISNA(INDEX(TbCarteiraAcoes[Ativo],Z24,1)),"-",INDEX(TbCarteiraAcoes[Ativo],Z24,1))</f>
        <v>FLRY3</v>
      </c>
      <c r="Y24" s="28">
        <f ca="1">IF(ISNUMBER(LARGE(TbCarteiraAcoes[Valorização %],W24)),LARGE(TbCarteiraAcoes[Valorização %],W24),0)</f>
        <v>7.4497144276119975E-4</v>
      </c>
      <c r="Z24" s="16">
        <f ca="1">MATCH(Y24,TbCarteiraAcoes[Valorização %],0)</f>
        <v>2</v>
      </c>
      <c r="AB24" s="16">
        <v>3</v>
      </c>
      <c r="AC24" s="16" t="str">
        <f ca="1">IF(ISNA(INDEX(TbCarteiraFII[Ativo],AE24,1)),"-",INDEX(TbCarteiraFII[Ativo],AE24,1))</f>
        <v>HGRE11</v>
      </c>
      <c r="AD24" s="28">
        <f ca="1">IF(ISNUMBER(LARGE(TbCarteiraFII[Valorização %],AB24)),LARGE(TbCarteiraFII[Valorização %],AB24),0)</f>
        <v>8.1959583883301379E-2</v>
      </c>
      <c r="AE24" s="16">
        <f ca="1">MATCH(AD24,TbCarteiraFII[Valorização %],0)</f>
        <v>3</v>
      </c>
    </row>
    <row r="25" spans="14:31" x14ac:dyDescent="0.25">
      <c r="N25" s="16">
        <v>2</v>
      </c>
      <c r="O25" s="16" t="str">
        <f t="shared" ca="1" si="3"/>
        <v>KNRI11</v>
      </c>
      <c r="P25" s="16">
        <f t="shared" ca="1" si="4"/>
        <v>0.10590065647174884</v>
      </c>
      <c r="R25" s="16">
        <v>2</v>
      </c>
      <c r="S25" s="16" t="str">
        <f ca="1">IF(ISNA(INDEX(TbCarteira[Ativo],U25,1)),"-",INDEX(TbCarteira[Ativo],U25,1))</f>
        <v>TAEE4</v>
      </c>
      <c r="T25" s="28">
        <f ca="1">IF(ISNUMBER(LARGE(TbCarteira[Valorização %],R25)),LARGE(TbCarteira[Valorização %],R25),0)</f>
        <v>0.10703363914373099</v>
      </c>
      <c r="U25" s="16">
        <f ca="1">MATCH(T25,TbCarteira[Valorização %],0)</f>
        <v>9</v>
      </c>
      <c r="W25" s="16">
        <v>2</v>
      </c>
      <c r="X25" s="16" t="str">
        <f ca="1">IF(ISNA(INDEX(TbCarteiraAcoes[Ativo],Z25,1)),"-",INDEX(TbCarteiraAcoes[Ativo],Z25,1))</f>
        <v>PETR4</v>
      </c>
      <c r="Y25" s="28">
        <f ca="1">IF(ISNUMBER(LARGE(TbCarteiraAcoes[Valorização %],W25)),LARGE(TbCarteiraAcoes[Valorização %],W25),0)</f>
        <v>3.7193831267009259E-2</v>
      </c>
      <c r="Z25" s="16">
        <f ca="1">MATCH(Y25,TbCarteiraAcoes[Valorização %],0)</f>
        <v>4</v>
      </c>
      <c r="AB25" s="16">
        <v>2</v>
      </c>
      <c r="AC25" s="16" t="str">
        <f ca="1">IF(ISNA(INDEX(TbCarteiraFII[Ativo],AE25,1)),"-",INDEX(TbCarteiraFII[Ativo],AE25,1))</f>
        <v>KNRI11</v>
      </c>
      <c r="AD25" s="28">
        <f ca="1">IF(ISNUMBER(LARGE(TbCarteiraFII[Valorização %],AB25)),LARGE(TbCarteiraFII[Valorização %],AB25),0)</f>
        <v>0.10590065647174884</v>
      </c>
      <c r="AE25" s="16">
        <f ca="1">MATCH(AD25,TbCarteiraFII[Valorização %],0)</f>
        <v>4</v>
      </c>
    </row>
    <row r="26" spans="14:31" x14ac:dyDescent="0.25">
      <c r="N26" s="16">
        <v>1</v>
      </c>
      <c r="O26" s="16" t="str">
        <f t="shared" ca="1" si="3"/>
        <v>HGLG11</v>
      </c>
      <c r="P26" s="16">
        <f t="shared" ca="1" si="4"/>
        <v>0.26168852438095791</v>
      </c>
      <c r="R26" s="16">
        <v>1</v>
      </c>
      <c r="S26" s="16" t="str">
        <f ca="1">IF(ISNA(INDEX(TbCarteira[Ativo],U26,1)),"-",INDEX(TbCarteira[Ativo],U26,1))</f>
        <v>HGLG11</v>
      </c>
      <c r="T26" s="28">
        <f ca="1">IF(ISNUMBER(LARGE(TbCarteira[Valorização %],R26)),LARGE(TbCarteira[Valorização %],R26),0)</f>
        <v>0.26168852438095791</v>
      </c>
      <c r="U26" s="16">
        <f ca="1">MATCH(T26,TbCarteira[Valorização %],0)</f>
        <v>6</v>
      </c>
      <c r="W26" s="16">
        <v>1</v>
      </c>
      <c r="X26" s="16" t="str">
        <f ca="1">IF(ISNA(INDEX(TbCarteiraAcoes[Ativo],Z26,1)),"-",INDEX(TbCarteiraAcoes[Ativo],Z26,1))</f>
        <v>TAEE4</v>
      </c>
      <c r="Y26" s="28">
        <f ca="1">IF(ISNUMBER(LARGE(TbCarteiraAcoes[Valorização %],W26)),LARGE(TbCarteiraAcoes[Valorização %],W26),0)</f>
        <v>0.10703363914373099</v>
      </c>
      <c r="Z26" s="16">
        <f ca="1">MATCH(Y26,TbCarteiraAcoes[Valorização %],0)</f>
        <v>5</v>
      </c>
      <c r="AB26" s="16">
        <v>1</v>
      </c>
      <c r="AC26" s="16" t="str">
        <f ca="1">IF(ISNA(INDEX(TbCarteiraFII[Ativo],AE26,1)),"-",INDEX(TbCarteiraFII[Ativo],AE26,1))</f>
        <v>HGLG11</v>
      </c>
      <c r="AD26" s="28">
        <f ca="1">IF(ISNUMBER(LARGE(TbCarteiraFII[Valorização %],AB26)),LARGE(TbCarteiraFII[Valorização %],AB26),0)</f>
        <v>0.26168852438095791</v>
      </c>
      <c r="AE26" s="16">
        <f ca="1">MATCH(AD26,TbCarteiraFII[Valorização %],0)</f>
        <v>2</v>
      </c>
    </row>
  </sheetData>
  <conditionalFormatting sqref="G7:I8">
    <cfRule type="cellIs" dxfId="5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2" sqref="A2"/>
    </sheetView>
  </sheetViews>
  <sheetFormatPr defaultRowHeight="15" x14ac:dyDescent="0.25"/>
  <cols>
    <col min="3" max="3" width="10.140625" customWidth="1"/>
    <col min="4" max="4" width="16" style="7" customWidth="1"/>
    <col min="5" max="5" width="11" customWidth="1"/>
    <col min="6" max="6" width="13.7109375" style="7" customWidth="1"/>
    <col min="7" max="7" width="14.42578125" style="7" customWidth="1"/>
    <col min="8" max="8" width="13.28515625" style="7" customWidth="1"/>
    <col min="9" max="9" width="15.42578125" style="8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31</v>
      </c>
      <c r="D1" s="7" t="s">
        <v>32</v>
      </c>
      <c r="E1" t="s">
        <v>33</v>
      </c>
      <c r="F1" s="7" t="s">
        <v>34</v>
      </c>
      <c r="G1" s="7" t="s">
        <v>35</v>
      </c>
      <c r="H1" s="7" t="s">
        <v>36</v>
      </c>
      <c r="I1" s="8" t="s">
        <v>37</v>
      </c>
      <c r="K1" s="5" t="s">
        <v>38</v>
      </c>
      <c r="L1" s="6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7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7">
        <f ca="1">TbCarteira[[#This Row],[Total aportado]]/TbCarteira[[#This Row],[Total qte]]</f>
        <v>9.3666666666666671</v>
      </c>
      <c r="G2" s="7">
        <f ca="1">TbCarteira[[#This Row],[Total qte]]*TbCarteira[[#This Row],[Cotação]]</f>
        <v>2364</v>
      </c>
      <c r="H2" s="7">
        <f ca="1">TbCarteira[[#This Row],[Total atual]]-TbCarteira[[#This Row],[Total aportado]]</f>
        <v>-446</v>
      </c>
      <c r="I2" s="8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7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7">
        <f ca="1">TbCarteira[[#This Row],[Total aportado]]/TbCarteira[[#This Row],[Total qte]]</f>
        <v>20.135000000000002</v>
      </c>
      <c r="G3" s="7">
        <f ca="1">TbCarteira[[#This Row],[Total qte]]*TbCarteira[[#This Row],[Cotação]]</f>
        <v>4029.9999999999995</v>
      </c>
      <c r="H3" s="7">
        <f ca="1">TbCarteira[[#This Row],[Total atual]]-TbCarteira[[#This Row],[Total aportado]]</f>
        <v>2.9999999999995453</v>
      </c>
      <c r="I3" s="8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7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7">
        <f ca="1">TbCarteira[[#This Row],[Total aportado]]/TbCarteira[[#This Row],[Total qte]]</f>
        <v>8.3733333333333331</v>
      </c>
      <c r="G4" s="7">
        <f ca="1">TbCarteira[[#This Row],[Total qte]]*TbCarteira[[#This Row],[Cotação]]</f>
        <v>2442</v>
      </c>
      <c r="H4" s="7">
        <f ca="1">TbCarteira[[#This Row],[Total atual]]-TbCarteira[[#This Row],[Total aportado]]</f>
        <v>-70</v>
      </c>
      <c r="I4" s="8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7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7">
        <f ca="1">TbCarteira[[#This Row],[Total aportado]]/TbCarteira[[#This Row],[Total qte]]</f>
        <v>16.535</v>
      </c>
      <c r="G5" s="7">
        <f ca="1">TbCarteira[[#This Row],[Total qte]]*TbCarteira[[#This Row],[Cotação]]</f>
        <v>6859.9999999999991</v>
      </c>
      <c r="H5" s="7">
        <f ca="1">TbCarteira[[#This Row],[Total atual]]-TbCarteira[[#This Row],[Total aportado]]</f>
        <v>245.99999999999909</v>
      </c>
      <c r="I5" s="8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7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7">
        <f ca="1">TbCarteira[[#This Row],[Total aportado]]/TbCarteira[[#This Row],[Total qte]]</f>
        <v>190.48333333333332</v>
      </c>
      <c r="G6" s="7">
        <f ca="1">TbCarteira[[#This Row],[Total qte]]*TbCarteira[[#This Row],[Cotação]]</f>
        <v>1754.82</v>
      </c>
      <c r="H6" s="7">
        <f ca="1">TbCarteira[[#This Row],[Total atual]]-TbCarteira[[#This Row],[Total aportado]]</f>
        <v>40.470000000000027</v>
      </c>
      <c r="I6" s="8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7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7">
        <f ca="1">TbCarteira[[#This Row],[Total aportado]]/TbCarteira[[#This Row],[Total qte]]</f>
        <v>138.28294117647059</v>
      </c>
      <c r="G7" s="7">
        <f ca="1">TbCarteira[[#This Row],[Total qte]]*TbCarteira[[#This Row],[Cotação]]</f>
        <v>2965.99</v>
      </c>
      <c r="H7" s="7">
        <f ca="1">TbCarteira[[#This Row],[Total atual]]-TbCarteira[[#This Row],[Total aportado]]</f>
        <v>615.17999999999984</v>
      </c>
      <c r="I7" s="8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7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7">
        <f ca="1">TbCarteira[[#This Row],[Total aportado]]/TbCarteira[[#This Row],[Total qte]]</f>
        <v>131.18789473684208</v>
      </c>
      <c r="G8" s="7">
        <f ca="1">TbCarteira[[#This Row],[Total qte]]*TbCarteira[[#This Row],[Cotação]]</f>
        <v>2696.86</v>
      </c>
      <c r="H8" s="7">
        <f ca="1">TbCarteira[[#This Row],[Total atual]]-TbCarteira[[#This Row],[Total aportado]]</f>
        <v>204.29000000000042</v>
      </c>
      <c r="I8" s="8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7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7">
        <f ca="1">TbCarteira[[#This Row],[Total aportado]]/TbCarteira[[#This Row],[Total qte]]</f>
        <v>146.40555555555557</v>
      </c>
      <c r="G9" s="7">
        <f ca="1">TbCarteira[[#This Row],[Total qte]]*TbCarteira[[#This Row],[Cotação]]</f>
        <v>2914.38</v>
      </c>
      <c r="H9" s="7">
        <f ca="1">TbCarteira[[#This Row],[Total atual]]-TbCarteira[[#This Row],[Total aportado]]</f>
        <v>279.07999999999993</v>
      </c>
      <c r="I9" s="8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7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7">
        <f ca="1">TbCarteira[[#This Row],[Total aportado]]/TbCarteira[[#This Row],[Total qte]]</f>
        <v>8.1750000000000007</v>
      </c>
      <c r="G10" s="7">
        <f ca="1">TbCarteira[[#This Row],[Total qte]]*TbCarteira[[#This Row],[Cotação]]</f>
        <v>1810.0000000000002</v>
      </c>
      <c r="H10" s="7">
        <f ca="1">TbCarteira[[#This Row],[Total atual]]-TbCarteira[[#This Row],[Total aportado]]</f>
        <v>175.00000000000023</v>
      </c>
      <c r="I10" s="8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7">
        <f ca="1">SUBTOTAL(109,TbCarteira[Total aportado])</f>
        <v>26791.03</v>
      </c>
      <c r="F11"/>
      <c r="G11" s="7">
        <f ca="1">SUBTOTAL(109,TbCarteira[Total atual])</f>
        <v>27838.05</v>
      </c>
      <c r="H11" s="7">
        <f ca="1">SUBTOTAL(109,TbCarteira[Valorização])</f>
        <v>1047.0199999999991</v>
      </c>
    </row>
  </sheetData>
  <conditionalFormatting sqref="H2:H10">
    <cfRule type="cellIs" dxfId="54" priority="2" operator="lessThan">
      <formula>0</formula>
    </cfRule>
  </conditionalFormatting>
  <conditionalFormatting sqref="I2:I10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7" customWidth="1"/>
    <col min="5" max="5" width="11" customWidth="1"/>
    <col min="6" max="6" width="13.7109375" style="7" customWidth="1"/>
    <col min="7" max="7" width="14.42578125" style="7" customWidth="1"/>
    <col min="8" max="8" width="13.28515625" style="7" customWidth="1"/>
    <col min="9" max="9" width="15.42578125" style="8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31</v>
      </c>
      <c r="D1" s="7" t="s">
        <v>32</v>
      </c>
      <c r="E1" t="s">
        <v>33</v>
      </c>
      <c r="F1" s="7" t="s">
        <v>34</v>
      </c>
      <c r="G1" s="7" t="s">
        <v>35</v>
      </c>
      <c r="H1" s="7" t="s">
        <v>36</v>
      </c>
      <c r="I1" s="8" t="s">
        <v>37</v>
      </c>
      <c r="K1" s="5" t="s">
        <v>38</v>
      </c>
      <c r="L1" s="6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7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7">
        <f ca="1">TbCarteiraAcoes[[#This Row],[Total aportado]]/TbCarteiraAcoes[[#This Row],[Total qte]]</f>
        <v>9.3666666666666671</v>
      </c>
      <c r="G2" s="7">
        <f ca="1">TbCarteiraAcoes[[#This Row],[Total qte]]*TbCarteiraAcoes[[#This Row],[Cotação]]</f>
        <v>2364</v>
      </c>
      <c r="H2" s="7">
        <f ca="1">TbCarteiraAcoes[[#This Row],[Total atual]]-TbCarteiraAcoes[[#This Row],[Total aportado]]</f>
        <v>-446</v>
      </c>
      <c r="I2" s="8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7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7">
        <f ca="1">TbCarteiraAcoes[[#This Row],[Total aportado]]/TbCarteiraAcoes[[#This Row],[Total qte]]</f>
        <v>20.135000000000002</v>
      </c>
      <c r="G3" s="7">
        <f ca="1">TbCarteiraAcoes[[#This Row],[Total qte]]*TbCarteiraAcoes[[#This Row],[Cotação]]</f>
        <v>4029.9999999999995</v>
      </c>
      <c r="H3" s="7">
        <f ca="1">TbCarteiraAcoes[[#This Row],[Total atual]]-TbCarteiraAcoes[[#This Row],[Total aportado]]</f>
        <v>2.9999999999995453</v>
      </c>
      <c r="I3" s="8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7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7">
        <f ca="1">TbCarteiraAcoes[[#This Row],[Total aportado]]/TbCarteiraAcoes[[#This Row],[Total qte]]</f>
        <v>8.3733333333333331</v>
      </c>
      <c r="G4" s="7">
        <f ca="1">TbCarteiraAcoes[[#This Row],[Total qte]]*TbCarteiraAcoes[[#This Row],[Cotação]]</f>
        <v>2442</v>
      </c>
      <c r="H4" s="7">
        <f ca="1">TbCarteiraAcoes[[#This Row],[Total atual]]-TbCarteiraAcoes[[#This Row],[Total aportado]]</f>
        <v>-70</v>
      </c>
      <c r="I4" s="8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7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7">
        <f ca="1">TbCarteiraAcoes[[#This Row],[Total aportado]]/TbCarteiraAcoes[[#This Row],[Total qte]]</f>
        <v>16.535</v>
      </c>
      <c r="G5" s="7">
        <f ca="1">TbCarteiraAcoes[[#This Row],[Total qte]]*TbCarteiraAcoes[[#This Row],[Cotação]]</f>
        <v>6859.9999999999991</v>
      </c>
      <c r="H5" s="7">
        <f ca="1">TbCarteiraAcoes[[#This Row],[Total atual]]-TbCarteiraAcoes[[#This Row],[Total aportado]]</f>
        <v>245.99999999999909</v>
      </c>
      <c r="I5" s="8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7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7">
        <f ca="1">TbCarteiraAcoes[[#This Row],[Total aportado]]/TbCarteiraAcoes[[#This Row],[Total qte]]</f>
        <v>8.1750000000000007</v>
      </c>
      <c r="G6" s="7">
        <f ca="1">TbCarteiraAcoes[[#This Row],[Total qte]]*TbCarteiraAcoes[[#This Row],[Cotação]]</f>
        <v>1810.0000000000002</v>
      </c>
      <c r="H6" s="7">
        <f ca="1">TbCarteiraAcoes[[#This Row],[Total atual]]-TbCarteiraAcoes[[#This Row],[Total aportado]]</f>
        <v>175.00000000000023</v>
      </c>
      <c r="I6" s="8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7">
        <f ca="1">SUBTOTAL(109,TbCarteiraAcoes[Total aportado])</f>
        <v>17598</v>
      </c>
      <c r="F7"/>
      <c r="G7" s="7">
        <f ca="1">SUBTOTAL(109,TbCarteiraAcoes[Total atual])</f>
        <v>17506</v>
      </c>
      <c r="H7" s="7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Normal="100" workbookViewId="0">
      <selection activeCell="C3" sqref="C3"/>
    </sheetView>
  </sheetViews>
  <sheetFormatPr defaultRowHeight="15" x14ac:dyDescent="0.25"/>
  <cols>
    <col min="3" max="3" width="10.140625" customWidth="1"/>
    <col min="4" max="4" width="16" style="7" customWidth="1"/>
    <col min="5" max="5" width="11" customWidth="1"/>
    <col min="6" max="6" width="13.7109375" style="7" customWidth="1"/>
    <col min="7" max="7" width="14.42578125" style="7" customWidth="1"/>
    <col min="8" max="8" width="13.28515625" style="7" customWidth="1"/>
    <col min="9" max="9" width="15.42578125" style="8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31</v>
      </c>
      <c r="D1" s="7" t="s">
        <v>32</v>
      </c>
      <c r="E1" t="s">
        <v>33</v>
      </c>
      <c r="F1" s="7" t="s">
        <v>34</v>
      </c>
      <c r="G1" s="7" t="s">
        <v>35</v>
      </c>
      <c r="H1" s="7" t="s">
        <v>36</v>
      </c>
      <c r="I1" s="8" t="s">
        <v>37</v>
      </c>
      <c r="K1" s="5" t="s">
        <v>38</v>
      </c>
      <c r="L1" s="6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7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7">
        <f ca="1">TbCarteiraFII[[#This Row],[Total aportado]]/TbCarteiraFII[[#This Row],[Total qte]]</f>
        <v>190.48333333333332</v>
      </c>
      <c r="G2" s="7">
        <f ca="1">TbCarteiraFII[[#This Row],[Total qte]]*TbCarteiraFII[[#This Row],[Cotação]]</f>
        <v>1754.82</v>
      </c>
      <c r="H2" s="7">
        <f ca="1">TbCarteiraFII[[#This Row],[Total atual]]-TbCarteiraFII[[#This Row],[Total aportado]]</f>
        <v>40.470000000000027</v>
      </c>
      <c r="I2" s="8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7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7">
        <f ca="1">TbCarteiraFII[[#This Row],[Total aportado]]/TbCarteiraFII[[#This Row],[Total qte]]</f>
        <v>138.28294117647059</v>
      </c>
      <c r="G3" s="7">
        <f ca="1">TbCarteiraFII[[#This Row],[Total qte]]*TbCarteiraFII[[#This Row],[Cotação]]</f>
        <v>2965.99</v>
      </c>
      <c r="H3" s="7">
        <f ca="1">TbCarteiraFII[[#This Row],[Total atual]]-TbCarteiraFII[[#This Row],[Total aportado]]</f>
        <v>615.17999999999984</v>
      </c>
      <c r="I3" s="8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7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7">
        <f ca="1">TbCarteiraFII[[#This Row],[Total aportado]]/TbCarteiraFII[[#This Row],[Total qte]]</f>
        <v>131.18789473684208</v>
      </c>
      <c r="G4" s="7">
        <f ca="1">TbCarteiraFII[[#This Row],[Total qte]]*TbCarteiraFII[[#This Row],[Cotação]]</f>
        <v>2696.86</v>
      </c>
      <c r="H4" s="7">
        <f ca="1">TbCarteiraFII[[#This Row],[Total atual]]-TbCarteiraFII[[#This Row],[Total aportado]]</f>
        <v>204.29000000000042</v>
      </c>
      <c r="I4" s="8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7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7">
        <f ca="1">TbCarteiraFII[[#This Row],[Total aportado]]/TbCarteiraFII[[#This Row],[Total qte]]</f>
        <v>146.40555555555557</v>
      </c>
      <c r="G5" s="7">
        <f ca="1">TbCarteiraFII[[#This Row],[Total qte]]*TbCarteiraFII[[#This Row],[Cotação]]</f>
        <v>2914.38</v>
      </c>
      <c r="H5" s="7">
        <f ca="1">TbCarteiraFII[[#This Row],[Total atual]]-TbCarteiraFII[[#This Row],[Total aportado]]</f>
        <v>279.07999999999993</v>
      </c>
      <c r="I5" s="8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7">
        <f ca="1">SUBTOTAL(109,TbCarteiraFII[Total aportado])</f>
        <v>9193.0299999999988</v>
      </c>
      <c r="F6"/>
      <c r="G6" s="7">
        <f ca="1">SUBTOTAL(109,TbCarteiraFII[Total atual])</f>
        <v>10332.049999999999</v>
      </c>
      <c r="H6" s="7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customWidth="1"/>
    <col min="3" max="13" width="7.85546875" customWidth="1"/>
    <col min="14" max="14" width="10.7109375" bestFit="1" customWidth="1"/>
  </cols>
  <sheetData>
    <row r="3" spans="1:14" x14ac:dyDescent="0.25">
      <c r="A3" s="30" t="s">
        <v>82</v>
      </c>
      <c r="B3" s="30" t="s">
        <v>66</v>
      </c>
    </row>
    <row r="4" spans="1:14" x14ac:dyDescent="0.25">
      <c r="A4" s="30" t="s">
        <v>64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80</v>
      </c>
      <c r="N4" t="s">
        <v>65</v>
      </c>
    </row>
    <row r="5" spans="1:14" x14ac:dyDescent="0.25">
      <c r="A5" s="31" t="s">
        <v>5</v>
      </c>
      <c r="B5" s="33">
        <v>39.479999999999997</v>
      </c>
      <c r="C5" s="33">
        <v>61</v>
      </c>
      <c r="D5" s="33">
        <v>65.430000000000007</v>
      </c>
      <c r="E5" s="33">
        <v>163.66</v>
      </c>
      <c r="F5" s="33">
        <v>162.75</v>
      </c>
      <c r="G5" s="33">
        <v>156.13999999999999</v>
      </c>
      <c r="H5" s="33">
        <v>166</v>
      </c>
      <c r="I5" s="33">
        <v>162.75</v>
      </c>
      <c r="J5" s="33">
        <v>156.13999999999999</v>
      </c>
      <c r="K5" s="33">
        <v>166</v>
      </c>
      <c r="L5" s="33">
        <v>484.89</v>
      </c>
      <c r="M5" s="33">
        <v>162.75</v>
      </c>
      <c r="N5" s="33">
        <v>1946.99</v>
      </c>
    </row>
    <row r="6" spans="1:14" x14ac:dyDescent="0.25">
      <c r="A6" s="32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3">
        <v>166</v>
      </c>
      <c r="L6" s="33"/>
      <c r="M6" s="33"/>
      <c r="N6" s="33">
        <v>166</v>
      </c>
    </row>
    <row r="7" spans="1:14" x14ac:dyDescent="0.25">
      <c r="A7" s="32" t="s">
        <v>6</v>
      </c>
      <c r="B7" s="33"/>
      <c r="C7" s="33"/>
      <c r="D7" s="33"/>
      <c r="E7" s="33">
        <v>163.66</v>
      </c>
      <c r="F7" s="33"/>
      <c r="G7" s="33"/>
      <c r="H7" s="33"/>
      <c r="I7" s="33"/>
      <c r="J7" s="33">
        <v>156.13999999999999</v>
      </c>
      <c r="K7" s="33"/>
      <c r="L7" s="33"/>
      <c r="M7" s="33"/>
      <c r="N7" s="33">
        <v>319.79999999999995</v>
      </c>
    </row>
    <row r="8" spans="1:14" x14ac:dyDescent="0.25">
      <c r="A8" s="32" t="s">
        <v>7</v>
      </c>
      <c r="B8" s="33">
        <v>39.479999999999997</v>
      </c>
      <c r="C8" s="33"/>
      <c r="D8" s="33">
        <v>65.430000000000007</v>
      </c>
      <c r="E8" s="33"/>
      <c r="F8" s="33">
        <v>162.75</v>
      </c>
      <c r="G8" s="33"/>
      <c r="H8" s="33">
        <v>166</v>
      </c>
      <c r="I8" s="33"/>
      <c r="J8" s="33"/>
      <c r="K8" s="33"/>
      <c r="L8" s="33">
        <v>328.75</v>
      </c>
      <c r="M8" s="33"/>
      <c r="N8" s="33">
        <v>762.41</v>
      </c>
    </row>
    <row r="9" spans="1:14" x14ac:dyDescent="0.25">
      <c r="A9" s="32" t="s">
        <v>8</v>
      </c>
      <c r="B9" s="33"/>
      <c r="C9" s="33">
        <v>61</v>
      </c>
      <c r="D9" s="33"/>
      <c r="E9" s="33"/>
      <c r="F9" s="33"/>
      <c r="G9" s="33"/>
      <c r="H9" s="33"/>
      <c r="I9" s="33">
        <v>162.75</v>
      </c>
      <c r="J9" s="33"/>
      <c r="K9" s="33"/>
      <c r="L9" s="33"/>
      <c r="M9" s="33"/>
      <c r="N9" s="33">
        <v>223.75</v>
      </c>
    </row>
    <row r="10" spans="1:14" x14ac:dyDescent="0.25">
      <c r="A10" s="32" t="s">
        <v>15</v>
      </c>
      <c r="B10" s="33"/>
      <c r="C10" s="33"/>
      <c r="D10" s="33"/>
      <c r="E10" s="33"/>
      <c r="F10" s="33"/>
      <c r="G10" s="33">
        <v>156.13999999999999</v>
      </c>
      <c r="H10" s="33"/>
      <c r="I10" s="33"/>
      <c r="J10" s="33"/>
      <c r="K10" s="33"/>
      <c r="L10" s="33">
        <v>156.13999999999999</v>
      </c>
      <c r="M10" s="33">
        <v>162.75</v>
      </c>
      <c r="N10" s="33">
        <v>475.03</v>
      </c>
    </row>
    <row r="11" spans="1:14" x14ac:dyDescent="0.25">
      <c r="A11" s="31" t="s">
        <v>10</v>
      </c>
      <c r="B11" s="33">
        <v>217.66</v>
      </c>
      <c r="C11" s="33">
        <v>228.62</v>
      </c>
      <c r="D11" s="33">
        <v>358.32</v>
      </c>
      <c r="E11" s="33">
        <v>308.72000000000003</v>
      </c>
      <c r="F11" s="33">
        <v>433.18</v>
      </c>
      <c r="G11" s="33">
        <v>358.32</v>
      </c>
      <c r="H11" s="33">
        <v>308.72000000000003</v>
      </c>
      <c r="I11" s="33">
        <v>433.18</v>
      </c>
      <c r="J11" s="33">
        <v>357.29</v>
      </c>
      <c r="K11" s="33">
        <v>308.72000000000003</v>
      </c>
      <c r="L11" s="33">
        <v>1100.22</v>
      </c>
      <c r="M11" s="33">
        <v>433.18</v>
      </c>
      <c r="N11" s="33">
        <v>4846.1299999999992</v>
      </c>
    </row>
    <row r="12" spans="1:14" x14ac:dyDescent="0.25">
      <c r="A12" s="32" t="s">
        <v>9</v>
      </c>
      <c r="B12" s="33">
        <v>63</v>
      </c>
      <c r="C12" s="33">
        <v>75.709999999999994</v>
      </c>
      <c r="D12" s="33">
        <v>61</v>
      </c>
      <c r="E12" s="33">
        <v>37.44</v>
      </c>
      <c r="F12" s="33">
        <v>61</v>
      </c>
      <c r="G12" s="33">
        <v>61</v>
      </c>
      <c r="H12" s="33">
        <v>37.44</v>
      </c>
      <c r="I12" s="33">
        <v>61</v>
      </c>
      <c r="J12" s="33">
        <v>59.97</v>
      </c>
      <c r="K12" s="33">
        <v>37.44</v>
      </c>
      <c r="L12" s="33">
        <v>159.44</v>
      </c>
      <c r="M12" s="33">
        <v>61</v>
      </c>
      <c r="N12" s="33">
        <v>775.44</v>
      </c>
    </row>
    <row r="13" spans="1:14" x14ac:dyDescent="0.25">
      <c r="A13" s="32" t="s">
        <v>11</v>
      </c>
      <c r="B13" s="33">
        <v>81</v>
      </c>
      <c r="C13" s="33">
        <v>39.36</v>
      </c>
      <c r="D13" s="33">
        <v>99</v>
      </c>
      <c r="E13" s="33">
        <v>52.02</v>
      </c>
      <c r="F13" s="33">
        <v>180.6</v>
      </c>
      <c r="G13" s="33">
        <v>99</v>
      </c>
      <c r="H13" s="33">
        <v>52.02</v>
      </c>
      <c r="I13" s="33">
        <v>180.6</v>
      </c>
      <c r="J13" s="33">
        <v>99</v>
      </c>
      <c r="K13" s="33">
        <v>52.02</v>
      </c>
      <c r="L13" s="33">
        <v>331.62</v>
      </c>
      <c r="M13" s="33">
        <v>180.6</v>
      </c>
      <c r="N13" s="33">
        <v>1446.84</v>
      </c>
    </row>
    <row r="14" spans="1:14" x14ac:dyDescent="0.25">
      <c r="A14" s="32" t="s">
        <v>12</v>
      </c>
      <c r="B14" s="33">
        <v>38.89</v>
      </c>
      <c r="C14" s="33">
        <v>51.8</v>
      </c>
      <c r="D14" s="33">
        <v>99.9</v>
      </c>
      <c r="E14" s="33">
        <v>42.14</v>
      </c>
      <c r="F14" s="33">
        <v>38.4</v>
      </c>
      <c r="G14" s="33">
        <v>99.9</v>
      </c>
      <c r="H14" s="33">
        <v>42.14</v>
      </c>
      <c r="I14" s="33">
        <v>38.4</v>
      </c>
      <c r="J14" s="33">
        <v>99.9</v>
      </c>
      <c r="K14" s="33">
        <v>42.14</v>
      </c>
      <c r="L14" s="33">
        <v>180.44</v>
      </c>
      <c r="M14" s="33">
        <v>38.4</v>
      </c>
      <c r="N14" s="33">
        <v>812.44999999999993</v>
      </c>
    </row>
    <row r="15" spans="1:14" x14ac:dyDescent="0.25">
      <c r="A15" s="32" t="s">
        <v>13</v>
      </c>
      <c r="B15" s="33">
        <v>34.770000000000003</v>
      </c>
      <c r="C15" s="33">
        <v>61.75</v>
      </c>
      <c r="D15" s="33">
        <v>98.42</v>
      </c>
      <c r="E15" s="33">
        <v>177.12</v>
      </c>
      <c r="F15" s="33">
        <v>153.18</v>
      </c>
      <c r="G15" s="33">
        <v>98.42</v>
      </c>
      <c r="H15" s="33">
        <v>177.12</v>
      </c>
      <c r="I15" s="33">
        <v>153.18</v>
      </c>
      <c r="J15" s="33">
        <v>98.42</v>
      </c>
      <c r="K15" s="33">
        <v>177.12</v>
      </c>
      <c r="L15" s="33">
        <v>428.72</v>
      </c>
      <c r="M15" s="33">
        <v>153.18</v>
      </c>
      <c r="N15" s="33">
        <v>1811.4</v>
      </c>
    </row>
    <row r="16" spans="1:14" x14ac:dyDescent="0.25">
      <c r="A16" s="31" t="s">
        <v>65</v>
      </c>
      <c r="B16" s="33">
        <v>257.14</v>
      </c>
      <c r="C16" s="33">
        <v>289.62</v>
      </c>
      <c r="D16" s="33">
        <v>423.75000000000006</v>
      </c>
      <c r="E16" s="33">
        <v>472.38</v>
      </c>
      <c r="F16" s="33">
        <v>595.93000000000006</v>
      </c>
      <c r="G16" s="33">
        <v>514.45999999999992</v>
      </c>
      <c r="H16" s="33">
        <v>474.72</v>
      </c>
      <c r="I16" s="33">
        <v>595.93000000000006</v>
      </c>
      <c r="J16" s="33">
        <v>513.42999999999995</v>
      </c>
      <c r="K16" s="33">
        <v>474.72</v>
      </c>
      <c r="L16" s="33">
        <v>1585.11</v>
      </c>
      <c r="M16" s="33">
        <v>595.93000000000006</v>
      </c>
      <c r="N16" s="3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30" t="s">
        <v>81</v>
      </c>
      <c r="B3" s="30" t="s">
        <v>66</v>
      </c>
    </row>
    <row r="4" spans="1:16" x14ac:dyDescent="0.25">
      <c r="A4" s="30" t="s">
        <v>64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  <c r="P4" t="s">
        <v>65</v>
      </c>
    </row>
    <row r="5" spans="1:16" x14ac:dyDescent="0.25">
      <c r="A5" s="31" t="s">
        <v>5</v>
      </c>
      <c r="B5" s="33">
        <v>1594</v>
      </c>
      <c r="C5" s="33">
        <v>1644</v>
      </c>
      <c r="D5" s="33">
        <v>788</v>
      </c>
      <c r="E5" s="33">
        <v>1985</v>
      </c>
      <c r="F5" s="33"/>
      <c r="G5" s="33">
        <v>1721</v>
      </c>
      <c r="H5" s="33">
        <v>1591</v>
      </c>
      <c r="I5" s="33">
        <v>2042</v>
      </c>
      <c r="J5" s="33">
        <v>1765.9999999999998</v>
      </c>
      <c r="K5" s="33">
        <v>1021.9999999999999</v>
      </c>
      <c r="L5" s="33">
        <v>1613</v>
      </c>
      <c r="M5" s="33">
        <v>962.99999999999989</v>
      </c>
      <c r="N5" s="33">
        <v>869</v>
      </c>
      <c r="O5" s="33"/>
      <c r="P5" s="33">
        <v>17598</v>
      </c>
    </row>
    <row r="6" spans="1:16" x14ac:dyDescent="0.25">
      <c r="A6" s="32" t="s">
        <v>4</v>
      </c>
      <c r="B6" s="33">
        <v>833</v>
      </c>
      <c r="C6" s="33"/>
      <c r="D6" s="33"/>
      <c r="E6" s="33"/>
      <c r="F6" s="33"/>
      <c r="G6" s="33">
        <v>954.99999999999989</v>
      </c>
      <c r="H6" s="33"/>
      <c r="I6" s="33"/>
      <c r="J6" s="33"/>
      <c r="K6" s="33">
        <v>1021.9999999999999</v>
      </c>
      <c r="L6" s="33"/>
      <c r="M6" s="33"/>
      <c r="N6" s="33"/>
      <c r="O6" s="33"/>
      <c r="P6" s="33">
        <v>2810</v>
      </c>
    </row>
    <row r="7" spans="1:16" x14ac:dyDescent="0.25">
      <c r="A7" s="32" t="s">
        <v>6</v>
      </c>
      <c r="B7" s="33"/>
      <c r="C7" s="33"/>
      <c r="D7" s="33"/>
      <c r="E7" s="33">
        <v>1985</v>
      </c>
      <c r="F7" s="33"/>
      <c r="G7" s="33"/>
      <c r="H7" s="33"/>
      <c r="I7" s="33">
        <v>2042</v>
      </c>
      <c r="J7" s="33"/>
      <c r="K7" s="33"/>
      <c r="L7" s="33"/>
      <c r="M7" s="33"/>
      <c r="N7" s="33"/>
      <c r="O7" s="33"/>
      <c r="P7" s="33">
        <v>4027</v>
      </c>
    </row>
    <row r="8" spans="1:16" x14ac:dyDescent="0.25">
      <c r="A8" s="32" t="s">
        <v>7</v>
      </c>
      <c r="B8" s="33">
        <v>761</v>
      </c>
      <c r="C8" s="33"/>
      <c r="D8" s="33">
        <v>788</v>
      </c>
      <c r="E8" s="33"/>
      <c r="F8" s="33"/>
      <c r="G8" s="33"/>
      <c r="H8" s="33"/>
      <c r="I8" s="33"/>
      <c r="J8" s="33"/>
      <c r="K8" s="33"/>
      <c r="L8" s="33"/>
      <c r="M8" s="33">
        <v>962.99999999999989</v>
      </c>
      <c r="N8" s="33"/>
      <c r="O8" s="33"/>
      <c r="P8" s="33">
        <v>2512</v>
      </c>
    </row>
    <row r="9" spans="1:16" x14ac:dyDescent="0.25">
      <c r="A9" s="32" t="s">
        <v>8</v>
      </c>
      <c r="B9" s="33"/>
      <c r="C9" s="33">
        <v>1644</v>
      </c>
      <c r="D9" s="33"/>
      <c r="E9" s="33"/>
      <c r="F9" s="33"/>
      <c r="G9" s="33"/>
      <c r="H9" s="33">
        <v>1591</v>
      </c>
      <c r="I9" s="33"/>
      <c r="J9" s="33">
        <v>1765.9999999999998</v>
      </c>
      <c r="K9" s="33"/>
      <c r="L9" s="33">
        <v>1613</v>
      </c>
      <c r="M9" s="33"/>
      <c r="N9" s="33"/>
      <c r="O9" s="33"/>
      <c r="P9" s="33">
        <v>6614</v>
      </c>
    </row>
    <row r="10" spans="1:16" x14ac:dyDescent="0.25">
      <c r="A10" s="32" t="s">
        <v>15</v>
      </c>
      <c r="B10" s="33"/>
      <c r="C10" s="33"/>
      <c r="D10" s="33"/>
      <c r="E10" s="33"/>
      <c r="F10" s="33"/>
      <c r="G10" s="33">
        <v>766</v>
      </c>
      <c r="H10" s="33"/>
      <c r="I10" s="33"/>
      <c r="J10" s="33"/>
      <c r="K10" s="33"/>
      <c r="L10" s="33"/>
      <c r="M10" s="33"/>
      <c r="N10" s="33">
        <v>869</v>
      </c>
      <c r="O10" s="33"/>
      <c r="P10" s="33">
        <v>1635</v>
      </c>
    </row>
    <row r="11" spans="1:16" x14ac:dyDescent="0.25">
      <c r="A11" s="31" t="s">
        <v>10</v>
      </c>
      <c r="B11" s="33"/>
      <c r="C11" s="33">
        <v>704.9</v>
      </c>
      <c r="D11" s="33">
        <v>991.52</v>
      </c>
      <c r="E11" s="33">
        <v>551.46</v>
      </c>
      <c r="F11" s="33">
        <v>635.83000000000004</v>
      </c>
      <c r="G11" s="33"/>
      <c r="H11" s="33">
        <v>679.05</v>
      </c>
      <c r="I11" s="33">
        <v>191.74</v>
      </c>
      <c r="J11" s="33">
        <v>972.57999999999993</v>
      </c>
      <c r="K11" s="33">
        <v>268.2</v>
      </c>
      <c r="L11" s="33">
        <v>971.15</v>
      </c>
      <c r="M11" s="33">
        <v>430.65000000000003</v>
      </c>
      <c r="N11" s="33">
        <v>716.15</v>
      </c>
      <c r="O11" s="33">
        <v>2079.8000000000002</v>
      </c>
      <c r="P11" s="33">
        <v>9193.0299999999988</v>
      </c>
    </row>
    <row r="12" spans="1:16" x14ac:dyDescent="0.25">
      <c r="A12" s="32" t="s">
        <v>9</v>
      </c>
      <c r="B12" s="33"/>
      <c r="C12" s="33"/>
      <c r="D12" s="33"/>
      <c r="E12" s="33">
        <v>551.46</v>
      </c>
      <c r="F12" s="33"/>
      <c r="G12" s="33"/>
      <c r="H12" s="33"/>
      <c r="I12" s="33">
        <v>191.74</v>
      </c>
      <c r="J12" s="33"/>
      <c r="K12" s="33"/>
      <c r="L12" s="33">
        <v>971.15</v>
      </c>
      <c r="M12" s="33"/>
      <c r="N12" s="33"/>
      <c r="O12" s="33"/>
      <c r="P12" s="33">
        <v>1714.35</v>
      </c>
    </row>
    <row r="13" spans="1:16" x14ac:dyDescent="0.25">
      <c r="A13" s="32" t="s">
        <v>11</v>
      </c>
      <c r="B13" s="33"/>
      <c r="C13" s="33">
        <v>704.9</v>
      </c>
      <c r="D13" s="33"/>
      <c r="E13" s="33"/>
      <c r="F13" s="33">
        <v>242.68</v>
      </c>
      <c r="G13" s="33"/>
      <c r="H13" s="33"/>
      <c r="I13" s="33"/>
      <c r="J13" s="33">
        <v>972.57999999999993</v>
      </c>
      <c r="K13" s="33"/>
      <c r="L13" s="33"/>
      <c r="M13" s="33">
        <v>430.65000000000003</v>
      </c>
      <c r="N13" s="33"/>
      <c r="O13" s="33"/>
      <c r="P13" s="33">
        <v>2350.81</v>
      </c>
    </row>
    <row r="14" spans="1:16" x14ac:dyDescent="0.25">
      <c r="A14" s="32" t="s">
        <v>12</v>
      </c>
      <c r="B14" s="33"/>
      <c r="C14" s="33"/>
      <c r="D14" s="33">
        <v>991.52</v>
      </c>
      <c r="E14" s="33"/>
      <c r="F14" s="33"/>
      <c r="G14" s="33"/>
      <c r="H14" s="33">
        <v>679.05</v>
      </c>
      <c r="I14" s="33"/>
      <c r="J14" s="33"/>
      <c r="K14" s="33">
        <v>268.2</v>
      </c>
      <c r="L14" s="33"/>
      <c r="M14" s="33"/>
      <c r="N14" s="33"/>
      <c r="O14" s="33">
        <v>553.79999999999995</v>
      </c>
      <c r="P14" s="33">
        <v>2492.5699999999997</v>
      </c>
    </row>
    <row r="15" spans="1:16" x14ac:dyDescent="0.25">
      <c r="A15" s="32" t="s">
        <v>13</v>
      </c>
      <c r="B15" s="33"/>
      <c r="C15" s="33"/>
      <c r="D15" s="33"/>
      <c r="E15" s="33"/>
      <c r="F15" s="33">
        <v>393.15000000000003</v>
      </c>
      <c r="G15" s="33"/>
      <c r="H15" s="33"/>
      <c r="I15" s="33"/>
      <c r="J15" s="33"/>
      <c r="K15" s="33"/>
      <c r="L15" s="33"/>
      <c r="M15" s="33"/>
      <c r="N15" s="33">
        <v>716.15</v>
      </c>
      <c r="O15" s="33">
        <v>1526</v>
      </c>
      <c r="P15" s="33">
        <v>2635.3</v>
      </c>
    </row>
    <row r="16" spans="1:16" x14ac:dyDescent="0.25">
      <c r="A16" s="31" t="s">
        <v>65</v>
      </c>
      <c r="B16" s="33">
        <v>1594</v>
      </c>
      <c r="C16" s="33">
        <v>2348.9</v>
      </c>
      <c r="D16" s="33">
        <v>1779.52</v>
      </c>
      <c r="E16" s="33">
        <v>2536.46</v>
      </c>
      <c r="F16" s="33">
        <v>635.83000000000004</v>
      </c>
      <c r="G16" s="33">
        <v>1721</v>
      </c>
      <c r="H16" s="33">
        <v>2270.0500000000002</v>
      </c>
      <c r="I16" s="33">
        <v>2233.7399999999998</v>
      </c>
      <c r="J16" s="33">
        <v>2738.58</v>
      </c>
      <c r="K16" s="33">
        <v>1290.1999999999998</v>
      </c>
      <c r="L16" s="33">
        <v>2584.15</v>
      </c>
      <c r="M16" s="33">
        <v>1393.6499999999999</v>
      </c>
      <c r="N16" s="33">
        <v>1585.15</v>
      </c>
      <c r="O16" s="33">
        <v>2079.8000000000002</v>
      </c>
      <c r="P16" s="33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zoomScaleNormal="100" workbookViewId="0">
      <selection activeCell="E6" sqref="E6"/>
    </sheetView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29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29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29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29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29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29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29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29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29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29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29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29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29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29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29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29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29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29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29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29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29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29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29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29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29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29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29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29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" zoomScaleNormal="100" workbookViewId="0">
      <selection activeCell="E3" sqref="E3"/>
    </sheetView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2020-05-18T12:45:45Z</dcterms:modified>
</cp:coreProperties>
</file>