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https://d.docs.live.net/b32e385926112a32/Escritorio/2 Cuatri/TFG/"/>
    </mc:Choice>
  </mc:AlternateContent>
  <xr:revisionPtr revIDLastSave="54" documentId="13_ncr:1_{D3CFC647-41B3-4244-8F6B-5132E5424C7B}" xr6:coauthVersionLast="47" xr6:coauthVersionMax="47" xr10:uidLastSave="{9B8C4BE7-ACFB-4DEB-AFD8-3C4AD2281359}"/>
  <bookViews>
    <workbookView xWindow="11424" yWindow="0" windowWidth="11712" windowHeight="12336" activeTab="2" xr2:uid="{00000000-000D-0000-FFFF-FFFF00000000}"/>
  </bookViews>
  <sheets>
    <sheet name="Plantilla" sheetId="1" r:id="rId1"/>
    <sheet name="Formulas" sheetId="2" r:id="rId2"/>
    <sheet name="MEMS-TH" sheetId="3" r:id="rId3"/>
    <sheet name="GomSpace" sheetId="4" r:id="rId4"/>
    <sheet name="LightSey" sheetId="5" r:id="rId5"/>
    <sheet name="Enpulsion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8" i="3" l="1"/>
  <c r="F24" i="3"/>
  <c r="F23" i="3"/>
  <c r="F20" i="3"/>
  <c r="F7" i="3"/>
  <c r="F6" i="1"/>
  <c r="F5" i="1"/>
  <c r="F4" i="4"/>
  <c r="F17" i="3"/>
  <c r="F9" i="3"/>
  <c r="F14" i="1"/>
  <c r="F13" i="1"/>
  <c r="F12" i="1"/>
  <c r="F4" i="3"/>
  <c r="E12" i="3"/>
  <c r="F14" i="6"/>
  <c r="F6" i="6"/>
  <c r="F4" i="6" s="1"/>
  <c r="F5" i="6" s="1"/>
  <c r="F22" i="6"/>
  <c r="F19" i="6"/>
  <c r="F10" i="6"/>
  <c r="F16" i="6" l="1"/>
  <c r="F23" i="6" s="1"/>
  <c r="F27" i="6" s="1"/>
  <c r="F15" i="6"/>
  <c r="F7" i="6"/>
  <c r="F9" i="6" s="1"/>
  <c r="F8" i="6" s="1"/>
  <c r="F19" i="5"/>
  <c r="F22" i="5" s="1"/>
  <c r="F14" i="5"/>
  <c r="F10" i="5"/>
  <c r="F6" i="5"/>
  <c r="F4" i="5" s="1"/>
  <c r="F5" i="5" s="1"/>
  <c r="F25" i="6" l="1"/>
  <c r="F26" i="6" s="1"/>
  <c r="F15" i="5"/>
  <c r="F16" i="5"/>
  <c r="F7" i="5"/>
  <c r="F9" i="5" s="1"/>
  <c r="F8" i="5" s="1"/>
  <c r="F23" i="5"/>
  <c r="F19" i="4"/>
  <c r="F22" i="4" s="1"/>
  <c r="F10" i="4"/>
  <c r="F6" i="4"/>
  <c r="F5" i="4" s="1"/>
  <c r="F7" i="4" s="1"/>
  <c r="F14" i="4"/>
  <c r="F4" i="1"/>
  <c r="F6" i="3"/>
  <c r="F13" i="3" l="1"/>
  <c r="F15" i="3" s="1"/>
  <c r="F28" i="6"/>
  <c r="F30" i="6" s="1"/>
  <c r="F27" i="5"/>
  <c r="F25" i="5"/>
  <c r="F26" i="5" s="1"/>
  <c r="F10" i="3" l="1"/>
  <c r="F16" i="3" s="1"/>
  <c r="F29" i="6"/>
  <c r="F28" i="5"/>
  <c r="F30" i="5" s="1"/>
  <c r="F26" i="3"/>
  <c r="F27" i="3" s="1"/>
  <c r="F7" i="1"/>
  <c r="F8" i="1"/>
  <c r="F8" i="3" l="1"/>
  <c r="F29" i="3"/>
  <c r="F30" i="3" s="1"/>
  <c r="F29" i="5"/>
  <c r="F15" i="4"/>
  <c r="F31" i="3" l="1"/>
  <c r="F16" i="4"/>
  <c r="F9" i="4"/>
  <c r="F8" i="4" s="1"/>
  <c r="F23" i="4" l="1"/>
  <c r="F27" i="4" s="1"/>
  <c r="F25" i="4" l="1"/>
  <c r="F26" i="4" s="1"/>
  <c r="F28" i="4" s="1"/>
  <c r="F29" i="4" s="1"/>
  <c r="F30" i="4" l="1"/>
</calcChain>
</file>

<file path=xl/sharedStrings.xml><?xml version="1.0" encoding="utf-8"?>
<sst xmlns="http://schemas.openxmlformats.org/spreadsheetml/2006/main" count="829" uniqueCount="136">
  <si>
    <t>SFC</t>
  </si>
  <si>
    <t>m/s</t>
  </si>
  <si>
    <t>kg</t>
  </si>
  <si>
    <t>s</t>
  </si>
  <si>
    <t>Total impulse</t>
  </si>
  <si>
    <t>N</t>
  </si>
  <si>
    <t>Parameter</t>
  </si>
  <si>
    <t>Abb</t>
  </si>
  <si>
    <t>Description</t>
  </si>
  <si>
    <t>Units</t>
  </si>
  <si>
    <t>Formula</t>
  </si>
  <si>
    <t>Thrust</t>
  </si>
  <si>
    <t>Specific Impulse</t>
  </si>
  <si>
    <t>Input value</t>
  </si>
  <si>
    <t>Output value</t>
  </si>
  <si>
    <t>Propellent mass</t>
  </si>
  <si>
    <r>
      <t>m</t>
    </r>
    <r>
      <rPr>
        <vertAlign val="subscript"/>
        <sz val="11"/>
        <color theme="1"/>
        <rFont val="Calibri"/>
        <family val="2"/>
        <scheme val="minor"/>
      </rPr>
      <t>p</t>
    </r>
  </si>
  <si>
    <r>
      <t>I</t>
    </r>
    <r>
      <rPr>
        <vertAlign val="subscript"/>
        <sz val="11"/>
        <color theme="1"/>
        <rFont val="Calibri"/>
        <family val="2"/>
        <scheme val="minor"/>
      </rPr>
      <t>sp</t>
    </r>
  </si>
  <si>
    <r>
      <t>I</t>
    </r>
    <r>
      <rPr>
        <vertAlign val="subscript"/>
        <sz val="11"/>
        <color theme="1"/>
        <rFont val="Calibri"/>
        <family val="2"/>
        <scheme val="minor"/>
      </rPr>
      <t>tot</t>
    </r>
  </si>
  <si>
    <t>Gravitational acceleration</t>
  </si>
  <si>
    <r>
      <t>g</t>
    </r>
    <r>
      <rPr>
        <vertAlign val="subscript"/>
        <sz val="11"/>
        <color theme="1"/>
        <rFont val="Calibri"/>
        <family val="2"/>
        <scheme val="minor"/>
      </rPr>
      <t>0</t>
    </r>
  </si>
  <si>
    <t>Initial mass</t>
  </si>
  <si>
    <t>Final mass</t>
  </si>
  <si>
    <r>
      <t>m</t>
    </r>
    <r>
      <rPr>
        <vertAlign val="subscript"/>
        <sz val="11"/>
        <color theme="1"/>
        <rFont val="Calibri"/>
        <family val="2"/>
        <scheme val="minor"/>
      </rPr>
      <t>0</t>
    </r>
  </si>
  <si>
    <t>m</t>
  </si>
  <si>
    <t>Mass of the propellent</t>
  </si>
  <si>
    <t>Initial mass of the body</t>
  </si>
  <si>
    <t>Final mass of the body after thrust consumption</t>
  </si>
  <si>
    <t>Earth mean gravitational acceleration at its surface</t>
  </si>
  <si>
    <t>The achievable total impulse of an engine with respect to a given exhausted propellant
mass mp</t>
  </si>
  <si>
    <t>The achievable total impulse of an engine with respect to a given exhausted propellant weight mpg0</t>
  </si>
  <si>
    <t>m/s2</t>
  </si>
  <si>
    <t>Remarks</t>
  </si>
  <si>
    <t>F*</t>
  </si>
  <si>
    <t>Delta V</t>
  </si>
  <si>
    <t>ΔV</t>
  </si>
  <si>
    <t>Specific fuel consumption</t>
  </si>
  <si>
    <t>Fuel consumption (grams/second) per unit of thrust (newtons, or N)</t>
  </si>
  <si>
    <t>Change in velocity</t>
  </si>
  <si>
    <t>Measured</t>
  </si>
  <si>
    <t>Isp = Itot/(mp·g0)</t>
  </si>
  <si>
    <t>Effective exhaust velocity</t>
  </si>
  <si>
    <t>v*</t>
  </si>
  <si>
    <t>-</t>
  </si>
  <si>
    <t>Velocity of the expelled mass</t>
  </si>
  <si>
    <t>Tsiolkovsky rocket equation</t>
  </si>
  <si>
    <t>ΔV=v*·ln(m0/m)</t>
  </si>
  <si>
    <t>mp = m - m0</t>
  </si>
  <si>
    <t>mf = m0 - mp</t>
  </si>
  <si>
    <t>Measure of how efficiently a propulsion system creates thrust</t>
  </si>
  <si>
    <r>
      <t xml:space="preserve">F* = </t>
    </r>
    <r>
      <rPr>
        <sz val="10"/>
        <color theme="1"/>
        <rFont val="Calibri"/>
        <family val="2"/>
      </rPr>
      <t>ṁ</t>
    </r>
    <r>
      <rPr>
        <vertAlign val="subscript"/>
        <sz val="10"/>
        <color theme="1"/>
        <rFont val="Calibri"/>
        <family val="2"/>
        <scheme val="minor"/>
      </rPr>
      <t>p</t>
    </r>
    <r>
      <rPr>
        <sz val="10"/>
        <color theme="1"/>
        <rFont val="Calibri"/>
        <family val="2"/>
        <scheme val="minor"/>
      </rPr>
      <t>·v*</t>
    </r>
  </si>
  <si>
    <r>
      <t>v* = ṁ</t>
    </r>
    <r>
      <rPr>
        <vertAlign val="subscript"/>
        <sz val="10"/>
        <color theme="1"/>
        <rFont val="Calibri"/>
        <family val="2"/>
        <scheme val="minor"/>
      </rPr>
      <t>p</t>
    </r>
    <r>
      <rPr>
        <sz val="10"/>
        <color theme="1"/>
        <rFont val="Calibri"/>
        <family val="2"/>
        <scheme val="minor"/>
      </rPr>
      <t xml:space="preserve"> / F*
v* = Isp * g0</t>
    </r>
  </si>
  <si>
    <t>N·s</t>
  </si>
  <si>
    <t>Product of propellant mass flow rate and exhaust velocity (from repulsion principle).
E is the "instantaneous thrust"</t>
  </si>
  <si>
    <t>g/(N·s)</t>
  </si>
  <si>
    <t>ΔV=F*/m</t>
  </si>
  <si>
    <t>Simplied DeltaV</t>
  </si>
  <si>
    <t>Duration of Thrust</t>
  </si>
  <si>
    <t>Δt</t>
  </si>
  <si>
    <t>Measurement of duration of Thrust</t>
  </si>
  <si>
    <t>E</t>
  </si>
  <si>
    <t>g</t>
  </si>
  <si>
    <t>Number of MEMS</t>
  </si>
  <si>
    <t>n</t>
  </si>
  <si>
    <t>#</t>
  </si>
  <si>
    <t>Considering n</t>
  </si>
  <si>
    <t xml:space="preserve"> Isp = 1/(SFC·g0)</t>
  </si>
  <si>
    <r>
      <t xml:space="preserve">F* = </t>
    </r>
    <r>
      <rPr>
        <sz val="10"/>
        <color theme="1"/>
        <rFont val="Calibri"/>
        <family val="2"/>
      </rPr>
      <t>ṁ</t>
    </r>
    <r>
      <rPr>
        <vertAlign val="subscript"/>
        <sz val="10"/>
        <color theme="1"/>
        <rFont val="Calibri"/>
        <family val="2"/>
        <scheme val="minor"/>
      </rPr>
      <t>p</t>
    </r>
    <r>
      <rPr>
        <sz val="10"/>
        <color theme="1"/>
        <rFont val="Calibri"/>
        <family val="2"/>
        <scheme val="minor"/>
      </rPr>
      <t>·v*·n</t>
    </r>
  </si>
  <si>
    <t>Full thrust</t>
  </si>
  <si>
    <t>Ftot</t>
  </si>
  <si>
    <t>Quantity of MEMs installes</t>
  </si>
  <si>
    <t>Itot = F* · Δt · n</t>
  </si>
  <si>
    <t xml:space="preserve">Weigth specific impulse. </t>
  </si>
  <si>
    <t>SFC = 1000/(Isp·g0)</t>
  </si>
  <si>
    <t>Mass per tank</t>
  </si>
  <si>
    <r>
      <t>m</t>
    </r>
    <r>
      <rPr>
        <vertAlign val="subscript"/>
        <sz val="11"/>
        <color theme="1"/>
        <rFont val="Calibri"/>
        <family val="2"/>
        <scheme val="minor"/>
      </rPr>
      <t>tank</t>
    </r>
  </si>
  <si>
    <t>NAME</t>
  </si>
  <si>
    <t>COMPANY</t>
  </si>
  <si>
    <t>NANOPROP 2000</t>
  </si>
  <si>
    <t>GOMSPACE</t>
  </si>
  <si>
    <t>Itot = Isp · mp · g0</t>
  </si>
  <si>
    <t>Altitude</t>
  </si>
  <si>
    <t>h</t>
  </si>
  <si>
    <t>km</t>
  </si>
  <si>
    <t>Radius</t>
  </si>
  <si>
    <t>r</t>
  </si>
  <si>
    <t>Distance from ground to the spacecraft</t>
  </si>
  <si>
    <t>Radius from center of Earth to spacecraft</t>
  </si>
  <si>
    <t>r = Rearth + h</t>
  </si>
  <si>
    <t>Standard gravitational parameter</t>
  </si>
  <si>
    <t>μ</t>
  </si>
  <si>
    <t>Oroduct of the gravitational constant G and the mass M of the bodies</t>
  </si>
  <si>
    <t>Earth</t>
  </si>
  <si>
    <t>km3/s2</t>
  </si>
  <si>
    <t>Initial velocity</t>
  </si>
  <si>
    <t>Vo</t>
  </si>
  <si>
    <t>Before DeltaV applied</t>
  </si>
  <si>
    <r>
      <t>V</t>
    </r>
    <r>
      <rPr>
        <vertAlign val="subscript"/>
        <sz val="11"/>
        <color theme="1"/>
        <rFont val="Calibri"/>
        <family val="2"/>
        <scheme val="minor"/>
      </rPr>
      <t>0</t>
    </r>
  </si>
  <si>
    <t>Final velocity</t>
  </si>
  <si>
    <r>
      <t>V</t>
    </r>
    <r>
      <rPr>
        <vertAlign val="subscript"/>
        <sz val="11"/>
        <color theme="1"/>
        <rFont val="Calibri"/>
        <family val="2"/>
        <scheme val="minor"/>
      </rPr>
      <t>f</t>
    </r>
  </si>
  <si>
    <t>After DeltaV applied</t>
  </si>
  <si>
    <t>Angle of DeltaV</t>
  </si>
  <si>
    <t>Phi</t>
  </si>
  <si>
    <t>.</t>
  </si>
  <si>
    <t>For Hohmman: 0 or 180</t>
  </si>
  <si>
    <t>deg</t>
  </si>
  <si>
    <t>Angle between initial and final velocities</t>
  </si>
  <si>
    <t>Final trajectory angle</t>
  </si>
  <si>
    <t>Af</t>
  </si>
  <si>
    <r>
      <t>A</t>
    </r>
    <r>
      <rPr>
        <vertAlign val="subscript"/>
        <sz val="11"/>
        <color theme="1"/>
        <rFont val="Calibri"/>
        <family val="2"/>
        <scheme val="minor"/>
      </rPr>
      <t>0-f</t>
    </r>
  </si>
  <si>
    <t>Initial trajectory angle</t>
  </si>
  <si>
    <r>
      <t>A</t>
    </r>
    <r>
      <rPr>
        <vertAlign val="subscript"/>
        <sz val="11"/>
        <color theme="1"/>
        <rFont val="Calibri"/>
        <family val="2"/>
        <scheme val="minor"/>
      </rPr>
      <t>o</t>
    </r>
  </si>
  <si>
    <t>Half-major axis</t>
  </si>
  <si>
    <t>Axm</t>
  </si>
  <si>
    <t>Eccentricity</t>
  </si>
  <si>
    <t>Apogee altitude</t>
  </si>
  <si>
    <t>Perigee altitude</t>
  </si>
  <si>
    <t>Haf</t>
  </si>
  <si>
    <t>Hpf</t>
  </si>
  <si>
    <t>ORBIT TRANSFER</t>
  </si>
  <si>
    <t>Simplified DeltaV</t>
  </si>
  <si>
    <t>LIGHTSEY SPACE RESEARCH</t>
  </si>
  <si>
    <t>USED IN BIOSENTINEL</t>
  </si>
  <si>
    <t>ENPULSION</t>
  </si>
  <si>
    <t>NANO</t>
  </si>
  <si>
    <t>Wet mass = 900 g</t>
  </si>
  <si>
    <t>Estimated</t>
  </si>
  <si>
    <t>Duration of the thrust considering the total impulse</t>
  </si>
  <si>
    <t>Total mass of the propellent</t>
  </si>
  <si>
    <t>Tank size = 5 x 2 x 0,5 mm
Gunpowder density = 1,3 g/cm3; Efficiency:0.35 (experimental)</t>
  </si>
  <si>
    <t xml:space="preserve">Mass per tank of one single MEMS (only the solid mass that contributes to exhaust gas) </t>
  </si>
  <si>
    <t>m0</t>
  </si>
  <si>
    <t>Resulting reduction of radious</t>
  </si>
  <si>
    <t>Resulting increase of radious</t>
  </si>
  <si>
    <t>max number=100*100/((5+2)*(2+2))=357</t>
  </si>
  <si>
    <t>16333333=189 días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</si>
</sst>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"/>
    <numFmt numFmtId="165" formatCode="0.0000"/>
    <numFmt numFmtId="166" formatCode="0.000"/>
    <numFmt numFmtId="167" formatCode="0.0"/>
  </numFmts>
  <fonts count="1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Calibri"/>
      <family val="2"/>
      <scheme val="minor"/>
    </font>
    <font>
      <sz val="10"/>
      <color theme="1"/>
      <name val="Calibri"/>
      <family val="2"/>
    </font>
    <font>
      <vertAlign val="subscript"/>
      <sz val="10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wrapText="1"/>
    </xf>
    <xf numFmtId="0" fontId="5" fillId="0" borderId="0" xfId="0" applyFont="1"/>
    <xf numFmtId="0" fontId="0" fillId="0" borderId="9" xfId="0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/>
    </xf>
    <xf numFmtId="165" fontId="0" fillId="2" borderId="9" xfId="0" applyNumberFormat="1" applyFill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 wrapText="1"/>
    </xf>
    <xf numFmtId="166" fontId="0" fillId="2" borderId="9" xfId="0" applyNumberFormat="1" applyFill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2" fontId="0" fillId="2" borderId="9" xfId="0" applyNumberFormat="1" applyFill="1" applyBorder="1" applyAlignment="1">
      <alignment horizontal="center" vertical="center" wrapText="1"/>
    </xf>
    <xf numFmtId="167" fontId="0" fillId="2" borderId="9" xfId="0" applyNumberFormat="1" applyFill="1" applyBorder="1" applyAlignment="1">
      <alignment horizontal="center" vertical="center" wrapText="1"/>
    </xf>
    <xf numFmtId="164" fontId="0" fillId="2" borderId="9" xfId="0" applyNumberFormat="1" applyFill="1" applyBorder="1" applyAlignment="1">
      <alignment horizontal="center" vertical="center" wrapText="1"/>
    </xf>
    <xf numFmtId="0" fontId="0" fillId="4" borderId="9" xfId="0" applyFill="1" applyBorder="1" applyAlignment="1">
      <alignment horizontal="center" vertical="center" wrapText="1"/>
    </xf>
    <xf numFmtId="0" fontId="1" fillId="5" borderId="9" xfId="0" applyFont="1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 wrapText="1"/>
    </xf>
    <xf numFmtId="0" fontId="7" fillId="0" borderId="9" xfId="0" applyFont="1" applyBorder="1" applyAlignment="1">
      <alignment horizontal="left" vertical="center" wrapText="1" indent="1"/>
    </xf>
    <xf numFmtId="0" fontId="7" fillId="0" borderId="9" xfId="0" applyFont="1" applyBorder="1" applyAlignment="1">
      <alignment horizontal="left" vertical="center" indent="1"/>
    </xf>
    <xf numFmtId="167" fontId="0" fillId="3" borderId="9" xfId="0" applyNumberFormat="1" applyFill="1" applyBorder="1" applyAlignment="1">
      <alignment horizontal="center" vertical="center" wrapText="1"/>
    </xf>
    <xf numFmtId="2" fontId="0" fillId="3" borderId="9" xfId="0" applyNumberFormat="1" applyFill="1" applyBorder="1" applyAlignment="1">
      <alignment horizontal="center" vertical="center" wrapText="1"/>
    </xf>
    <xf numFmtId="11" fontId="0" fillId="2" borderId="9" xfId="0" applyNumberFormat="1" applyFill="1" applyBorder="1" applyAlignment="1">
      <alignment horizontal="center" vertical="center" wrapText="1"/>
    </xf>
    <xf numFmtId="166" fontId="0" fillId="3" borderId="9" xfId="0" applyNumberFormat="1" applyFill="1" applyBorder="1" applyAlignment="1">
      <alignment horizontal="center" vertical="center" wrapText="1"/>
    </xf>
    <xf numFmtId="1" fontId="0" fillId="3" borderId="9" xfId="0" applyNumberFormat="1" applyFill="1" applyBorder="1" applyAlignment="1">
      <alignment horizontal="center" vertical="center" wrapText="1"/>
    </xf>
    <xf numFmtId="166" fontId="0" fillId="6" borderId="9" xfId="0" applyNumberFormat="1" applyFill="1" applyBorder="1" applyAlignment="1">
      <alignment horizontal="center" vertical="center" wrapText="1"/>
    </xf>
    <xf numFmtId="1" fontId="0" fillId="6" borderId="9" xfId="0" applyNumberFormat="1" applyFill="1" applyBorder="1" applyAlignment="1">
      <alignment horizontal="center" vertical="center" wrapText="1"/>
    </xf>
    <xf numFmtId="167" fontId="0" fillId="6" borderId="9" xfId="0" applyNumberFormat="1" applyFill="1" applyBorder="1" applyAlignment="1">
      <alignment horizontal="center" vertical="center" wrapText="1"/>
    </xf>
    <xf numFmtId="2" fontId="0" fillId="6" borderId="9" xfId="0" applyNumberFormat="1" applyFill="1" applyBorder="1" applyAlignment="1">
      <alignment horizontal="center" vertical="center" wrapText="1"/>
    </xf>
    <xf numFmtId="0" fontId="3" fillId="7" borderId="0" xfId="0" applyFont="1" applyFill="1" applyAlignment="1">
      <alignment horizontal="right" vertical="center" indent="1"/>
    </xf>
    <xf numFmtId="0" fontId="0" fillId="7" borderId="0" xfId="0" applyFill="1" applyAlignment="1">
      <alignment horizontal="center" vertical="center"/>
    </xf>
    <xf numFmtId="0" fontId="0" fillId="6" borderId="9" xfId="0" applyFill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2" fillId="0" borderId="1" xfId="0" quotePrefix="1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6" xfId="0" applyFont="1" applyBorder="1" applyAlignment="1">
      <alignment horizontal="center" vertical="top"/>
    </xf>
    <xf numFmtId="0" fontId="2" fillId="0" borderId="7" xfId="0" applyFont="1" applyBorder="1" applyAlignment="1">
      <alignment horizontal="center" vertical="top"/>
    </xf>
    <xf numFmtId="0" fontId="2" fillId="0" borderId="8" xfId="0" applyFont="1" applyBorder="1" applyAlignment="1">
      <alignment horizontal="center" vertical="top"/>
    </xf>
    <xf numFmtId="0" fontId="1" fillId="8" borderId="11" xfId="0" applyFont="1" applyFill="1" applyBorder="1" applyAlignment="1">
      <alignment horizontal="center" vertical="center"/>
    </xf>
    <xf numFmtId="0" fontId="1" fillId="8" borderId="12" xfId="0" applyFont="1" applyFill="1" applyBorder="1" applyAlignment="1">
      <alignment horizontal="center" vertical="center"/>
    </xf>
    <xf numFmtId="0" fontId="1" fillId="8" borderId="13" xfId="0" applyFont="1" applyFill="1" applyBorder="1" applyAlignment="1">
      <alignment horizontal="center" vertical="center"/>
    </xf>
    <xf numFmtId="0" fontId="10" fillId="7" borderId="10" xfId="0" applyFont="1" applyFill="1" applyBorder="1" applyAlignment="1">
      <alignment horizontal="left" vertical="center" indent="1"/>
    </xf>
    <xf numFmtId="0" fontId="10" fillId="7" borderId="10" xfId="0" applyFont="1" applyFill="1" applyBorder="1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161925</xdr:colOff>
      <xdr:row>1</xdr:row>
      <xdr:rowOff>85725</xdr:rowOff>
    </xdr:from>
    <xdr:to>
      <xdr:col>7</xdr:col>
      <xdr:colOff>371475</xdr:colOff>
      <xdr:row>6</xdr:row>
      <xdr:rowOff>1575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3FB21DD-DC62-09B5-02CB-E4B8BB5BED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1925" y="276225"/>
          <a:ext cx="5543550" cy="868350"/>
        </a:xfrm>
        <a:prstGeom prst="rect">
          <a:avLst/>
        </a:prstGeom>
      </xdr:spPr>
    </xdr:pic>
    <xdr:clientData/>
  </xdr:twoCellAnchor>
  <xdr:twoCellAnchor editAs="oneCell">
    <xdr:from>
      <xdr:col>0</xdr:col>
      <xdr:colOff>581025</xdr:colOff>
      <xdr:row>8</xdr:row>
      <xdr:rowOff>0</xdr:rowOff>
    </xdr:from>
    <xdr:to>
      <xdr:col>7</xdr:col>
      <xdr:colOff>388135</xdr:colOff>
      <xdr:row>18</xdr:row>
      <xdr:rowOff>95250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6C4954C2-56BA-8AA8-4665-B837681D3B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81025" y="1533525"/>
          <a:ext cx="5141110" cy="2009775"/>
        </a:xfrm>
        <a:prstGeom prst="rect">
          <a:avLst/>
        </a:prstGeom>
      </xdr:spPr>
    </xdr:pic>
    <xdr:clientData/>
  </xdr:twoCellAnchor>
  <xdr:twoCellAnchor editAs="oneCell">
    <xdr:from>
      <xdr:col>0</xdr:col>
      <xdr:colOff>314325</xdr:colOff>
      <xdr:row>20</xdr:row>
      <xdr:rowOff>133350</xdr:rowOff>
    </xdr:from>
    <xdr:to>
      <xdr:col>7</xdr:col>
      <xdr:colOff>294611</xdr:colOff>
      <xdr:row>23</xdr:row>
      <xdr:rowOff>142802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BFD25F56-CE74-E610-BEE3-D6829E6BAC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14325" y="3962400"/>
          <a:ext cx="5314286" cy="580952"/>
        </a:xfrm>
        <a:prstGeom prst="rect">
          <a:avLst/>
        </a:prstGeom>
      </xdr:spPr>
    </xdr:pic>
    <xdr:clientData/>
  </xdr:twoCellAnchor>
  <xdr:twoCellAnchor editAs="oneCell">
    <xdr:from>
      <xdr:col>8</xdr:col>
      <xdr:colOff>238125</xdr:colOff>
      <xdr:row>0</xdr:row>
      <xdr:rowOff>133350</xdr:rowOff>
    </xdr:from>
    <xdr:to>
      <xdr:col>14</xdr:col>
      <xdr:colOff>185326</xdr:colOff>
      <xdr:row>14</xdr:row>
      <xdr:rowOff>9525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3D3D5C45-6682-C767-A25D-28665ECCF5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334125" y="133350"/>
          <a:ext cx="4519201" cy="2562225"/>
        </a:xfrm>
        <a:prstGeom prst="rect">
          <a:avLst/>
        </a:prstGeom>
      </xdr:spPr>
    </xdr:pic>
    <xdr:clientData/>
  </xdr:twoCellAnchor>
  <xdr:twoCellAnchor editAs="oneCell">
    <xdr:from>
      <xdr:col>8</xdr:col>
      <xdr:colOff>238125</xdr:colOff>
      <xdr:row>15</xdr:row>
      <xdr:rowOff>47625</xdr:rowOff>
    </xdr:from>
    <xdr:to>
      <xdr:col>14</xdr:col>
      <xdr:colOff>663611</xdr:colOff>
      <xdr:row>34</xdr:row>
      <xdr:rowOff>113717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99A03547-418B-0807-0C97-34D4AAFFCD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334125" y="2924175"/>
          <a:ext cx="4997486" cy="3704642"/>
        </a:xfrm>
        <a:prstGeom prst="rect">
          <a:avLst/>
        </a:prstGeom>
      </xdr:spPr>
    </xdr:pic>
    <xdr:clientData/>
  </xdr:twoCellAnchor>
  <xdr:twoCellAnchor editAs="oneCell">
    <xdr:from>
      <xdr:col>15</xdr:col>
      <xdr:colOff>209550</xdr:colOff>
      <xdr:row>1</xdr:row>
      <xdr:rowOff>9525</xdr:rowOff>
    </xdr:from>
    <xdr:to>
      <xdr:col>21</xdr:col>
      <xdr:colOff>233831</xdr:colOff>
      <xdr:row>6</xdr:row>
      <xdr:rowOff>76200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EAEDDC63-5A90-7B3A-4458-41E4961A36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639550" y="200025"/>
          <a:ext cx="4596281" cy="1019175"/>
        </a:xfrm>
        <a:prstGeom prst="rect">
          <a:avLst/>
        </a:prstGeom>
      </xdr:spPr>
    </xdr:pic>
    <xdr:clientData/>
  </xdr:twoCellAnchor>
  <xdr:twoCellAnchor editAs="oneCell">
    <xdr:from>
      <xdr:col>15</xdr:col>
      <xdr:colOff>647700</xdr:colOff>
      <xdr:row>9</xdr:row>
      <xdr:rowOff>28575</xdr:rowOff>
    </xdr:from>
    <xdr:to>
      <xdr:col>18</xdr:col>
      <xdr:colOff>485510</xdr:colOff>
      <xdr:row>14</xdr:row>
      <xdr:rowOff>18932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D3788BF5-B0BC-AE8F-A6E2-F300E0550D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2077700" y="1762125"/>
          <a:ext cx="2123810" cy="942857"/>
        </a:xfrm>
        <a:prstGeom prst="rect">
          <a:avLst/>
        </a:prstGeom>
      </xdr:spPr>
    </xdr:pic>
    <xdr:clientData/>
  </xdr:twoCellAnchor>
  <xdr:twoCellAnchor editAs="oneCell">
    <xdr:from>
      <xdr:col>15</xdr:col>
      <xdr:colOff>209550</xdr:colOff>
      <xdr:row>15</xdr:row>
      <xdr:rowOff>152400</xdr:rowOff>
    </xdr:from>
    <xdr:to>
      <xdr:col>20</xdr:col>
      <xdr:colOff>699257</xdr:colOff>
      <xdr:row>34</xdr:row>
      <xdr:rowOff>66104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6FD2B447-9A9C-9052-2FE4-BC37847FDB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1639550" y="3038475"/>
          <a:ext cx="4299707" cy="35522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39997558519241921"/>
  </sheetPr>
  <dimension ref="A1:H31"/>
  <sheetViews>
    <sheetView zoomScale="85" zoomScaleNormal="85" workbookViewId="0">
      <selection activeCell="F8" sqref="F8"/>
    </sheetView>
  </sheetViews>
  <sheetFormatPr baseColWidth="10" defaultColWidth="9.21875" defaultRowHeight="14.4" x14ac:dyDescent="0.3"/>
  <cols>
    <col min="1" max="1" width="25.77734375" customWidth="1"/>
    <col min="2" max="2" width="14.21875" customWidth="1"/>
    <col min="3" max="3" width="55" customWidth="1"/>
    <col min="4" max="4" width="28" customWidth="1"/>
    <col min="5" max="6" width="10.77734375" style="2" customWidth="1"/>
    <col min="7" max="7" width="10.5546875" customWidth="1"/>
    <col min="8" max="8" width="76.77734375" customWidth="1"/>
    <col min="10" max="10" width="14.21875" customWidth="1"/>
    <col min="11" max="11" width="12" bestFit="1" customWidth="1"/>
  </cols>
  <sheetData>
    <row r="1" spans="1:8" s="1" customFormat="1" ht="30" customHeight="1" x14ac:dyDescent="0.3">
      <c r="A1" s="17" t="s">
        <v>6</v>
      </c>
      <c r="B1" s="17" t="s">
        <v>7</v>
      </c>
      <c r="C1" s="17" t="s">
        <v>8</v>
      </c>
      <c r="D1" s="17" t="s">
        <v>10</v>
      </c>
      <c r="E1" s="18" t="s">
        <v>13</v>
      </c>
      <c r="F1" s="18" t="s">
        <v>14</v>
      </c>
      <c r="G1" s="17" t="s">
        <v>9</v>
      </c>
      <c r="H1" s="17" t="s">
        <v>32</v>
      </c>
    </row>
    <row r="2" spans="1:8" s="1" customFormat="1" ht="30" customHeight="1" x14ac:dyDescent="0.3">
      <c r="A2" s="4" t="s">
        <v>11</v>
      </c>
      <c r="B2" s="4" t="s">
        <v>33</v>
      </c>
      <c r="C2" s="5" t="s">
        <v>29</v>
      </c>
      <c r="D2" s="9" t="s">
        <v>50</v>
      </c>
      <c r="E2" s="24">
        <v>0.05</v>
      </c>
      <c r="F2" s="10" t="s">
        <v>43</v>
      </c>
      <c r="G2" s="8" t="s">
        <v>5</v>
      </c>
      <c r="H2" s="19" t="s">
        <v>53</v>
      </c>
    </row>
    <row r="3" spans="1:8" s="1" customFormat="1" ht="30" customHeight="1" x14ac:dyDescent="0.3">
      <c r="A3" s="4" t="s">
        <v>57</v>
      </c>
      <c r="B3" s="4" t="s">
        <v>58</v>
      </c>
      <c r="C3" s="5" t="s">
        <v>59</v>
      </c>
      <c r="D3" s="9" t="s">
        <v>39</v>
      </c>
      <c r="E3" s="12">
        <v>1</v>
      </c>
      <c r="F3" s="7" t="s">
        <v>43</v>
      </c>
      <c r="G3" s="8" t="s">
        <v>3</v>
      </c>
      <c r="H3" s="19"/>
    </row>
    <row r="4" spans="1:8" s="1" customFormat="1" ht="30" customHeight="1" x14ac:dyDescent="0.3">
      <c r="A4" s="4" t="s">
        <v>4</v>
      </c>
      <c r="B4" s="4" t="s">
        <v>18</v>
      </c>
      <c r="C4" s="5" t="s">
        <v>30</v>
      </c>
      <c r="D4" s="6" t="s">
        <v>71</v>
      </c>
      <c r="E4" s="11" t="s">
        <v>43</v>
      </c>
      <c r="F4" s="28">
        <f>E3*E2</f>
        <v>0.05</v>
      </c>
      <c r="G4" s="8" t="s">
        <v>52</v>
      </c>
      <c r="H4" s="20"/>
    </row>
    <row r="5" spans="1:8" s="1" customFormat="1" ht="45" customHeight="1" x14ac:dyDescent="0.3">
      <c r="A5" s="4" t="s">
        <v>12</v>
      </c>
      <c r="B5" s="4" t="s">
        <v>17</v>
      </c>
      <c r="C5" s="5" t="s">
        <v>49</v>
      </c>
      <c r="D5" s="6" t="s">
        <v>40</v>
      </c>
      <c r="E5" s="11" t="s">
        <v>43</v>
      </c>
      <c r="F5" s="27">
        <f>F4/(E10*E9*0.001)</f>
        <v>0.51020408163265307</v>
      </c>
      <c r="G5" s="8" t="s">
        <v>3</v>
      </c>
      <c r="H5" s="19" t="s">
        <v>72</v>
      </c>
    </row>
    <row r="6" spans="1:8" s="1" customFormat="1" ht="45" customHeight="1" x14ac:dyDescent="0.3">
      <c r="A6" s="4" t="s">
        <v>12</v>
      </c>
      <c r="B6" s="4" t="s">
        <v>17</v>
      </c>
      <c r="C6" s="5" t="s">
        <v>49</v>
      </c>
      <c r="D6" s="6" t="s">
        <v>66</v>
      </c>
      <c r="E6" s="11" t="s">
        <v>43</v>
      </c>
      <c r="F6" s="27">
        <f>1000/(F7*E9)</f>
        <v>0.51020408163265307</v>
      </c>
      <c r="G6" s="8" t="s">
        <v>3</v>
      </c>
      <c r="H6" s="19" t="s">
        <v>72</v>
      </c>
    </row>
    <row r="7" spans="1:8" ht="30" customHeight="1" x14ac:dyDescent="0.3">
      <c r="A7" s="4" t="s">
        <v>36</v>
      </c>
      <c r="B7" s="4" t="s">
        <v>0</v>
      </c>
      <c r="C7" s="5" t="s">
        <v>37</v>
      </c>
      <c r="D7" s="6" t="s">
        <v>73</v>
      </c>
      <c r="E7" s="15" t="s">
        <v>43</v>
      </c>
      <c r="F7" s="29">
        <f>1000/(F5*E9)</f>
        <v>199.99999999999997</v>
      </c>
      <c r="G7" s="8" t="s">
        <v>54</v>
      </c>
      <c r="H7" s="20"/>
    </row>
    <row r="8" spans="1:8" s="1" customFormat="1" ht="30" customHeight="1" x14ac:dyDescent="0.3">
      <c r="A8" s="4" t="s">
        <v>41</v>
      </c>
      <c r="B8" s="4" t="s">
        <v>42</v>
      </c>
      <c r="C8" s="5" t="s">
        <v>44</v>
      </c>
      <c r="D8" s="9" t="s">
        <v>51</v>
      </c>
      <c r="E8" s="16" t="s">
        <v>43</v>
      </c>
      <c r="F8" s="27">
        <f>F5*E9</f>
        <v>5.0000000000000009</v>
      </c>
      <c r="G8" s="8" t="s">
        <v>1</v>
      </c>
      <c r="H8" s="20"/>
    </row>
    <row r="9" spans="1:8" s="1" customFormat="1" ht="30" customHeight="1" x14ac:dyDescent="0.3">
      <c r="A9" s="4" t="s">
        <v>19</v>
      </c>
      <c r="B9" s="4" t="s">
        <v>20</v>
      </c>
      <c r="C9" s="5" t="s">
        <v>28</v>
      </c>
      <c r="D9" s="6" t="s">
        <v>43</v>
      </c>
      <c r="E9" s="12">
        <v>9.8000000000000007</v>
      </c>
      <c r="F9" s="14" t="s">
        <v>43</v>
      </c>
      <c r="G9" s="8" t="s">
        <v>31</v>
      </c>
      <c r="H9" s="19"/>
    </row>
    <row r="10" spans="1:8" s="1" customFormat="1" ht="30" customHeight="1" x14ac:dyDescent="0.3">
      <c r="A10" s="4" t="s">
        <v>15</v>
      </c>
      <c r="B10" s="4" t="s">
        <v>16</v>
      </c>
      <c r="C10" s="5" t="s">
        <v>25</v>
      </c>
      <c r="D10" s="6" t="s">
        <v>47</v>
      </c>
      <c r="E10" s="21">
        <v>10</v>
      </c>
      <c r="F10" s="23" t="s">
        <v>43</v>
      </c>
      <c r="G10" s="8" t="s">
        <v>61</v>
      </c>
      <c r="H10" s="20"/>
    </row>
    <row r="11" spans="1:8" s="1" customFormat="1" ht="30" customHeight="1" x14ac:dyDescent="0.3">
      <c r="A11" s="4" t="s">
        <v>21</v>
      </c>
      <c r="B11" s="4" t="s">
        <v>23</v>
      </c>
      <c r="C11" s="5" t="s">
        <v>26</v>
      </c>
      <c r="D11" s="6" t="s">
        <v>43</v>
      </c>
      <c r="E11" s="22">
        <v>5</v>
      </c>
      <c r="F11" s="13" t="s">
        <v>43</v>
      </c>
      <c r="G11" s="8" t="s">
        <v>2</v>
      </c>
      <c r="H11" s="20"/>
    </row>
    <row r="12" spans="1:8" s="1" customFormat="1" ht="30" customHeight="1" x14ac:dyDescent="0.3">
      <c r="A12" s="4" t="s">
        <v>22</v>
      </c>
      <c r="B12" s="4" t="s">
        <v>24</v>
      </c>
      <c r="C12" s="5" t="s">
        <v>27</v>
      </c>
      <c r="D12" s="6" t="s">
        <v>48</v>
      </c>
      <c r="E12" s="13" t="s">
        <v>43</v>
      </c>
      <c r="F12" s="29">
        <f>E11-E10*0.001</f>
        <v>4.99</v>
      </c>
      <c r="G12" s="8" t="s">
        <v>2</v>
      </c>
      <c r="H12" s="20"/>
    </row>
    <row r="13" spans="1:8" ht="30" customHeight="1" x14ac:dyDescent="0.3">
      <c r="A13" s="4" t="s">
        <v>34</v>
      </c>
      <c r="B13" s="4" t="s">
        <v>35</v>
      </c>
      <c r="C13" s="5" t="s">
        <v>38</v>
      </c>
      <c r="D13" s="9" t="s">
        <v>46</v>
      </c>
      <c r="E13" s="7" t="s">
        <v>43</v>
      </c>
      <c r="F13" s="29">
        <f>F8*LN(E11/F12)</f>
        <v>1.0010013353364846E-2</v>
      </c>
      <c r="G13" s="8" t="s">
        <v>1</v>
      </c>
      <c r="H13" s="20" t="s">
        <v>45</v>
      </c>
    </row>
    <row r="14" spans="1:8" ht="30" customHeight="1" x14ac:dyDescent="0.3">
      <c r="A14" s="4" t="s">
        <v>34</v>
      </c>
      <c r="B14" s="4" t="s">
        <v>35</v>
      </c>
      <c r="C14" s="5" t="s">
        <v>38</v>
      </c>
      <c r="D14" s="9" t="s">
        <v>55</v>
      </c>
      <c r="E14" s="7" t="s">
        <v>43</v>
      </c>
      <c r="F14" s="29">
        <f>F4/F12</f>
        <v>1.002004008016032E-2</v>
      </c>
      <c r="G14" s="8" t="s">
        <v>1</v>
      </c>
      <c r="H14" s="20" t="s">
        <v>56</v>
      </c>
    </row>
    <row r="15" spans="1:8" ht="30" customHeight="1" x14ac:dyDescent="0.3">
      <c r="A15" s="4"/>
      <c r="B15" s="4"/>
      <c r="C15" s="4"/>
      <c r="D15" s="4"/>
      <c r="E15" s="11"/>
      <c r="F15" s="11"/>
      <c r="G15" s="8"/>
      <c r="H15" s="20"/>
    </row>
    <row r="16" spans="1:8" ht="30" customHeight="1" x14ac:dyDescent="0.3">
      <c r="A16" s="4"/>
      <c r="B16" s="4"/>
      <c r="C16" s="4"/>
      <c r="D16" s="4"/>
      <c r="E16" s="11"/>
      <c r="F16" s="11"/>
      <c r="G16" s="8"/>
      <c r="H16" s="20"/>
    </row>
    <row r="17" spans="5:7" ht="15" customHeight="1" x14ac:dyDescent="0.3">
      <c r="G17" s="3"/>
    </row>
    <row r="18" spans="5:7" x14ac:dyDescent="0.3">
      <c r="G18" s="3"/>
    </row>
    <row r="19" spans="5:7" x14ac:dyDescent="0.3">
      <c r="G19" s="3"/>
    </row>
    <row r="20" spans="5:7" x14ac:dyDescent="0.3">
      <c r="G20" s="3"/>
    </row>
    <row r="21" spans="5:7" x14ac:dyDescent="0.3">
      <c r="E21"/>
      <c r="F21"/>
    </row>
    <row r="22" spans="5:7" x14ac:dyDescent="0.3">
      <c r="F22"/>
    </row>
    <row r="23" spans="5:7" x14ac:dyDescent="0.3">
      <c r="E23"/>
      <c r="F23"/>
    </row>
    <row r="24" spans="5:7" x14ac:dyDescent="0.3">
      <c r="E24"/>
      <c r="F24"/>
    </row>
    <row r="25" spans="5:7" x14ac:dyDescent="0.3">
      <c r="E25"/>
      <c r="F25"/>
    </row>
    <row r="26" spans="5:7" x14ac:dyDescent="0.3">
      <c r="E26"/>
      <c r="F26"/>
    </row>
    <row r="27" spans="5:7" x14ac:dyDescent="0.3">
      <c r="E27"/>
      <c r="F27"/>
    </row>
    <row r="28" spans="5:7" x14ac:dyDescent="0.3">
      <c r="E28"/>
      <c r="F28"/>
    </row>
    <row r="29" spans="5:7" x14ac:dyDescent="0.3">
      <c r="E29"/>
      <c r="F29"/>
    </row>
    <row r="30" spans="5:7" x14ac:dyDescent="0.3">
      <c r="E30"/>
      <c r="F30"/>
    </row>
    <row r="31" spans="5:7" x14ac:dyDescent="0.3">
      <c r="E31"/>
      <c r="F3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27880-B8ED-4AA5-8650-151D19006E6D}">
  <sheetPr>
    <tabColor theme="9" tint="0.39997558519241921"/>
  </sheetPr>
  <dimension ref="A1:V36"/>
  <sheetViews>
    <sheetView zoomScale="68" zoomScaleNormal="100" workbookViewId="0">
      <selection activeCell="E26" sqref="E26"/>
    </sheetView>
  </sheetViews>
  <sheetFormatPr baseColWidth="10" defaultRowHeight="14.4" x14ac:dyDescent="0.3"/>
  <sheetData>
    <row r="1" spans="1:22" x14ac:dyDescent="0.3">
      <c r="A1" s="44"/>
      <c r="B1" s="45"/>
      <c r="C1" s="45"/>
      <c r="D1" s="45"/>
      <c r="E1" s="45"/>
      <c r="F1" s="45"/>
      <c r="G1" s="45"/>
      <c r="H1" s="46"/>
      <c r="I1" s="35"/>
      <c r="J1" s="36"/>
      <c r="K1" s="36"/>
      <c r="L1" s="36"/>
      <c r="M1" s="36"/>
      <c r="N1" s="36"/>
      <c r="O1" s="37"/>
      <c r="P1" s="35"/>
      <c r="Q1" s="36"/>
      <c r="R1" s="36"/>
      <c r="S1" s="36"/>
      <c r="T1" s="36"/>
      <c r="U1" s="36"/>
      <c r="V1" s="37"/>
    </row>
    <row r="2" spans="1:22" x14ac:dyDescent="0.3">
      <c r="A2" s="47"/>
      <c r="B2" s="48"/>
      <c r="C2" s="48"/>
      <c r="D2" s="48"/>
      <c r="E2" s="48"/>
      <c r="F2" s="48"/>
      <c r="G2" s="48"/>
      <c r="H2" s="49"/>
      <c r="I2" s="38"/>
      <c r="J2" s="39"/>
      <c r="K2" s="39"/>
      <c r="L2" s="39"/>
      <c r="M2" s="39"/>
      <c r="N2" s="39"/>
      <c r="O2" s="40"/>
      <c r="P2" s="38"/>
      <c r="Q2" s="39"/>
      <c r="R2" s="39"/>
      <c r="S2" s="39"/>
      <c r="T2" s="39"/>
      <c r="U2" s="39"/>
      <c r="V2" s="40"/>
    </row>
    <row r="3" spans="1:22" x14ac:dyDescent="0.3">
      <c r="A3" s="47"/>
      <c r="B3" s="48"/>
      <c r="C3" s="48"/>
      <c r="D3" s="48"/>
      <c r="E3" s="48"/>
      <c r="F3" s="48"/>
      <c r="G3" s="48"/>
      <c r="H3" s="49"/>
      <c r="I3" s="38"/>
      <c r="J3" s="39"/>
      <c r="K3" s="39"/>
      <c r="L3" s="39"/>
      <c r="M3" s="39"/>
      <c r="N3" s="39"/>
      <c r="O3" s="40"/>
      <c r="P3" s="38"/>
      <c r="Q3" s="39"/>
      <c r="R3" s="39"/>
      <c r="S3" s="39"/>
      <c r="T3" s="39"/>
      <c r="U3" s="39"/>
      <c r="V3" s="40"/>
    </row>
    <row r="4" spans="1:22" x14ac:dyDescent="0.3">
      <c r="A4" s="47"/>
      <c r="B4" s="48"/>
      <c r="C4" s="48"/>
      <c r="D4" s="48"/>
      <c r="E4" s="48"/>
      <c r="F4" s="48"/>
      <c r="G4" s="48"/>
      <c r="H4" s="49"/>
      <c r="I4" s="38"/>
      <c r="J4" s="39"/>
      <c r="K4" s="39"/>
      <c r="L4" s="39"/>
      <c r="M4" s="39"/>
      <c r="N4" s="39"/>
      <c r="O4" s="40"/>
      <c r="P4" s="38"/>
      <c r="Q4" s="39"/>
      <c r="R4" s="39"/>
      <c r="S4" s="39"/>
      <c r="T4" s="39"/>
      <c r="U4" s="39"/>
      <c r="V4" s="40"/>
    </row>
    <row r="5" spans="1:22" x14ac:dyDescent="0.3">
      <c r="A5" s="47"/>
      <c r="B5" s="48"/>
      <c r="C5" s="48"/>
      <c r="D5" s="48"/>
      <c r="E5" s="48"/>
      <c r="F5" s="48"/>
      <c r="G5" s="48"/>
      <c r="H5" s="49"/>
      <c r="I5" s="38"/>
      <c r="J5" s="39"/>
      <c r="K5" s="39"/>
      <c r="L5" s="39"/>
      <c r="M5" s="39"/>
      <c r="N5" s="39"/>
      <c r="O5" s="40"/>
      <c r="P5" s="38"/>
      <c r="Q5" s="39"/>
      <c r="R5" s="39"/>
      <c r="S5" s="39"/>
      <c r="T5" s="39"/>
      <c r="U5" s="39"/>
      <c r="V5" s="40"/>
    </row>
    <row r="6" spans="1:22" x14ac:dyDescent="0.3">
      <c r="A6" s="47"/>
      <c r="B6" s="48"/>
      <c r="C6" s="48"/>
      <c r="D6" s="48"/>
      <c r="E6" s="48"/>
      <c r="F6" s="48"/>
      <c r="G6" s="48"/>
      <c r="H6" s="49"/>
      <c r="I6" s="38"/>
      <c r="J6" s="39"/>
      <c r="K6" s="39"/>
      <c r="L6" s="39"/>
      <c r="M6" s="39"/>
      <c r="N6" s="39"/>
      <c r="O6" s="40"/>
      <c r="P6" s="38"/>
      <c r="Q6" s="39"/>
      <c r="R6" s="39"/>
      <c r="S6" s="39"/>
      <c r="T6" s="39"/>
      <c r="U6" s="39"/>
      <c r="V6" s="40"/>
    </row>
    <row r="7" spans="1:22" ht="15" thickBot="1" x14ac:dyDescent="0.35">
      <c r="A7" s="50"/>
      <c r="B7" s="51"/>
      <c r="C7" s="51"/>
      <c r="D7" s="51"/>
      <c r="E7" s="51"/>
      <c r="F7" s="51"/>
      <c r="G7" s="51"/>
      <c r="H7" s="52"/>
      <c r="I7" s="38"/>
      <c r="J7" s="39"/>
      <c r="K7" s="39"/>
      <c r="L7" s="39"/>
      <c r="M7" s="39"/>
      <c r="N7" s="39"/>
      <c r="O7" s="40"/>
      <c r="P7" s="38"/>
      <c r="Q7" s="39"/>
      <c r="R7" s="39"/>
      <c r="S7" s="39"/>
      <c r="T7" s="39"/>
      <c r="U7" s="39"/>
      <c r="V7" s="40"/>
    </row>
    <row r="8" spans="1:22" ht="15" thickBot="1" x14ac:dyDescent="0.35">
      <c r="A8" s="35"/>
      <c r="B8" s="36"/>
      <c r="C8" s="36"/>
      <c r="D8" s="36"/>
      <c r="E8" s="36"/>
      <c r="F8" s="36"/>
      <c r="G8" s="36"/>
      <c r="H8" s="37"/>
      <c r="I8" s="38"/>
      <c r="J8" s="39"/>
      <c r="K8" s="39"/>
      <c r="L8" s="39"/>
      <c r="M8" s="39"/>
      <c r="N8" s="39"/>
      <c r="O8" s="40"/>
      <c r="P8" s="41"/>
      <c r="Q8" s="42"/>
      <c r="R8" s="42"/>
      <c r="S8" s="42"/>
      <c r="T8" s="42"/>
      <c r="U8" s="42"/>
      <c r="V8" s="43"/>
    </row>
    <row r="9" spans="1:22" x14ac:dyDescent="0.3">
      <c r="A9" s="38"/>
      <c r="B9" s="39"/>
      <c r="C9" s="39"/>
      <c r="D9" s="39"/>
      <c r="E9" s="39"/>
      <c r="F9" s="39"/>
      <c r="G9" s="39"/>
      <c r="H9" s="40"/>
      <c r="I9" s="38"/>
      <c r="J9" s="39"/>
      <c r="K9" s="39"/>
      <c r="L9" s="39"/>
      <c r="M9" s="39"/>
      <c r="N9" s="39"/>
      <c r="O9" s="40"/>
      <c r="P9" s="35"/>
      <c r="Q9" s="36"/>
      <c r="R9" s="36"/>
      <c r="S9" s="37"/>
    </row>
    <row r="10" spans="1:22" x14ac:dyDescent="0.3">
      <c r="A10" s="38"/>
      <c r="B10" s="39"/>
      <c r="C10" s="39"/>
      <c r="D10" s="39"/>
      <c r="E10" s="39"/>
      <c r="F10" s="39"/>
      <c r="G10" s="39"/>
      <c r="H10" s="40"/>
      <c r="I10" s="38"/>
      <c r="J10" s="39"/>
      <c r="K10" s="39"/>
      <c r="L10" s="39"/>
      <c r="M10" s="39"/>
      <c r="N10" s="39"/>
      <c r="O10" s="40"/>
      <c r="P10" s="38"/>
      <c r="Q10" s="39"/>
      <c r="R10" s="39"/>
      <c r="S10" s="40"/>
    </row>
    <row r="11" spans="1:22" x14ac:dyDescent="0.3">
      <c r="A11" s="38"/>
      <c r="B11" s="39"/>
      <c r="C11" s="39"/>
      <c r="D11" s="39"/>
      <c r="E11" s="39"/>
      <c r="F11" s="39"/>
      <c r="G11" s="39"/>
      <c r="H11" s="40"/>
      <c r="I11" s="38"/>
      <c r="J11" s="39"/>
      <c r="K11" s="39"/>
      <c r="L11" s="39"/>
      <c r="M11" s="39"/>
      <c r="N11" s="39"/>
      <c r="O11" s="40"/>
      <c r="P11" s="38"/>
      <c r="Q11" s="39"/>
      <c r="R11" s="39"/>
      <c r="S11" s="40"/>
    </row>
    <row r="12" spans="1:22" x14ac:dyDescent="0.3">
      <c r="A12" s="38"/>
      <c r="B12" s="39"/>
      <c r="C12" s="39"/>
      <c r="D12" s="39"/>
      <c r="E12" s="39"/>
      <c r="F12" s="39"/>
      <c r="G12" s="39"/>
      <c r="H12" s="40"/>
      <c r="I12" s="38"/>
      <c r="J12" s="39"/>
      <c r="K12" s="39"/>
      <c r="L12" s="39"/>
      <c r="M12" s="39"/>
      <c r="N12" s="39"/>
      <c r="O12" s="40"/>
      <c r="P12" s="38"/>
      <c r="Q12" s="39"/>
      <c r="R12" s="39"/>
      <c r="S12" s="40"/>
    </row>
    <row r="13" spans="1:22" x14ac:dyDescent="0.3">
      <c r="A13" s="38"/>
      <c r="B13" s="39"/>
      <c r="C13" s="39"/>
      <c r="D13" s="39"/>
      <c r="E13" s="39"/>
      <c r="F13" s="39"/>
      <c r="G13" s="39"/>
      <c r="H13" s="40"/>
      <c r="I13" s="38"/>
      <c r="J13" s="39"/>
      <c r="K13" s="39"/>
      <c r="L13" s="39"/>
      <c r="M13" s="39"/>
      <c r="N13" s="39"/>
      <c r="O13" s="40"/>
      <c r="P13" s="38"/>
      <c r="Q13" s="39"/>
      <c r="R13" s="39"/>
      <c r="S13" s="40"/>
    </row>
    <row r="14" spans="1:22" x14ac:dyDescent="0.3">
      <c r="A14" s="38"/>
      <c r="B14" s="39"/>
      <c r="C14" s="39"/>
      <c r="D14" s="39"/>
      <c r="E14" s="39"/>
      <c r="F14" s="39"/>
      <c r="G14" s="39"/>
      <c r="H14" s="40"/>
      <c r="I14" s="38"/>
      <c r="J14" s="39"/>
      <c r="K14" s="39"/>
      <c r="L14" s="39"/>
      <c r="M14" s="39"/>
      <c r="N14" s="39"/>
      <c r="O14" s="40"/>
      <c r="P14" s="38"/>
      <c r="Q14" s="39"/>
      <c r="R14" s="39"/>
      <c r="S14" s="40"/>
    </row>
    <row r="15" spans="1:22" ht="15" thickBot="1" x14ac:dyDescent="0.35">
      <c r="A15" s="38"/>
      <c r="B15" s="39"/>
      <c r="C15" s="39"/>
      <c r="D15" s="39"/>
      <c r="E15" s="39"/>
      <c r="F15" s="39"/>
      <c r="G15" s="39"/>
      <c r="H15" s="40"/>
      <c r="I15" s="41"/>
      <c r="J15" s="42"/>
      <c r="K15" s="42"/>
      <c r="L15" s="42"/>
      <c r="M15" s="42"/>
      <c r="N15" s="42"/>
      <c r="O15" s="43"/>
      <c r="P15" s="38"/>
      <c r="Q15" s="39"/>
      <c r="R15" s="39"/>
      <c r="S15" s="40"/>
    </row>
    <row r="16" spans="1:22" x14ac:dyDescent="0.3">
      <c r="A16" s="38"/>
      <c r="B16" s="39"/>
      <c r="C16" s="39"/>
      <c r="D16" s="39"/>
      <c r="E16" s="39"/>
      <c r="F16" s="39"/>
      <c r="G16" s="39"/>
      <c r="H16" s="39"/>
      <c r="I16" s="35"/>
      <c r="J16" s="36"/>
      <c r="K16" s="36"/>
      <c r="L16" s="36"/>
      <c r="M16" s="36"/>
      <c r="N16" s="36"/>
      <c r="O16" s="37"/>
      <c r="P16" s="35"/>
      <c r="Q16" s="36"/>
      <c r="R16" s="36"/>
      <c r="S16" s="36"/>
      <c r="T16" s="36"/>
      <c r="U16" s="37"/>
    </row>
    <row r="17" spans="1:21" x14ac:dyDescent="0.3">
      <c r="A17" s="38"/>
      <c r="B17" s="39"/>
      <c r="C17" s="39"/>
      <c r="D17" s="39"/>
      <c r="E17" s="39"/>
      <c r="F17" s="39"/>
      <c r="G17" s="39"/>
      <c r="H17" s="39"/>
      <c r="I17" s="38"/>
      <c r="J17" s="39"/>
      <c r="K17" s="39"/>
      <c r="L17" s="39"/>
      <c r="M17" s="39"/>
      <c r="N17" s="39"/>
      <c r="O17" s="40"/>
      <c r="P17" s="38"/>
      <c r="Q17" s="39"/>
      <c r="R17" s="39"/>
      <c r="S17" s="39"/>
      <c r="T17" s="39"/>
      <c r="U17" s="40"/>
    </row>
    <row r="18" spans="1:21" x14ac:dyDescent="0.3">
      <c r="A18" s="38"/>
      <c r="B18" s="39"/>
      <c r="C18" s="39"/>
      <c r="D18" s="39"/>
      <c r="E18" s="39"/>
      <c r="F18" s="39"/>
      <c r="G18" s="39"/>
      <c r="H18" s="39"/>
      <c r="I18" s="38"/>
      <c r="J18" s="39"/>
      <c r="K18" s="39"/>
      <c r="L18" s="39"/>
      <c r="M18" s="39"/>
      <c r="N18" s="39"/>
      <c r="O18" s="40"/>
      <c r="P18" s="38"/>
      <c r="Q18" s="39"/>
      <c r="R18" s="39"/>
      <c r="S18" s="39"/>
      <c r="T18" s="39"/>
      <c r="U18" s="40"/>
    </row>
    <row r="19" spans="1:21" x14ac:dyDescent="0.3">
      <c r="A19" s="38"/>
      <c r="B19" s="39"/>
      <c r="C19" s="39"/>
      <c r="D19" s="39"/>
      <c r="E19" s="39"/>
      <c r="F19" s="39"/>
      <c r="G19" s="39"/>
      <c r="H19" s="39"/>
      <c r="I19" s="38"/>
      <c r="J19" s="39"/>
      <c r="K19" s="39"/>
      <c r="L19" s="39"/>
      <c r="M19" s="39"/>
      <c r="N19" s="39"/>
      <c r="O19" s="40"/>
      <c r="P19" s="38"/>
      <c r="Q19" s="39"/>
      <c r="R19" s="39"/>
      <c r="S19" s="39"/>
      <c r="T19" s="39"/>
      <c r="U19" s="40"/>
    </row>
    <row r="20" spans="1:21" ht="15" thickBot="1" x14ac:dyDescent="0.35">
      <c r="A20" s="41"/>
      <c r="B20" s="42"/>
      <c r="C20" s="42"/>
      <c r="D20" s="42"/>
      <c r="E20" s="42"/>
      <c r="F20" s="42"/>
      <c r="G20" s="42"/>
      <c r="H20" s="42"/>
      <c r="I20" s="38"/>
      <c r="J20" s="39"/>
      <c r="K20" s="39"/>
      <c r="L20" s="39"/>
      <c r="M20" s="39"/>
      <c r="N20" s="39"/>
      <c r="O20" s="40"/>
      <c r="P20" s="38"/>
      <c r="Q20" s="39"/>
      <c r="R20" s="39"/>
      <c r="S20" s="39"/>
      <c r="T20" s="39"/>
      <c r="U20" s="40"/>
    </row>
    <row r="21" spans="1:21" x14ac:dyDescent="0.3">
      <c r="A21" s="35"/>
      <c r="B21" s="36"/>
      <c r="C21" s="36"/>
      <c r="D21" s="36"/>
      <c r="E21" s="36"/>
      <c r="F21" s="36"/>
      <c r="G21" s="36"/>
      <c r="H21" s="36"/>
      <c r="I21" s="38"/>
      <c r="J21" s="39"/>
      <c r="K21" s="39"/>
      <c r="L21" s="39"/>
      <c r="M21" s="39"/>
      <c r="N21" s="39"/>
      <c r="O21" s="40"/>
      <c r="P21" s="38"/>
      <c r="Q21" s="39"/>
      <c r="R21" s="39"/>
      <c r="S21" s="39"/>
      <c r="T21" s="39"/>
      <c r="U21" s="40"/>
    </row>
    <row r="22" spans="1:21" x14ac:dyDescent="0.3">
      <c r="A22" s="38"/>
      <c r="B22" s="39"/>
      <c r="C22" s="39"/>
      <c r="D22" s="39"/>
      <c r="E22" s="39"/>
      <c r="F22" s="39"/>
      <c r="G22" s="39"/>
      <c r="H22" s="39"/>
      <c r="I22" s="38"/>
      <c r="J22" s="39"/>
      <c r="K22" s="39"/>
      <c r="L22" s="39"/>
      <c r="M22" s="39"/>
      <c r="N22" s="39"/>
      <c r="O22" s="40"/>
      <c r="P22" s="38"/>
      <c r="Q22" s="39"/>
      <c r="R22" s="39"/>
      <c r="S22" s="39"/>
      <c r="T22" s="39"/>
      <c r="U22" s="40"/>
    </row>
    <row r="23" spans="1:21" x14ac:dyDescent="0.3">
      <c r="A23" s="38"/>
      <c r="B23" s="39"/>
      <c r="C23" s="39"/>
      <c r="D23" s="39"/>
      <c r="E23" s="39"/>
      <c r="F23" s="39"/>
      <c r="G23" s="39"/>
      <c r="H23" s="39"/>
      <c r="I23" s="38"/>
      <c r="J23" s="39"/>
      <c r="K23" s="39"/>
      <c r="L23" s="39"/>
      <c r="M23" s="39"/>
      <c r="N23" s="39"/>
      <c r="O23" s="40"/>
      <c r="P23" s="38"/>
      <c r="Q23" s="39"/>
      <c r="R23" s="39"/>
      <c r="S23" s="39"/>
      <c r="T23" s="39"/>
      <c r="U23" s="40"/>
    </row>
    <row r="24" spans="1:21" ht="15" thickBot="1" x14ac:dyDescent="0.35">
      <c r="A24" s="41"/>
      <c r="B24" s="42"/>
      <c r="C24" s="42"/>
      <c r="D24" s="42"/>
      <c r="E24" s="42"/>
      <c r="F24" s="42"/>
      <c r="G24" s="42"/>
      <c r="H24" s="42"/>
      <c r="I24" s="38"/>
      <c r="J24" s="39"/>
      <c r="K24" s="39"/>
      <c r="L24" s="39"/>
      <c r="M24" s="39"/>
      <c r="N24" s="39"/>
      <c r="O24" s="40"/>
      <c r="P24" s="38"/>
      <c r="Q24" s="39"/>
      <c r="R24" s="39"/>
      <c r="S24" s="39"/>
      <c r="T24" s="39"/>
      <c r="U24" s="40"/>
    </row>
    <row r="25" spans="1:21" x14ac:dyDescent="0.3">
      <c r="I25" s="38"/>
      <c r="J25" s="39"/>
      <c r="K25" s="39"/>
      <c r="L25" s="39"/>
      <c r="M25" s="39"/>
      <c r="N25" s="39"/>
      <c r="O25" s="40"/>
      <c r="P25" s="38"/>
      <c r="Q25" s="39"/>
      <c r="R25" s="39"/>
      <c r="S25" s="39"/>
      <c r="T25" s="39"/>
      <c r="U25" s="40"/>
    </row>
    <row r="26" spans="1:21" x14ac:dyDescent="0.3">
      <c r="I26" s="38"/>
      <c r="J26" s="39"/>
      <c r="K26" s="39"/>
      <c r="L26" s="39"/>
      <c r="M26" s="39"/>
      <c r="N26" s="39"/>
      <c r="O26" s="40"/>
      <c r="P26" s="38"/>
      <c r="Q26" s="39"/>
      <c r="R26" s="39"/>
      <c r="S26" s="39"/>
      <c r="T26" s="39"/>
      <c r="U26" s="40"/>
    </row>
    <row r="27" spans="1:21" x14ac:dyDescent="0.3">
      <c r="I27" s="38"/>
      <c r="J27" s="39"/>
      <c r="K27" s="39"/>
      <c r="L27" s="39"/>
      <c r="M27" s="39"/>
      <c r="N27" s="39"/>
      <c r="O27" s="40"/>
      <c r="P27" s="38"/>
      <c r="Q27" s="39"/>
      <c r="R27" s="39"/>
      <c r="S27" s="39"/>
      <c r="T27" s="39"/>
      <c r="U27" s="40"/>
    </row>
    <row r="28" spans="1:21" x14ac:dyDescent="0.3">
      <c r="I28" s="38"/>
      <c r="J28" s="39"/>
      <c r="K28" s="39"/>
      <c r="L28" s="39"/>
      <c r="M28" s="39"/>
      <c r="N28" s="39"/>
      <c r="O28" s="40"/>
      <c r="P28" s="38"/>
      <c r="Q28" s="39"/>
      <c r="R28" s="39"/>
      <c r="S28" s="39"/>
      <c r="T28" s="39"/>
      <c r="U28" s="40"/>
    </row>
    <row r="29" spans="1:21" x14ac:dyDescent="0.3">
      <c r="I29" s="38"/>
      <c r="J29" s="39"/>
      <c r="K29" s="39"/>
      <c r="L29" s="39"/>
      <c r="M29" s="39"/>
      <c r="N29" s="39"/>
      <c r="O29" s="40"/>
      <c r="P29" s="38"/>
      <c r="Q29" s="39"/>
      <c r="R29" s="39"/>
      <c r="S29" s="39"/>
      <c r="T29" s="39"/>
      <c r="U29" s="40"/>
    </row>
    <row r="30" spans="1:21" x14ac:dyDescent="0.3">
      <c r="I30" s="38"/>
      <c r="J30" s="39"/>
      <c r="K30" s="39"/>
      <c r="L30" s="39"/>
      <c r="M30" s="39"/>
      <c r="N30" s="39"/>
      <c r="O30" s="40"/>
      <c r="P30" s="38"/>
      <c r="Q30" s="39"/>
      <c r="R30" s="39"/>
      <c r="S30" s="39"/>
      <c r="T30" s="39"/>
      <c r="U30" s="40"/>
    </row>
    <row r="31" spans="1:21" x14ac:dyDescent="0.3">
      <c r="I31" s="38"/>
      <c r="J31" s="39"/>
      <c r="K31" s="39"/>
      <c r="L31" s="39"/>
      <c r="M31" s="39"/>
      <c r="N31" s="39"/>
      <c r="O31" s="40"/>
      <c r="P31" s="38"/>
      <c r="Q31" s="39"/>
      <c r="R31" s="39"/>
      <c r="S31" s="39"/>
      <c r="T31" s="39"/>
      <c r="U31" s="40"/>
    </row>
    <row r="32" spans="1:21" x14ac:dyDescent="0.3">
      <c r="I32" s="38"/>
      <c r="J32" s="39"/>
      <c r="K32" s="39"/>
      <c r="L32" s="39"/>
      <c r="M32" s="39"/>
      <c r="N32" s="39"/>
      <c r="O32" s="40"/>
      <c r="P32" s="38"/>
      <c r="Q32" s="39"/>
      <c r="R32" s="39"/>
      <c r="S32" s="39"/>
      <c r="T32" s="39"/>
      <c r="U32" s="40"/>
    </row>
    <row r="33" spans="9:21" x14ac:dyDescent="0.3">
      <c r="I33" s="38"/>
      <c r="J33" s="39"/>
      <c r="K33" s="39"/>
      <c r="L33" s="39"/>
      <c r="M33" s="39"/>
      <c r="N33" s="39"/>
      <c r="O33" s="40"/>
      <c r="P33" s="38"/>
      <c r="Q33" s="39"/>
      <c r="R33" s="39"/>
      <c r="S33" s="39"/>
      <c r="T33" s="39"/>
      <c r="U33" s="40"/>
    </row>
    <row r="34" spans="9:21" x14ac:dyDescent="0.3">
      <c r="I34" s="38"/>
      <c r="J34" s="39"/>
      <c r="K34" s="39"/>
      <c r="L34" s="39"/>
      <c r="M34" s="39"/>
      <c r="N34" s="39"/>
      <c r="O34" s="40"/>
      <c r="P34" s="38"/>
      <c r="Q34" s="39"/>
      <c r="R34" s="39"/>
      <c r="S34" s="39"/>
      <c r="T34" s="39"/>
      <c r="U34" s="40"/>
    </row>
    <row r="35" spans="9:21" ht="15" thickBot="1" x14ac:dyDescent="0.35">
      <c r="I35" s="38"/>
      <c r="J35" s="39"/>
      <c r="K35" s="39"/>
      <c r="L35" s="39"/>
      <c r="M35" s="39"/>
      <c r="N35" s="39"/>
      <c r="O35" s="40"/>
      <c r="P35" s="41"/>
      <c r="Q35" s="42"/>
      <c r="R35" s="42"/>
      <c r="S35" s="42"/>
      <c r="T35" s="42"/>
      <c r="U35" s="43"/>
    </row>
    <row r="36" spans="9:21" ht="15" thickBot="1" x14ac:dyDescent="0.35">
      <c r="I36" s="41"/>
      <c r="J36" s="42"/>
      <c r="K36" s="42"/>
      <c r="L36" s="42"/>
      <c r="M36" s="42"/>
      <c r="N36" s="42"/>
      <c r="O36" s="43"/>
    </row>
  </sheetData>
  <mergeCells count="8">
    <mergeCell ref="P1:V8"/>
    <mergeCell ref="P9:S15"/>
    <mergeCell ref="P16:U35"/>
    <mergeCell ref="A1:H7"/>
    <mergeCell ref="A8:H20"/>
    <mergeCell ref="A21:H24"/>
    <mergeCell ref="I1:O15"/>
    <mergeCell ref="I16:O36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E1D95-041B-41F7-927E-0C8E026A6DAF}">
  <sheetPr>
    <tabColor theme="7" tint="0.59999389629810485"/>
  </sheetPr>
  <dimension ref="A1:H36"/>
  <sheetViews>
    <sheetView tabSelected="1" topLeftCell="A17" zoomScale="85" zoomScaleNormal="85" workbookViewId="0">
      <selection activeCell="F26" sqref="F26"/>
    </sheetView>
  </sheetViews>
  <sheetFormatPr baseColWidth="10" defaultColWidth="9.21875" defaultRowHeight="14.4" x14ac:dyDescent="0.3"/>
  <cols>
    <col min="1" max="1" width="25.77734375" customWidth="1"/>
    <col min="2" max="2" width="14.21875" customWidth="1"/>
    <col min="3" max="3" width="55" customWidth="1"/>
    <col min="4" max="4" width="28" customWidth="1"/>
    <col min="5" max="6" width="10.77734375" style="2" customWidth="1"/>
    <col min="7" max="7" width="10.5546875" customWidth="1"/>
    <col min="8" max="8" width="76.77734375" customWidth="1"/>
    <col min="10" max="10" width="14.21875" customWidth="1"/>
    <col min="11" max="11" width="12" bestFit="1" customWidth="1"/>
  </cols>
  <sheetData>
    <row r="1" spans="1:8" s="1" customFormat="1" ht="30" customHeight="1" x14ac:dyDescent="0.3">
      <c r="A1" s="17" t="s">
        <v>6</v>
      </c>
      <c r="B1" s="17" t="s">
        <v>7</v>
      </c>
      <c r="C1" s="17" t="s">
        <v>8</v>
      </c>
      <c r="D1" s="17" t="s">
        <v>10</v>
      </c>
      <c r="E1" s="18" t="s">
        <v>13</v>
      </c>
      <c r="F1" s="18" t="s">
        <v>14</v>
      </c>
      <c r="G1" s="17" t="s">
        <v>9</v>
      </c>
      <c r="H1" s="17" t="s">
        <v>32</v>
      </c>
    </row>
    <row r="2" spans="1:8" s="1" customFormat="1" ht="30" customHeight="1" x14ac:dyDescent="0.3">
      <c r="A2" s="4" t="s">
        <v>11</v>
      </c>
      <c r="B2" s="4" t="s">
        <v>33</v>
      </c>
      <c r="C2" s="5" t="s">
        <v>29</v>
      </c>
      <c r="D2" s="9" t="s">
        <v>50</v>
      </c>
      <c r="E2" s="24">
        <v>0.05</v>
      </c>
      <c r="F2" s="10" t="s">
        <v>43</v>
      </c>
      <c r="G2" s="8" t="s">
        <v>5</v>
      </c>
      <c r="H2" s="19" t="s">
        <v>53</v>
      </c>
    </row>
    <row r="3" spans="1:8" s="1" customFormat="1" ht="30" customHeight="1" x14ac:dyDescent="0.3">
      <c r="A3" s="4" t="s">
        <v>62</v>
      </c>
      <c r="B3" s="4" t="s">
        <v>63</v>
      </c>
      <c r="C3" s="5" t="s">
        <v>70</v>
      </c>
      <c r="D3" s="9" t="s">
        <v>43</v>
      </c>
      <c r="E3" s="25">
        <v>2</v>
      </c>
      <c r="F3" s="10" t="s">
        <v>43</v>
      </c>
      <c r="G3" s="8" t="s">
        <v>64</v>
      </c>
      <c r="H3" s="19" t="s">
        <v>134</v>
      </c>
    </row>
    <row r="4" spans="1:8" s="1" customFormat="1" ht="51" customHeight="1" x14ac:dyDescent="0.3">
      <c r="A4" s="4" t="s">
        <v>68</v>
      </c>
      <c r="B4" s="4" t="s">
        <v>69</v>
      </c>
      <c r="C4" s="5" t="s">
        <v>29</v>
      </c>
      <c r="D4" s="9" t="s">
        <v>67</v>
      </c>
      <c r="E4" s="10" t="s">
        <v>43</v>
      </c>
      <c r="F4" s="26">
        <f>E2*E3</f>
        <v>0.1</v>
      </c>
      <c r="G4" s="8" t="s">
        <v>5</v>
      </c>
      <c r="H4" s="19"/>
    </row>
    <row r="5" spans="1:8" s="1" customFormat="1" ht="30" customHeight="1" x14ac:dyDescent="0.3">
      <c r="A5" s="4" t="s">
        <v>57</v>
      </c>
      <c r="B5" s="4" t="s">
        <v>58</v>
      </c>
      <c r="C5" s="5" t="s">
        <v>59</v>
      </c>
      <c r="D5" s="9" t="s">
        <v>39</v>
      </c>
      <c r="E5" s="12">
        <v>1</v>
      </c>
      <c r="F5" s="7" t="s">
        <v>43</v>
      </c>
      <c r="G5" s="8" t="s">
        <v>3</v>
      </c>
      <c r="H5" s="19"/>
    </row>
    <row r="6" spans="1:8" s="1" customFormat="1" ht="30" customHeight="1" x14ac:dyDescent="0.3">
      <c r="A6" s="4" t="s">
        <v>4</v>
      </c>
      <c r="B6" s="4" t="s">
        <v>18</v>
      </c>
      <c r="C6" s="5" t="s">
        <v>30</v>
      </c>
      <c r="D6" s="6" t="s">
        <v>71</v>
      </c>
      <c r="E6" s="11" t="s">
        <v>43</v>
      </c>
      <c r="F6" s="26">
        <f>E5*F4</f>
        <v>0.1</v>
      </c>
      <c r="G6" s="8" t="s">
        <v>52</v>
      </c>
      <c r="H6" s="20"/>
    </row>
    <row r="7" spans="1:8" s="1" customFormat="1" ht="45" customHeight="1" x14ac:dyDescent="0.3">
      <c r="A7" s="4" t="s">
        <v>12</v>
      </c>
      <c r="B7" s="4" t="s">
        <v>17</v>
      </c>
      <c r="C7" s="5" t="s">
        <v>49</v>
      </c>
      <c r="D7" s="6" t="s">
        <v>40</v>
      </c>
      <c r="E7" s="11" t="s">
        <v>43</v>
      </c>
      <c r="F7" s="27">
        <f>F6/(F13*E11*0.001)</f>
        <v>2242.6553038797938</v>
      </c>
      <c r="G7" s="8" t="s">
        <v>3</v>
      </c>
      <c r="H7" s="19" t="s">
        <v>72</v>
      </c>
    </row>
    <row r="8" spans="1:8" s="1" customFormat="1" ht="45" customHeight="1" x14ac:dyDescent="0.3">
      <c r="A8" s="4" t="s">
        <v>12</v>
      </c>
      <c r="B8" s="4" t="s">
        <v>17</v>
      </c>
      <c r="C8" s="5" t="s">
        <v>49</v>
      </c>
      <c r="D8" s="6" t="s">
        <v>66</v>
      </c>
      <c r="E8" s="11" t="s">
        <v>43</v>
      </c>
      <c r="F8" s="27">
        <f>1000/(F9*E11)</f>
        <v>2242.6553038797938</v>
      </c>
      <c r="G8" s="8" t="s">
        <v>3</v>
      </c>
      <c r="H8" s="19" t="s">
        <v>72</v>
      </c>
    </row>
    <row r="9" spans="1:8" ht="30" customHeight="1" x14ac:dyDescent="0.3">
      <c r="A9" s="4" t="s">
        <v>36</v>
      </c>
      <c r="B9" s="4" t="s">
        <v>0</v>
      </c>
      <c r="C9" s="5" t="s">
        <v>37</v>
      </c>
      <c r="D9" s="6" t="s">
        <v>73</v>
      </c>
      <c r="E9" s="15" t="s">
        <v>43</v>
      </c>
      <c r="F9" s="29">
        <f>1000/(F7*E11)</f>
        <v>4.5499999999999992E-2</v>
      </c>
      <c r="G9" s="8" t="s">
        <v>54</v>
      </c>
      <c r="H9" s="20"/>
    </row>
    <row r="10" spans="1:8" s="1" customFormat="1" ht="30" customHeight="1" x14ac:dyDescent="0.3">
      <c r="A10" s="4" t="s">
        <v>41</v>
      </c>
      <c r="B10" s="4" t="s">
        <v>42</v>
      </c>
      <c r="C10" s="5" t="s">
        <v>44</v>
      </c>
      <c r="D10" s="9" t="s">
        <v>51</v>
      </c>
      <c r="E10" s="16" t="s">
        <v>43</v>
      </c>
      <c r="F10" s="27">
        <f>F7*E11</f>
        <v>21978.021978021981</v>
      </c>
      <c r="G10" s="8" t="s">
        <v>1</v>
      </c>
      <c r="H10" s="20"/>
    </row>
    <row r="11" spans="1:8" s="1" customFormat="1" ht="30" customHeight="1" x14ac:dyDescent="0.3">
      <c r="A11" s="4" t="s">
        <v>19</v>
      </c>
      <c r="B11" s="4" t="s">
        <v>20</v>
      </c>
      <c r="C11" s="5" t="s">
        <v>28</v>
      </c>
      <c r="D11" s="6" t="s">
        <v>43</v>
      </c>
      <c r="E11" s="12">
        <v>9.8000000000000007</v>
      </c>
      <c r="F11" s="14" t="s">
        <v>43</v>
      </c>
      <c r="G11" s="8" t="s">
        <v>31</v>
      </c>
      <c r="H11" s="19"/>
    </row>
    <row r="12" spans="1:8" s="1" customFormat="1" ht="30" customHeight="1" x14ac:dyDescent="0.3">
      <c r="A12" s="4" t="s">
        <v>74</v>
      </c>
      <c r="B12" s="4" t="s">
        <v>75</v>
      </c>
      <c r="C12" s="5" t="s">
        <v>130</v>
      </c>
      <c r="D12" s="6" t="s">
        <v>43</v>
      </c>
      <c r="E12" s="12">
        <f>0.0065*0.35</f>
        <v>2.2749999999999997E-3</v>
      </c>
      <c r="F12" s="14" t="s">
        <v>43</v>
      </c>
      <c r="G12" s="8" t="s">
        <v>61</v>
      </c>
      <c r="H12" s="19" t="s">
        <v>129</v>
      </c>
    </row>
    <row r="13" spans="1:8" s="1" customFormat="1" ht="30" customHeight="1" x14ac:dyDescent="0.3">
      <c r="A13" s="4" t="s">
        <v>15</v>
      </c>
      <c r="B13" s="4" t="s">
        <v>16</v>
      </c>
      <c r="C13" s="5" t="s">
        <v>128</v>
      </c>
      <c r="D13" s="6" t="s">
        <v>47</v>
      </c>
      <c r="E13" s="14" t="s">
        <v>43</v>
      </c>
      <c r="F13" s="29">
        <f>E12*E3</f>
        <v>4.5499999999999994E-3</v>
      </c>
      <c r="G13" s="8" t="s">
        <v>61</v>
      </c>
      <c r="H13" s="20" t="s">
        <v>65</v>
      </c>
    </row>
    <row r="14" spans="1:8" s="1" customFormat="1" ht="30" customHeight="1" x14ac:dyDescent="0.3">
      <c r="A14" s="4" t="s">
        <v>21</v>
      </c>
      <c r="B14" s="4" t="s">
        <v>23</v>
      </c>
      <c r="C14" s="5" t="s">
        <v>26</v>
      </c>
      <c r="D14" s="6" t="s">
        <v>131</v>
      </c>
      <c r="E14" s="22">
        <v>5</v>
      </c>
      <c r="F14" s="13" t="s">
        <v>43</v>
      </c>
      <c r="G14" s="8" t="s">
        <v>2</v>
      </c>
      <c r="H14" s="20"/>
    </row>
    <row r="15" spans="1:8" s="1" customFormat="1" ht="30" customHeight="1" x14ac:dyDescent="0.3">
      <c r="A15" s="4" t="s">
        <v>22</v>
      </c>
      <c r="B15" s="4" t="s">
        <v>24</v>
      </c>
      <c r="C15" s="5" t="s">
        <v>27</v>
      </c>
      <c r="D15" s="6" t="s">
        <v>48</v>
      </c>
      <c r="E15" s="13" t="s">
        <v>43</v>
      </c>
      <c r="F15" s="29">
        <f>E14-F13*0.001</f>
        <v>4.9999954500000001</v>
      </c>
      <c r="G15" s="8" t="s">
        <v>2</v>
      </c>
      <c r="H15" s="20"/>
    </row>
    <row r="16" spans="1:8" ht="30" customHeight="1" x14ac:dyDescent="0.3">
      <c r="A16" s="4" t="s">
        <v>34</v>
      </c>
      <c r="B16" s="4" t="s">
        <v>35</v>
      </c>
      <c r="C16" s="5" t="s">
        <v>38</v>
      </c>
      <c r="D16" s="9" t="s">
        <v>46</v>
      </c>
      <c r="E16" s="7" t="s">
        <v>43</v>
      </c>
      <c r="F16" s="29">
        <f>F10*LN(E14/F15)</f>
        <v>2.0000009098339475E-2</v>
      </c>
      <c r="G16" s="8" t="s">
        <v>1</v>
      </c>
      <c r="H16" s="20" t="s">
        <v>45</v>
      </c>
    </row>
    <row r="17" spans="1:8" ht="30" customHeight="1" x14ac:dyDescent="0.3">
      <c r="A17" s="4" t="s">
        <v>34</v>
      </c>
      <c r="B17" s="4" t="s">
        <v>35</v>
      </c>
      <c r="C17" s="5" t="s">
        <v>38</v>
      </c>
      <c r="D17" s="9" t="s">
        <v>55</v>
      </c>
      <c r="E17" s="7" t="s">
        <v>43</v>
      </c>
      <c r="F17" s="29">
        <f>F6/F15</f>
        <v>2.0000018200016564E-2</v>
      </c>
      <c r="G17" s="8" t="s">
        <v>1</v>
      </c>
      <c r="H17" s="20" t="s">
        <v>56</v>
      </c>
    </row>
    <row r="18" spans="1:8" ht="30" customHeight="1" x14ac:dyDescent="0.3">
      <c r="A18" s="53" t="s">
        <v>119</v>
      </c>
      <c r="B18" s="54"/>
      <c r="C18" s="54"/>
      <c r="D18" s="54"/>
      <c r="E18" s="54"/>
      <c r="F18" s="54"/>
      <c r="G18" s="54"/>
      <c r="H18" s="55"/>
    </row>
    <row r="19" spans="1:8" ht="30" customHeight="1" x14ac:dyDescent="0.3">
      <c r="A19" s="34" t="s">
        <v>81</v>
      </c>
      <c r="B19" s="4" t="s">
        <v>82</v>
      </c>
      <c r="C19" s="4" t="s">
        <v>86</v>
      </c>
      <c r="D19" s="4" t="s">
        <v>43</v>
      </c>
      <c r="E19" s="12">
        <v>1000</v>
      </c>
      <c r="F19" s="11" t="s">
        <v>43</v>
      </c>
      <c r="G19" s="8" t="s">
        <v>83</v>
      </c>
      <c r="H19" s="20"/>
    </row>
    <row r="20" spans="1:8" ht="30" customHeight="1" x14ac:dyDescent="0.3">
      <c r="A20" s="4" t="s">
        <v>84</v>
      </c>
      <c r="B20" s="4" t="s">
        <v>85</v>
      </c>
      <c r="C20" s="4" t="s">
        <v>87</v>
      </c>
      <c r="D20" s="4" t="s">
        <v>88</v>
      </c>
      <c r="E20" s="11" t="s">
        <v>43</v>
      </c>
      <c r="F20" s="32">
        <f>6378.14+E19</f>
        <v>7378.14</v>
      </c>
      <c r="G20" s="8" t="s">
        <v>83</v>
      </c>
      <c r="H20" s="20"/>
    </row>
    <row r="21" spans="1:8" ht="30" customHeight="1" x14ac:dyDescent="0.3">
      <c r="A21" s="5" t="s">
        <v>89</v>
      </c>
      <c r="B21" s="33" t="s">
        <v>90</v>
      </c>
      <c r="C21" s="5" t="s">
        <v>91</v>
      </c>
      <c r="D21" s="4" t="s">
        <v>43</v>
      </c>
      <c r="E21" s="12">
        <v>398600.4</v>
      </c>
      <c r="F21" s="11" t="s">
        <v>43</v>
      </c>
      <c r="G21" s="8" t="s">
        <v>93</v>
      </c>
      <c r="H21" s="20" t="s">
        <v>92</v>
      </c>
    </row>
    <row r="22" spans="1:8" ht="30" customHeight="1" x14ac:dyDescent="0.3">
      <c r="A22" s="5" t="s">
        <v>101</v>
      </c>
      <c r="B22" s="33" t="s">
        <v>102</v>
      </c>
      <c r="C22" s="5" t="s">
        <v>103</v>
      </c>
      <c r="D22" s="4" t="s">
        <v>43</v>
      </c>
      <c r="E22" s="12">
        <v>0</v>
      </c>
      <c r="F22" s="11" t="s">
        <v>43</v>
      </c>
      <c r="G22" s="8" t="s">
        <v>105</v>
      </c>
      <c r="H22" s="20" t="s">
        <v>104</v>
      </c>
    </row>
    <row r="23" spans="1:8" ht="30" customHeight="1" x14ac:dyDescent="0.3">
      <c r="A23" s="4" t="s">
        <v>94</v>
      </c>
      <c r="B23" s="4" t="s">
        <v>97</v>
      </c>
      <c r="C23" s="4" t="s">
        <v>96</v>
      </c>
      <c r="D23" s="4" t="s">
        <v>95</v>
      </c>
      <c r="E23" s="11" t="s">
        <v>43</v>
      </c>
      <c r="F23" s="28">
        <f>SQRT(E21/F20)*1000</f>
        <v>7350.1367499128082</v>
      </c>
      <c r="G23" s="8" t="s">
        <v>1</v>
      </c>
      <c r="H23" s="20"/>
    </row>
    <row r="24" spans="1:8" ht="30" customHeight="1" x14ac:dyDescent="0.3">
      <c r="A24" s="4" t="s">
        <v>98</v>
      </c>
      <c r="B24" s="4" t="s">
        <v>99</v>
      </c>
      <c r="C24" s="4" t="s">
        <v>100</v>
      </c>
      <c r="D24" s="4" t="s">
        <v>43</v>
      </c>
      <c r="E24" s="11" t="s">
        <v>43</v>
      </c>
      <c r="F24" s="28">
        <f>SQRT(F23^2+F17^2-(2*F23*F17*COS(PI()-RADIANS(E22))))</f>
        <v>7350.1567499310086</v>
      </c>
      <c r="G24" s="8" t="s">
        <v>1</v>
      </c>
      <c r="H24" s="20"/>
    </row>
    <row r="25" spans="1:8" ht="30" customHeight="1" x14ac:dyDescent="0.3">
      <c r="A25" s="4" t="s">
        <v>110</v>
      </c>
      <c r="B25" s="4" t="s">
        <v>111</v>
      </c>
      <c r="C25" s="4" t="s">
        <v>43</v>
      </c>
      <c r="D25" s="4" t="s">
        <v>43</v>
      </c>
      <c r="E25" s="12">
        <v>0</v>
      </c>
      <c r="F25" s="14" t="s">
        <v>43</v>
      </c>
      <c r="G25" s="8" t="s">
        <v>105</v>
      </c>
      <c r="H25" s="20"/>
    </row>
    <row r="26" spans="1:8" ht="30" customHeight="1" x14ac:dyDescent="0.3">
      <c r="A26" s="5" t="s">
        <v>106</v>
      </c>
      <c r="B26" s="4" t="s">
        <v>109</v>
      </c>
      <c r="C26" s="4" t="s">
        <v>43</v>
      </c>
      <c r="D26" s="4" t="s">
        <v>43</v>
      </c>
      <c r="E26" s="11" t="s">
        <v>43</v>
      </c>
      <c r="F26" s="32">
        <f>DEGREES(ASIN(F17*SIN(E22)/F24))</f>
        <v>0</v>
      </c>
      <c r="G26" s="8" t="s">
        <v>105</v>
      </c>
      <c r="H26" s="20"/>
    </row>
    <row r="27" spans="1:8" ht="30" customHeight="1" x14ac:dyDescent="0.3">
      <c r="A27" s="5" t="s">
        <v>107</v>
      </c>
      <c r="B27" s="4" t="s">
        <v>108</v>
      </c>
      <c r="C27" s="4" t="s">
        <v>43</v>
      </c>
      <c r="D27" s="4" t="s">
        <v>43</v>
      </c>
      <c r="E27" s="11" t="s">
        <v>43</v>
      </c>
      <c r="F27" s="32">
        <f>E25-F26</f>
        <v>0</v>
      </c>
      <c r="G27" s="8" t="s">
        <v>105</v>
      </c>
      <c r="H27" s="20"/>
    </row>
    <row r="28" spans="1:8" ht="30" customHeight="1" x14ac:dyDescent="0.3">
      <c r="A28" s="5" t="s">
        <v>112</v>
      </c>
      <c r="B28" s="4" t="s">
        <v>113</v>
      </c>
      <c r="C28" s="4" t="s">
        <v>43</v>
      </c>
      <c r="D28" s="4" t="s">
        <v>43</v>
      </c>
      <c r="E28" s="11" t="s">
        <v>43</v>
      </c>
      <c r="F28" s="29">
        <f>E21/((2*E21/F20)-(F24/1000)^2)</f>
        <v>7378.1801527054877</v>
      </c>
      <c r="G28" s="8" t="s">
        <v>83</v>
      </c>
      <c r="H28" s="20"/>
    </row>
    <row r="29" spans="1:8" ht="30" customHeight="1" x14ac:dyDescent="0.3">
      <c r="A29" s="5" t="s">
        <v>114</v>
      </c>
      <c r="B29" s="4" t="s">
        <v>60</v>
      </c>
      <c r="C29" s="4" t="s">
        <v>43</v>
      </c>
      <c r="D29" s="4" t="s">
        <v>43</v>
      </c>
      <c r="E29" s="11" t="s">
        <v>43</v>
      </c>
      <c r="F29" s="32">
        <f>SQRT(1-(((F24/1000)*F20*COS(RADIANS(F27)))^2/(E21*F28)))</f>
        <v>5.4421072618523057E-6</v>
      </c>
      <c r="G29" s="8" t="s">
        <v>43</v>
      </c>
      <c r="H29" s="20"/>
    </row>
    <row r="30" spans="1:8" ht="30" customHeight="1" x14ac:dyDescent="0.3">
      <c r="A30" s="4" t="s">
        <v>115</v>
      </c>
      <c r="B30" s="4" t="s">
        <v>117</v>
      </c>
      <c r="C30" s="4" t="s">
        <v>133</v>
      </c>
      <c r="D30" s="4" t="s">
        <v>43</v>
      </c>
      <c r="E30" s="11" t="s">
        <v>43</v>
      </c>
      <c r="F30" s="32">
        <f>F28*(1+F29)-6378.14</f>
        <v>1000.080305553276</v>
      </c>
      <c r="G30" s="8" t="s">
        <v>83</v>
      </c>
      <c r="H30" s="20"/>
    </row>
    <row r="31" spans="1:8" ht="30" customHeight="1" x14ac:dyDescent="0.3">
      <c r="A31" s="4" t="s">
        <v>116</v>
      </c>
      <c r="B31" s="4" t="s">
        <v>118</v>
      </c>
      <c r="C31" s="4" t="s">
        <v>132</v>
      </c>
      <c r="D31" s="4" t="s">
        <v>43</v>
      </c>
      <c r="E31" s="11" t="s">
        <v>43</v>
      </c>
      <c r="F31" s="32">
        <f>F28*(1-F29)-6378.14</f>
        <v>999.99999985769955</v>
      </c>
      <c r="G31" s="8" t="s">
        <v>83</v>
      </c>
      <c r="H31" s="20"/>
    </row>
    <row r="32" spans="1:8" x14ac:dyDescent="0.3">
      <c r="E32"/>
      <c r="F32"/>
    </row>
    <row r="33" spans="5:6" x14ac:dyDescent="0.3">
      <c r="E33"/>
      <c r="F33"/>
    </row>
    <row r="34" spans="5:6" x14ac:dyDescent="0.3">
      <c r="E34"/>
      <c r="F34"/>
    </row>
    <row r="35" spans="5:6" x14ac:dyDescent="0.3">
      <c r="E35"/>
      <c r="F35"/>
    </row>
    <row r="36" spans="5:6" x14ac:dyDescent="0.3">
      <c r="E36"/>
      <c r="F36"/>
    </row>
  </sheetData>
  <mergeCells count="1">
    <mergeCell ref="A18:H1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F754D-D4B7-4031-B713-CC7BBEC9BA48}">
  <sheetPr>
    <tabColor theme="7" tint="0.59999389629810485"/>
  </sheetPr>
  <dimension ref="A1:H33"/>
  <sheetViews>
    <sheetView topLeftCell="A16" zoomScale="85" zoomScaleNormal="85" workbookViewId="0">
      <selection activeCell="F28" sqref="F28"/>
    </sheetView>
  </sheetViews>
  <sheetFormatPr baseColWidth="10" defaultColWidth="9.21875" defaultRowHeight="14.4" x14ac:dyDescent="0.3"/>
  <cols>
    <col min="1" max="1" width="25.77734375" customWidth="1"/>
    <col min="2" max="2" width="14.21875" customWidth="1"/>
    <col min="3" max="3" width="55" customWidth="1"/>
    <col min="4" max="4" width="28" customWidth="1"/>
    <col min="5" max="6" width="10.77734375" style="2" customWidth="1"/>
    <col min="7" max="7" width="10.5546875" customWidth="1"/>
    <col min="8" max="8" width="76.77734375" customWidth="1"/>
    <col min="10" max="10" width="14.21875" customWidth="1"/>
    <col min="11" max="11" width="12" bestFit="1" customWidth="1"/>
  </cols>
  <sheetData>
    <row r="1" spans="1:8" s="1" customFormat="1" ht="30" customHeight="1" x14ac:dyDescent="0.3">
      <c r="A1" s="30" t="s">
        <v>76</v>
      </c>
      <c r="B1" s="56" t="s">
        <v>78</v>
      </c>
      <c r="C1" s="56"/>
      <c r="D1" s="30" t="s">
        <v>77</v>
      </c>
      <c r="E1" s="57" t="s">
        <v>79</v>
      </c>
      <c r="F1" s="57"/>
      <c r="G1" s="57"/>
      <c r="H1" s="31"/>
    </row>
    <row r="2" spans="1:8" s="1" customFormat="1" ht="30" customHeight="1" x14ac:dyDescent="0.3">
      <c r="A2" s="17" t="s">
        <v>6</v>
      </c>
      <c r="B2" s="17" t="s">
        <v>7</v>
      </c>
      <c r="C2" s="17" t="s">
        <v>8</v>
      </c>
      <c r="D2" s="17" t="s">
        <v>10</v>
      </c>
      <c r="E2" s="18" t="s">
        <v>13</v>
      </c>
      <c r="F2" s="18" t="s">
        <v>14</v>
      </c>
      <c r="G2" s="17" t="s">
        <v>9</v>
      </c>
      <c r="H2" s="17" t="s">
        <v>32</v>
      </c>
    </row>
    <row r="3" spans="1:8" s="1" customFormat="1" ht="30" customHeight="1" x14ac:dyDescent="0.3">
      <c r="A3" s="4" t="s">
        <v>11</v>
      </c>
      <c r="B3" s="4" t="s">
        <v>33</v>
      </c>
      <c r="C3" s="5" t="s">
        <v>29</v>
      </c>
      <c r="D3" s="9" t="s">
        <v>50</v>
      </c>
      <c r="E3" s="24">
        <v>0.01</v>
      </c>
      <c r="F3" s="10" t="s">
        <v>43</v>
      </c>
      <c r="G3" s="8" t="s">
        <v>5</v>
      </c>
      <c r="H3" s="19" t="s">
        <v>53</v>
      </c>
    </row>
    <row r="4" spans="1:8" s="1" customFormat="1" ht="30" customHeight="1" x14ac:dyDescent="0.3">
      <c r="A4" s="4" t="s">
        <v>57</v>
      </c>
      <c r="B4" s="4" t="s">
        <v>58</v>
      </c>
      <c r="C4" s="5" t="s">
        <v>127</v>
      </c>
      <c r="D4" s="9" t="s">
        <v>126</v>
      </c>
      <c r="E4" s="11" t="s">
        <v>43</v>
      </c>
      <c r="F4" s="32">
        <f>F6/E3</f>
        <v>3185.0000000000005</v>
      </c>
      <c r="G4" s="8" t="s">
        <v>3</v>
      </c>
      <c r="H4" s="19"/>
    </row>
    <row r="5" spans="1:8" s="1" customFormat="1" ht="30" customHeight="1" x14ac:dyDescent="0.3">
      <c r="A5" s="4" t="s">
        <v>4</v>
      </c>
      <c r="B5" s="4" t="s">
        <v>18</v>
      </c>
      <c r="C5" s="5" t="s">
        <v>30</v>
      </c>
      <c r="D5" s="6" t="s">
        <v>71</v>
      </c>
      <c r="E5" s="11" t="s">
        <v>43</v>
      </c>
      <c r="F5" s="28">
        <f>F4*E3</f>
        <v>31.850000000000005</v>
      </c>
      <c r="G5" s="8" t="s">
        <v>52</v>
      </c>
      <c r="H5" s="20"/>
    </row>
    <row r="6" spans="1:8" s="1" customFormat="1" ht="30" customHeight="1" x14ac:dyDescent="0.3">
      <c r="A6" s="4" t="s">
        <v>4</v>
      </c>
      <c r="B6" s="4" t="s">
        <v>18</v>
      </c>
      <c r="C6" s="5" t="s">
        <v>30</v>
      </c>
      <c r="D6" s="6" t="s">
        <v>80</v>
      </c>
      <c r="E6" s="11" t="s">
        <v>43</v>
      </c>
      <c r="F6" s="27">
        <f>E7*E12*E11/1000</f>
        <v>31.850000000000005</v>
      </c>
      <c r="G6" s="8" t="s">
        <v>52</v>
      </c>
      <c r="H6" s="20"/>
    </row>
    <row r="7" spans="1:8" s="1" customFormat="1" ht="45" customHeight="1" x14ac:dyDescent="0.3">
      <c r="A7" s="4" t="s">
        <v>12</v>
      </c>
      <c r="B7" s="4" t="s">
        <v>17</v>
      </c>
      <c r="C7" s="5" t="s">
        <v>49</v>
      </c>
      <c r="D7" s="6" t="s">
        <v>40</v>
      </c>
      <c r="E7" s="12">
        <v>50</v>
      </c>
      <c r="F7" s="27">
        <f>F5/(E12*E11*0.001)</f>
        <v>50.000000000000007</v>
      </c>
      <c r="G7" s="8" t="s">
        <v>3</v>
      </c>
      <c r="H7" s="19" t="s">
        <v>72</v>
      </c>
    </row>
    <row r="8" spans="1:8" s="1" customFormat="1" ht="45" customHeight="1" x14ac:dyDescent="0.3">
      <c r="A8" s="4" t="s">
        <v>12</v>
      </c>
      <c r="B8" s="4" t="s">
        <v>17</v>
      </c>
      <c r="C8" s="5" t="s">
        <v>49</v>
      </c>
      <c r="D8" s="6" t="s">
        <v>66</v>
      </c>
      <c r="E8" s="15" t="s">
        <v>43</v>
      </c>
      <c r="F8" s="27">
        <f>1000/(F9*E11)</f>
        <v>50.000000000000007</v>
      </c>
      <c r="G8" s="8" t="s">
        <v>3</v>
      </c>
      <c r="H8" s="19" t="s">
        <v>72</v>
      </c>
    </row>
    <row r="9" spans="1:8" ht="30" customHeight="1" x14ac:dyDescent="0.3">
      <c r="A9" s="4" t="s">
        <v>36</v>
      </c>
      <c r="B9" s="4" t="s">
        <v>0</v>
      </c>
      <c r="C9" s="5" t="s">
        <v>37</v>
      </c>
      <c r="D9" s="6" t="s">
        <v>73</v>
      </c>
      <c r="E9" s="15" t="s">
        <v>43</v>
      </c>
      <c r="F9" s="29">
        <f>1000/(F7*E11)</f>
        <v>2.0408163265306118</v>
      </c>
      <c r="G9" s="8" t="s">
        <v>54</v>
      </c>
      <c r="H9" s="20"/>
    </row>
    <row r="10" spans="1:8" s="1" customFormat="1" ht="30" customHeight="1" x14ac:dyDescent="0.3">
      <c r="A10" s="4" t="s">
        <v>41</v>
      </c>
      <c r="B10" s="4" t="s">
        <v>42</v>
      </c>
      <c r="C10" s="5" t="s">
        <v>44</v>
      </c>
      <c r="D10" s="9" t="s">
        <v>51</v>
      </c>
      <c r="E10" s="16" t="s">
        <v>43</v>
      </c>
      <c r="F10" s="27">
        <f>E7*E11</f>
        <v>490.00000000000006</v>
      </c>
      <c r="G10" s="8" t="s">
        <v>1</v>
      </c>
      <c r="H10" s="20"/>
    </row>
    <row r="11" spans="1:8" s="1" customFormat="1" ht="30" customHeight="1" x14ac:dyDescent="0.3">
      <c r="A11" s="4" t="s">
        <v>19</v>
      </c>
      <c r="B11" s="4" t="s">
        <v>20</v>
      </c>
      <c r="C11" s="5" t="s">
        <v>28</v>
      </c>
      <c r="D11" s="6" t="s">
        <v>43</v>
      </c>
      <c r="E11" s="12">
        <v>9.8000000000000007</v>
      </c>
      <c r="F11" s="14" t="s">
        <v>43</v>
      </c>
      <c r="G11" s="8" t="s">
        <v>31</v>
      </c>
      <c r="H11" s="19"/>
    </row>
    <row r="12" spans="1:8" s="1" customFormat="1" ht="30" customHeight="1" x14ac:dyDescent="0.3">
      <c r="A12" s="4" t="s">
        <v>15</v>
      </c>
      <c r="B12" s="4" t="s">
        <v>16</v>
      </c>
      <c r="C12" s="5" t="s">
        <v>25</v>
      </c>
      <c r="D12" s="6" t="s">
        <v>47</v>
      </c>
      <c r="E12" s="21">
        <v>65</v>
      </c>
      <c r="F12" s="23" t="s">
        <v>43</v>
      </c>
      <c r="G12" s="8" t="s">
        <v>61</v>
      </c>
      <c r="H12" s="20"/>
    </row>
    <row r="13" spans="1:8" s="1" customFormat="1" ht="30" customHeight="1" x14ac:dyDescent="0.3">
      <c r="A13" s="4" t="s">
        <v>21</v>
      </c>
      <c r="B13" s="4" t="s">
        <v>23</v>
      </c>
      <c r="C13" s="5" t="s">
        <v>26</v>
      </c>
      <c r="D13" s="6" t="s">
        <v>43</v>
      </c>
      <c r="E13" s="22">
        <v>6</v>
      </c>
      <c r="F13" s="13" t="s">
        <v>43</v>
      </c>
      <c r="G13" s="8" t="s">
        <v>2</v>
      </c>
      <c r="H13" s="20"/>
    </row>
    <row r="14" spans="1:8" s="1" customFormat="1" ht="30" customHeight="1" x14ac:dyDescent="0.3">
      <c r="A14" s="4" t="s">
        <v>22</v>
      </c>
      <c r="B14" s="4" t="s">
        <v>24</v>
      </c>
      <c r="C14" s="5" t="s">
        <v>27</v>
      </c>
      <c r="D14" s="6" t="s">
        <v>48</v>
      </c>
      <c r="E14" s="13" t="s">
        <v>43</v>
      </c>
      <c r="F14" s="29">
        <f>E13-E12*0.001</f>
        <v>5.9349999999999996</v>
      </c>
      <c r="G14" s="8" t="s">
        <v>2</v>
      </c>
      <c r="H14" s="20"/>
    </row>
    <row r="15" spans="1:8" ht="30" customHeight="1" x14ac:dyDescent="0.3">
      <c r="A15" s="4" t="s">
        <v>34</v>
      </c>
      <c r="B15" s="4" t="s">
        <v>35</v>
      </c>
      <c r="C15" s="5" t="s">
        <v>38</v>
      </c>
      <c r="D15" s="9" t="s">
        <v>46</v>
      </c>
      <c r="E15" s="7" t="s">
        <v>43</v>
      </c>
      <c r="F15" s="29">
        <f>F10*LN(E13/F14)</f>
        <v>5.3372961715476404</v>
      </c>
      <c r="G15" s="8" t="s">
        <v>1</v>
      </c>
      <c r="H15" s="20" t="s">
        <v>45</v>
      </c>
    </row>
    <row r="16" spans="1:8" ht="30" customHeight="1" x14ac:dyDescent="0.3">
      <c r="A16" s="4" t="s">
        <v>34</v>
      </c>
      <c r="B16" s="4" t="s">
        <v>35</v>
      </c>
      <c r="C16" s="5" t="s">
        <v>38</v>
      </c>
      <c r="D16" s="9" t="s">
        <v>55</v>
      </c>
      <c r="E16" s="7" t="s">
        <v>43</v>
      </c>
      <c r="F16" s="29">
        <f>F5/F14</f>
        <v>5.3664700926705997</v>
      </c>
      <c r="G16" s="8" t="s">
        <v>1</v>
      </c>
      <c r="H16" s="20" t="s">
        <v>120</v>
      </c>
    </row>
    <row r="17" spans="1:8" ht="30" customHeight="1" x14ac:dyDescent="0.3">
      <c r="A17" s="53" t="s">
        <v>119</v>
      </c>
      <c r="B17" s="54"/>
      <c r="C17" s="54"/>
      <c r="D17" s="54"/>
      <c r="E17" s="54"/>
      <c r="F17" s="54"/>
      <c r="G17" s="54"/>
      <c r="H17" s="55"/>
    </row>
    <row r="18" spans="1:8" ht="30" customHeight="1" x14ac:dyDescent="0.3">
      <c r="A18" s="34" t="s">
        <v>81</v>
      </c>
      <c r="B18" s="4" t="s">
        <v>82</v>
      </c>
      <c r="C18" s="4" t="s">
        <v>86</v>
      </c>
      <c r="D18" s="4" t="s">
        <v>43</v>
      </c>
      <c r="E18" s="12">
        <v>500</v>
      </c>
      <c r="F18" s="11" t="s">
        <v>43</v>
      </c>
      <c r="G18" s="8" t="s">
        <v>83</v>
      </c>
      <c r="H18" s="20"/>
    </row>
    <row r="19" spans="1:8" ht="30" customHeight="1" x14ac:dyDescent="0.3">
      <c r="A19" s="4" t="s">
        <v>84</v>
      </c>
      <c r="B19" s="4" t="s">
        <v>85</v>
      </c>
      <c r="C19" s="4" t="s">
        <v>87</v>
      </c>
      <c r="D19" s="4" t="s">
        <v>88</v>
      </c>
      <c r="E19" s="11" t="s">
        <v>43</v>
      </c>
      <c r="F19" s="32">
        <f>6378.14+E18</f>
        <v>6878.14</v>
      </c>
      <c r="G19" s="8" t="s">
        <v>83</v>
      </c>
      <c r="H19" s="20"/>
    </row>
    <row r="20" spans="1:8" ht="30" customHeight="1" x14ac:dyDescent="0.3">
      <c r="A20" s="5" t="s">
        <v>89</v>
      </c>
      <c r="B20" s="33" t="s">
        <v>90</v>
      </c>
      <c r="C20" s="5" t="s">
        <v>91</v>
      </c>
      <c r="D20" s="4" t="s">
        <v>43</v>
      </c>
      <c r="E20" s="12">
        <v>398600.4</v>
      </c>
      <c r="F20" s="11" t="s">
        <v>43</v>
      </c>
      <c r="G20" s="8" t="s">
        <v>93</v>
      </c>
      <c r="H20" s="20" t="s">
        <v>92</v>
      </c>
    </row>
    <row r="21" spans="1:8" ht="30" customHeight="1" x14ac:dyDescent="0.3">
      <c r="A21" s="5" t="s">
        <v>101</v>
      </c>
      <c r="B21" s="33" t="s">
        <v>102</v>
      </c>
      <c r="C21" s="5" t="s">
        <v>103</v>
      </c>
      <c r="D21" s="4" t="s">
        <v>43</v>
      </c>
      <c r="E21" s="12">
        <v>180</v>
      </c>
      <c r="F21" s="11" t="s">
        <v>43</v>
      </c>
      <c r="G21" s="8" t="s">
        <v>105</v>
      </c>
      <c r="H21" s="20" t="s">
        <v>104</v>
      </c>
    </row>
    <row r="22" spans="1:8" ht="30" customHeight="1" x14ac:dyDescent="0.3">
      <c r="A22" s="4" t="s">
        <v>94</v>
      </c>
      <c r="B22" s="4" t="s">
        <v>97</v>
      </c>
      <c r="C22" s="4" t="s">
        <v>96</v>
      </c>
      <c r="D22" s="4" t="s">
        <v>95</v>
      </c>
      <c r="E22" s="11" t="s">
        <v>43</v>
      </c>
      <c r="F22" s="28">
        <f>SQRT(E20/F19)*1000</f>
        <v>7612.6061138939394</v>
      </c>
      <c r="G22" s="8" t="s">
        <v>1</v>
      </c>
      <c r="H22" s="20"/>
    </row>
    <row r="23" spans="1:8" ht="30" customHeight="1" x14ac:dyDescent="0.3">
      <c r="A23" s="4" t="s">
        <v>98</v>
      </c>
      <c r="B23" s="4" t="s">
        <v>99</v>
      </c>
      <c r="C23" s="4" t="s">
        <v>100</v>
      </c>
      <c r="D23" s="4" t="s">
        <v>43</v>
      </c>
      <c r="E23" s="11" t="s">
        <v>43</v>
      </c>
      <c r="F23" s="28">
        <f>SQRT(F22^2+F16^2-(2*F22*F16*COS(PI()-RADIANS(E21))))</f>
        <v>7607.2396438012684</v>
      </c>
      <c r="G23" s="8" t="s">
        <v>1</v>
      </c>
      <c r="H23" s="20"/>
    </row>
    <row r="24" spans="1:8" ht="30" customHeight="1" x14ac:dyDescent="0.3">
      <c r="A24" s="4" t="s">
        <v>110</v>
      </c>
      <c r="B24" s="4" t="s">
        <v>111</v>
      </c>
      <c r="C24" s="4" t="s">
        <v>43</v>
      </c>
      <c r="D24" s="4" t="s">
        <v>43</v>
      </c>
      <c r="E24" s="12">
        <v>0</v>
      </c>
      <c r="F24" s="14" t="s">
        <v>43</v>
      </c>
      <c r="G24" s="8" t="s">
        <v>105</v>
      </c>
      <c r="H24" s="20"/>
    </row>
    <row r="25" spans="1:8" ht="30" customHeight="1" x14ac:dyDescent="0.3">
      <c r="A25" s="5" t="s">
        <v>106</v>
      </c>
      <c r="B25" s="4" t="s">
        <v>109</v>
      </c>
      <c r="C25" s="4" t="s">
        <v>43</v>
      </c>
      <c r="D25" s="4" t="s">
        <v>43</v>
      </c>
      <c r="E25" s="11" t="s">
        <v>43</v>
      </c>
      <c r="F25" s="32">
        <f>DEGREES(ASIN(F16*SIN(E21)/F23))</f>
        <v>-3.2381691957674263E-2</v>
      </c>
      <c r="G25" s="8" t="s">
        <v>105</v>
      </c>
      <c r="H25" s="20"/>
    </row>
    <row r="26" spans="1:8" ht="30" customHeight="1" x14ac:dyDescent="0.3">
      <c r="A26" s="5" t="s">
        <v>107</v>
      </c>
      <c r="B26" s="4" t="s">
        <v>108</v>
      </c>
      <c r="C26" s="4" t="s">
        <v>43</v>
      </c>
      <c r="D26" s="4" t="s">
        <v>43</v>
      </c>
      <c r="E26" s="11" t="s">
        <v>43</v>
      </c>
      <c r="F26" s="32">
        <f>E24-F25</f>
        <v>3.2381691957674263E-2</v>
      </c>
      <c r="G26" s="8" t="s">
        <v>105</v>
      </c>
      <c r="H26" s="20"/>
    </row>
    <row r="27" spans="1:8" ht="30" customHeight="1" x14ac:dyDescent="0.3">
      <c r="A27" s="5" t="s">
        <v>112</v>
      </c>
      <c r="B27" s="4" t="s">
        <v>113</v>
      </c>
      <c r="C27" s="4" t="s">
        <v>43</v>
      </c>
      <c r="D27" s="4" t="s">
        <v>43</v>
      </c>
      <c r="E27" s="11" t="s">
        <v>43</v>
      </c>
      <c r="F27" s="29">
        <f>E20/((2*E20/F19)-(F23/1000)^2)</f>
        <v>6868.4596380434032</v>
      </c>
      <c r="G27" s="8" t="s">
        <v>83</v>
      </c>
      <c r="H27" s="20"/>
    </row>
    <row r="28" spans="1:8" ht="30" customHeight="1" x14ac:dyDescent="0.3">
      <c r="A28" s="5" t="s">
        <v>114</v>
      </c>
      <c r="B28" s="4" t="s">
        <v>60</v>
      </c>
      <c r="C28" s="4" t="s">
        <v>43</v>
      </c>
      <c r="D28" s="4" t="s">
        <v>43</v>
      </c>
      <c r="E28" s="11" t="s">
        <v>43</v>
      </c>
      <c r="F28" s="32">
        <f>SQRT(1-(((F23/1000)*F19*COS(RADIANS(F26)))^2/(E20*F27)))</f>
        <v>1.5184871085359652E-3</v>
      </c>
      <c r="G28" s="8" t="s">
        <v>43</v>
      </c>
      <c r="H28" s="20"/>
    </row>
    <row r="29" spans="1:8" ht="30" customHeight="1" x14ac:dyDescent="0.3">
      <c r="A29" s="4" t="s">
        <v>115</v>
      </c>
      <c r="B29" s="4" t="s">
        <v>117</v>
      </c>
      <c r="C29" s="4" t="s">
        <v>43</v>
      </c>
      <c r="D29" s="4" t="s">
        <v>43</v>
      </c>
      <c r="E29" s="11" t="s">
        <v>43</v>
      </c>
      <c r="F29" s="32">
        <f>F27*(1+F28)-6378.14</f>
        <v>500.74930545927054</v>
      </c>
      <c r="G29" s="8" t="s">
        <v>83</v>
      </c>
      <c r="H29" s="20"/>
    </row>
    <row r="30" spans="1:8" ht="30" customHeight="1" x14ac:dyDescent="0.3">
      <c r="A30" s="4" t="s">
        <v>116</v>
      </c>
      <c r="B30" s="4" t="s">
        <v>118</v>
      </c>
      <c r="C30" s="4" t="s">
        <v>43</v>
      </c>
      <c r="D30" s="4" t="s">
        <v>43</v>
      </c>
      <c r="E30" s="11" t="s">
        <v>43</v>
      </c>
      <c r="F30" s="32">
        <f>F27*(1-F28)-6378.14</f>
        <v>479.88997062753424</v>
      </c>
      <c r="G30" s="8" t="s">
        <v>83</v>
      </c>
      <c r="H30" s="20"/>
    </row>
    <row r="31" spans="1:8" x14ac:dyDescent="0.3">
      <c r="E31"/>
      <c r="F31"/>
    </row>
    <row r="32" spans="1:8" x14ac:dyDescent="0.3">
      <c r="E32"/>
      <c r="F32"/>
    </row>
    <row r="33" spans="5:6" x14ac:dyDescent="0.3">
      <c r="E33"/>
      <c r="F33"/>
    </row>
  </sheetData>
  <mergeCells count="3">
    <mergeCell ref="B1:C1"/>
    <mergeCell ref="E1:G1"/>
    <mergeCell ref="A17:H1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AD9D6-FF82-4D77-9859-E80D7A80DAA1}">
  <sheetPr>
    <tabColor theme="7" tint="0.59999389629810485"/>
  </sheetPr>
  <dimension ref="A1:H33"/>
  <sheetViews>
    <sheetView topLeftCell="A16" zoomScale="85" zoomScaleNormal="85" workbookViewId="0">
      <selection activeCell="D4" sqref="C4:D4"/>
    </sheetView>
  </sheetViews>
  <sheetFormatPr baseColWidth="10" defaultColWidth="9.21875" defaultRowHeight="14.4" x14ac:dyDescent="0.3"/>
  <cols>
    <col min="1" max="1" width="25.77734375" customWidth="1"/>
    <col min="2" max="2" width="14.21875" customWidth="1"/>
    <col min="3" max="3" width="55" customWidth="1"/>
    <col min="4" max="4" width="28" customWidth="1"/>
    <col min="5" max="6" width="10.77734375" style="2" customWidth="1"/>
    <col min="7" max="7" width="10.5546875" customWidth="1"/>
    <col min="8" max="8" width="76.77734375" customWidth="1"/>
    <col min="10" max="10" width="14.21875" customWidth="1"/>
    <col min="11" max="11" width="12" bestFit="1" customWidth="1"/>
  </cols>
  <sheetData>
    <row r="1" spans="1:8" s="1" customFormat="1" ht="30" customHeight="1" x14ac:dyDescent="0.3">
      <c r="A1" s="30" t="s">
        <v>76</v>
      </c>
      <c r="B1" s="56" t="s">
        <v>122</v>
      </c>
      <c r="C1" s="56"/>
      <c r="D1" s="30" t="s">
        <v>77</v>
      </c>
      <c r="E1" s="57" t="s">
        <v>121</v>
      </c>
      <c r="F1" s="57"/>
      <c r="G1" s="57"/>
      <c r="H1" s="31"/>
    </row>
    <row r="2" spans="1:8" s="1" customFormat="1" ht="30" customHeight="1" x14ac:dyDescent="0.3">
      <c r="A2" s="17" t="s">
        <v>6</v>
      </c>
      <c r="B2" s="17" t="s">
        <v>7</v>
      </c>
      <c r="C2" s="17" t="s">
        <v>8</v>
      </c>
      <c r="D2" s="17" t="s">
        <v>10</v>
      </c>
      <c r="E2" s="18" t="s">
        <v>13</v>
      </c>
      <c r="F2" s="18" t="s">
        <v>14</v>
      </c>
      <c r="G2" s="17" t="s">
        <v>9</v>
      </c>
      <c r="H2" s="17" t="s">
        <v>32</v>
      </c>
    </row>
    <row r="3" spans="1:8" s="1" customFormat="1" ht="30" customHeight="1" x14ac:dyDescent="0.3">
      <c r="A3" s="4" t="s">
        <v>11</v>
      </c>
      <c r="B3" s="4" t="s">
        <v>33</v>
      </c>
      <c r="C3" s="5" t="s">
        <v>29</v>
      </c>
      <c r="D3" s="9" t="s">
        <v>50</v>
      </c>
      <c r="E3" s="24">
        <v>7.0000000000000007E-2</v>
      </c>
      <c r="F3" s="10" t="s">
        <v>43</v>
      </c>
      <c r="G3" s="8" t="s">
        <v>5</v>
      </c>
      <c r="H3" s="19" t="s">
        <v>53</v>
      </c>
    </row>
    <row r="4" spans="1:8" s="1" customFormat="1" ht="30" customHeight="1" x14ac:dyDescent="0.3">
      <c r="A4" s="4" t="s">
        <v>57</v>
      </c>
      <c r="B4" s="4" t="s">
        <v>58</v>
      </c>
      <c r="C4" s="5" t="s">
        <v>127</v>
      </c>
      <c r="D4" s="9" t="s">
        <v>126</v>
      </c>
      <c r="E4" s="11" t="s">
        <v>43</v>
      </c>
      <c r="F4" s="32">
        <f>F6/E3</f>
        <v>1139.6000000000001</v>
      </c>
      <c r="G4" s="8" t="s">
        <v>3</v>
      </c>
      <c r="H4" s="19"/>
    </row>
    <row r="5" spans="1:8" s="1" customFormat="1" ht="30" customHeight="1" x14ac:dyDescent="0.3">
      <c r="A5" s="4" t="s">
        <v>4</v>
      </c>
      <c r="B5" s="4" t="s">
        <v>18</v>
      </c>
      <c r="C5" s="5" t="s">
        <v>30</v>
      </c>
      <c r="D5" s="6" t="s">
        <v>71</v>
      </c>
      <c r="E5" s="11" t="s">
        <v>43</v>
      </c>
      <c r="F5" s="28">
        <f>F4*E3</f>
        <v>79.77200000000002</v>
      </c>
      <c r="G5" s="8" t="s">
        <v>52</v>
      </c>
      <c r="H5" s="20"/>
    </row>
    <row r="6" spans="1:8" s="1" customFormat="1" ht="30" customHeight="1" x14ac:dyDescent="0.3">
      <c r="A6" s="4" t="s">
        <v>4</v>
      </c>
      <c r="B6" s="4" t="s">
        <v>18</v>
      </c>
      <c r="C6" s="5" t="s">
        <v>30</v>
      </c>
      <c r="D6" s="6" t="s">
        <v>80</v>
      </c>
      <c r="E6" s="11" t="s">
        <v>43</v>
      </c>
      <c r="F6" s="27">
        <f>E7*E12*E11/1000</f>
        <v>79.77200000000002</v>
      </c>
      <c r="G6" s="8" t="s">
        <v>52</v>
      </c>
      <c r="H6" s="20"/>
    </row>
    <row r="7" spans="1:8" s="1" customFormat="1" ht="45" customHeight="1" x14ac:dyDescent="0.3">
      <c r="A7" s="4" t="s">
        <v>12</v>
      </c>
      <c r="B7" s="4" t="s">
        <v>17</v>
      </c>
      <c r="C7" s="5" t="s">
        <v>49</v>
      </c>
      <c r="D7" s="6" t="s">
        <v>40</v>
      </c>
      <c r="E7" s="12">
        <v>40.700000000000003</v>
      </c>
      <c r="F7" s="27">
        <f>F5/(E12*E11*0.001)</f>
        <v>40.700000000000003</v>
      </c>
      <c r="G7" s="8" t="s">
        <v>3</v>
      </c>
      <c r="H7" s="19" t="s">
        <v>72</v>
      </c>
    </row>
    <row r="8" spans="1:8" s="1" customFormat="1" ht="45" customHeight="1" x14ac:dyDescent="0.3">
      <c r="A8" s="4" t="s">
        <v>12</v>
      </c>
      <c r="B8" s="4" t="s">
        <v>17</v>
      </c>
      <c r="C8" s="5" t="s">
        <v>49</v>
      </c>
      <c r="D8" s="6" t="s">
        <v>66</v>
      </c>
      <c r="E8" s="15" t="s">
        <v>43</v>
      </c>
      <c r="F8" s="27">
        <f>1000/(F9*E11)</f>
        <v>40.700000000000003</v>
      </c>
      <c r="G8" s="8" t="s">
        <v>3</v>
      </c>
      <c r="H8" s="19" t="s">
        <v>72</v>
      </c>
    </row>
    <row r="9" spans="1:8" ht="30" customHeight="1" x14ac:dyDescent="0.3">
      <c r="A9" s="4" t="s">
        <v>36</v>
      </c>
      <c r="B9" s="4" t="s">
        <v>0</v>
      </c>
      <c r="C9" s="5" t="s">
        <v>37</v>
      </c>
      <c r="D9" s="6" t="s">
        <v>73</v>
      </c>
      <c r="E9" s="15" t="s">
        <v>43</v>
      </c>
      <c r="F9" s="29">
        <f>1000/(F7*E11)</f>
        <v>2.5071453642882209</v>
      </c>
      <c r="G9" s="8" t="s">
        <v>54</v>
      </c>
      <c r="H9" s="20"/>
    </row>
    <row r="10" spans="1:8" s="1" customFormat="1" ht="30" customHeight="1" x14ac:dyDescent="0.3">
      <c r="A10" s="4" t="s">
        <v>41</v>
      </c>
      <c r="B10" s="4" t="s">
        <v>42</v>
      </c>
      <c r="C10" s="5" t="s">
        <v>44</v>
      </c>
      <c r="D10" s="9" t="s">
        <v>51</v>
      </c>
      <c r="E10" s="16" t="s">
        <v>43</v>
      </c>
      <c r="F10" s="27">
        <f>E7*E11</f>
        <v>398.86000000000007</v>
      </c>
      <c r="G10" s="8" t="s">
        <v>1</v>
      </c>
      <c r="H10" s="20"/>
    </row>
    <row r="11" spans="1:8" s="1" customFormat="1" ht="30" customHeight="1" x14ac:dyDescent="0.3">
      <c r="A11" s="4" t="s">
        <v>19</v>
      </c>
      <c r="B11" s="4" t="s">
        <v>20</v>
      </c>
      <c r="C11" s="5" t="s">
        <v>28</v>
      </c>
      <c r="D11" s="6" t="s">
        <v>43</v>
      </c>
      <c r="E11" s="12">
        <v>9.8000000000000007</v>
      </c>
      <c r="F11" s="14" t="s">
        <v>43</v>
      </c>
      <c r="G11" s="8" t="s">
        <v>31</v>
      </c>
      <c r="H11" s="19"/>
    </row>
    <row r="12" spans="1:8" s="1" customFormat="1" ht="30" customHeight="1" x14ac:dyDescent="0.3">
      <c r="A12" s="4" t="s">
        <v>15</v>
      </c>
      <c r="B12" s="4" t="s">
        <v>16</v>
      </c>
      <c r="C12" s="5" t="s">
        <v>25</v>
      </c>
      <c r="D12" s="6" t="s">
        <v>47</v>
      </c>
      <c r="E12" s="21">
        <v>200</v>
      </c>
      <c r="F12" s="23" t="s">
        <v>43</v>
      </c>
      <c r="G12" s="8" t="s">
        <v>61</v>
      </c>
      <c r="H12" s="20"/>
    </row>
    <row r="13" spans="1:8" s="1" customFormat="1" ht="30" customHeight="1" x14ac:dyDescent="0.3">
      <c r="A13" s="4" t="s">
        <v>21</v>
      </c>
      <c r="B13" s="4" t="s">
        <v>23</v>
      </c>
      <c r="C13" s="5" t="s">
        <v>26</v>
      </c>
      <c r="D13" s="6" t="s">
        <v>43</v>
      </c>
      <c r="E13" s="22">
        <v>6</v>
      </c>
      <c r="F13" s="13" t="s">
        <v>43</v>
      </c>
      <c r="G13" s="8" t="s">
        <v>2</v>
      </c>
      <c r="H13" s="20"/>
    </row>
    <row r="14" spans="1:8" s="1" customFormat="1" ht="30" customHeight="1" x14ac:dyDescent="0.3">
      <c r="A14" s="4" t="s">
        <v>22</v>
      </c>
      <c r="B14" s="4" t="s">
        <v>24</v>
      </c>
      <c r="C14" s="5" t="s">
        <v>27</v>
      </c>
      <c r="D14" s="6" t="s">
        <v>48</v>
      </c>
      <c r="E14" s="13" t="s">
        <v>43</v>
      </c>
      <c r="F14" s="29">
        <f>E13-E12*0.001</f>
        <v>5.8</v>
      </c>
      <c r="G14" s="8" t="s">
        <v>2</v>
      </c>
      <c r="H14" s="20"/>
    </row>
    <row r="15" spans="1:8" ht="30" customHeight="1" x14ac:dyDescent="0.3">
      <c r="A15" s="4" t="s">
        <v>34</v>
      </c>
      <c r="B15" s="4" t="s">
        <v>35</v>
      </c>
      <c r="C15" s="5" t="s">
        <v>38</v>
      </c>
      <c r="D15" s="9" t="s">
        <v>46</v>
      </c>
      <c r="E15" s="7" t="s">
        <v>43</v>
      </c>
      <c r="F15" s="29">
        <f>F10*LN(E13/F14)</f>
        <v>13.521972901362291</v>
      </c>
      <c r="G15" s="8" t="s">
        <v>1</v>
      </c>
      <c r="H15" s="20" t="s">
        <v>45</v>
      </c>
    </row>
    <row r="16" spans="1:8" ht="30" customHeight="1" x14ac:dyDescent="0.3">
      <c r="A16" s="4" t="s">
        <v>34</v>
      </c>
      <c r="B16" s="4" t="s">
        <v>35</v>
      </c>
      <c r="C16" s="5" t="s">
        <v>38</v>
      </c>
      <c r="D16" s="9" t="s">
        <v>55</v>
      </c>
      <c r="E16" s="7" t="s">
        <v>43</v>
      </c>
      <c r="F16" s="29">
        <f>F5/F14</f>
        <v>13.753793103448279</v>
      </c>
      <c r="G16" s="8" t="s">
        <v>1</v>
      </c>
      <c r="H16" s="20" t="s">
        <v>120</v>
      </c>
    </row>
    <row r="17" spans="1:8" ht="30" customHeight="1" x14ac:dyDescent="0.3">
      <c r="A17" s="53" t="s">
        <v>119</v>
      </c>
      <c r="B17" s="54"/>
      <c r="C17" s="54"/>
      <c r="D17" s="54"/>
      <c r="E17" s="54"/>
      <c r="F17" s="54"/>
      <c r="G17" s="54"/>
      <c r="H17" s="55"/>
    </row>
    <row r="18" spans="1:8" ht="30" customHeight="1" x14ac:dyDescent="0.3">
      <c r="A18" s="34" t="s">
        <v>81</v>
      </c>
      <c r="B18" s="4" t="s">
        <v>82</v>
      </c>
      <c r="C18" s="4" t="s">
        <v>86</v>
      </c>
      <c r="D18" s="4" t="s">
        <v>43</v>
      </c>
      <c r="E18" s="12">
        <v>500</v>
      </c>
      <c r="F18" s="11" t="s">
        <v>43</v>
      </c>
      <c r="G18" s="8" t="s">
        <v>83</v>
      </c>
      <c r="H18" s="20"/>
    </row>
    <row r="19" spans="1:8" ht="30" customHeight="1" x14ac:dyDescent="0.3">
      <c r="A19" s="4" t="s">
        <v>84</v>
      </c>
      <c r="B19" s="4" t="s">
        <v>85</v>
      </c>
      <c r="C19" s="4" t="s">
        <v>87</v>
      </c>
      <c r="D19" s="4" t="s">
        <v>88</v>
      </c>
      <c r="E19" s="11" t="s">
        <v>43</v>
      </c>
      <c r="F19" s="32">
        <f>6378.14+E18</f>
        <v>6878.14</v>
      </c>
      <c r="G19" s="8" t="s">
        <v>83</v>
      </c>
      <c r="H19" s="20"/>
    </row>
    <row r="20" spans="1:8" ht="30" customHeight="1" x14ac:dyDescent="0.3">
      <c r="A20" s="5" t="s">
        <v>89</v>
      </c>
      <c r="B20" s="33" t="s">
        <v>90</v>
      </c>
      <c r="C20" s="5" t="s">
        <v>91</v>
      </c>
      <c r="D20" s="4" t="s">
        <v>43</v>
      </c>
      <c r="E20" s="12">
        <v>398600.4</v>
      </c>
      <c r="F20" s="11" t="s">
        <v>43</v>
      </c>
      <c r="G20" s="8" t="s">
        <v>93</v>
      </c>
      <c r="H20" s="20" t="s">
        <v>92</v>
      </c>
    </row>
    <row r="21" spans="1:8" ht="30" customHeight="1" x14ac:dyDescent="0.3">
      <c r="A21" s="5" t="s">
        <v>101</v>
      </c>
      <c r="B21" s="33" t="s">
        <v>102</v>
      </c>
      <c r="C21" s="5" t="s">
        <v>103</v>
      </c>
      <c r="D21" s="4" t="s">
        <v>43</v>
      </c>
      <c r="E21" s="12">
        <v>180</v>
      </c>
      <c r="F21" s="11" t="s">
        <v>43</v>
      </c>
      <c r="G21" s="8" t="s">
        <v>105</v>
      </c>
      <c r="H21" s="20" t="s">
        <v>104</v>
      </c>
    </row>
    <row r="22" spans="1:8" ht="30" customHeight="1" x14ac:dyDescent="0.3">
      <c r="A22" s="4" t="s">
        <v>94</v>
      </c>
      <c r="B22" s="4" t="s">
        <v>97</v>
      </c>
      <c r="C22" s="4" t="s">
        <v>96</v>
      </c>
      <c r="D22" s="4" t="s">
        <v>95</v>
      </c>
      <c r="E22" s="11" t="s">
        <v>43</v>
      </c>
      <c r="F22" s="28">
        <f>SQRT(E20/F19)*1000</f>
        <v>7612.6061138939394</v>
      </c>
      <c r="G22" s="8" t="s">
        <v>1</v>
      </c>
      <c r="H22" s="20"/>
    </row>
    <row r="23" spans="1:8" ht="30" customHeight="1" x14ac:dyDescent="0.3">
      <c r="A23" s="4" t="s">
        <v>98</v>
      </c>
      <c r="B23" s="4" t="s">
        <v>99</v>
      </c>
      <c r="C23" s="4" t="s">
        <v>100</v>
      </c>
      <c r="D23" s="4" t="s">
        <v>43</v>
      </c>
      <c r="E23" s="11" t="s">
        <v>43</v>
      </c>
      <c r="F23" s="28">
        <f>SQRT(F22^2+F16^2-(2*F22*F16*COS(PI()-RADIANS(E21))))</f>
        <v>7598.8523207904909</v>
      </c>
      <c r="G23" s="8" t="s">
        <v>1</v>
      </c>
      <c r="H23" s="20"/>
    </row>
    <row r="24" spans="1:8" ht="30" customHeight="1" x14ac:dyDescent="0.3">
      <c r="A24" s="4" t="s">
        <v>110</v>
      </c>
      <c r="B24" s="4" t="s">
        <v>111</v>
      </c>
      <c r="C24" s="4" t="s">
        <v>43</v>
      </c>
      <c r="D24" s="4" t="s">
        <v>43</v>
      </c>
      <c r="E24" s="12">
        <v>0</v>
      </c>
      <c r="F24" s="14" t="s">
        <v>43</v>
      </c>
      <c r="G24" s="8" t="s">
        <v>105</v>
      </c>
      <c r="H24" s="20"/>
    </row>
    <row r="25" spans="1:8" ht="30" customHeight="1" x14ac:dyDescent="0.3">
      <c r="A25" s="5" t="s">
        <v>106</v>
      </c>
      <c r="B25" s="4" t="s">
        <v>109</v>
      </c>
      <c r="C25" s="4" t="s">
        <v>43</v>
      </c>
      <c r="D25" s="4" t="s">
        <v>43</v>
      </c>
      <c r="E25" s="11" t="s">
        <v>43</v>
      </c>
      <c r="F25" s="32">
        <f>DEGREES(ASIN(F16*SIN(E21)/F23))</f>
        <v>-8.3083069493919123E-2</v>
      </c>
      <c r="G25" s="8" t="s">
        <v>105</v>
      </c>
      <c r="H25" s="20"/>
    </row>
    <row r="26" spans="1:8" ht="30" customHeight="1" x14ac:dyDescent="0.3">
      <c r="A26" s="5" t="s">
        <v>107</v>
      </c>
      <c r="B26" s="4" t="s">
        <v>108</v>
      </c>
      <c r="C26" s="4" t="s">
        <v>43</v>
      </c>
      <c r="D26" s="4" t="s">
        <v>43</v>
      </c>
      <c r="E26" s="11" t="s">
        <v>43</v>
      </c>
      <c r="F26" s="32">
        <f>E24-F25</f>
        <v>8.3083069493919123E-2</v>
      </c>
      <c r="G26" s="8" t="s">
        <v>105</v>
      </c>
      <c r="H26" s="20"/>
    </row>
    <row r="27" spans="1:8" ht="30" customHeight="1" x14ac:dyDescent="0.3">
      <c r="A27" s="5" t="s">
        <v>112</v>
      </c>
      <c r="B27" s="4" t="s">
        <v>113</v>
      </c>
      <c r="C27" s="4" t="s">
        <v>43</v>
      </c>
      <c r="D27" s="4" t="s">
        <v>43</v>
      </c>
      <c r="E27" s="11" t="s">
        <v>43</v>
      </c>
      <c r="F27" s="29">
        <f>E20/((2*E20/F19)-(F23/1000)^2)</f>
        <v>6853.3981263493006</v>
      </c>
      <c r="G27" s="8" t="s">
        <v>83</v>
      </c>
      <c r="H27" s="20"/>
    </row>
    <row r="28" spans="1:8" ht="30" customHeight="1" x14ac:dyDescent="0.3">
      <c r="A28" s="5" t="s">
        <v>114</v>
      </c>
      <c r="B28" s="4" t="s">
        <v>60</v>
      </c>
      <c r="C28" s="4" t="s">
        <v>43</v>
      </c>
      <c r="D28" s="4" t="s">
        <v>43</v>
      </c>
      <c r="E28" s="11" t="s">
        <v>43</v>
      </c>
      <c r="F28" s="32">
        <f>SQRT(1-(((F23/1000)*F19*COS(RADIANS(F26)))^2/(E20*F27)))</f>
        <v>3.890494671103232E-3</v>
      </c>
      <c r="G28" s="8" t="s">
        <v>43</v>
      </c>
      <c r="H28" s="20"/>
    </row>
    <row r="29" spans="1:8" ht="30" customHeight="1" x14ac:dyDescent="0.3">
      <c r="A29" s="4" t="s">
        <v>115</v>
      </c>
      <c r="B29" s="4" t="s">
        <v>117</v>
      </c>
      <c r="C29" s="4" t="s">
        <v>43</v>
      </c>
      <c r="D29" s="4" t="s">
        <v>43</v>
      </c>
      <c r="E29" s="11" t="s">
        <v>43</v>
      </c>
      <c r="F29" s="32">
        <f>F27*(1+F28)-6378.14</f>
        <v>501.92123523881037</v>
      </c>
      <c r="G29" s="8" t="s">
        <v>83</v>
      </c>
      <c r="H29" s="20"/>
    </row>
    <row r="30" spans="1:8" ht="30" customHeight="1" x14ac:dyDescent="0.3">
      <c r="A30" s="4" t="s">
        <v>116</v>
      </c>
      <c r="B30" s="4" t="s">
        <v>118</v>
      </c>
      <c r="C30" s="4" t="s">
        <v>43</v>
      </c>
      <c r="D30" s="4" t="s">
        <v>43</v>
      </c>
      <c r="E30" s="11" t="s">
        <v>43</v>
      </c>
      <c r="F30" s="32">
        <f>F27*(1-F28)-6378.14</f>
        <v>448.59501745978923</v>
      </c>
      <c r="G30" s="8" t="s">
        <v>83</v>
      </c>
      <c r="H30" s="20"/>
    </row>
    <row r="31" spans="1:8" x14ac:dyDescent="0.3">
      <c r="E31"/>
      <c r="F31"/>
    </row>
    <row r="32" spans="1:8" x14ac:dyDescent="0.3">
      <c r="E32"/>
      <c r="F32"/>
    </row>
    <row r="33" spans="5:6" x14ac:dyDescent="0.3">
      <c r="E33"/>
      <c r="F33"/>
    </row>
  </sheetData>
  <mergeCells count="3">
    <mergeCell ref="B1:C1"/>
    <mergeCell ref="E1:G1"/>
    <mergeCell ref="A17:H1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504BC-F4C6-426C-850A-4EC282E30354}">
  <sheetPr>
    <tabColor theme="7" tint="0.59999389629810485"/>
  </sheetPr>
  <dimension ref="A1:H33"/>
  <sheetViews>
    <sheetView topLeftCell="A16" zoomScale="85" zoomScaleNormal="85" workbookViewId="0">
      <selection activeCell="E18" sqref="E18"/>
    </sheetView>
  </sheetViews>
  <sheetFormatPr baseColWidth="10" defaultColWidth="9.21875" defaultRowHeight="14.4" x14ac:dyDescent="0.3"/>
  <cols>
    <col min="1" max="1" width="25.77734375" customWidth="1"/>
    <col min="2" max="2" width="14.21875" customWidth="1"/>
    <col min="3" max="3" width="55" customWidth="1"/>
    <col min="4" max="4" width="28" customWidth="1"/>
    <col min="5" max="6" width="10.77734375" style="2" customWidth="1"/>
    <col min="7" max="7" width="10.5546875" customWidth="1"/>
    <col min="8" max="8" width="76.77734375" customWidth="1"/>
    <col min="10" max="10" width="14.21875" customWidth="1"/>
    <col min="11" max="11" width="12" bestFit="1" customWidth="1"/>
  </cols>
  <sheetData>
    <row r="1" spans="1:8" s="1" customFormat="1" ht="30" customHeight="1" x14ac:dyDescent="0.3">
      <c r="A1" s="30" t="s">
        <v>76</v>
      </c>
      <c r="B1" s="56" t="s">
        <v>124</v>
      </c>
      <c r="C1" s="56"/>
      <c r="D1" s="30" t="s">
        <v>77</v>
      </c>
      <c r="E1" s="57" t="s">
        <v>123</v>
      </c>
      <c r="F1" s="57"/>
      <c r="G1" s="57"/>
      <c r="H1" s="31"/>
    </row>
    <row r="2" spans="1:8" s="1" customFormat="1" ht="30" customHeight="1" x14ac:dyDescent="0.3">
      <c r="A2" s="17" t="s">
        <v>6</v>
      </c>
      <c r="B2" s="17" t="s">
        <v>7</v>
      </c>
      <c r="C2" s="17" t="s">
        <v>8</v>
      </c>
      <c r="D2" s="17" t="s">
        <v>10</v>
      </c>
      <c r="E2" s="18" t="s">
        <v>13</v>
      </c>
      <c r="F2" s="18" t="s">
        <v>14</v>
      </c>
      <c r="G2" s="17" t="s">
        <v>9</v>
      </c>
      <c r="H2" s="17" t="s">
        <v>32</v>
      </c>
    </row>
    <row r="3" spans="1:8" s="1" customFormat="1" ht="30" customHeight="1" x14ac:dyDescent="0.3">
      <c r="A3" s="4" t="s">
        <v>11</v>
      </c>
      <c r="B3" s="4" t="s">
        <v>33</v>
      </c>
      <c r="C3" s="5" t="s">
        <v>29</v>
      </c>
      <c r="D3" s="9" t="s">
        <v>50</v>
      </c>
      <c r="E3" s="24">
        <v>3.3E-4</v>
      </c>
      <c r="F3" s="10" t="s">
        <v>43</v>
      </c>
      <c r="G3" s="8" t="s">
        <v>5</v>
      </c>
      <c r="H3" s="19" t="s">
        <v>53</v>
      </c>
    </row>
    <row r="4" spans="1:8" s="1" customFormat="1" ht="30" customHeight="1" x14ac:dyDescent="0.3">
      <c r="A4" s="4" t="s">
        <v>57</v>
      </c>
      <c r="B4" s="4" t="s">
        <v>58</v>
      </c>
      <c r="C4" s="5" t="s">
        <v>127</v>
      </c>
      <c r="D4" s="9" t="s">
        <v>126</v>
      </c>
      <c r="E4" s="11" t="s">
        <v>43</v>
      </c>
      <c r="F4" s="32">
        <f>F6/E3</f>
        <v>16333333.333333334</v>
      </c>
      <c r="G4" s="8" t="s">
        <v>3</v>
      </c>
      <c r="H4" s="19" t="s">
        <v>135</v>
      </c>
    </row>
    <row r="5" spans="1:8" s="1" customFormat="1" ht="30" customHeight="1" x14ac:dyDescent="0.3">
      <c r="A5" s="4" t="s">
        <v>4</v>
      </c>
      <c r="B5" s="4" t="s">
        <v>18</v>
      </c>
      <c r="C5" s="5" t="s">
        <v>30</v>
      </c>
      <c r="D5" s="6" t="s">
        <v>71</v>
      </c>
      <c r="E5" s="11" t="s">
        <v>43</v>
      </c>
      <c r="F5" s="27">
        <f>F4*E3</f>
        <v>5390</v>
      </c>
      <c r="G5" s="8" t="s">
        <v>52</v>
      </c>
      <c r="H5" s="20"/>
    </row>
    <row r="6" spans="1:8" s="1" customFormat="1" ht="30" customHeight="1" x14ac:dyDescent="0.3">
      <c r="A6" s="4" t="s">
        <v>4</v>
      </c>
      <c r="B6" s="4" t="s">
        <v>18</v>
      </c>
      <c r="C6" s="5" t="s">
        <v>30</v>
      </c>
      <c r="D6" s="6" t="s">
        <v>80</v>
      </c>
      <c r="E6" s="11" t="s">
        <v>43</v>
      </c>
      <c r="F6" s="27">
        <f>E7*E12*E11/1000</f>
        <v>5390</v>
      </c>
      <c r="G6" s="8" t="s">
        <v>52</v>
      </c>
      <c r="H6" s="20"/>
    </row>
    <row r="7" spans="1:8" s="1" customFormat="1" ht="45" customHeight="1" x14ac:dyDescent="0.3">
      <c r="A7" s="4" t="s">
        <v>12</v>
      </c>
      <c r="B7" s="4" t="s">
        <v>17</v>
      </c>
      <c r="C7" s="5" t="s">
        <v>49</v>
      </c>
      <c r="D7" s="6" t="s">
        <v>40</v>
      </c>
      <c r="E7" s="12">
        <v>2500</v>
      </c>
      <c r="F7" s="27">
        <f>F5/(E12*E11*0.001)</f>
        <v>2500</v>
      </c>
      <c r="G7" s="8" t="s">
        <v>3</v>
      </c>
      <c r="H7" s="19" t="s">
        <v>72</v>
      </c>
    </row>
    <row r="8" spans="1:8" s="1" customFormat="1" ht="45" customHeight="1" x14ac:dyDescent="0.3">
      <c r="A8" s="4" t="s">
        <v>12</v>
      </c>
      <c r="B8" s="4" t="s">
        <v>17</v>
      </c>
      <c r="C8" s="5" t="s">
        <v>49</v>
      </c>
      <c r="D8" s="6" t="s">
        <v>66</v>
      </c>
      <c r="E8" s="15" t="s">
        <v>43</v>
      </c>
      <c r="F8" s="27">
        <f>1000/(F9*E11)</f>
        <v>2500</v>
      </c>
      <c r="G8" s="8" t="s">
        <v>3</v>
      </c>
      <c r="H8" s="19" t="s">
        <v>72</v>
      </c>
    </row>
    <row r="9" spans="1:8" ht="30" customHeight="1" x14ac:dyDescent="0.3">
      <c r="A9" s="4" t="s">
        <v>36</v>
      </c>
      <c r="B9" s="4" t="s">
        <v>0</v>
      </c>
      <c r="C9" s="5" t="s">
        <v>37</v>
      </c>
      <c r="D9" s="6" t="s">
        <v>73</v>
      </c>
      <c r="E9" s="15" t="s">
        <v>43</v>
      </c>
      <c r="F9" s="29">
        <f>1000/(F7*E11)</f>
        <v>4.0816326530612242E-2</v>
      </c>
      <c r="G9" s="8" t="s">
        <v>54</v>
      </c>
      <c r="H9" s="20"/>
    </row>
    <row r="10" spans="1:8" s="1" customFormat="1" ht="30" customHeight="1" x14ac:dyDescent="0.3">
      <c r="A10" s="4" t="s">
        <v>41</v>
      </c>
      <c r="B10" s="4" t="s">
        <v>42</v>
      </c>
      <c r="C10" s="5" t="s">
        <v>44</v>
      </c>
      <c r="D10" s="9" t="s">
        <v>51</v>
      </c>
      <c r="E10" s="16" t="s">
        <v>43</v>
      </c>
      <c r="F10" s="27">
        <f>E7*E11</f>
        <v>24500</v>
      </c>
      <c r="G10" s="8" t="s">
        <v>1</v>
      </c>
      <c r="H10" s="20"/>
    </row>
    <row r="11" spans="1:8" s="1" customFormat="1" ht="30" customHeight="1" x14ac:dyDescent="0.3">
      <c r="A11" s="4" t="s">
        <v>19</v>
      </c>
      <c r="B11" s="4" t="s">
        <v>20</v>
      </c>
      <c r="C11" s="5" t="s">
        <v>28</v>
      </c>
      <c r="D11" s="6" t="s">
        <v>43</v>
      </c>
      <c r="E11" s="12">
        <v>9.8000000000000007</v>
      </c>
      <c r="F11" s="14" t="s">
        <v>43</v>
      </c>
      <c r="G11" s="8" t="s">
        <v>31</v>
      </c>
      <c r="H11" s="19"/>
    </row>
    <row r="12" spans="1:8" s="1" customFormat="1" ht="30" customHeight="1" x14ac:dyDescent="0.3">
      <c r="A12" s="4" t="s">
        <v>15</v>
      </c>
      <c r="B12" s="4" t="s">
        <v>16</v>
      </c>
      <c r="C12" s="5" t="s">
        <v>25</v>
      </c>
      <c r="D12" s="6" t="s">
        <v>47</v>
      </c>
      <c r="E12" s="21">
        <v>220</v>
      </c>
      <c r="F12" s="23" t="s">
        <v>43</v>
      </c>
      <c r="G12" s="8" t="s">
        <v>61</v>
      </c>
      <c r="H12" s="20" t="s">
        <v>125</v>
      </c>
    </row>
    <row r="13" spans="1:8" s="1" customFormat="1" ht="30" customHeight="1" x14ac:dyDescent="0.3">
      <c r="A13" s="4" t="s">
        <v>21</v>
      </c>
      <c r="B13" s="4" t="s">
        <v>23</v>
      </c>
      <c r="C13" s="5" t="s">
        <v>26</v>
      </c>
      <c r="D13" s="6" t="s">
        <v>43</v>
      </c>
      <c r="E13" s="22">
        <v>20</v>
      </c>
      <c r="F13" s="13" t="s">
        <v>43</v>
      </c>
      <c r="G13" s="8" t="s">
        <v>2</v>
      </c>
      <c r="H13" s="20"/>
    </row>
    <row r="14" spans="1:8" s="1" customFormat="1" ht="30" customHeight="1" x14ac:dyDescent="0.3">
      <c r="A14" s="4" t="s">
        <v>22</v>
      </c>
      <c r="B14" s="4" t="s">
        <v>24</v>
      </c>
      <c r="C14" s="5" t="s">
        <v>27</v>
      </c>
      <c r="D14" s="6" t="s">
        <v>48</v>
      </c>
      <c r="E14" s="13" t="s">
        <v>43</v>
      </c>
      <c r="F14" s="29">
        <f>E13-E12*0.001</f>
        <v>19.78</v>
      </c>
      <c r="G14" s="8" t="s">
        <v>2</v>
      </c>
      <c r="H14" s="20"/>
    </row>
    <row r="15" spans="1:8" ht="30" customHeight="1" x14ac:dyDescent="0.3">
      <c r="A15" s="4" t="s">
        <v>34</v>
      </c>
      <c r="B15" s="4" t="s">
        <v>35</v>
      </c>
      <c r="C15" s="5" t="s">
        <v>38</v>
      </c>
      <c r="D15" s="9" t="s">
        <v>46</v>
      </c>
      <c r="E15" s="7" t="s">
        <v>43</v>
      </c>
      <c r="F15" s="29">
        <f>F10*LN(E13/F14)</f>
        <v>270.99321030591193</v>
      </c>
      <c r="G15" s="8" t="s">
        <v>1</v>
      </c>
      <c r="H15" s="20" t="s">
        <v>45</v>
      </c>
    </row>
    <row r="16" spans="1:8" ht="30" customHeight="1" x14ac:dyDescent="0.3">
      <c r="A16" s="4" t="s">
        <v>34</v>
      </c>
      <c r="B16" s="4" t="s">
        <v>35</v>
      </c>
      <c r="C16" s="5" t="s">
        <v>38</v>
      </c>
      <c r="D16" s="9" t="s">
        <v>55</v>
      </c>
      <c r="E16" s="7" t="s">
        <v>43</v>
      </c>
      <c r="F16" s="29">
        <f>F5/F14</f>
        <v>272.49747219413547</v>
      </c>
      <c r="G16" s="8" t="s">
        <v>1</v>
      </c>
      <c r="H16" s="20" t="s">
        <v>120</v>
      </c>
    </row>
    <row r="17" spans="1:8" ht="30" customHeight="1" x14ac:dyDescent="0.3">
      <c r="A17" s="53" t="s">
        <v>119</v>
      </c>
      <c r="B17" s="54"/>
      <c r="C17" s="54"/>
      <c r="D17" s="54"/>
      <c r="E17" s="54"/>
      <c r="F17" s="54"/>
      <c r="G17" s="54"/>
      <c r="H17" s="55"/>
    </row>
    <row r="18" spans="1:8" ht="30" customHeight="1" x14ac:dyDescent="0.3">
      <c r="A18" s="34" t="s">
        <v>81</v>
      </c>
      <c r="B18" s="4" t="s">
        <v>82</v>
      </c>
      <c r="C18" s="4" t="s">
        <v>86</v>
      </c>
      <c r="D18" s="4" t="s">
        <v>43</v>
      </c>
      <c r="E18" s="12">
        <v>500</v>
      </c>
      <c r="F18" s="11" t="s">
        <v>43</v>
      </c>
      <c r="G18" s="8" t="s">
        <v>83</v>
      </c>
      <c r="H18" s="20"/>
    </row>
    <row r="19" spans="1:8" ht="30" customHeight="1" x14ac:dyDescent="0.3">
      <c r="A19" s="4" t="s">
        <v>84</v>
      </c>
      <c r="B19" s="4" t="s">
        <v>85</v>
      </c>
      <c r="C19" s="4" t="s">
        <v>87</v>
      </c>
      <c r="D19" s="4" t="s">
        <v>88</v>
      </c>
      <c r="E19" s="11" t="s">
        <v>43</v>
      </c>
      <c r="F19" s="32">
        <f>6378.14+E18</f>
        <v>6878.14</v>
      </c>
      <c r="G19" s="8" t="s">
        <v>83</v>
      </c>
      <c r="H19" s="20"/>
    </row>
    <row r="20" spans="1:8" ht="30" customHeight="1" x14ac:dyDescent="0.3">
      <c r="A20" s="5" t="s">
        <v>89</v>
      </c>
      <c r="B20" s="33" t="s">
        <v>90</v>
      </c>
      <c r="C20" s="5" t="s">
        <v>91</v>
      </c>
      <c r="D20" s="4" t="s">
        <v>43</v>
      </c>
      <c r="E20" s="12">
        <v>398600.4</v>
      </c>
      <c r="F20" s="11" t="s">
        <v>43</v>
      </c>
      <c r="G20" s="8" t="s">
        <v>93</v>
      </c>
      <c r="H20" s="20" t="s">
        <v>92</v>
      </c>
    </row>
    <row r="21" spans="1:8" ht="30" customHeight="1" x14ac:dyDescent="0.3">
      <c r="A21" s="5" t="s">
        <v>101</v>
      </c>
      <c r="B21" s="33" t="s">
        <v>102</v>
      </c>
      <c r="C21" s="5" t="s">
        <v>103</v>
      </c>
      <c r="D21" s="4" t="s">
        <v>43</v>
      </c>
      <c r="E21" s="12">
        <v>180</v>
      </c>
      <c r="F21" s="11" t="s">
        <v>43</v>
      </c>
      <c r="G21" s="8" t="s">
        <v>105</v>
      </c>
      <c r="H21" s="20" t="s">
        <v>104</v>
      </c>
    </row>
    <row r="22" spans="1:8" ht="30" customHeight="1" x14ac:dyDescent="0.3">
      <c r="A22" s="4" t="s">
        <v>94</v>
      </c>
      <c r="B22" s="4" t="s">
        <v>97</v>
      </c>
      <c r="C22" s="4" t="s">
        <v>96</v>
      </c>
      <c r="D22" s="4" t="s">
        <v>95</v>
      </c>
      <c r="E22" s="11" t="s">
        <v>43</v>
      </c>
      <c r="F22" s="28">
        <f>SQRT(E20/F19)*1000</f>
        <v>7612.6061138939394</v>
      </c>
      <c r="G22" s="8" t="s">
        <v>1</v>
      </c>
      <c r="H22" s="20"/>
    </row>
    <row r="23" spans="1:8" ht="30" customHeight="1" x14ac:dyDescent="0.3">
      <c r="A23" s="4" t="s">
        <v>98</v>
      </c>
      <c r="B23" s="4" t="s">
        <v>99</v>
      </c>
      <c r="C23" s="4" t="s">
        <v>100</v>
      </c>
      <c r="D23" s="4" t="s">
        <v>43</v>
      </c>
      <c r="E23" s="11" t="s">
        <v>43</v>
      </c>
      <c r="F23" s="28">
        <f>SQRT(F22^2+F16^2-(2*F22*F16*COS(PI()-RADIANS(E21))))</f>
        <v>7340.1086416998041</v>
      </c>
      <c r="G23" s="8" t="s">
        <v>1</v>
      </c>
      <c r="H23" s="20"/>
    </row>
    <row r="24" spans="1:8" ht="30" customHeight="1" x14ac:dyDescent="0.3">
      <c r="A24" s="4" t="s">
        <v>110</v>
      </c>
      <c r="B24" s="4" t="s">
        <v>111</v>
      </c>
      <c r="C24" s="4" t="s">
        <v>43</v>
      </c>
      <c r="D24" s="4" t="s">
        <v>43</v>
      </c>
      <c r="E24" s="12">
        <v>0</v>
      </c>
      <c r="F24" s="14" t="s">
        <v>43</v>
      </c>
      <c r="G24" s="8" t="s">
        <v>105</v>
      </c>
      <c r="H24" s="20"/>
    </row>
    <row r="25" spans="1:8" ht="30" customHeight="1" x14ac:dyDescent="0.3">
      <c r="A25" s="5" t="s">
        <v>106</v>
      </c>
      <c r="B25" s="4" t="s">
        <v>109</v>
      </c>
      <c r="C25" s="4" t="s">
        <v>43</v>
      </c>
      <c r="D25" s="4" t="s">
        <v>43</v>
      </c>
      <c r="E25" s="11" t="s">
        <v>43</v>
      </c>
      <c r="F25" s="32">
        <f>DEGREES(ASIN(F16*SIN(E21)/F23))</f>
        <v>-1.7043623776286643</v>
      </c>
      <c r="G25" s="8" t="s">
        <v>105</v>
      </c>
      <c r="H25" s="20"/>
    </row>
    <row r="26" spans="1:8" ht="30" customHeight="1" x14ac:dyDescent="0.3">
      <c r="A26" s="5" t="s">
        <v>107</v>
      </c>
      <c r="B26" s="4" t="s">
        <v>108</v>
      </c>
      <c r="C26" s="4" t="s">
        <v>43</v>
      </c>
      <c r="D26" s="4" t="s">
        <v>43</v>
      </c>
      <c r="E26" s="11" t="s">
        <v>43</v>
      </c>
      <c r="F26" s="32">
        <f>E24-F25</f>
        <v>1.7043623776286643</v>
      </c>
      <c r="G26" s="8" t="s">
        <v>105</v>
      </c>
      <c r="H26" s="20"/>
    </row>
    <row r="27" spans="1:8" ht="30" customHeight="1" x14ac:dyDescent="0.3">
      <c r="A27" s="5" t="s">
        <v>112</v>
      </c>
      <c r="B27" s="4" t="s">
        <v>113</v>
      </c>
      <c r="C27" s="4" t="s">
        <v>43</v>
      </c>
      <c r="D27" s="4" t="s">
        <v>43</v>
      </c>
      <c r="E27" s="11" t="s">
        <v>43</v>
      </c>
      <c r="F27" s="29">
        <f>E20/((2*E20/F19)-(F23/1000)^2)</f>
        <v>6426.3076513742526</v>
      </c>
      <c r="G27" s="8" t="s">
        <v>83</v>
      </c>
      <c r="H27" s="20"/>
    </row>
    <row r="28" spans="1:8" ht="30" customHeight="1" x14ac:dyDescent="0.3">
      <c r="A28" s="5" t="s">
        <v>114</v>
      </c>
      <c r="B28" s="4" t="s">
        <v>60</v>
      </c>
      <c r="C28" s="4" t="s">
        <v>43</v>
      </c>
      <c r="D28" s="4" t="s">
        <v>43</v>
      </c>
      <c r="E28" s="11" t="s">
        <v>43</v>
      </c>
      <c r="F28" s="32">
        <f>SQRT(1-(((F23/1000)*F19*COS(RADIANS(F26)))^2/(E20*F27)))</f>
        <v>7.6313177008550781E-2</v>
      </c>
      <c r="G28" s="8" t="s">
        <v>43</v>
      </c>
      <c r="H28" s="20"/>
    </row>
    <row r="29" spans="1:8" ht="30" customHeight="1" x14ac:dyDescent="0.3">
      <c r="A29" s="4" t="s">
        <v>115</v>
      </c>
      <c r="B29" s="4" t="s">
        <v>117</v>
      </c>
      <c r="C29" s="4" t="s">
        <v>43</v>
      </c>
      <c r="D29" s="4" t="s">
        <v>43</v>
      </c>
      <c r="E29" s="11" t="s">
        <v>43</v>
      </c>
      <c r="F29" s="32">
        <f>F27*(1+F28)-6378.14</f>
        <v>538.57960468498004</v>
      </c>
      <c r="G29" s="8" t="s">
        <v>83</v>
      </c>
      <c r="H29" s="20"/>
    </row>
    <row r="30" spans="1:8" ht="30" customHeight="1" x14ac:dyDescent="0.3">
      <c r="A30" s="4" t="s">
        <v>116</v>
      </c>
      <c r="B30" s="4" t="s">
        <v>118</v>
      </c>
      <c r="C30" s="4" t="s">
        <v>43</v>
      </c>
      <c r="D30" s="4" t="s">
        <v>43</v>
      </c>
      <c r="E30" s="11" t="s">
        <v>43</v>
      </c>
      <c r="F30" s="32">
        <f>F27*(1-F28)-6378.14</f>
        <v>-442.24430193647549</v>
      </c>
      <c r="G30" s="8" t="s">
        <v>83</v>
      </c>
      <c r="H30" s="20"/>
    </row>
    <row r="31" spans="1:8" x14ac:dyDescent="0.3">
      <c r="E31"/>
      <c r="F31"/>
    </row>
    <row r="32" spans="1:8" x14ac:dyDescent="0.3">
      <c r="E32"/>
      <c r="F32"/>
    </row>
    <row r="33" spans="5:6" x14ac:dyDescent="0.3">
      <c r="E33"/>
      <c r="F33"/>
    </row>
  </sheetData>
  <mergeCells count="3">
    <mergeCell ref="B1:C1"/>
    <mergeCell ref="E1:G1"/>
    <mergeCell ref="A17:H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Plantilla</vt:lpstr>
      <vt:lpstr>Formulas</vt:lpstr>
      <vt:lpstr>MEMS-TH</vt:lpstr>
      <vt:lpstr>GomSpace</vt:lpstr>
      <vt:lpstr>LightSey</vt:lpstr>
      <vt:lpstr>Enpulsion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Rodríguez Halcón</dc:creator>
  <cp:lastModifiedBy>José Antonio Gutiérrez Silva</cp:lastModifiedBy>
  <dcterms:created xsi:type="dcterms:W3CDTF">2015-06-05T18:17:20Z</dcterms:created>
  <dcterms:modified xsi:type="dcterms:W3CDTF">2024-08-08T09:50:05Z</dcterms:modified>
</cp:coreProperties>
</file>